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11.xml" ContentType="application/vnd.openxmlformats-officedocument.drawingml.chartshapes+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theme/themeOverride1.xml" ContentType="application/vnd.openxmlformats-officedocument.themeOverride+xml"/>
  <Override PartName="/xl/drawings/drawing12.xml" ContentType="application/vnd.openxmlformats-officedocument.drawing+xml"/>
  <Override PartName="/xl/comments4.xml" ContentType="application/vnd.openxmlformats-officedocument.spreadsheetml.comments+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drawings/drawing13.xml" ContentType="application/vnd.openxmlformats-officedocument.drawingml.chartshapes+xml"/>
  <Override PartName="/xl/charts/chart56.xml" ContentType="application/vnd.openxmlformats-officedocument.drawingml.chart+xml"/>
  <Override PartName="/xl/drawings/drawing14.xml" ContentType="application/vnd.openxmlformats-officedocument.drawingml.chartshapes+xml"/>
  <Override PartName="/xl/charts/chart57.xml" ContentType="application/vnd.openxmlformats-officedocument.drawingml.chart+xml"/>
  <Override PartName="/xl/drawings/drawing15.xml" ContentType="application/vnd.openxmlformats-officedocument.drawingml.chartshapes+xml"/>
  <Override PartName="/xl/charts/chart58.xml" ContentType="application/vnd.openxmlformats-officedocument.drawingml.chart+xml"/>
  <Override PartName="/xl/drawings/drawing16.xml" ContentType="application/vnd.openxmlformats-officedocument.drawingml.chartshapes+xml"/>
  <Override PartName="/xl/charts/chart59.xml" ContentType="application/vnd.openxmlformats-officedocument.drawingml.chart+xml"/>
  <Override PartName="/xl/drawings/drawing17.xml" ContentType="application/vnd.openxmlformats-officedocument.drawingml.chartshapes+xml"/>
  <Override PartName="/xl/charts/chart60.xml" ContentType="application/vnd.openxmlformats-officedocument.drawingml.chart+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8.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omments9.xml" ContentType="application/vnd.openxmlformats-officedocument.spreadsheetml.comments+xml"/>
  <Override PartName="/xl/drawings/drawing19.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현재_통합_문서" defaultThemeVersion="124226"/>
  <bookViews>
    <workbookView xWindow="0" yWindow="0" windowWidth="9615" windowHeight="1275" tabRatio="598" firstSheet="3" activeTab="8"/>
  </bookViews>
  <sheets>
    <sheet name="성과개선" sheetId="135" r:id="rId1"/>
    <sheet name="성과개선 요약" sheetId="130" r:id="rId2"/>
    <sheet name="스크" sheetId="69" r:id="rId3"/>
    <sheet name="년간" sheetId="8" r:id="rId4"/>
    <sheet name="L D" sheetId="61" r:id="rId5"/>
    <sheet name="게시판" sheetId="120" r:id="rId6"/>
    <sheet name="종합평가" sheetId="124" r:id="rId7"/>
    <sheet name="종합" sheetId="105" r:id="rId8"/>
    <sheet name="CPL" sheetId="82" r:id="rId9"/>
    <sheet name="CRM" sheetId="85" r:id="rId10"/>
    <sheet name="CGL" sheetId="90" r:id="rId11"/>
    <sheet name="#1CCL" sheetId="91" r:id="rId12"/>
    <sheet name="#2CCL" sheetId="92" r:id="rId13"/>
    <sheet name="비가동" sheetId="132" r:id="rId14"/>
    <sheet name="고장" sheetId="102" r:id="rId15"/>
    <sheet name="협력사" sheetId="93" r:id="rId16"/>
    <sheet name="성과개선 실적" sheetId="95" r:id="rId17"/>
    <sheet name="SSCL" sheetId="119" r:id="rId18"/>
    <sheet name="경쟁사" sheetId="84" r:id="rId19"/>
    <sheet name="21년경영목표" sheetId="136" r:id="rId20"/>
    <sheet name="운영KPI" sheetId="137" r:id="rId21"/>
    <sheet name="설비종합효율" sheetId="138" r:id="rId22"/>
    <sheet name="임원미션" sheetId="141" r:id="rId23"/>
    <sheet name="개선금액" sheetId="140" r:id="rId24"/>
    <sheet name="20년 실질개선금액" sheetId="143" r:id="rId25"/>
    <sheet name="성과개선 과제선정 일정" sheetId="145" r:id="rId26"/>
    <sheet name="GL 공사관련 일정" sheetId="146" r:id="rId27"/>
    <sheet name="21년 라인별 성과개선" sheetId="147" r:id="rId28"/>
    <sheet name="20년 요약" sheetId="148" r:id="rId29"/>
  </sheets>
  <externalReferences>
    <externalReference r:id="rId30"/>
    <externalReference r:id="rId31"/>
  </externalReferences>
  <calcPr calcId="145621"/>
  <fileRecoveryPr autoRecover="0"/>
</workbook>
</file>

<file path=xl/calcChain.xml><?xml version="1.0" encoding="utf-8"?>
<calcChain xmlns="http://schemas.openxmlformats.org/spreadsheetml/2006/main">
  <c r="G65" i="93" l="1"/>
  <c r="G64" i="93"/>
  <c r="G63" i="93"/>
  <c r="G62" i="93"/>
  <c r="H4" i="8" l="1"/>
  <c r="O9" i="105"/>
  <c r="O8" i="105"/>
  <c r="U24" i="119"/>
  <c r="T24" i="119"/>
  <c r="AE20" i="119" l="1"/>
  <c r="V20" i="119"/>
  <c r="W20" i="119"/>
  <c r="X20" i="119"/>
  <c r="Y20" i="119"/>
  <c r="Z20" i="119"/>
  <c r="AA20" i="119"/>
  <c r="AB20" i="119"/>
  <c r="AC20" i="119"/>
  <c r="AD20" i="119"/>
  <c r="S20" i="119"/>
  <c r="AF16" i="119"/>
  <c r="T16" i="119"/>
  <c r="U16" i="119"/>
  <c r="V16" i="119"/>
  <c r="W16" i="119"/>
  <c r="X16" i="119"/>
  <c r="Y16" i="119"/>
  <c r="Z16" i="119"/>
  <c r="AA16" i="119"/>
  <c r="AB16" i="119"/>
  <c r="AC16" i="119"/>
  <c r="AD16" i="119"/>
  <c r="S16" i="119"/>
  <c r="AE16" i="119"/>
  <c r="AF19" i="119"/>
  <c r="AF18" i="119"/>
  <c r="S13" i="119"/>
  <c r="AF13" i="119"/>
  <c r="AF9" i="119"/>
  <c r="AF7" i="119"/>
  <c r="T9" i="119"/>
  <c r="U9" i="119"/>
  <c r="AB46" i="91"/>
  <c r="J18" i="95" l="1"/>
  <c r="J11" i="95"/>
  <c r="J10" i="95"/>
  <c r="J9" i="95"/>
  <c r="J6" i="95"/>
  <c r="J5" i="95"/>
  <c r="J4" i="95"/>
  <c r="AD45" i="92"/>
  <c r="AO45" i="92"/>
  <c r="AO31" i="92"/>
  <c r="AO6" i="92"/>
  <c r="Z61" i="90" l="1"/>
  <c r="Z60" i="90"/>
  <c r="CA35" i="105" l="1"/>
  <c r="BM199" i="105" l="1"/>
  <c r="CA51" i="105"/>
  <c r="AC18" i="69" l="1"/>
  <c r="Z21" i="92" l="1"/>
  <c r="Y21" i="92"/>
  <c r="X21" i="92"/>
  <c r="W21" i="92"/>
  <c r="V21" i="92"/>
  <c r="U21" i="92"/>
  <c r="T21" i="92"/>
  <c r="S21" i="92"/>
  <c r="R21" i="92"/>
  <c r="Q21" i="92"/>
  <c r="P21" i="92"/>
  <c r="O21" i="92"/>
  <c r="Z12" i="92" l="1"/>
  <c r="Y12" i="92"/>
  <c r="X12" i="92"/>
  <c r="W12" i="92"/>
  <c r="V12" i="92"/>
  <c r="U12" i="92"/>
  <c r="T12" i="92"/>
  <c r="S12" i="92"/>
  <c r="R12" i="92"/>
  <c r="Q12" i="92"/>
  <c r="BI217" i="105" l="1"/>
  <c r="BI232" i="105"/>
  <c r="F33" i="93" l="1"/>
  <c r="F34" i="93" s="1"/>
  <c r="G22" i="93"/>
  <c r="AO30" i="92" l="1"/>
  <c r="AO28" i="92"/>
  <c r="AO26" i="92"/>
  <c r="AO9" i="92"/>
  <c r="AO8" i="92"/>
  <c r="AO30" i="91"/>
  <c r="AO28" i="91"/>
  <c r="AO26" i="91"/>
  <c r="AO9" i="91"/>
  <c r="AO8" i="91"/>
  <c r="AA52" i="82"/>
  <c r="AA51" i="85"/>
  <c r="AA49" i="85"/>
  <c r="AA48" i="85"/>
  <c r="AA67" i="90"/>
  <c r="AA68" i="90"/>
  <c r="Y12" i="90"/>
  <c r="X12" i="90"/>
  <c r="W12" i="90"/>
  <c r="V12" i="90"/>
  <c r="U12" i="90"/>
  <c r="T12" i="90"/>
  <c r="S12" i="90"/>
  <c r="R12" i="90"/>
  <c r="Q12" i="90"/>
  <c r="P12" i="90"/>
  <c r="O12" i="90"/>
  <c r="AO26" i="85"/>
  <c r="AO24" i="85"/>
  <c r="AO22" i="85"/>
  <c r="AO9" i="85"/>
  <c r="AO8" i="85"/>
  <c r="Q26" i="92" l="1"/>
  <c r="Q26" i="91"/>
  <c r="Q20" i="90"/>
  <c r="BN232" i="105" l="1"/>
  <c r="AV231" i="105"/>
  <c r="M28" i="105" l="1"/>
  <c r="N28" i="105"/>
  <c r="Z28" i="105"/>
  <c r="AA28" i="105"/>
  <c r="AA27" i="105"/>
  <c r="Z27" i="105"/>
  <c r="N27" i="105"/>
  <c r="M27" i="105"/>
  <c r="N29" i="105" l="1"/>
  <c r="M29" i="105"/>
  <c r="AD58" i="102" l="1"/>
  <c r="AE58" i="102"/>
  <c r="AF58" i="102"/>
  <c r="AG58" i="102"/>
  <c r="AH58" i="102"/>
  <c r="AI58" i="102"/>
  <c r="AJ58" i="102"/>
  <c r="AK58" i="102"/>
  <c r="AL58" i="102"/>
  <c r="AM58" i="102"/>
  <c r="AN58" i="102"/>
  <c r="AD59" i="102"/>
  <c r="AE59" i="102"/>
  <c r="AF59" i="102"/>
  <c r="AG59" i="102"/>
  <c r="AH59" i="102"/>
  <c r="AI59" i="102"/>
  <c r="AJ59" i="102"/>
  <c r="AK59" i="102"/>
  <c r="AL59" i="102"/>
  <c r="AM59" i="102"/>
  <c r="AN59" i="102"/>
  <c r="AD60" i="102"/>
  <c r="AE60" i="102"/>
  <c r="AF60" i="102"/>
  <c r="AG60" i="102"/>
  <c r="AH60" i="102"/>
  <c r="AI60" i="102"/>
  <c r="AJ60" i="102"/>
  <c r="AK60" i="102"/>
  <c r="AL60" i="102"/>
  <c r="AM60" i="102"/>
  <c r="AN60" i="102"/>
  <c r="AD61" i="102"/>
  <c r="AE61" i="102"/>
  <c r="AF61" i="102"/>
  <c r="AG61" i="102"/>
  <c r="AH61" i="102"/>
  <c r="AI61" i="102"/>
  <c r="AJ61" i="102"/>
  <c r="AK61" i="102"/>
  <c r="AL61" i="102"/>
  <c r="AM61" i="102"/>
  <c r="AN61" i="102"/>
  <c r="AD62" i="102"/>
  <c r="AE62" i="102"/>
  <c r="AF62" i="102"/>
  <c r="AG62" i="102"/>
  <c r="AH62" i="102"/>
  <c r="AI62" i="102"/>
  <c r="AJ62" i="102"/>
  <c r="AK62" i="102"/>
  <c r="AL62" i="102"/>
  <c r="AM62" i="102"/>
  <c r="AN62" i="102"/>
  <c r="AC63" i="102"/>
  <c r="AC59" i="102"/>
  <c r="AC60" i="102"/>
  <c r="AC61" i="102"/>
  <c r="AC62" i="102"/>
  <c r="AC58" i="102"/>
  <c r="M16" i="95"/>
  <c r="P102" i="102"/>
  <c r="R102" i="102"/>
  <c r="S102" i="102"/>
  <c r="T102" i="102"/>
  <c r="U102" i="102"/>
  <c r="V102" i="102"/>
  <c r="W102" i="102"/>
  <c r="X102" i="102"/>
  <c r="Y102" i="102"/>
  <c r="Z102" i="102"/>
  <c r="L102" i="102"/>
  <c r="J102" i="102"/>
  <c r="K102" i="102"/>
  <c r="M102" i="102"/>
  <c r="N102" i="102"/>
  <c r="AE102" i="102"/>
  <c r="AF102" i="102"/>
  <c r="AG102" i="102"/>
  <c r="AH102" i="102"/>
  <c r="AI102" i="102"/>
  <c r="AJ102" i="102"/>
  <c r="AK102" i="102"/>
  <c r="AL102" i="102"/>
  <c r="AM102" i="102"/>
  <c r="AN102" i="102"/>
  <c r="AO102" i="102"/>
  <c r="AD102" i="102"/>
  <c r="AC102" i="102"/>
  <c r="N39" i="95" l="1"/>
  <c r="P39" i="95"/>
  <c r="Q39" i="95"/>
  <c r="R39" i="95"/>
  <c r="S39" i="95"/>
  <c r="T39" i="95"/>
  <c r="U39" i="95"/>
  <c r="V39" i="95"/>
  <c r="W39" i="95"/>
  <c r="X39" i="95"/>
  <c r="N40" i="95"/>
  <c r="P40" i="95"/>
  <c r="Q40" i="95"/>
  <c r="R40" i="95"/>
  <c r="S40" i="95"/>
  <c r="T40" i="95"/>
  <c r="U40" i="95"/>
  <c r="V40" i="95"/>
  <c r="W40" i="95"/>
  <c r="X40" i="95"/>
  <c r="N41" i="95"/>
  <c r="P41" i="95"/>
  <c r="Q41" i="95"/>
  <c r="R41" i="95"/>
  <c r="S41" i="95"/>
  <c r="T41" i="95"/>
  <c r="U41" i="95"/>
  <c r="V41" i="95"/>
  <c r="W41" i="95"/>
  <c r="X41" i="95"/>
  <c r="M41" i="95"/>
  <c r="M39" i="95"/>
  <c r="M40" i="95"/>
  <c r="AP101" i="102"/>
  <c r="AO101" i="102"/>
  <c r="AD100" i="102"/>
  <c r="AE100" i="102"/>
  <c r="AF100" i="102"/>
  <c r="AG100" i="102"/>
  <c r="AH100" i="102"/>
  <c r="AI100" i="102"/>
  <c r="AJ100" i="102"/>
  <c r="AK100" i="102"/>
  <c r="AL100" i="102"/>
  <c r="AM100" i="102"/>
  <c r="AN100" i="102"/>
  <c r="AC100" i="102"/>
  <c r="P100" i="102"/>
  <c r="Q100" i="102"/>
  <c r="R100" i="102"/>
  <c r="S100" i="102"/>
  <c r="T100" i="102"/>
  <c r="U100" i="102"/>
  <c r="V100" i="102"/>
  <c r="W100" i="102"/>
  <c r="X100" i="102"/>
  <c r="Y100" i="102"/>
  <c r="Z100" i="102"/>
  <c r="O100" i="102"/>
  <c r="AC101" i="102"/>
  <c r="AA101" i="102"/>
  <c r="O102" i="102"/>
  <c r="M100" i="102"/>
  <c r="P101" i="102"/>
  <c r="Q101" i="102"/>
  <c r="R101" i="102"/>
  <c r="S101" i="102"/>
  <c r="T101" i="102"/>
  <c r="U101" i="102"/>
  <c r="V101" i="102"/>
  <c r="W101" i="102"/>
  <c r="X101" i="102"/>
  <c r="Y101" i="102"/>
  <c r="Z101" i="102"/>
  <c r="AB101" i="102"/>
  <c r="AD101" i="102"/>
  <c r="AE101" i="102"/>
  <c r="AF101" i="102"/>
  <c r="AG101" i="102"/>
  <c r="AH101" i="102"/>
  <c r="AI101" i="102"/>
  <c r="AJ101" i="102"/>
  <c r="AK101" i="102"/>
  <c r="AL101" i="102"/>
  <c r="AM101" i="102"/>
  <c r="AN101" i="102"/>
  <c r="O101" i="102"/>
  <c r="AL98" i="105" l="1"/>
  <c r="AN10" i="92"/>
  <c r="E155" i="8"/>
  <c r="AO88" i="102"/>
  <c r="AO75" i="102"/>
  <c r="AO73" i="102"/>
  <c r="AO71" i="102"/>
  <c r="AO50" i="102"/>
  <c r="AO37" i="102"/>
  <c r="AO35" i="102"/>
  <c r="AO33" i="102"/>
  <c r="AO23" i="102"/>
  <c r="AO10" i="102"/>
  <c r="AO8" i="102"/>
  <c r="AO6" i="102"/>
  <c r="P13" i="85" l="1"/>
  <c r="AP76" i="105"/>
  <c r="AP75" i="105"/>
  <c r="AP73" i="105"/>
  <c r="BE13" i="120" l="1"/>
  <c r="AM41" i="105" l="1"/>
  <c r="AM44" i="105"/>
  <c r="AM43" i="105"/>
  <c r="AM42" i="105"/>
  <c r="AM34" i="105"/>
  <c r="AM33" i="105"/>
  <c r="AM32" i="105"/>
  <c r="AM31" i="105"/>
  <c r="AM30" i="105"/>
  <c r="AM26" i="105"/>
  <c r="AM28" i="105"/>
  <c r="AM27" i="105"/>
  <c r="AM25" i="105"/>
  <c r="AM24" i="105"/>
  <c r="AM21" i="105"/>
  <c r="AM20" i="105"/>
  <c r="AM15" i="105"/>
  <c r="AM14" i="105"/>
  <c r="AM13" i="105"/>
  <c r="AM12" i="105"/>
  <c r="AM11" i="105"/>
  <c r="F57" i="93" l="1"/>
  <c r="G57" i="93"/>
  <c r="H57" i="93"/>
  <c r="I57" i="93"/>
  <c r="J57" i="93"/>
  <c r="K57" i="93"/>
  <c r="L57" i="93"/>
  <c r="M57" i="93"/>
  <c r="N57" i="93"/>
  <c r="O57" i="93"/>
  <c r="P57" i="93"/>
  <c r="F56" i="93"/>
  <c r="E57" i="93"/>
  <c r="AM46" i="91"/>
  <c r="AE46" i="91"/>
  <c r="AF46" i="91"/>
  <c r="AG46" i="91"/>
  <c r="AH46" i="91"/>
  <c r="AI46" i="91"/>
  <c r="AJ46" i="91"/>
  <c r="AK46" i="91"/>
  <c r="AL46" i="91"/>
  <c r="AC46" i="91"/>
  <c r="L33" i="92"/>
  <c r="AE45" i="92"/>
  <c r="AF45" i="92"/>
  <c r="AG45" i="92"/>
  <c r="AH45" i="92"/>
  <c r="AI45" i="92"/>
  <c r="AJ45" i="92"/>
  <c r="AK45" i="92"/>
  <c r="AL45" i="92"/>
  <c r="AM45" i="92"/>
  <c r="AC45" i="92"/>
  <c r="AB45" i="92"/>
  <c r="AN45" i="92"/>
  <c r="P12" i="92" l="1"/>
  <c r="N23" i="92"/>
  <c r="P23" i="92"/>
  <c r="BL199" i="105" l="1"/>
  <c r="AB6" i="92"/>
  <c r="G123" i="8"/>
  <c r="P42" i="92"/>
  <c r="P41" i="92"/>
  <c r="P32" i="92"/>
  <c r="P31" i="92"/>
  <c r="P5" i="92"/>
  <c r="AZ84" i="105" l="1"/>
  <c r="BA84" i="105"/>
  <c r="AZ85" i="105"/>
  <c r="BA85" i="105"/>
  <c r="AW87" i="105"/>
  <c r="AW88" i="105"/>
  <c r="AV84" i="105"/>
  <c r="AW84" i="105"/>
  <c r="AV85" i="105"/>
  <c r="AW85" i="105"/>
  <c r="AU84" i="105"/>
  <c r="AU85" i="105"/>
  <c r="BZ51" i="105"/>
  <c r="BZ35" i="105"/>
  <c r="N36" i="95" l="1"/>
  <c r="O36" i="95"/>
  <c r="P36" i="95"/>
  <c r="Q36" i="95"/>
  <c r="R36" i="95"/>
  <c r="S36" i="95"/>
  <c r="T36" i="95"/>
  <c r="U36" i="95"/>
  <c r="V36" i="95"/>
  <c r="W36" i="95"/>
  <c r="X36" i="95"/>
  <c r="M36" i="95"/>
  <c r="N34" i="95"/>
  <c r="O34" i="95"/>
  <c r="P34" i="95"/>
  <c r="Q34" i="95"/>
  <c r="R34" i="95"/>
  <c r="S34" i="95"/>
  <c r="T34" i="95"/>
  <c r="U34" i="95"/>
  <c r="V34" i="95"/>
  <c r="W34" i="95"/>
  <c r="X34" i="95"/>
  <c r="M34" i="95"/>
  <c r="N33" i="95"/>
  <c r="O33" i="95"/>
  <c r="P33" i="95"/>
  <c r="Q33" i="95"/>
  <c r="R33" i="95"/>
  <c r="S33" i="95"/>
  <c r="T33" i="95"/>
  <c r="U33" i="95"/>
  <c r="V33" i="95"/>
  <c r="W33" i="95"/>
  <c r="X33" i="95"/>
  <c r="M33" i="95"/>
  <c r="N31" i="95"/>
  <c r="O31" i="95"/>
  <c r="P31" i="95"/>
  <c r="Q31" i="95"/>
  <c r="R31" i="95"/>
  <c r="S31" i="95"/>
  <c r="T31" i="95"/>
  <c r="U31" i="95"/>
  <c r="V31" i="95"/>
  <c r="W31" i="95"/>
  <c r="X31" i="95"/>
  <c r="M31" i="95"/>
  <c r="N29" i="95"/>
  <c r="O29" i="95"/>
  <c r="P29" i="95"/>
  <c r="Q29" i="95"/>
  <c r="R29" i="95"/>
  <c r="S29" i="95"/>
  <c r="T29" i="95"/>
  <c r="U29" i="95"/>
  <c r="V29" i="95"/>
  <c r="W29" i="95"/>
  <c r="X29" i="95"/>
  <c r="M29" i="95"/>
  <c r="Y54" i="85" l="1"/>
  <c r="Z54" i="85"/>
  <c r="O58" i="102" l="1"/>
  <c r="D57" i="93"/>
  <c r="C66" i="93"/>
  <c r="Q62" i="93"/>
  <c r="Q63" i="93"/>
  <c r="Q64" i="93"/>
  <c r="Q65" i="93"/>
  <c r="F66" i="93"/>
  <c r="G66" i="93"/>
  <c r="H66" i="93"/>
  <c r="I66" i="93"/>
  <c r="J66" i="93"/>
  <c r="K66" i="93"/>
  <c r="L66" i="93"/>
  <c r="M66" i="93"/>
  <c r="N66" i="93"/>
  <c r="O66" i="93"/>
  <c r="P66" i="93"/>
  <c r="F65" i="93"/>
  <c r="F64" i="93"/>
  <c r="F63" i="93"/>
  <c r="F62" i="93"/>
  <c r="E66" i="93"/>
  <c r="D66" i="93"/>
  <c r="E65" i="93"/>
  <c r="E64" i="93"/>
  <c r="E62" i="93"/>
  <c r="E63" i="93"/>
  <c r="F31" i="93" l="1"/>
  <c r="H4" i="119" l="1"/>
  <c r="H3" i="119"/>
  <c r="H14" i="119"/>
  <c r="P19" i="91"/>
  <c r="P26" i="92" l="1"/>
  <c r="P26" i="91"/>
  <c r="P22" i="85"/>
  <c r="O7" i="92" l="1"/>
  <c r="Q7" i="92" l="1"/>
  <c r="R7" i="92"/>
  <c r="S7" i="92"/>
  <c r="T7" i="92"/>
  <c r="U7" i="92"/>
  <c r="V7" i="92"/>
  <c r="W7" i="92"/>
  <c r="X7" i="92"/>
  <c r="Y7" i="92"/>
  <c r="Z7" i="92"/>
  <c r="P7" i="92"/>
  <c r="BK199" i="105" l="1"/>
  <c r="F151" i="8" l="1"/>
  <c r="E151" i="8"/>
  <c r="O66" i="91" l="1"/>
  <c r="N64" i="91"/>
  <c r="BY51" i="105" l="1"/>
  <c r="BY27" i="105"/>
  <c r="BY35" i="105"/>
  <c r="R66" i="91" l="1"/>
  <c r="S66" i="91"/>
  <c r="T66" i="91"/>
  <c r="U66" i="91"/>
  <c r="V66" i="91"/>
  <c r="W66" i="91"/>
  <c r="X66" i="91"/>
  <c r="Y66" i="91"/>
  <c r="Z66" i="91"/>
  <c r="R7" i="91"/>
  <c r="S7" i="91"/>
  <c r="T7" i="91"/>
  <c r="U7" i="91"/>
  <c r="V7" i="91"/>
  <c r="W7" i="91"/>
  <c r="X7" i="91"/>
  <c r="Y7" i="91"/>
  <c r="Z7" i="91"/>
  <c r="O7" i="91"/>
  <c r="D123" i="8" l="1"/>
  <c r="D117" i="8"/>
  <c r="D118" i="8"/>
  <c r="D119" i="8"/>
  <c r="D121" i="8"/>
  <c r="AN7" i="91"/>
  <c r="AN46" i="91" s="1"/>
  <c r="AY3" i="102" l="1"/>
  <c r="AY4" i="102"/>
  <c r="BO84" i="105"/>
  <c r="BX35" i="105"/>
  <c r="E22" i="93" l="1"/>
  <c r="S24" i="119" l="1"/>
  <c r="T7" i="119" l="1"/>
  <c r="U7" i="119"/>
  <c r="V7" i="119"/>
  <c r="W7" i="119"/>
  <c r="X7" i="119"/>
  <c r="Y7" i="119"/>
  <c r="Z7" i="119"/>
  <c r="AA7" i="119"/>
  <c r="AB7" i="119"/>
  <c r="AC7" i="119"/>
  <c r="AD7" i="119"/>
  <c r="T8" i="119"/>
  <c r="U8" i="119"/>
  <c r="U20" i="119" s="1"/>
  <c r="V8" i="119"/>
  <c r="W8" i="119"/>
  <c r="X8" i="119"/>
  <c r="Y8" i="119"/>
  <c r="Z8" i="119"/>
  <c r="AA8" i="119"/>
  <c r="AB8" i="119"/>
  <c r="AC8" i="119"/>
  <c r="AD8" i="119"/>
  <c r="V9" i="119"/>
  <c r="W9" i="119"/>
  <c r="X9" i="119"/>
  <c r="Y9" i="119"/>
  <c r="Z9" i="119"/>
  <c r="AA9" i="119"/>
  <c r="AB9" i="119"/>
  <c r="AC9" i="119"/>
  <c r="AD9" i="119"/>
  <c r="T13" i="119"/>
  <c r="U13" i="119"/>
  <c r="V13" i="119"/>
  <c r="W13" i="119"/>
  <c r="X13" i="119"/>
  <c r="Y13" i="119"/>
  <c r="Z13" i="119"/>
  <c r="AA13" i="119"/>
  <c r="AB13" i="119"/>
  <c r="AC13" i="119"/>
  <c r="AD13" i="119"/>
  <c r="T14" i="119"/>
  <c r="U14" i="119"/>
  <c r="V14" i="119"/>
  <c r="W14" i="119"/>
  <c r="X14" i="119"/>
  <c r="Y14" i="119"/>
  <c r="Z14" i="119"/>
  <c r="AA14" i="119"/>
  <c r="AB14" i="119"/>
  <c r="AC14" i="119"/>
  <c r="AD14" i="119"/>
  <c r="T15" i="119"/>
  <c r="U15" i="119"/>
  <c r="V15" i="119"/>
  <c r="W15" i="119"/>
  <c r="X15" i="119"/>
  <c r="Y15" i="119"/>
  <c r="Z15" i="119"/>
  <c r="AA15" i="119"/>
  <c r="AB15" i="119"/>
  <c r="AC15" i="119"/>
  <c r="AD15" i="119"/>
  <c r="T18" i="119"/>
  <c r="U18" i="119"/>
  <c r="V18" i="119"/>
  <c r="W18" i="119"/>
  <c r="X18" i="119"/>
  <c r="Y18" i="119"/>
  <c r="Z18" i="119"/>
  <c r="AA18" i="119"/>
  <c r="AB18" i="119"/>
  <c r="AC18" i="119"/>
  <c r="AD18" i="119"/>
  <c r="T19" i="119"/>
  <c r="U19" i="119"/>
  <c r="V19" i="119"/>
  <c r="W19" i="119"/>
  <c r="X19" i="119"/>
  <c r="Y19" i="119"/>
  <c r="Z19" i="119"/>
  <c r="AA19" i="119"/>
  <c r="AB19" i="119"/>
  <c r="AC19" i="119"/>
  <c r="AD19" i="119"/>
  <c r="S19" i="119"/>
  <c r="S18" i="119"/>
  <c r="S15" i="119"/>
  <c r="S9" i="119"/>
  <c r="S8" i="119"/>
  <c r="S7" i="119"/>
  <c r="S14" i="119"/>
  <c r="AF8" i="119" l="1"/>
  <c r="AF20" i="119" s="1"/>
  <c r="T20" i="119"/>
  <c r="H20" i="119" s="1"/>
  <c r="O23" i="85"/>
  <c r="O24" i="85"/>
  <c r="O25" i="85"/>
  <c r="O26" i="85"/>
  <c r="O12" i="92" l="1"/>
  <c r="O19" i="91"/>
  <c r="O12" i="91"/>
  <c r="O26" i="92" l="1"/>
  <c r="O26" i="91"/>
  <c r="O25" i="91"/>
  <c r="AN40" i="90" l="1"/>
  <c r="AA57" i="90"/>
  <c r="AA56" i="90"/>
  <c r="P218" i="8" l="1"/>
  <c r="P213" i="8" l="1"/>
  <c r="P214" i="8"/>
  <c r="P215" i="8"/>
  <c r="P216" i="8"/>
  <c r="P217" i="8"/>
  <c r="AN31" i="91" l="1"/>
  <c r="AE31" i="91"/>
  <c r="AF31" i="91"/>
  <c r="AG31" i="91"/>
  <c r="AH31" i="91"/>
  <c r="AI31" i="91"/>
  <c r="AJ31" i="91"/>
  <c r="AK31" i="91"/>
  <c r="AL31" i="91"/>
  <c r="AM31" i="91"/>
  <c r="AN42" i="91"/>
  <c r="AN40" i="91"/>
  <c r="AE27" i="85"/>
  <c r="AF27" i="85"/>
  <c r="AG27" i="85"/>
  <c r="AH27" i="85"/>
  <c r="AI27" i="85"/>
  <c r="AJ27" i="85"/>
  <c r="AK27" i="85"/>
  <c r="AL27" i="85"/>
  <c r="AM27" i="85"/>
  <c r="AN27" i="85"/>
  <c r="AE32" i="85" l="1"/>
  <c r="AF32" i="85"/>
  <c r="AG32" i="85"/>
  <c r="AH32" i="85"/>
  <c r="AI32" i="85"/>
  <c r="AJ32" i="85"/>
  <c r="AK32" i="85"/>
  <c r="AL32" i="85"/>
  <c r="AM32" i="85"/>
  <c r="AN32" i="85"/>
  <c r="V23" i="148" l="1"/>
  <c r="V21" i="148"/>
  <c r="V20" i="148"/>
  <c r="V22" i="148"/>
  <c r="V19" i="148"/>
  <c r="V18" i="148"/>
  <c r="V17" i="148"/>
  <c r="V16" i="148"/>
  <c r="V15" i="148"/>
  <c r="V7" i="148"/>
  <c r="V8" i="148"/>
  <c r="V9" i="148"/>
  <c r="V10" i="148"/>
  <c r="V11" i="148"/>
  <c r="V12" i="148"/>
  <c r="V13" i="148"/>
  <c r="V14" i="148"/>
  <c r="V6" i="148"/>
  <c r="V5" i="148"/>
  <c r="V43" i="148"/>
  <c r="V47" i="148" s="1"/>
  <c r="V46" i="148"/>
  <c r="V45" i="148"/>
  <c r="V44" i="148"/>
  <c r="V42" i="148"/>
  <c r="V41" i="148"/>
  <c r="V40" i="148"/>
  <c r="V39" i="148"/>
  <c r="V30" i="148"/>
  <c r="V31" i="148"/>
  <c r="V32" i="148"/>
  <c r="V33" i="148"/>
  <c r="V34" i="148"/>
  <c r="V35" i="148"/>
  <c r="V36" i="148"/>
  <c r="V37" i="148"/>
  <c r="V38" i="148"/>
  <c r="V29" i="148"/>
  <c r="BK202" i="105" l="1"/>
  <c r="BK203" i="105"/>
  <c r="AT208" i="105"/>
  <c r="AT209" i="105"/>
  <c r="P22" i="148" l="1"/>
  <c r="S23" i="148"/>
  <c r="P23" i="148"/>
  <c r="S22" i="148"/>
  <c r="S21" i="148"/>
  <c r="S20" i="148"/>
  <c r="S19" i="148"/>
  <c r="S18" i="148"/>
  <c r="S17" i="148"/>
  <c r="S16" i="148"/>
  <c r="S15" i="148"/>
  <c r="S14" i="148"/>
  <c r="S13" i="148"/>
  <c r="S12" i="148"/>
  <c r="S11" i="148"/>
  <c r="S10" i="148"/>
  <c r="S9" i="148"/>
  <c r="S8" i="148"/>
  <c r="S7" i="148"/>
  <c r="S6" i="148"/>
  <c r="S5" i="148"/>
  <c r="P20" i="148"/>
  <c r="P18" i="148"/>
  <c r="P17" i="148"/>
  <c r="P16" i="148"/>
  <c r="P19" i="148"/>
  <c r="P15" i="148"/>
  <c r="P14" i="148"/>
  <c r="P13" i="148"/>
  <c r="P12" i="148"/>
  <c r="P11" i="148"/>
  <c r="P10" i="148"/>
  <c r="P9" i="148"/>
  <c r="P8" i="148"/>
  <c r="P7" i="148"/>
  <c r="P6" i="148"/>
  <c r="P5" i="148"/>
  <c r="D77" i="136" l="1"/>
  <c r="C77" i="136"/>
  <c r="E76" i="136"/>
  <c r="F76" i="136" s="1"/>
  <c r="D76" i="136"/>
  <c r="C76" i="136"/>
  <c r="F75" i="136"/>
  <c r="F74" i="136"/>
  <c r="E73" i="136"/>
  <c r="E77" i="136" s="1"/>
  <c r="D73" i="136"/>
  <c r="C73" i="136"/>
  <c r="F72" i="136"/>
  <c r="F71" i="136"/>
  <c r="F70" i="136"/>
  <c r="F77" i="136" l="1"/>
  <c r="F73" i="136"/>
  <c r="H21" i="148"/>
  <c r="H20" i="148"/>
  <c r="I24" i="148"/>
  <c r="I23" i="148"/>
  <c r="I21" i="148"/>
  <c r="I20" i="148"/>
  <c r="I22" i="148"/>
  <c r="I19" i="148"/>
  <c r="I18" i="148"/>
  <c r="I17" i="148"/>
  <c r="I16" i="148"/>
  <c r="I15" i="148"/>
  <c r="I14" i="148"/>
  <c r="I13" i="148"/>
  <c r="I12" i="148"/>
  <c r="I11" i="148"/>
  <c r="I10" i="148"/>
  <c r="I9" i="148"/>
  <c r="I8" i="148"/>
  <c r="I7" i="148"/>
  <c r="I6" i="148"/>
  <c r="I5" i="148"/>
  <c r="H23" i="148"/>
  <c r="H22" i="148"/>
  <c r="H19" i="148"/>
  <c r="H18" i="148"/>
  <c r="H17" i="148"/>
  <c r="H16" i="148"/>
  <c r="H15" i="148"/>
  <c r="H6" i="148"/>
  <c r="H7" i="148"/>
  <c r="H8" i="148"/>
  <c r="H9" i="148"/>
  <c r="H10" i="148"/>
  <c r="H11" i="148"/>
  <c r="H12" i="148"/>
  <c r="H13" i="148"/>
  <c r="H14" i="148"/>
  <c r="H5" i="148"/>
  <c r="AB137" i="102" l="1"/>
  <c r="AB143" i="102"/>
  <c r="AB144" i="102"/>
  <c r="AB145" i="102"/>
  <c r="AB147" i="102"/>
  <c r="AB136" i="102"/>
  <c r="AB146" i="102"/>
  <c r="AB135" i="102"/>
  <c r="AB134" i="102"/>
  <c r="AB132" i="102"/>
  <c r="AB90" i="102" l="1"/>
  <c r="AB89" i="102"/>
  <c r="AB88" i="102"/>
  <c r="AB79" i="102"/>
  <c r="AB77" i="102"/>
  <c r="AB75" i="102"/>
  <c r="AB73" i="102"/>
  <c r="AB71" i="102"/>
  <c r="AB52" i="102"/>
  <c r="AB51" i="102"/>
  <c r="AB50" i="102"/>
  <c r="AB41" i="102"/>
  <c r="AB39" i="102"/>
  <c r="AB37" i="102"/>
  <c r="AB35" i="102"/>
  <c r="AB33" i="102"/>
  <c r="J83" i="105" l="1"/>
  <c r="J84" i="105"/>
  <c r="J85" i="105"/>
  <c r="J86" i="105"/>
  <c r="J88" i="105"/>
  <c r="J89" i="105"/>
  <c r="J90" i="105"/>
  <c r="J91" i="105"/>
  <c r="J92" i="105"/>
  <c r="J94" i="105"/>
  <c r="J95" i="105"/>
  <c r="J96" i="105"/>
  <c r="J97" i="105"/>
  <c r="J98" i="105"/>
  <c r="J99" i="105"/>
  <c r="J87" i="105" l="1"/>
  <c r="J93" i="105"/>
  <c r="J66" i="105"/>
  <c r="J67" i="105"/>
  <c r="J68" i="105"/>
  <c r="J69" i="105"/>
  <c r="J70" i="105"/>
  <c r="J71" i="105" l="1"/>
  <c r="M8" i="91"/>
  <c r="I16" i="105"/>
  <c r="J16" i="105"/>
  <c r="K16" i="105"/>
  <c r="N10" i="91"/>
  <c r="M10" i="91"/>
  <c r="M10" i="85"/>
  <c r="M9" i="82"/>
  <c r="J8" i="105"/>
  <c r="BA27" i="105"/>
  <c r="BA26" i="105"/>
  <c r="K8" i="105" s="1"/>
  <c r="L18" i="85" l="1"/>
  <c r="L16" i="82"/>
  <c r="J40" i="105"/>
  <c r="J41" i="105"/>
  <c r="J42" i="105"/>
  <c r="J43" i="105"/>
  <c r="J44" i="105"/>
  <c r="L11" i="92"/>
  <c r="J21" i="105" s="1"/>
  <c r="K11" i="92"/>
  <c r="L10" i="92"/>
  <c r="L8" i="92"/>
  <c r="L11" i="85"/>
  <c r="L10" i="85"/>
  <c r="L6" i="85"/>
  <c r="L8" i="85"/>
  <c r="J20" i="105"/>
  <c r="M30" i="92"/>
  <c r="M29" i="92"/>
  <c r="M28" i="92"/>
  <c r="M27" i="92"/>
  <c r="M11" i="92"/>
  <c r="M10" i="92"/>
  <c r="M8" i="92"/>
  <c r="M6" i="92"/>
  <c r="M5" i="92"/>
  <c r="L5" i="92"/>
  <c r="L6" i="92"/>
  <c r="M30" i="91"/>
  <c r="M29" i="91"/>
  <c r="M28" i="91"/>
  <c r="M27" i="91"/>
  <c r="M11" i="91"/>
  <c r="M7" i="91"/>
  <c r="M6" i="91"/>
  <c r="M5" i="91"/>
  <c r="L10" i="91"/>
  <c r="L11" i="91"/>
  <c r="L8" i="91"/>
  <c r="L5" i="91"/>
  <c r="L6" i="91"/>
  <c r="M10" i="90"/>
  <c r="M9" i="90"/>
  <c r="M8" i="90"/>
  <c r="M6" i="90"/>
  <c r="M5" i="90"/>
  <c r="L9" i="90"/>
  <c r="L10" i="90"/>
  <c r="L8" i="90"/>
  <c r="L5" i="90"/>
  <c r="L6" i="90"/>
  <c r="M26" i="85"/>
  <c r="M25" i="85"/>
  <c r="M24" i="85"/>
  <c r="M23" i="85"/>
  <c r="M11" i="85"/>
  <c r="M8" i="85"/>
  <c r="N7" i="85"/>
  <c r="M6" i="85"/>
  <c r="M5" i="85"/>
  <c r="M25" i="82"/>
  <c r="M24" i="82"/>
  <c r="M23" i="82"/>
  <c r="M22" i="82"/>
  <c r="M10" i="82"/>
  <c r="M8" i="82"/>
  <c r="M6" i="82"/>
  <c r="N6" i="82" s="1"/>
  <c r="L10" i="82"/>
  <c r="I122" i="8"/>
  <c r="J122" i="8"/>
  <c r="K122" i="8"/>
  <c r="L122" i="8"/>
  <c r="M122" i="8"/>
  <c r="N122" i="8"/>
  <c r="O122" i="8"/>
  <c r="P122" i="8"/>
  <c r="Q122" i="8"/>
  <c r="F122" i="8"/>
  <c r="N6" i="91"/>
  <c r="N7" i="91"/>
  <c r="L8" i="82"/>
  <c r="N7" i="82"/>
  <c r="L6" i="82"/>
  <c r="L5" i="82"/>
  <c r="L5" i="85"/>
  <c r="D10" i="8"/>
  <c r="D9" i="8"/>
  <c r="D11" i="8"/>
  <c r="D12" i="8"/>
  <c r="D8" i="8"/>
  <c r="D19" i="8"/>
  <c r="D7" i="8"/>
  <c r="D92" i="8" s="1"/>
  <c r="C7" i="8"/>
  <c r="AN27" i="90" l="1"/>
  <c r="AN29" i="90"/>
  <c r="AN34" i="90"/>
  <c r="AB7" i="91"/>
  <c r="AN31" i="92"/>
  <c r="AN39" i="92"/>
  <c r="AN37" i="92"/>
  <c r="D25" i="8"/>
  <c r="D13" i="8"/>
  <c r="X12" i="120"/>
  <c r="BX233" i="105"/>
  <c r="BW233" i="105"/>
  <c r="BV233" i="105"/>
  <c r="BU233" i="105"/>
  <c r="BT233" i="105"/>
  <c r="BS233" i="105"/>
  <c r="BR233" i="105"/>
  <c r="BQ233" i="105"/>
  <c r="BP233" i="105"/>
  <c r="BO233" i="105"/>
  <c r="BN233" i="105"/>
  <c r="BM233" i="105"/>
  <c r="BL233" i="105"/>
  <c r="BX224" i="105"/>
  <c r="BX223" i="105"/>
  <c r="BX222" i="105"/>
  <c r="BX221" i="105"/>
  <c r="BX220" i="105"/>
  <c r="BW217" i="105"/>
  <c r="BV217" i="105"/>
  <c r="BU217" i="105"/>
  <c r="BT217" i="105"/>
  <c r="BS217" i="105"/>
  <c r="BR217" i="105"/>
  <c r="BQ217" i="105"/>
  <c r="BP217" i="105"/>
  <c r="BO217" i="105"/>
  <c r="BN217" i="105"/>
  <c r="BM217" i="105"/>
  <c r="BL217" i="105"/>
  <c r="BX216" i="105"/>
  <c r="BX215" i="105"/>
  <c r="BX214" i="105"/>
  <c r="BX213" i="105"/>
  <c r="BX212" i="105"/>
  <c r="BG206" i="105"/>
  <c r="BG205" i="105"/>
  <c r="BJ203" i="105"/>
  <c r="BJ202" i="105"/>
  <c r="Q14" i="120"/>
  <c r="C20" i="120"/>
  <c r="H5" i="120"/>
  <c r="H14" i="120"/>
  <c r="BX217" i="105" l="1"/>
  <c r="AQ48" i="92"/>
  <c r="AE13" i="119" l="1"/>
  <c r="F112" i="8" l="1"/>
  <c r="AN25" i="90" l="1"/>
  <c r="AN20" i="90"/>
  <c r="AN22" i="85" l="1"/>
  <c r="AN9" i="85"/>
  <c r="AN19" i="82" l="1"/>
  <c r="D34" i="93" l="1"/>
  <c r="D36" i="93" s="1"/>
  <c r="D35" i="93"/>
  <c r="C16" i="95" l="1"/>
  <c r="C15" i="95"/>
  <c r="C14" i="95"/>
  <c r="AB122" i="102"/>
  <c r="AB121" i="102"/>
  <c r="AB120" i="102"/>
  <c r="AB113" i="102"/>
  <c r="AB112" i="102"/>
  <c r="AB111" i="102"/>
  <c r="AB110" i="102"/>
  <c r="AB109" i="102"/>
  <c r="AO112" i="102"/>
  <c r="AA112" i="102"/>
  <c r="N112" i="102"/>
  <c r="AO124" i="102"/>
  <c r="AP124" i="102" s="1"/>
  <c r="AA124" i="102"/>
  <c r="N124" i="102"/>
  <c r="AO147" i="102"/>
  <c r="AP147" i="102" s="1"/>
  <c r="AA147" i="102"/>
  <c r="AC138" i="102"/>
  <c r="AD138" i="102"/>
  <c r="AE138" i="102"/>
  <c r="AF138" i="102"/>
  <c r="AG138" i="102"/>
  <c r="AH138" i="102"/>
  <c r="AI138" i="102"/>
  <c r="AJ138" i="102"/>
  <c r="AK138" i="102"/>
  <c r="AL138" i="102"/>
  <c r="AM138" i="102"/>
  <c r="AN138" i="102"/>
  <c r="P138" i="102"/>
  <c r="Q138" i="102"/>
  <c r="O39" i="95" s="1"/>
  <c r="R138" i="102"/>
  <c r="S138" i="102"/>
  <c r="T138" i="102"/>
  <c r="U138" i="102"/>
  <c r="V138" i="102"/>
  <c r="W138" i="102"/>
  <c r="X138" i="102"/>
  <c r="Y138" i="102"/>
  <c r="Z138" i="102"/>
  <c r="AB138" i="102"/>
  <c r="AO137" i="102"/>
  <c r="AP137" i="102" s="1"/>
  <c r="AA137" i="102"/>
  <c r="O138" i="102"/>
  <c r="M138" i="102"/>
  <c r="N138" i="102"/>
  <c r="N137" i="102"/>
  <c r="AP112" i="102" l="1"/>
  <c r="D235" i="135" l="1"/>
  <c r="C235" i="135"/>
  <c r="AZ210" i="135"/>
  <c r="BA210" i="135"/>
  <c r="AZ209" i="135"/>
  <c r="BA209" i="135"/>
  <c r="AZ189" i="135"/>
  <c r="AZ190" i="135" s="1"/>
  <c r="BA189" i="135"/>
  <c r="BA190" i="135" s="1"/>
  <c r="BA215" i="135" s="1"/>
  <c r="AZ169" i="135"/>
  <c r="AZ170" i="135" s="1"/>
  <c r="BA169" i="135"/>
  <c r="BA170" i="135" s="1"/>
  <c r="BZ151" i="135"/>
  <c r="CA151" i="135"/>
  <c r="AZ150" i="135"/>
  <c r="AZ151" i="135" s="1"/>
  <c r="BA150" i="135"/>
  <c r="BA151" i="135" s="1"/>
  <c r="AZ131" i="135"/>
  <c r="BA131" i="135"/>
  <c r="AM136" i="135"/>
  <c r="AL137" i="135"/>
  <c r="AM137" i="135"/>
  <c r="AZ137" i="135"/>
  <c r="BA137" i="135"/>
  <c r="AM116" i="135"/>
  <c r="H32" i="135"/>
  <c r="AC25" i="135"/>
  <c r="AC136" i="135" s="1"/>
  <c r="AD25" i="135"/>
  <c r="AD136" i="135" s="1"/>
  <c r="AE25" i="135"/>
  <c r="AE136" i="135" s="1"/>
  <c r="AF25" i="135"/>
  <c r="AF136" i="135" s="1"/>
  <c r="AG25" i="135"/>
  <c r="AG136" i="135" s="1"/>
  <c r="AH25" i="135"/>
  <c r="AH136" i="135" s="1"/>
  <c r="AI25" i="135"/>
  <c r="AI136" i="135" s="1"/>
  <c r="AJ25" i="135"/>
  <c r="AJ136" i="135" s="1"/>
  <c r="AK25" i="135"/>
  <c r="AK136" i="135" s="1"/>
  <c r="AL25" i="135"/>
  <c r="AL136" i="135" s="1"/>
  <c r="AP25" i="135"/>
  <c r="AP136" i="135" s="1"/>
  <c r="AQ25" i="135"/>
  <c r="AQ136" i="135" s="1"/>
  <c r="AR25" i="135"/>
  <c r="AR136" i="135" s="1"/>
  <c r="AS25" i="135"/>
  <c r="AS136" i="135" s="1"/>
  <c r="AT25" i="135"/>
  <c r="AT136" i="135" s="1"/>
  <c r="AU25" i="135"/>
  <c r="AU136" i="135" s="1"/>
  <c r="AV25" i="135"/>
  <c r="AV136" i="135" s="1"/>
  <c r="AW25" i="135"/>
  <c r="AW136" i="135" s="1"/>
  <c r="AX25" i="135"/>
  <c r="AX136" i="135" s="1"/>
  <c r="AY25" i="135"/>
  <c r="AY136" i="135" s="1"/>
  <c r="AZ25" i="135"/>
  <c r="AZ136" i="135" s="1"/>
  <c r="BA25" i="135"/>
  <c r="BA136" i="135" s="1"/>
  <c r="AC24" i="135"/>
  <c r="AC116" i="135" s="1"/>
  <c r="AD24" i="135"/>
  <c r="AD116" i="135" s="1"/>
  <c r="AE24" i="135"/>
  <c r="AE116" i="135" s="1"/>
  <c r="AF24" i="135"/>
  <c r="AF116" i="135" s="1"/>
  <c r="AG24" i="135"/>
  <c r="AG116" i="135" s="1"/>
  <c r="AH24" i="135"/>
  <c r="AH116" i="135" s="1"/>
  <c r="AI24" i="135"/>
  <c r="AI116" i="135" s="1"/>
  <c r="AJ24" i="135"/>
  <c r="AJ116" i="135" s="1"/>
  <c r="AK24" i="135"/>
  <c r="AK116" i="135" s="1"/>
  <c r="AL24" i="135"/>
  <c r="AL116" i="135" s="1"/>
  <c r="AP24" i="135"/>
  <c r="AP116" i="135" s="1"/>
  <c r="AQ24" i="135"/>
  <c r="AQ116" i="135" s="1"/>
  <c r="AR24" i="135"/>
  <c r="AR116" i="135" s="1"/>
  <c r="AS24" i="135"/>
  <c r="AS116" i="135" s="1"/>
  <c r="AT24" i="135"/>
  <c r="AT116" i="135" s="1"/>
  <c r="AU24" i="135"/>
  <c r="AU116" i="135" s="1"/>
  <c r="AV24" i="135"/>
  <c r="AV116" i="135" s="1"/>
  <c r="AW24" i="135"/>
  <c r="AW116" i="135" s="1"/>
  <c r="AX24" i="135"/>
  <c r="AX116" i="135" s="1"/>
  <c r="AY24" i="135"/>
  <c r="AY116" i="135" s="1"/>
  <c r="AZ24" i="135"/>
  <c r="AZ116" i="135" s="1"/>
  <c r="BA24" i="135"/>
  <c r="BA116" i="135" s="1"/>
  <c r="K67" i="105"/>
  <c r="L67" i="105"/>
  <c r="M67" i="105"/>
  <c r="N67" i="105"/>
  <c r="O67" i="105"/>
  <c r="P67" i="105"/>
  <c r="Q67" i="105"/>
  <c r="R67" i="105"/>
  <c r="S67" i="105"/>
  <c r="T67" i="105"/>
  <c r="U67" i="105"/>
  <c r="V67" i="105"/>
  <c r="W67" i="105"/>
  <c r="X67" i="105"/>
  <c r="Y67" i="105"/>
  <c r="I32" i="135"/>
  <c r="I137" i="135" s="1"/>
  <c r="K60" i="105"/>
  <c r="M60" i="105"/>
  <c r="N60" i="105"/>
  <c r="O60" i="105"/>
  <c r="P60" i="105"/>
  <c r="Q60" i="105"/>
  <c r="R60" i="105"/>
  <c r="S60" i="105"/>
  <c r="T60" i="105"/>
  <c r="U60" i="105"/>
  <c r="V60" i="105"/>
  <c r="W60" i="105"/>
  <c r="X60" i="105"/>
  <c r="Y60" i="105"/>
  <c r="K61" i="105"/>
  <c r="L61" i="105"/>
  <c r="M61" i="105"/>
  <c r="N61" i="105"/>
  <c r="O61" i="105"/>
  <c r="P61" i="105"/>
  <c r="Q61" i="105"/>
  <c r="R61" i="105"/>
  <c r="S61" i="105"/>
  <c r="T61" i="105"/>
  <c r="U61" i="105"/>
  <c r="V61" i="105"/>
  <c r="W61" i="105"/>
  <c r="X61" i="105"/>
  <c r="Y61" i="105"/>
  <c r="J61" i="105"/>
  <c r="I25" i="135" s="1"/>
  <c r="J60" i="105"/>
  <c r="I24" i="135" s="1"/>
  <c r="I62" i="105"/>
  <c r="J62" i="105"/>
  <c r="K62" i="105"/>
  <c r="L62" i="105"/>
  <c r="M62" i="105"/>
  <c r="N62" i="105"/>
  <c r="O62" i="105"/>
  <c r="P62" i="105"/>
  <c r="Q62" i="105"/>
  <c r="R62" i="105"/>
  <c r="S62" i="105"/>
  <c r="T62" i="105"/>
  <c r="U62" i="105"/>
  <c r="V62" i="105"/>
  <c r="W62" i="105"/>
  <c r="X62" i="105"/>
  <c r="BG62" i="135"/>
  <c r="BG63" i="135"/>
  <c r="BG61" i="135"/>
  <c r="BG57" i="135"/>
  <c r="BG58" i="135"/>
  <c r="BG59" i="135"/>
  <c r="BG56" i="135"/>
  <c r="BG55" i="135" s="1"/>
  <c r="BE60" i="135"/>
  <c r="BE55" i="135"/>
  <c r="AZ215" i="135" l="1"/>
  <c r="AZ214" i="135"/>
  <c r="BA214" i="135"/>
  <c r="BA216" i="135"/>
  <c r="AZ216" i="135"/>
  <c r="I136" i="135"/>
  <c r="I116" i="135"/>
  <c r="BG60" i="135"/>
  <c r="D27" i="93" l="1"/>
  <c r="E58" i="8"/>
  <c r="E53" i="8"/>
  <c r="BJ35" i="120"/>
  <c r="BE9" i="120"/>
  <c r="BE40" i="120"/>
  <c r="BG34" i="120"/>
  <c r="BG36" i="120" s="1"/>
  <c r="BH34" i="120"/>
  <c r="BH36" i="120" s="1"/>
  <c r="N20" i="91"/>
  <c r="N19" i="91"/>
  <c r="N18" i="91"/>
  <c r="N17" i="91"/>
  <c r="N16" i="91"/>
  <c r="N15" i="91"/>
  <c r="N14" i="91"/>
  <c r="N13" i="91"/>
  <c r="N12" i="91"/>
  <c r="M23" i="91"/>
  <c r="M23" i="92"/>
  <c r="BE31" i="120"/>
  <c r="BF31" i="120"/>
  <c r="BF29" i="120"/>
  <c r="Y149" i="135" l="1"/>
  <c r="BF14" i="105" l="1"/>
  <c r="BG14" i="105"/>
  <c r="BH14" i="105"/>
  <c r="BI14" i="105"/>
  <c r="L30" i="92"/>
  <c r="L29" i="92"/>
  <c r="L28" i="92"/>
  <c r="L27" i="92"/>
  <c r="L26" i="92"/>
  <c r="L25" i="92"/>
  <c r="M22" i="92"/>
  <c r="L30" i="91"/>
  <c r="L29" i="91"/>
  <c r="L28" i="91"/>
  <c r="L27" i="91"/>
  <c r="L26" i="91"/>
  <c r="L25" i="91"/>
  <c r="N22" i="91"/>
  <c r="M22" i="91"/>
  <c r="D10" i="93" l="1"/>
  <c r="N5" i="91"/>
  <c r="N5" i="92"/>
  <c r="E6" i="119" l="1"/>
  <c r="F6" i="119"/>
  <c r="D6" i="119"/>
  <c r="N44" i="91"/>
  <c r="L36" i="91"/>
  <c r="M36" i="91"/>
  <c r="N36" i="91"/>
  <c r="J36" i="91"/>
  <c r="N35" i="91"/>
  <c r="L34" i="91"/>
  <c r="M34" i="91"/>
  <c r="N34" i="91"/>
  <c r="J34" i="91"/>
  <c r="N33" i="91"/>
  <c r="N32" i="91"/>
  <c r="N31" i="91"/>
  <c r="AE7" i="119" l="1"/>
  <c r="AJ11" i="119"/>
  <c r="AE8" i="119"/>
  <c r="D41" i="93" s="1"/>
  <c r="AE19" i="119"/>
  <c r="D45" i="93" s="1"/>
  <c r="AE18" i="119"/>
  <c r="D44" i="93" s="1"/>
  <c r="D43" i="93"/>
  <c r="AL9" i="119"/>
  <c r="AE9" i="119"/>
  <c r="D42" i="93" s="1"/>
  <c r="AN36" i="91"/>
  <c r="AN34" i="91"/>
  <c r="U99" i="102"/>
  <c r="M97" i="102"/>
  <c r="C46" i="93"/>
  <c r="N21" i="82"/>
  <c r="N20" i="82"/>
  <c r="N19" i="82"/>
  <c r="N16" i="82"/>
  <c r="N15" i="82"/>
  <c r="L60" i="105" s="1"/>
  <c r="N14" i="82"/>
  <c r="N13" i="82"/>
  <c r="L52" i="105" s="1"/>
  <c r="N12" i="82"/>
  <c r="N11" i="82"/>
  <c r="BK7" i="120"/>
  <c r="BF13" i="120" s="1"/>
  <c r="D40" i="93" l="1"/>
  <c r="D46" i="93" s="1"/>
  <c r="N31" i="90"/>
  <c r="N37" i="90" l="1"/>
  <c r="N36" i="90"/>
  <c r="N35" i="90"/>
  <c r="N34" i="90"/>
  <c r="N42" i="90"/>
  <c r="N41" i="90"/>
  <c r="N40" i="90"/>
  <c r="N39" i="90"/>
  <c r="N40" i="85"/>
  <c r="AN38" i="90"/>
  <c r="Z62" i="91" l="1"/>
  <c r="Y62" i="91"/>
  <c r="X62" i="91"/>
  <c r="W62" i="91"/>
  <c r="V62" i="91"/>
  <c r="U62" i="91"/>
  <c r="T62" i="91"/>
  <c r="S62" i="91"/>
  <c r="R62" i="91"/>
  <c r="Q62" i="91"/>
  <c r="P62" i="91"/>
  <c r="O62" i="91"/>
  <c r="N62" i="91"/>
  <c r="AA61" i="91"/>
  <c r="AA60" i="91"/>
  <c r="AA62" i="91" l="1"/>
  <c r="AA63" i="91" s="1"/>
  <c r="Y63" i="91"/>
  <c r="W63" i="91"/>
  <c r="O63" i="91"/>
  <c r="R63" i="91"/>
  <c r="V63" i="91"/>
  <c r="S63" i="91"/>
  <c r="T63" i="91"/>
  <c r="Z63" i="91"/>
  <c r="U63" i="91"/>
  <c r="P63" i="91"/>
  <c r="X63" i="91"/>
  <c r="Q63" i="91"/>
  <c r="M90" i="102" l="1"/>
  <c r="M89" i="102"/>
  <c r="M88" i="102"/>
  <c r="M87" i="102"/>
  <c r="M86" i="102"/>
  <c r="M78" i="102"/>
  <c r="M52" i="102"/>
  <c r="M51" i="102"/>
  <c r="M50" i="102"/>
  <c r="M49" i="102"/>
  <c r="M48" i="102"/>
  <c r="M40" i="102"/>
  <c r="X70" i="90" l="1"/>
  <c r="Y70" i="90"/>
  <c r="Z70" i="90"/>
  <c r="N71" i="90"/>
  <c r="Z69" i="90"/>
  <c r="Y69" i="90"/>
  <c r="X69" i="90"/>
  <c r="W69" i="90"/>
  <c r="W70" i="90" s="1"/>
  <c r="V69" i="90"/>
  <c r="V70" i="90" s="1"/>
  <c r="U69" i="90"/>
  <c r="U70" i="90" s="1"/>
  <c r="T69" i="90"/>
  <c r="T70" i="90" s="1"/>
  <c r="S69" i="90"/>
  <c r="S70" i="90" s="1"/>
  <c r="R69" i="90"/>
  <c r="R70" i="90" s="1"/>
  <c r="Q69" i="90"/>
  <c r="Q70" i="90" s="1"/>
  <c r="P69" i="90"/>
  <c r="P70" i="90" s="1"/>
  <c r="O69" i="90"/>
  <c r="O70" i="90" s="1"/>
  <c r="N69" i="90"/>
  <c r="U51" i="85"/>
  <c r="V51" i="85"/>
  <c r="W51" i="85"/>
  <c r="Y51" i="85"/>
  <c r="Z51" i="85"/>
  <c r="O51" i="85"/>
  <c r="N50" i="85"/>
  <c r="N52" i="85"/>
  <c r="Z50" i="85"/>
  <c r="Y50" i="85"/>
  <c r="X50" i="85"/>
  <c r="X51" i="85" s="1"/>
  <c r="W50" i="85"/>
  <c r="V50" i="85"/>
  <c r="U50" i="85"/>
  <c r="T50" i="85"/>
  <c r="T51" i="85" s="1"/>
  <c r="S50" i="85"/>
  <c r="S51" i="85" s="1"/>
  <c r="R50" i="85"/>
  <c r="R51" i="85" s="1"/>
  <c r="Q50" i="85"/>
  <c r="Q51" i="85" s="1"/>
  <c r="P50" i="85"/>
  <c r="P51" i="85" s="1"/>
  <c r="O50" i="85"/>
  <c r="N51" i="82"/>
  <c r="Q52" i="82"/>
  <c r="R52" i="82"/>
  <c r="N53" i="82"/>
  <c r="O51" i="82"/>
  <c r="Z51" i="82"/>
  <c r="Y51" i="82"/>
  <c r="X51" i="82"/>
  <c r="W51" i="82"/>
  <c r="V51" i="82"/>
  <c r="U51" i="82"/>
  <c r="T51" i="82"/>
  <c r="S51" i="82"/>
  <c r="R51" i="82"/>
  <c r="Q51" i="82"/>
  <c r="P51" i="82"/>
  <c r="AA50" i="82"/>
  <c r="AA49" i="82"/>
  <c r="N29" i="92"/>
  <c r="N27" i="92"/>
  <c r="N30" i="91"/>
  <c r="N29" i="91"/>
  <c r="N28" i="91"/>
  <c r="N27" i="91"/>
  <c r="M23" i="90"/>
  <c r="N23" i="90" s="1"/>
  <c r="M21" i="90"/>
  <c r="N21" i="90" s="1"/>
  <c r="N24" i="82"/>
  <c r="N22" i="82"/>
  <c r="E59" i="8"/>
  <c r="M80" i="102" s="1"/>
  <c r="N30" i="92" s="1"/>
  <c r="E57" i="8"/>
  <c r="M76" i="102" s="1"/>
  <c r="M24" i="90" s="1"/>
  <c r="N24" i="90" s="1"/>
  <c r="E56" i="8"/>
  <c r="M74" i="102" s="1"/>
  <c r="E55" i="8"/>
  <c r="M72" i="102" s="1"/>
  <c r="N25" i="82" s="1"/>
  <c r="E54" i="8"/>
  <c r="M42" i="102" s="1"/>
  <c r="N28" i="92" s="1"/>
  <c r="E52" i="8"/>
  <c r="M38" i="102" s="1"/>
  <c r="M22" i="90" s="1"/>
  <c r="N22" i="90" s="1"/>
  <c r="E51" i="8"/>
  <c r="M36" i="102" s="1"/>
  <c r="E50" i="8"/>
  <c r="M34" i="102" s="1"/>
  <c r="N23" i="82" s="1"/>
  <c r="L86" i="102"/>
  <c r="L87" i="102"/>
  <c r="L88" i="102"/>
  <c r="L89" i="102"/>
  <c r="L90" i="102"/>
  <c r="L71" i="102"/>
  <c r="L72" i="102"/>
  <c r="L73" i="102"/>
  <c r="L74" i="102"/>
  <c r="L75" i="102"/>
  <c r="L76" i="102"/>
  <c r="L77" i="102"/>
  <c r="L78" i="102"/>
  <c r="L79" i="102"/>
  <c r="L80" i="102"/>
  <c r="L48" i="102"/>
  <c r="L49" i="102"/>
  <c r="L50" i="102"/>
  <c r="L51" i="102"/>
  <c r="L52" i="102"/>
  <c r="L33" i="102"/>
  <c r="L34" i="102"/>
  <c r="L35" i="102"/>
  <c r="L36" i="102"/>
  <c r="L37" i="102"/>
  <c r="L38" i="102"/>
  <c r="L39" i="102"/>
  <c r="L40" i="102"/>
  <c r="L41" i="102"/>
  <c r="L42" i="102"/>
  <c r="S52" i="82" l="1"/>
  <c r="Z52" i="82"/>
  <c r="X52" i="82"/>
  <c r="W52" i="82"/>
  <c r="P52" i="82"/>
  <c r="V52" i="82"/>
  <c r="Y52" i="82"/>
  <c r="U52" i="82"/>
  <c r="T52" i="82"/>
  <c r="O52" i="82"/>
  <c r="AA69" i="90"/>
  <c r="AA70" i="90" s="1"/>
  <c r="L11" i="102"/>
  <c r="L10" i="102"/>
  <c r="L22" i="102"/>
  <c r="L9" i="102"/>
  <c r="L21" i="102"/>
  <c r="L8" i="102"/>
  <c r="L7" i="102"/>
  <c r="L14" i="102"/>
  <c r="L23" i="102"/>
  <c r="L6" i="102"/>
  <c r="L43" i="102"/>
  <c r="L25" i="102"/>
  <c r="L12" i="102"/>
  <c r="L81" i="102"/>
  <c r="L13" i="102"/>
  <c r="L15" i="102"/>
  <c r="L24" i="102"/>
  <c r="AA50" i="85"/>
  <c r="AA51" i="82"/>
  <c r="L91" i="102"/>
  <c r="L53" i="102"/>
  <c r="L26" i="102" l="1"/>
  <c r="L16" i="102"/>
  <c r="E158" i="8"/>
  <c r="AN6" i="92" s="1"/>
  <c r="E32" i="8"/>
  <c r="N39" i="85"/>
  <c r="N38" i="85"/>
  <c r="N37" i="85"/>
  <c r="N36" i="85"/>
  <c r="N35" i="85"/>
  <c r="N34" i="85"/>
  <c r="N33" i="85"/>
  <c r="N32" i="85"/>
  <c r="N31" i="85"/>
  <c r="N30" i="85"/>
  <c r="N29" i="85"/>
  <c r="N28" i="85"/>
  <c r="N27" i="85"/>
  <c r="M20" i="85"/>
  <c r="AN20" i="85" s="1"/>
  <c r="AL41" i="105" s="1"/>
  <c r="N18" i="85"/>
  <c r="M18" i="85"/>
  <c r="N11" i="85"/>
  <c r="N10" i="85"/>
  <c r="N9" i="85"/>
  <c r="N8" i="85"/>
  <c r="N6" i="85"/>
  <c r="N9" i="92" l="1"/>
  <c r="I95" i="135"/>
  <c r="J76" i="105" l="1"/>
  <c r="J75" i="105"/>
  <c r="J74" i="105"/>
  <c r="AP74" i="105" s="1"/>
  <c r="J73" i="105"/>
  <c r="J72" i="105"/>
  <c r="AP72" i="105" s="1"/>
  <c r="J64" i="105"/>
  <c r="J63" i="105"/>
  <c r="J56" i="105"/>
  <c r="J55" i="105"/>
  <c r="J54" i="105"/>
  <c r="J53" i="105"/>
  <c r="J52" i="105"/>
  <c r="J50" i="105"/>
  <c r="J9" i="105" s="1"/>
  <c r="J49" i="105"/>
  <c r="J48" i="105"/>
  <c r="J45" i="105" s="1"/>
  <c r="J47" i="105"/>
  <c r="J46" i="105"/>
  <c r="J6" i="105" s="1"/>
  <c r="J30" i="105"/>
  <c r="J31" i="105"/>
  <c r="J32" i="105"/>
  <c r="J33" i="105"/>
  <c r="J34" i="105"/>
  <c r="J24" i="105"/>
  <c r="J25" i="105"/>
  <c r="J26" i="105"/>
  <c r="J27" i="105"/>
  <c r="J28" i="105"/>
  <c r="J17" i="105"/>
  <c r="J18" i="105"/>
  <c r="J19" i="105"/>
  <c r="AW83" i="105" s="1"/>
  <c r="AW86" i="105" s="1"/>
  <c r="BA83" i="105" s="1"/>
  <c r="I5" i="135"/>
  <c r="I6" i="135"/>
  <c r="G16" i="105"/>
  <c r="G17" i="105"/>
  <c r="J65" i="105" l="1"/>
  <c r="H18" i="120"/>
  <c r="J51" i="105"/>
  <c r="I13" i="135"/>
  <c r="J35" i="105"/>
  <c r="J29" i="105"/>
  <c r="I171" i="135"/>
  <c r="J22" i="105"/>
  <c r="AP17" i="105" s="1"/>
  <c r="J58" i="105"/>
  <c r="I191" i="135"/>
  <c r="J77" i="105"/>
  <c r="H16" i="105"/>
  <c r="J78" i="105" l="1"/>
  <c r="J59" i="105"/>
  <c r="J79" i="105" s="1"/>
  <c r="C92" i="8"/>
  <c r="J11" i="105"/>
  <c r="J5" i="105" s="1"/>
  <c r="J12" i="105"/>
  <c r="J13" i="105"/>
  <c r="J14" i="105"/>
  <c r="J15" i="105"/>
  <c r="J10" i="105"/>
  <c r="J7" i="105"/>
  <c r="AD26" i="92" l="1"/>
  <c r="AE26" i="92"/>
  <c r="AF26" i="92"/>
  <c r="AG26" i="92"/>
  <c r="AH26" i="92"/>
  <c r="AI26" i="92"/>
  <c r="AJ26" i="92"/>
  <c r="AK26" i="92"/>
  <c r="AL26" i="92"/>
  <c r="AM26" i="92"/>
  <c r="AC26" i="92"/>
  <c r="AB26" i="92"/>
  <c r="AD14" i="92"/>
  <c r="AO14" i="92" s="1"/>
  <c r="AE14" i="92"/>
  <c r="AF14" i="92"/>
  <c r="AG14" i="92"/>
  <c r="AH14" i="92"/>
  <c r="AI14" i="92"/>
  <c r="AJ14" i="92"/>
  <c r="AK14" i="92"/>
  <c r="AL14" i="92"/>
  <c r="AM14" i="92"/>
  <c r="AC14" i="92"/>
  <c r="AB14" i="92"/>
  <c r="AD9" i="92"/>
  <c r="AE9" i="92"/>
  <c r="AF9" i="92"/>
  <c r="AG9" i="92"/>
  <c r="AH9" i="92"/>
  <c r="AI9" i="92"/>
  <c r="AJ9" i="92"/>
  <c r="AK9" i="92"/>
  <c r="AL9" i="92"/>
  <c r="AM9" i="92"/>
  <c r="AC9" i="92"/>
  <c r="AB9" i="92"/>
  <c r="AC26" i="91"/>
  <c r="AD26" i="91"/>
  <c r="AE26" i="91"/>
  <c r="AF26" i="91"/>
  <c r="AG26" i="91"/>
  <c r="AH26" i="91"/>
  <c r="AI26" i="91"/>
  <c r="AJ26" i="91"/>
  <c r="AK26" i="91"/>
  <c r="AL26" i="91"/>
  <c r="AM26" i="91"/>
  <c r="AB26" i="91"/>
  <c r="AC9" i="91"/>
  <c r="AD9" i="91"/>
  <c r="AE9" i="91"/>
  <c r="AF9" i="91"/>
  <c r="AG9" i="91"/>
  <c r="AH9" i="91"/>
  <c r="AI9" i="91"/>
  <c r="AJ9" i="91"/>
  <c r="AK9" i="91"/>
  <c r="AL9" i="91"/>
  <c r="AM9" i="91"/>
  <c r="AB9" i="91"/>
  <c r="AC14" i="91"/>
  <c r="AD14" i="91"/>
  <c r="AO14" i="91" s="1"/>
  <c r="AE14" i="91"/>
  <c r="AF14" i="91"/>
  <c r="AG14" i="91"/>
  <c r="AH14" i="91"/>
  <c r="AI14" i="91"/>
  <c r="AJ14" i="91"/>
  <c r="AK14" i="91"/>
  <c r="AL14" i="91"/>
  <c r="AM14" i="91"/>
  <c r="AB14" i="91"/>
  <c r="G192" i="8"/>
  <c r="H192" i="8"/>
  <c r="I192" i="8"/>
  <c r="J192" i="8"/>
  <c r="K192" i="8"/>
  <c r="L192" i="8"/>
  <c r="M192" i="8"/>
  <c r="N192" i="8"/>
  <c r="O192" i="8"/>
  <c r="P192" i="8"/>
  <c r="Q192" i="8"/>
  <c r="G193" i="8"/>
  <c r="H193" i="8"/>
  <c r="I193" i="8"/>
  <c r="J193" i="8"/>
  <c r="K193" i="8"/>
  <c r="L193" i="8"/>
  <c r="M193" i="8"/>
  <c r="N193" i="8"/>
  <c r="O193" i="8"/>
  <c r="P193" i="8"/>
  <c r="Q193" i="8"/>
  <c r="G194" i="8"/>
  <c r="H194" i="8"/>
  <c r="I194" i="8"/>
  <c r="J194" i="8"/>
  <c r="K194" i="8"/>
  <c r="L194" i="8"/>
  <c r="M194" i="8"/>
  <c r="N194" i="8"/>
  <c r="O194" i="8"/>
  <c r="P194" i="8"/>
  <c r="Q194" i="8"/>
  <c r="G188" i="8"/>
  <c r="H188" i="8"/>
  <c r="I188" i="8"/>
  <c r="J188" i="8"/>
  <c r="K188" i="8"/>
  <c r="L188" i="8"/>
  <c r="M188" i="8"/>
  <c r="N188" i="8"/>
  <c r="O188" i="8"/>
  <c r="P188" i="8"/>
  <c r="Q188" i="8"/>
  <c r="G189" i="8"/>
  <c r="H189" i="8"/>
  <c r="I189" i="8"/>
  <c r="J189" i="8"/>
  <c r="K189" i="8"/>
  <c r="L189" i="8"/>
  <c r="M189" i="8"/>
  <c r="N189" i="8"/>
  <c r="O189" i="8"/>
  <c r="P189" i="8"/>
  <c r="Q189" i="8"/>
  <c r="G190" i="8"/>
  <c r="H190" i="8"/>
  <c r="I190" i="8"/>
  <c r="J190" i="8"/>
  <c r="K190" i="8"/>
  <c r="L190" i="8"/>
  <c r="M190" i="8"/>
  <c r="N190" i="8"/>
  <c r="O190" i="8"/>
  <c r="P190" i="8"/>
  <c r="Q190" i="8"/>
  <c r="F194" i="8"/>
  <c r="F193" i="8"/>
  <c r="F192" i="8"/>
  <c r="F190" i="8"/>
  <c r="F189" i="8"/>
  <c r="F188" i="8"/>
  <c r="F134" i="8"/>
  <c r="G38" i="8"/>
  <c r="H38" i="8"/>
  <c r="I38" i="8"/>
  <c r="J38" i="8"/>
  <c r="K38" i="8"/>
  <c r="L38" i="8"/>
  <c r="M38" i="8"/>
  <c r="N38" i="8"/>
  <c r="O38" i="8"/>
  <c r="P38" i="8"/>
  <c r="Q38" i="8"/>
  <c r="G39" i="8"/>
  <c r="H39" i="8"/>
  <c r="I39" i="8"/>
  <c r="J39" i="8"/>
  <c r="K39" i="8"/>
  <c r="L39" i="8"/>
  <c r="M39" i="8"/>
  <c r="N39" i="8"/>
  <c r="O39" i="8"/>
  <c r="P39" i="8"/>
  <c r="Q39" i="8"/>
  <c r="F39" i="8"/>
  <c r="F38" i="8"/>
  <c r="AL36" i="90"/>
  <c r="AM36" i="90"/>
  <c r="AC37" i="90"/>
  <c r="AD37" i="90"/>
  <c r="AE37" i="90"/>
  <c r="AF37" i="90"/>
  <c r="AG37" i="90"/>
  <c r="AH37" i="90"/>
  <c r="AI37" i="90"/>
  <c r="AJ37" i="90"/>
  <c r="AK37" i="90"/>
  <c r="AL37" i="90"/>
  <c r="AM37" i="90"/>
  <c r="AC40" i="90"/>
  <c r="AD40" i="90"/>
  <c r="AE40" i="90"/>
  <c r="AF40" i="90"/>
  <c r="AG40" i="90"/>
  <c r="AH40" i="90"/>
  <c r="AI40" i="90"/>
  <c r="AJ40" i="90"/>
  <c r="AK40" i="90"/>
  <c r="AL40" i="90"/>
  <c r="AM40" i="90"/>
  <c r="AC41" i="90"/>
  <c r="AD41" i="90"/>
  <c r="AE41" i="90"/>
  <c r="AF41" i="90"/>
  <c r="AG41" i="90"/>
  <c r="AH41" i="90"/>
  <c r="AI41" i="90"/>
  <c r="AJ41" i="90"/>
  <c r="AK41" i="90"/>
  <c r="AL41" i="90"/>
  <c r="AM41" i="90"/>
  <c r="AC42" i="90"/>
  <c r="AD42" i="90"/>
  <c r="AE42" i="90"/>
  <c r="AF42" i="90"/>
  <c r="AG42" i="90"/>
  <c r="AH42" i="90"/>
  <c r="AI42" i="90"/>
  <c r="AJ42" i="90"/>
  <c r="AK42" i="90"/>
  <c r="AL42" i="90"/>
  <c r="AM42" i="90"/>
  <c r="AB42" i="90"/>
  <c r="AB41" i="90"/>
  <c r="AB40" i="90"/>
  <c r="AB37" i="90"/>
  <c r="AC22" i="85"/>
  <c r="AD22" i="85"/>
  <c r="AE22" i="85"/>
  <c r="AF22" i="85"/>
  <c r="AG22" i="85"/>
  <c r="AH22" i="85"/>
  <c r="AI22" i="85"/>
  <c r="AJ22" i="85"/>
  <c r="AK22" i="85"/>
  <c r="AL22" i="85"/>
  <c r="AM22" i="85"/>
  <c r="AB22" i="85"/>
  <c r="AC9" i="85"/>
  <c r="AD9" i="85"/>
  <c r="AE9" i="85"/>
  <c r="AF9" i="85"/>
  <c r="AG9" i="85"/>
  <c r="AH9" i="85"/>
  <c r="AI9" i="85"/>
  <c r="AJ9" i="85"/>
  <c r="AK9" i="85"/>
  <c r="AL9" i="85"/>
  <c r="AM9" i="85"/>
  <c r="AB9" i="85"/>
  <c r="AD21" i="82"/>
  <c r="AO21" i="82" s="1"/>
  <c r="AE21" i="82"/>
  <c r="AF21" i="82"/>
  <c r="AG21" i="82"/>
  <c r="AH21" i="82"/>
  <c r="AI21" i="82"/>
  <c r="AJ21" i="82"/>
  <c r="AK21" i="82"/>
  <c r="AL21" i="82"/>
  <c r="AM21" i="82"/>
  <c r="AD19" i="82"/>
  <c r="AO19" i="82" s="1"/>
  <c r="AE19" i="82"/>
  <c r="AF19" i="82"/>
  <c r="AG19" i="82"/>
  <c r="AH19" i="82"/>
  <c r="AI19" i="82"/>
  <c r="AJ19" i="82"/>
  <c r="AK19" i="82"/>
  <c r="AL19" i="82"/>
  <c r="AM19" i="82"/>
  <c r="I2" i="135" l="1"/>
  <c r="I3" i="135"/>
  <c r="I4" i="135"/>
  <c r="I9" i="135"/>
  <c r="I10" i="135"/>
  <c r="I11" i="135"/>
  <c r="I12" i="135"/>
  <c r="I14" i="135"/>
  <c r="I17" i="135"/>
  <c r="I18" i="135"/>
  <c r="I19" i="135"/>
  <c r="I20" i="135"/>
  <c r="I21" i="135"/>
  <c r="I26" i="135"/>
  <c r="I27" i="135"/>
  <c r="I28" i="135"/>
  <c r="I31" i="135"/>
  <c r="I33" i="135"/>
  <c r="I34" i="135"/>
  <c r="I35" i="135"/>
  <c r="I40" i="135"/>
  <c r="I41" i="135"/>
  <c r="I43" i="135"/>
  <c r="I44" i="135"/>
  <c r="I46" i="135"/>
  <c r="I120" i="135" s="1"/>
  <c r="I47" i="135"/>
  <c r="I121" i="135" s="1"/>
  <c r="I48" i="135"/>
  <c r="I140" i="135" s="1"/>
  <c r="I49" i="135"/>
  <c r="I50" i="135"/>
  <c r="I51" i="135"/>
  <c r="I159" i="135" s="1"/>
  <c r="I52" i="135"/>
  <c r="I178" i="135" s="1"/>
  <c r="I53" i="135"/>
  <c r="I179" i="135" s="1"/>
  <c r="I54" i="135"/>
  <c r="I198" i="135" s="1"/>
  <c r="I55" i="135"/>
  <c r="I199" i="135" s="1"/>
  <c r="I72" i="135"/>
  <c r="I73" i="135"/>
  <c r="I74" i="135"/>
  <c r="I163" i="135" s="1"/>
  <c r="I75" i="135"/>
  <c r="I76" i="135"/>
  <c r="I78" i="135"/>
  <c r="I126" i="135" s="1"/>
  <c r="I79" i="135"/>
  <c r="I164" i="135" s="1"/>
  <c r="I80" i="135"/>
  <c r="I184" i="135" s="1"/>
  <c r="I81" i="135"/>
  <c r="I204" i="135" s="1"/>
  <c r="I83" i="135"/>
  <c r="I127" i="135" s="1"/>
  <c r="I84" i="135"/>
  <c r="I146" i="135" s="1"/>
  <c r="I85" i="135"/>
  <c r="I165" i="135" s="1"/>
  <c r="I86" i="135"/>
  <c r="I185" i="135" s="1"/>
  <c r="I87" i="135"/>
  <c r="I205" i="135" s="1"/>
  <c r="I89" i="135"/>
  <c r="I128" i="135" s="1"/>
  <c r="I90" i="135"/>
  <c r="I147" i="135" s="1"/>
  <c r="I91" i="135"/>
  <c r="I166" i="135" s="1"/>
  <c r="I92" i="135"/>
  <c r="I167" i="135" s="1"/>
  <c r="I93" i="135"/>
  <c r="I186" i="135" s="1"/>
  <c r="I94" i="135"/>
  <c r="I206" i="135" s="1"/>
  <c r="I96" i="135"/>
  <c r="I97" i="135"/>
  <c r="I148" i="135" s="1"/>
  <c r="I98" i="135"/>
  <c r="I168" i="135" s="1"/>
  <c r="I99" i="135"/>
  <c r="I100" i="135"/>
  <c r="I107" i="135"/>
  <c r="M36" i="82"/>
  <c r="AN38" i="85"/>
  <c r="AN37" i="85"/>
  <c r="AN33" i="85"/>
  <c r="AN29" i="85"/>
  <c r="AN42" i="90"/>
  <c r="AN41" i="90"/>
  <c r="AN39" i="90"/>
  <c r="AN37" i="90"/>
  <c r="AN36" i="90"/>
  <c r="AN35" i="90"/>
  <c r="AN33" i="90"/>
  <c r="AN32" i="90"/>
  <c r="AN31" i="90"/>
  <c r="AN26" i="90"/>
  <c r="AN19" i="90"/>
  <c r="M15" i="90"/>
  <c r="E143" i="8"/>
  <c r="AN6" i="90" s="1"/>
  <c r="M16" i="90"/>
  <c r="N20" i="90"/>
  <c r="N19" i="90"/>
  <c r="N12" i="90"/>
  <c r="H26" i="120" s="1"/>
  <c r="N13" i="90"/>
  <c r="N14" i="90"/>
  <c r="N11" i="90"/>
  <c r="N10" i="90"/>
  <c r="N5" i="90"/>
  <c r="N20" i="85" s="1"/>
  <c r="BI34" i="120" l="1"/>
  <c r="M19" i="85"/>
  <c r="N15" i="90"/>
  <c r="I56" i="135"/>
  <c r="I58" i="135" s="1"/>
  <c r="I158" i="135"/>
  <c r="I57" i="135"/>
  <c r="I59" i="135" s="1"/>
  <c r="I141" i="135"/>
  <c r="I125" i="135"/>
  <c r="I45" i="135"/>
  <c r="I119" i="135"/>
  <c r="I113" i="135"/>
  <c r="I129" i="135"/>
  <c r="I117" i="135"/>
  <c r="I115" i="135"/>
  <c r="I112" i="135"/>
  <c r="I139" i="135"/>
  <c r="I135" i="135"/>
  <c r="I145" i="135"/>
  <c r="I133" i="135"/>
  <c r="I77" i="135"/>
  <c r="I154" i="135"/>
  <c r="I155" i="135"/>
  <c r="I156" i="135"/>
  <c r="I152" i="135"/>
  <c r="I7" i="135"/>
  <c r="I8" i="135" s="1"/>
  <c r="I177" i="135"/>
  <c r="I174" i="135"/>
  <c r="I187" i="135"/>
  <c r="I173" i="135"/>
  <c r="I175" i="135"/>
  <c r="I183" i="135"/>
  <c r="I82" i="135"/>
  <c r="I101" i="135"/>
  <c r="I172" i="135"/>
  <c r="I153" i="135"/>
  <c r="I193" i="135"/>
  <c r="I134" i="135"/>
  <c r="I195" i="135"/>
  <c r="I114" i="135"/>
  <c r="I203" i="135"/>
  <c r="I207" i="135"/>
  <c r="I88" i="135"/>
  <c r="I197" i="135"/>
  <c r="I194" i="135"/>
  <c r="I192" i="135"/>
  <c r="I29" i="135"/>
  <c r="I30" i="135" s="1"/>
  <c r="I15" i="135"/>
  <c r="I16" i="135" s="1"/>
  <c r="I22" i="135"/>
  <c r="I23" i="135" s="1"/>
  <c r="I36" i="135"/>
  <c r="I37" i="135" s="1"/>
  <c r="N16" i="90" l="1"/>
  <c r="I157" i="135"/>
  <c r="I118" i="135"/>
  <c r="I138" i="135"/>
  <c r="I176" i="135"/>
  <c r="I196" i="135"/>
  <c r="I38" i="135"/>
  <c r="I39" i="135"/>
  <c r="N22" i="85"/>
  <c r="N23" i="85"/>
  <c r="N24" i="85"/>
  <c r="N25" i="85"/>
  <c r="N26" i="85"/>
  <c r="N21" i="85"/>
  <c r="N14" i="85"/>
  <c r="N15" i="85"/>
  <c r="N16" i="85"/>
  <c r="N17" i="85"/>
  <c r="N13" i="85"/>
  <c r="N12" i="85"/>
  <c r="N19" i="85" s="1"/>
  <c r="N5" i="85"/>
  <c r="AN42" i="92" l="1"/>
  <c r="AN9" i="92"/>
  <c r="AN39" i="91"/>
  <c r="AN26" i="91"/>
  <c r="AN14" i="91"/>
  <c r="AN9" i="91"/>
  <c r="AN14" i="92"/>
  <c r="E39" i="8"/>
  <c r="E38" i="8"/>
  <c r="E150" i="8" l="1"/>
  <c r="E135" i="8"/>
  <c r="AN6" i="85" s="1"/>
  <c r="E69" i="8"/>
  <c r="E64" i="8"/>
  <c r="E35" i="8"/>
  <c r="E30" i="8" s="1"/>
  <c r="E34" i="8"/>
  <c r="E29" i="8" s="1"/>
  <c r="E157" i="8" s="1"/>
  <c r="E33" i="8"/>
  <c r="E28" i="8" s="1"/>
  <c r="E142" i="8" s="1"/>
  <c r="E27" i="8"/>
  <c r="E134" i="8" s="1"/>
  <c r="AN8" i="85" s="1"/>
  <c r="AN21" i="82"/>
  <c r="AN6" i="91" l="1"/>
  <c r="AN8" i="92"/>
  <c r="AN8" i="90"/>
  <c r="E149" i="8"/>
  <c r="E4" i="8"/>
  <c r="E140" i="8" s="1"/>
  <c r="AN9" i="90" s="1"/>
  <c r="AA7" i="95" l="1"/>
  <c r="AN45" i="90"/>
  <c r="AN8" i="91"/>
  <c r="E146" i="8"/>
  <c r="BB11" i="105"/>
  <c r="N44" i="92" l="1"/>
  <c r="N43" i="92"/>
  <c r="N26" i="92"/>
  <c r="AN26" i="92" s="1"/>
  <c r="N25" i="92"/>
  <c r="N22" i="92"/>
  <c r="N21" i="92"/>
  <c r="N20" i="92"/>
  <c r="N19" i="92"/>
  <c r="N18" i="92"/>
  <c r="N17" i="92"/>
  <c r="N16" i="92"/>
  <c r="N12" i="92"/>
  <c r="N13" i="92"/>
  <c r="N14" i="92"/>
  <c r="N15" i="92"/>
  <c r="AN23" i="92"/>
  <c r="BJ34" i="120" l="1"/>
  <c r="BG29" i="120" s="1"/>
  <c r="BJ36" i="120" l="1"/>
  <c r="N23" i="91"/>
  <c r="AN23" i="91"/>
  <c r="O30" i="91" l="1"/>
  <c r="P30" i="91"/>
  <c r="Q30" i="91"/>
  <c r="R30" i="91"/>
  <c r="S30" i="91"/>
  <c r="T30" i="91"/>
  <c r="U30" i="91"/>
  <c r="V30" i="91"/>
  <c r="W30" i="91"/>
  <c r="X30" i="91"/>
  <c r="O28" i="91"/>
  <c r="P28" i="91"/>
  <c r="Q28" i="91"/>
  <c r="R28" i="91"/>
  <c r="S28" i="91"/>
  <c r="T28" i="91"/>
  <c r="U28" i="91"/>
  <c r="V28" i="91"/>
  <c r="W28" i="91"/>
  <c r="X28" i="91"/>
  <c r="P27" i="91"/>
  <c r="Q27" i="91"/>
  <c r="R27" i="91"/>
  <c r="S27" i="91"/>
  <c r="T27" i="91"/>
  <c r="U27" i="91"/>
  <c r="V27" i="91"/>
  <c r="W27" i="91"/>
  <c r="X27" i="91"/>
  <c r="P29" i="91"/>
  <c r="Q29" i="91"/>
  <c r="R29" i="91"/>
  <c r="S29" i="91"/>
  <c r="T29" i="91"/>
  <c r="U29" i="91"/>
  <c r="V29" i="91"/>
  <c r="W29" i="91"/>
  <c r="X29" i="91"/>
  <c r="O29" i="91"/>
  <c r="O27" i="91"/>
  <c r="P23" i="85"/>
  <c r="Q23" i="85"/>
  <c r="R23" i="85"/>
  <c r="S23" i="85"/>
  <c r="T23" i="85"/>
  <c r="U23" i="85"/>
  <c r="V23" i="85"/>
  <c r="W23" i="85"/>
  <c r="X23" i="85"/>
  <c r="R22" i="91"/>
  <c r="P22" i="91"/>
  <c r="Q22" i="91"/>
  <c r="X22" i="91"/>
  <c r="O22" i="91"/>
  <c r="S22" i="91"/>
  <c r="T22" i="91"/>
  <c r="U22" i="91"/>
  <c r="V22" i="91"/>
  <c r="W22" i="91"/>
  <c r="Q79" i="137" l="1"/>
  <c r="R79" i="137"/>
  <c r="Q80" i="137"/>
  <c r="R80" i="137"/>
  <c r="Q75" i="137"/>
  <c r="R75" i="137"/>
  <c r="Q76" i="137"/>
  <c r="R76" i="137"/>
  <c r="K108" i="137" l="1"/>
  <c r="L108" i="137"/>
  <c r="M108" i="137"/>
  <c r="N108" i="137"/>
  <c r="O108" i="137"/>
  <c r="P108" i="137"/>
  <c r="Q108" i="137"/>
  <c r="S108" i="137"/>
  <c r="T108" i="137"/>
  <c r="R108" i="137"/>
  <c r="R43" i="137" l="1"/>
  <c r="Q43" i="137"/>
  <c r="AB149" i="135" l="1"/>
  <c r="AC149" i="135"/>
  <c r="AD149" i="135"/>
  <c r="AE149" i="135"/>
  <c r="AF149" i="135"/>
  <c r="AG149" i="135"/>
  <c r="AH149" i="135"/>
  <c r="AI149" i="135"/>
  <c r="AJ149" i="135"/>
  <c r="AK149" i="135"/>
  <c r="AY102" i="135"/>
  <c r="AY103" i="135"/>
  <c r="AY104" i="135"/>
  <c r="AY105" i="135"/>
  <c r="AY106" i="135"/>
  <c r="AL16" i="135"/>
  <c r="AM16" i="135"/>
  <c r="AL30" i="135"/>
  <c r="AM30" i="135"/>
  <c r="AL37" i="135"/>
  <c r="AM37" i="135"/>
  <c r="AL107" i="135"/>
  <c r="AM107" i="135"/>
  <c r="AK66" i="135"/>
  <c r="AK67" i="135"/>
  <c r="BE20" i="120" l="1"/>
  <c r="BF20" i="120"/>
  <c r="BG20" i="120" l="1"/>
  <c r="BG24" i="120"/>
  <c r="N43" i="93" l="1"/>
  <c r="N44" i="93"/>
  <c r="N45" i="93"/>
  <c r="N40" i="93"/>
  <c r="N46" i="93" s="1"/>
  <c r="N41" i="93"/>
  <c r="N42" i="93"/>
  <c r="BC247" i="105" l="1"/>
  <c r="R49" i="8" l="1"/>
  <c r="S49" i="8"/>
  <c r="R44" i="8"/>
  <c r="S44" i="8"/>
  <c r="R35" i="8"/>
  <c r="R30" i="8"/>
  <c r="S30" i="8"/>
  <c r="R48" i="8"/>
  <c r="S48" i="8"/>
  <c r="R43" i="8"/>
  <c r="S43" i="8"/>
  <c r="S189" i="8" s="1"/>
  <c r="R34" i="8"/>
  <c r="R29" i="8"/>
  <c r="S29" i="8"/>
  <c r="R37" i="8"/>
  <c r="R47" i="8"/>
  <c r="S47" i="8"/>
  <c r="R42" i="8"/>
  <c r="S42" i="8"/>
  <c r="S188" i="8" s="1"/>
  <c r="R33" i="8"/>
  <c r="R28" i="8"/>
  <c r="S28" i="8"/>
  <c r="R46" i="8"/>
  <c r="S46" i="8"/>
  <c r="R41" i="8"/>
  <c r="S41" i="8"/>
  <c r="R32" i="8"/>
  <c r="R27" i="8"/>
  <c r="S27" i="8"/>
  <c r="R45" i="8" l="1"/>
  <c r="S45" i="8"/>
  <c r="R40" i="8"/>
  <c r="S40" i="8"/>
  <c r="R31" i="8"/>
  <c r="R26" i="8"/>
  <c r="S26" i="8"/>
  <c r="R235" i="135" l="1"/>
  <c r="AL191" i="135" l="1"/>
  <c r="AM191" i="135"/>
  <c r="E191" i="135"/>
  <c r="AL193" i="135"/>
  <c r="AM193" i="135"/>
  <c r="AL194" i="135"/>
  <c r="AM194" i="135"/>
  <c r="AL195" i="135"/>
  <c r="AM195" i="135"/>
  <c r="AL197" i="135"/>
  <c r="AM197" i="135"/>
  <c r="AL199" i="135"/>
  <c r="AM199" i="135"/>
  <c r="G200" i="135"/>
  <c r="AL200" i="135"/>
  <c r="AM200" i="135"/>
  <c r="E201" i="135"/>
  <c r="F201" i="135"/>
  <c r="G201" i="135"/>
  <c r="AL201" i="135"/>
  <c r="AM201" i="135"/>
  <c r="AL203" i="135"/>
  <c r="AM203" i="135"/>
  <c r="AL204" i="135"/>
  <c r="AM204" i="135"/>
  <c r="AL205" i="135"/>
  <c r="AM205" i="135"/>
  <c r="CA209" i="135"/>
  <c r="BZ209" i="135"/>
  <c r="CA189" i="135"/>
  <c r="BZ189" i="135"/>
  <c r="CA169" i="135"/>
  <c r="BZ169" i="135"/>
  <c r="BZ132" i="135"/>
  <c r="CA132" i="135"/>
  <c r="AZ213" i="135" l="1"/>
  <c r="BA213" i="135"/>
  <c r="BF28" i="120"/>
  <c r="N68" i="138" l="1"/>
  <c r="N67" i="138"/>
  <c r="N65" i="138"/>
  <c r="N56" i="138"/>
  <c r="N55" i="138"/>
  <c r="N53" i="138"/>
  <c r="N44" i="138"/>
  <c r="N43" i="138"/>
  <c r="N45" i="138" s="1"/>
  <c r="N32" i="138"/>
  <c r="N31" i="138"/>
  <c r="N29" i="138"/>
  <c r="N20" i="138"/>
  <c r="N19" i="138"/>
  <c r="N69" i="138" l="1"/>
  <c r="N57" i="138"/>
  <c r="N33" i="138"/>
  <c r="N21" i="138"/>
  <c r="F220" i="135" l="1"/>
  <c r="F221" i="135"/>
  <c r="F222" i="135"/>
  <c r="F223" i="135"/>
  <c r="F224" i="135"/>
  <c r="F225" i="135"/>
  <c r="F226" i="135"/>
  <c r="F227" i="135"/>
  <c r="F228" i="135"/>
  <c r="F229" i="135"/>
  <c r="F230" i="135"/>
  <c r="F231" i="135"/>
  <c r="F219" i="135"/>
  <c r="T107" i="135" l="1"/>
  <c r="AX102" i="135" l="1"/>
  <c r="AX103" i="135"/>
  <c r="AX104" i="135"/>
  <c r="AX105" i="135"/>
  <c r="AX106" i="135"/>
  <c r="AJ66" i="135"/>
  <c r="AJ67" i="135"/>
  <c r="M40" i="93" l="1"/>
  <c r="M41" i="93"/>
  <c r="M42" i="93"/>
  <c r="M43" i="93"/>
  <c r="M44" i="93"/>
  <c r="M45" i="93"/>
  <c r="M46" i="93" l="1"/>
  <c r="O20" i="119"/>
  <c r="BG23" i="120" l="1"/>
  <c r="H5" i="105" l="1"/>
  <c r="D6" i="105"/>
  <c r="E6" i="105"/>
  <c r="F6" i="105"/>
  <c r="G6" i="105"/>
  <c r="D7" i="105"/>
  <c r="E7" i="105"/>
  <c r="F7" i="105"/>
  <c r="G7" i="105"/>
  <c r="D8" i="105"/>
  <c r="E8" i="105"/>
  <c r="F8" i="105"/>
  <c r="G8" i="105"/>
  <c r="I8" i="105"/>
  <c r="D11" i="105"/>
  <c r="D5" i="105" s="1"/>
  <c r="E11" i="105"/>
  <c r="E5" i="105" s="1"/>
  <c r="F11" i="105"/>
  <c r="F5" i="105" s="1"/>
  <c r="G11" i="105"/>
  <c r="G5" i="105" s="1"/>
  <c r="D12" i="105"/>
  <c r="E12" i="105"/>
  <c r="F12" i="105"/>
  <c r="G12" i="105"/>
  <c r="D13" i="105"/>
  <c r="E13" i="105"/>
  <c r="F13" i="105"/>
  <c r="G13" i="105"/>
  <c r="D14" i="105"/>
  <c r="E14" i="105"/>
  <c r="F14" i="105"/>
  <c r="G14" i="105"/>
  <c r="D15" i="105"/>
  <c r="E15" i="105"/>
  <c r="F15" i="105"/>
  <c r="G15" i="105"/>
  <c r="K15" i="105"/>
  <c r="F16" i="105"/>
  <c r="D17" i="105"/>
  <c r="E17" i="105"/>
  <c r="F17" i="105"/>
  <c r="H17" i="105"/>
  <c r="D18" i="105"/>
  <c r="E18" i="105"/>
  <c r="F18" i="105"/>
  <c r="G18" i="105"/>
  <c r="H18" i="105"/>
  <c r="D19" i="105"/>
  <c r="E19" i="105"/>
  <c r="F19" i="105"/>
  <c r="G19" i="105"/>
  <c r="H19" i="105"/>
  <c r="AU83" i="105" s="1"/>
  <c r="D20" i="105"/>
  <c r="E20" i="105"/>
  <c r="F20" i="105"/>
  <c r="G20" i="105"/>
  <c r="H20" i="105"/>
  <c r="D21" i="105"/>
  <c r="E21" i="105"/>
  <c r="F21" i="105"/>
  <c r="G21" i="105"/>
  <c r="H21" i="105"/>
  <c r="I21" i="105"/>
  <c r="K21" i="105"/>
  <c r="D24" i="105"/>
  <c r="E24" i="105"/>
  <c r="F24" i="105"/>
  <c r="G24" i="105"/>
  <c r="E25" i="105"/>
  <c r="F25" i="105"/>
  <c r="G25" i="105"/>
  <c r="E26" i="105"/>
  <c r="F26" i="105"/>
  <c r="G26" i="105"/>
  <c r="E27" i="105"/>
  <c r="F27" i="105"/>
  <c r="G27" i="105"/>
  <c r="E28" i="105"/>
  <c r="F28" i="105"/>
  <c r="K28" i="105"/>
  <c r="L28" i="105" s="1"/>
  <c r="H29" i="105"/>
  <c r="D30" i="105"/>
  <c r="E30" i="105"/>
  <c r="F30" i="105"/>
  <c r="G30" i="105"/>
  <c r="E31" i="105"/>
  <c r="F31" i="105"/>
  <c r="G31" i="105"/>
  <c r="E32" i="105"/>
  <c r="F32" i="105"/>
  <c r="G32" i="105"/>
  <c r="D33" i="105"/>
  <c r="E33" i="105"/>
  <c r="F33" i="105"/>
  <c r="G33" i="105"/>
  <c r="D34" i="105"/>
  <c r="E34" i="105"/>
  <c r="F34" i="105"/>
  <c r="G34" i="105"/>
  <c r="K34" i="105"/>
  <c r="L34" i="105" s="1"/>
  <c r="H35" i="105"/>
  <c r="M22" i="93"/>
  <c r="M27" i="93" s="1"/>
  <c r="L15" i="105" l="1"/>
  <c r="E103" i="8"/>
  <c r="G22" i="105"/>
  <c r="G23" i="105" s="1"/>
  <c r="E29" i="105"/>
  <c r="L21" i="105"/>
  <c r="AL21" i="105"/>
  <c r="F35" i="105"/>
  <c r="F29" i="105"/>
  <c r="E35" i="105"/>
  <c r="F22" i="105"/>
  <c r="F23" i="105" s="1"/>
  <c r="G35" i="105"/>
  <c r="H22" i="105"/>
  <c r="H23" i="105" s="1"/>
  <c r="R72" i="8" l="1"/>
  <c r="S72" i="8"/>
  <c r="R71" i="8"/>
  <c r="S71" i="8"/>
  <c r="R67" i="8"/>
  <c r="S67" i="8"/>
  <c r="R66" i="8"/>
  <c r="S66" i="8"/>
  <c r="R62" i="8"/>
  <c r="S62" i="8"/>
  <c r="O72" i="138" l="1"/>
  <c r="O71" i="138"/>
  <c r="O69" i="138"/>
  <c r="O66" i="138"/>
  <c r="O60" i="138"/>
  <c r="O59" i="138"/>
  <c r="O57" i="138"/>
  <c r="O54" i="138"/>
  <c r="O48" i="138"/>
  <c r="O47" i="138"/>
  <c r="O45" i="138"/>
  <c r="O42" i="138"/>
  <c r="O49" i="138" s="1"/>
  <c r="O36" i="138"/>
  <c r="O35" i="138"/>
  <c r="O33" i="138"/>
  <c r="O37" i="138" s="1"/>
  <c r="O30" i="138"/>
  <c r="O24" i="138"/>
  <c r="O23" i="138"/>
  <c r="O21" i="138"/>
  <c r="O18" i="138"/>
  <c r="O61" i="138" l="1"/>
  <c r="O25" i="138"/>
  <c r="O73" i="138"/>
  <c r="O80" i="137"/>
  <c r="P80" i="137"/>
  <c r="O76" i="137"/>
  <c r="P76" i="137"/>
  <c r="P43" i="137"/>
  <c r="O43" i="137"/>
  <c r="I29" i="138"/>
  <c r="I53" i="138"/>
  <c r="I65" i="138"/>
  <c r="AL112" i="135" l="1"/>
  <c r="AM112" i="135"/>
  <c r="AL113" i="135"/>
  <c r="AM113" i="135"/>
  <c r="AL114" i="135"/>
  <c r="AM114" i="135"/>
  <c r="AL115" i="135"/>
  <c r="AM115" i="135"/>
  <c r="AL117" i="135"/>
  <c r="AM117" i="135"/>
  <c r="AL119" i="135"/>
  <c r="AM119" i="135"/>
  <c r="AL121" i="135"/>
  <c r="AM121" i="135"/>
  <c r="AL122" i="135"/>
  <c r="AM122" i="135"/>
  <c r="AJ123" i="135"/>
  <c r="AK123" i="135"/>
  <c r="AL123" i="135"/>
  <c r="AM123" i="135"/>
  <c r="AL125" i="135"/>
  <c r="AM125" i="135"/>
  <c r="AL126" i="135"/>
  <c r="AM126" i="135"/>
  <c r="AL127" i="135"/>
  <c r="AM127" i="135"/>
  <c r="AL128" i="135"/>
  <c r="AM128" i="135"/>
  <c r="AL129" i="135"/>
  <c r="AM129" i="135"/>
  <c r="AL133" i="135"/>
  <c r="AM133" i="135"/>
  <c r="AL134" i="135"/>
  <c r="AM134" i="135"/>
  <c r="AL135" i="135"/>
  <c r="AM135" i="135"/>
  <c r="AL139" i="135"/>
  <c r="AM139" i="135"/>
  <c r="AL141" i="135"/>
  <c r="AM141" i="135"/>
  <c r="AL145" i="135"/>
  <c r="AM145" i="135"/>
  <c r="AL146" i="135"/>
  <c r="AM146" i="135"/>
  <c r="AL147" i="135"/>
  <c r="AM147" i="135"/>
  <c r="AL148" i="135"/>
  <c r="AM148" i="135"/>
  <c r="AL149" i="135"/>
  <c r="AM149" i="135"/>
  <c r="AL152" i="135"/>
  <c r="AM152" i="135"/>
  <c r="AL153" i="135"/>
  <c r="AM153" i="135"/>
  <c r="AL154" i="135"/>
  <c r="AM154" i="135"/>
  <c r="AL155" i="135"/>
  <c r="AM155" i="135"/>
  <c r="AL156" i="135"/>
  <c r="AM156" i="135"/>
  <c r="AL159" i="135"/>
  <c r="AM159" i="135"/>
  <c r="AL160" i="135"/>
  <c r="AM160" i="135"/>
  <c r="AL161" i="135"/>
  <c r="AM161" i="135"/>
  <c r="AL163" i="135"/>
  <c r="AM163" i="135"/>
  <c r="AL164" i="135"/>
  <c r="AM164" i="135"/>
  <c r="AL165" i="135"/>
  <c r="AM165" i="135"/>
  <c r="AL166" i="135"/>
  <c r="AM166" i="135"/>
  <c r="AL167" i="135"/>
  <c r="AM167" i="135"/>
  <c r="AL168" i="135"/>
  <c r="AM168" i="135"/>
  <c r="AL171" i="135"/>
  <c r="AM171" i="135"/>
  <c r="AL172" i="135"/>
  <c r="AM172" i="135"/>
  <c r="AL173" i="135"/>
  <c r="AM173" i="135"/>
  <c r="AL174" i="135"/>
  <c r="AM174" i="135"/>
  <c r="AL175" i="135"/>
  <c r="AM175" i="135"/>
  <c r="AL177" i="135"/>
  <c r="AM177" i="135"/>
  <c r="AL179" i="135"/>
  <c r="AM179" i="135"/>
  <c r="AL180" i="135"/>
  <c r="AM180" i="135"/>
  <c r="AL181" i="135"/>
  <c r="AM181" i="135"/>
  <c r="AL183" i="135"/>
  <c r="AM183" i="135"/>
  <c r="AL184" i="135"/>
  <c r="AM184" i="135"/>
  <c r="AL185" i="135"/>
  <c r="AM185" i="135"/>
  <c r="AL186" i="135"/>
  <c r="AM186" i="135"/>
  <c r="AL187" i="135"/>
  <c r="AM187" i="135"/>
  <c r="AL192" i="135"/>
  <c r="AM192" i="135"/>
  <c r="AL206" i="135"/>
  <c r="AM206" i="135"/>
  <c r="AL207" i="135"/>
  <c r="AM207" i="135"/>
  <c r="S107" i="135"/>
  <c r="AM169" i="135" l="1"/>
  <c r="AL169" i="135"/>
  <c r="AM150" i="135"/>
  <c r="AL150" i="135"/>
  <c r="AM157" i="135"/>
  <c r="AM162" i="135" s="1"/>
  <c r="AM196" i="135"/>
  <c r="AM202" i="135" s="1"/>
  <c r="AL196" i="135"/>
  <c r="AL202" i="135" s="1"/>
  <c r="AL157" i="135"/>
  <c r="AL162" i="135" s="1"/>
  <c r="AL176" i="135"/>
  <c r="AL182" i="135" s="1"/>
  <c r="AM138" i="135"/>
  <c r="AM144" i="135" s="1"/>
  <c r="AL118" i="135"/>
  <c r="AL124" i="135" s="1"/>
  <c r="AM118" i="135"/>
  <c r="AM124" i="135" s="1"/>
  <c r="AL138" i="135"/>
  <c r="AL144" i="135" s="1"/>
  <c r="AM176" i="135"/>
  <c r="AM182" i="135" s="1"/>
  <c r="AL151" i="135" l="1"/>
  <c r="AL170" i="135"/>
  <c r="AM170" i="135"/>
  <c r="AM151" i="135"/>
  <c r="AW102" i="135"/>
  <c r="AW103" i="135"/>
  <c r="AW104" i="135"/>
  <c r="AW105" i="135"/>
  <c r="AW106" i="135"/>
  <c r="AI66" i="135"/>
  <c r="AI67" i="135"/>
  <c r="S40" i="135"/>
  <c r="T40" i="135"/>
  <c r="U40" i="135"/>
  <c r="V40" i="135"/>
  <c r="V119" i="135" s="1"/>
  <c r="W40" i="135"/>
  <c r="W119" i="135" s="1"/>
  <c r="S41" i="135"/>
  <c r="AI41" i="135" s="1"/>
  <c r="T41" i="135"/>
  <c r="U41" i="135"/>
  <c r="V41" i="135"/>
  <c r="V139" i="135" s="1"/>
  <c r="W41" i="135"/>
  <c r="W139" i="135" s="1"/>
  <c r="S43" i="135"/>
  <c r="T43" i="135"/>
  <c r="U43" i="135"/>
  <c r="V43" i="135"/>
  <c r="V177" i="135" s="1"/>
  <c r="W43" i="135"/>
  <c r="W177" i="135" s="1"/>
  <c r="S44" i="135"/>
  <c r="T44" i="135"/>
  <c r="U44" i="135"/>
  <c r="V44" i="135"/>
  <c r="V197" i="135" s="1"/>
  <c r="W44" i="135"/>
  <c r="W197" i="135" s="1"/>
  <c r="S60" i="135"/>
  <c r="T60" i="135"/>
  <c r="T122" i="135" s="1"/>
  <c r="U60" i="135"/>
  <c r="U122" i="135" s="1"/>
  <c r="V60" i="135"/>
  <c r="V122" i="135" s="1"/>
  <c r="W60" i="135"/>
  <c r="W122" i="135" s="1"/>
  <c r="S61" i="135"/>
  <c r="T61" i="135"/>
  <c r="U61" i="135"/>
  <c r="V61" i="135"/>
  <c r="W61" i="135"/>
  <c r="S62" i="135"/>
  <c r="S160" i="135" s="1"/>
  <c r="T62" i="135"/>
  <c r="T160" i="135" s="1"/>
  <c r="U62" i="135"/>
  <c r="U160" i="135" s="1"/>
  <c r="V62" i="135"/>
  <c r="V160" i="135" s="1"/>
  <c r="W62" i="135"/>
  <c r="W160" i="135" s="1"/>
  <c r="S63" i="135"/>
  <c r="S180" i="135" s="1"/>
  <c r="T63" i="135"/>
  <c r="T180" i="135" s="1"/>
  <c r="U63" i="135"/>
  <c r="U180" i="135" s="1"/>
  <c r="V63" i="135"/>
  <c r="V180" i="135" s="1"/>
  <c r="W63" i="135"/>
  <c r="W180" i="135" s="1"/>
  <c r="S64" i="135"/>
  <c r="S200" i="135" s="1"/>
  <c r="T64" i="135"/>
  <c r="T200" i="135" s="1"/>
  <c r="U64" i="135"/>
  <c r="U200" i="135" s="1"/>
  <c r="V64" i="135"/>
  <c r="V200" i="135" s="1"/>
  <c r="W64" i="135"/>
  <c r="W200" i="135" s="1"/>
  <c r="S66" i="135"/>
  <c r="T66" i="135"/>
  <c r="T123" i="135" s="1"/>
  <c r="U66" i="135"/>
  <c r="U123" i="135" s="1"/>
  <c r="V66" i="135"/>
  <c r="V123" i="135" s="1"/>
  <c r="W66" i="135"/>
  <c r="W123" i="135" s="1"/>
  <c r="S67" i="135"/>
  <c r="T67" i="135"/>
  <c r="U67" i="135"/>
  <c r="V67" i="135"/>
  <c r="W67" i="135"/>
  <c r="S68" i="135"/>
  <c r="S161" i="135" s="1"/>
  <c r="T68" i="135"/>
  <c r="T161" i="135" s="1"/>
  <c r="U68" i="135"/>
  <c r="U161" i="135" s="1"/>
  <c r="V68" i="135"/>
  <c r="V161" i="135" s="1"/>
  <c r="W68" i="135"/>
  <c r="W161" i="135" s="1"/>
  <c r="S69" i="135"/>
  <c r="S181" i="135" s="1"/>
  <c r="T69" i="135"/>
  <c r="T181" i="135" s="1"/>
  <c r="U69" i="135"/>
  <c r="U181" i="135" s="1"/>
  <c r="V69" i="135"/>
  <c r="V181" i="135" s="1"/>
  <c r="W69" i="135"/>
  <c r="W181" i="135" s="1"/>
  <c r="S70" i="135"/>
  <c r="S201" i="135" s="1"/>
  <c r="T70" i="135"/>
  <c r="T201" i="135" s="1"/>
  <c r="U70" i="135"/>
  <c r="U201" i="135" s="1"/>
  <c r="V70" i="135"/>
  <c r="V201" i="135" s="1"/>
  <c r="W70" i="135"/>
  <c r="W201" i="135" s="1"/>
  <c r="S96" i="135"/>
  <c r="S129" i="135" s="1"/>
  <c r="T96" i="135"/>
  <c r="T129" i="135" s="1"/>
  <c r="U96" i="135"/>
  <c r="U129" i="135" s="1"/>
  <c r="V96" i="135"/>
  <c r="V129" i="135" s="1"/>
  <c r="W96" i="135"/>
  <c r="W129" i="135" s="1"/>
  <c r="S97" i="135"/>
  <c r="S148" i="135" s="1"/>
  <c r="T97" i="135"/>
  <c r="T148" i="135" s="1"/>
  <c r="U97" i="135"/>
  <c r="U148" i="135" s="1"/>
  <c r="V97" i="135"/>
  <c r="V148" i="135" s="1"/>
  <c r="W97" i="135"/>
  <c r="W148" i="135" s="1"/>
  <c r="S98" i="135"/>
  <c r="S168" i="135" s="1"/>
  <c r="T98" i="135"/>
  <c r="T168" i="135" s="1"/>
  <c r="U98" i="135"/>
  <c r="U168" i="135" s="1"/>
  <c r="V98" i="135"/>
  <c r="V168" i="135" s="1"/>
  <c r="W98" i="135"/>
  <c r="W168" i="135" s="1"/>
  <c r="S99" i="135"/>
  <c r="S187" i="135" s="1"/>
  <c r="T99" i="135"/>
  <c r="T187" i="135" s="1"/>
  <c r="U99" i="135"/>
  <c r="U187" i="135" s="1"/>
  <c r="V99" i="135"/>
  <c r="V187" i="135" s="1"/>
  <c r="W99" i="135"/>
  <c r="W187" i="135" s="1"/>
  <c r="S100" i="135"/>
  <c r="S207" i="135" s="1"/>
  <c r="U100" i="135"/>
  <c r="U207" i="135" s="1"/>
  <c r="V100" i="135"/>
  <c r="V207" i="135" s="1"/>
  <c r="W100" i="135"/>
  <c r="W207" i="135" s="1"/>
  <c r="T119" i="135" l="1"/>
  <c r="AJ40" i="135"/>
  <c r="S119" i="135"/>
  <c r="AI40" i="135"/>
  <c r="U119" i="135"/>
  <c r="AK40" i="135"/>
  <c r="U139" i="135"/>
  <c r="AK41" i="135"/>
  <c r="T139" i="135"/>
  <c r="AJ41" i="135"/>
  <c r="U177" i="135"/>
  <c r="AK43" i="135"/>
  <c r="T177" i="135"/>
  <c r="AJ43" i="135"/>
  <c r="S177" i="135"/>
  <c r="AI43" i="135"/>
  <c r="U197" i="135"/>
  <c r="AK44" i="135"/>
  <c r="T197" i="135"/>
  <c r="AJ44" i="135"/>
  <c r="S197" i="135"/>
  <c r="AI44" i="135"/>
  <c r="V71" i="135"/>
  <c r="U65" i="135"/>
  <c r="U45" i="135"/>
  <c r="V101" i="135"/>
  <c r="U71" i="135"/>
  <c r="V65" i="135"/>
  <c r="S65" i="135"/>
  <c r="S122" i="135"/>
  <c r="U101" i="135"/>
  <c r="W45" i="135"/>
  <c r="W71" i="135"/>
  <c r="AI123" i="135"/>
  <c r="W101" i="135"/>
  <c r="W65" i="135"/>
  <c r="V45" i="135"/>
  <c r="S45" i="135"/>
  <c r="S139" i="135"/>
  <c r="S71" i="135"/>
  <c r="S123" i="135"/>
  <c r="T45" i="135"/>
  <c r="T71" i="135"/>
  <c r="T65" i="135"/>
  <c r="V13" i="85"/>
  <c r="L40" i="93" l="1"/>
  <c r="L42" i="93"/>
  <c r="L43" i="93"/>
  <c r="L44" i="93"/>
  <c r="L45" i="93"/>
  <c r="L46" i="93" l="1"/>
  <c r="N20" i="119"/>
  <c r="L41" i="93"/>
  <c r="AJ15" i="119"/>
  <c r="AJ16" i="119"/>
  <c r="F45" i="93"/>
  <c r="F41" i="93"/>
  <c r="G41" i="93"/>
  <c r="H41" i="93"/>
  <c r="I41" i="93"/>
  <c r="J41" i="93"/>
  <c r="K41" i="93"/>
  <c r="F42" i="93"/>
  <c r="G42" i="93"/>
  <c r="H42" i="93"/>
  <c r="I42" i="93"/>
  <c r="J42" i="93"/>
  <c r="K42" i="93"/>
  <c r="E41" i="93"/>
  <c r="G45" i="93"/>
  <c r="H45" i="93"/>
  <c r="I45" i="93"/>
  <c r="J45" i="93"/>
  <c r="K45" i="93"/>
  <c r="F44" i="93"/>
  <c r="G44" i="93"/>
  <c r="H44" i="93"/>
  <c r="I44" i="93"/>
  <c r="J44" i="93"/>
  <c r="K44" i="93"/>
  <c r="F43" i="93"/>
  <c r="G43" i="93"/>
  <c r="H43" i="93"/>
  <c r="I43" i="93"/>
  <c r="J43" i="93"/>
  <c r="K43" i="93"/>
  <c r="E42" i="93"/>
  <c r="F40" i="93"/>
  <c r="G40" i="93"/>
  <c r="H40" i="93"/>
  <c r="I40" i="93"/>
  <c r="J40" i="93"/>
  <c r="K40" i="93"/>
  <c r="Y29" i="119"/>
  <c r="X29" i="119"/>
  <c r="W29" i="119"/>
  <c r="V29" i="119"/>
  <c r="U29" i="119"/>
  <c r="T29" i="119"/>
  <c r="S29" i="119"/>
  <c r="Y28" i="119"/>
  <c r="X28" i="119"/>
  <c r="W28" i="119"/>
  <c r="V28" i="119"/>
  <c r="U28" i="119"/>
  <c r="T28" i="119"/>
  <c r="S28" i="119"/>
  <c r="AJ7" i="119" l="1"/>
  <c r="AJ13" i="119"/>
  <c r="AJ20" i="119"/>
  <c r="AJ9" i="119"/>
  <c r="AJ19" i="119"/>
  <c r="AJ8" i="119"/>
  <c r="AJ18" i="119"/>
  <c r="AJ14" i="119"/>
  <c r="AJ17" i="119"/>
  <c r="Q41" i="93"/>
  <c r="Q42" i="93"/>
  <c r="E43" i="93"/>
  <c r="Q43" i="93" s="1"/>
  <c r="E45" i="93"/>
  <c r="Q45" i="93" s="1"/>
  <c r="E44" i="93"/>
  <c r="Q44" i="93" s="1"/>
  <c r="J46" i="93"/>
  <c r="I46" i="93"/>
  <c r="K46" i="93"/>
  <c r="F46" i="93"/>
  <c r="H46" i="93"/>
  <c r="G46" i="93"/>
  <c r="E40" i="93"/>
  <c r="J20" i="119"/>
  <c r="M20" i="119"/>
  <c r="I20" i="119"/>
  <c r="K20" i="119"/>
  <c r="L20" i="119"/>
  <c r="G20" i="119"/>
  <c r="E46" i="93" l="1"/>
  <c r="Q40" i="93"/>
  <c r="BG22" i="120" l="1"/>
  <c r="N80" i="61" l="1"/>
  <c r="V55" i="90" l="1"/>
  <c r="AI36" i="90" s="1"/>
  <c r="W55" i="90"/>
  <c r="AJ36" i="90" s="1"/>
  <c r="X55" i="90"/>
  <c r="AK36" i="90" s="1"/>
  <c r="Y55" i="90"/>
  <c r="Z55" i="90"/>
  <c r="AB44" i="82" l="1"/>
  <c r="AC44" i="82"/>
  <c r="AD44" i="82"/>
  <c r="AE44" i="82"/>
  <c r="AA43" i="82"/>
  <c r="AO42" i="135" l="1"/>
  <c r="AO39" i="135"/>
  <c r="AO23" i="135"/>
  <c r="H9" i="135" l="1"/>
  <c r="D23" i="135"/>
  <c r="D16" i="135"/>
  <c r="E9" i="135"/>
  <c r="F9" i="135"/>
  <c r="G9" i="135"/>
  <c r="BG21" i="120" l="1"/>
  <c r="AV102" i="135" l="1"/>
  <c r="AV103" i="135"/>
  <c r="AV104" i="135"/>
  <c r="AV105" i="135"/>
  <c r="AV106" i="135"/>
  <c r="AH66" i="135"/>
  <c r="AH67" i="135"/>
  <c r="AH123" i="135" l="1"/>
  <c r="R107" i="135" l="1"/>
  <c r="R40" i="135"/>
  <c r="R41" i="135"/>
  <c r="R43" i="135"/>
  <c r="R44" i="135"/>
  <c r="R60" i="135"/>
  <c r="R61" i="135"/>
  <c r="R62" i="135"/>
  <c r="R160" i="135" s="1"/>
  <c r="R63" i="135"/>
  <c r="R180" i="135" s="1"/>
  <c r="R64" i="135"/>
  <c r="R200" i="135" s="1"/>
  <c r="R66" i="135"/>
  <c r="R123" i="135" s="1"/>
  <c r="R67" i="135"/>
  <c r="R68" i="135"/>
  <c r="R161" i="135" s="1"/>
  <c r="R69" i="135"/>
  <c r="R181" i="135" s="1"/>
  <c r="R70" i="135"/>
  <c r="R201" i="135" s="1"/>
  <c r="R96" i="135"/>
  <c r="R129" i="135" s="1"/>
  <c r="R97" i="135"/>
  <c r="R148" i="135" s="1"/>
  <c r="R98" i="135"/>
  <c r="R168" i="135" s="1"/>
  <c r="R99" i="135"/>
  <c r="R187" i="135" s="1"/>
  <c r="R119" i="135" l="1"/>
  <c r="AH40" i="135"/>
  <c r="R139" i="135"/>
  <c r="AH41" i="135"/>
  <c r="R177" i="135"/>
  <c r="AH43" i="135"/>
  <c r="R197" i="135"/>
  <c r="AH44" i="135"/>
  <c r="R71" i="135"/>
  <c r="R65" i="135"/>
  <c r="R122" i="135"/>
  <c r="R45" i="135"/>
  <c r="U55" i="90" l="1"/>
  <c r="AH36" i="90" s="1"/>
  <c r="N35" i="143" l="1"/>
  <c r="N34" i="143"/>
  <c r="N32" i="143"/>
  <c r="N30" i="143"/>
  <c r="N28" i="143"/>
  <c r="N27" i="143"/>
  <c r="N26" i="143"/>
  <c r="N25" i="143"/>
  <c r="I36" i="143"/>
  <c r="D36" i="143"/>
  <c r="N20" i="143"/>
  <c r="I15" i="143"/>
  <c r="D15" i="143"/>
  <c r="L13" i="95"/>
  <c r="AC18" i="95"/>
  <c r="AC17" i="95"/>
  <c r="N36" i="143" l="1"/>
  <c r="U76" i="105" l="1"/>
  <c r="V76" i="105"/>
  <c r="W76" i="105"/>
  <c r="X76" i="105"/>
  <c r="T76" i="105"/>
  <c r="S76" i="105"/>
  <c r="R76" i="105"/>
  <c r="Q76" i="105"/>
  <c r="P76" i="105"/>
  <c r="O76" i="105"/>
  <c r="N76" i="105"/>
  <c r="U75" i="105"/>
  <c r="S20" i="120" s="1"/>
  <c r="V75" i="105"/>
  <c r="T20" i="120" s="1"/>
  <c r="W75" i="105"/>
  <c r="U20" i="120" s="1"/>
  <c r="X75" i="105"/>
  <c r="V20" i="120" s="1"/>
  <c r="T75" i="105"/>
  <c r="R20" i="120" s="1"/>
  <c r="S75" i="105"/>
  <c r="R75" i="105"/>
  <c r="P20" i="120" s="1"/>
  <c r="Q75" i="105"/>
  <c r="O20" i="120" s="1"/>
  <c r="P75" i="105"/>
  <c r="N20" i="120" s="1"/>
  <c r="O75" i="105"/>
  <c r="M20" i="120" s="1"/>
  <c r="N75" i="105"/>
  <c r="L20" i="120" s="1"/>
  <c r="Q23" i="93" l="1"/>
  <c r="AT102" i="135" l="1"/>
  <c r="BG19" i="120" l="1"/>
  <c r="AU102" i="135" l="1"/>
  <c r="AU103" i="135"/>
  <c r="AU104" i="135"/>
  <c r="AU105" i="135"/>
  <c r="AU106" i="135"/>
  <c r="AG66" i="135"/>
  <c r="AG123" i="135" s="1"/>
  <c r="AG67" i="135"/>
  <c r="Q40" i="135"/>
  <c r="Q41" i="135"/>
  <c r="Q43" i="135"/>
  <c r="Q44" i="135"/>
  <c r="Q60" i="135"/>
  <c r="Q122" i="135" s="1"/>
  <c r="Q61" i="135"/>
  <c r="Q62" i="135"/>
  <c r="Q160" i="135" s="1"/>
  <c r="Q63" i="135"/>
  <c r="Q180" i="135" s="1"/>
  <c r="Q64" i="135"/>
  <c r="Q200" i="135" s="1"/>
  <c r="Q66" i="135"/>
  <c r="Q123" i="135" s="1"/>
  <c r="Q67" i="135"/>
  <c r="Q68" i="135"/>
  <c r="Q161" i="135" s="1"/>
  <c r="Q69" i="135"/>
  <c r="Q181" i="135" s="1"/>
  <c r="Q70" i="135"/>
  <c r="Q201" i="135" s="1"/>
  <c r="Q96" i="135"/>
  <c r="Q97" i="135"/>
  <c r="Q148" i="135" s="1"/>
  <c r="Q98" i="135"/>
  <c r="Q168" i="135" s="1"/>
  <c r="Q99" i="135"/>
  <c r="Q187" i="135" s="1"/>
  <c r="Q100" i="135"/>
  <c r="Q207" i="135" s="1"/>
  <c r="Q107" i="135"/>
  <c r="Q119" i="135" l="1"/>
  <c r="AG40" i="135"/>
  <c r="Q139" i="135"/>
  <c r="AG41" i="135"/>
  <c r="Q177" i="135"/>
  <c r="AG43" i="135"/>
  <c r="Q197" i="135"/>
  <c r="AG44" i="135"/>
  <c r="Q71" i="135"/>
  <c r="Q65" i="135"/>
  <c r="Q45" i="135"/>
  <c r="E21" i="102"/>
  <c r="F21" i="102"/>
  <c r="E22" i="102"/>
  <c r="F22" i="102"/>
  <c r="E23" i="102"/>
  <c r="F23" i="102"/>
  <c r="E24" i="102"/>
  <c r="F24" i="102"/>
  <c r="E25" i="102"/>
  <c r="F25" i="102"/>
  <c r="E53" i="102"/>
  <c r="E26" i="102" l="1"/>
  <c r="F26" i="102"/>
  <c r="K80" i="137"/>
  <c r="L80" i="137"/>
  <c r="M80" i="137"/>
  <c r="N80" i="137"/>
  <c r="J80" i="137"/>
  <c r="I80" i="137"/>
  <c r="L43" i="137"/>
  <c r="M43" i="137"/>
  <c r="N43" i="137"/>
  <c r="W35" i="69" l="1"/>
  <c r="W31" i="69"/>
  <c r="W26" i="69"/>
  <c r="Q35" i="69"/>
  <c r="Q31" i="69"/>
  <c r="Q26" i="69"/>
  <c r="AD34" i="69"/>
  <c r="AD33" i="69"/>
  <c r="AD32" i="69"/>
  <c r="AG32" i="69" s="1"/>
  <c r="AD30" i="69"/>
  <c r="AG30" i="69" s="1"/>
  <c r="AD29" i="69"/>
  <c r="AG29" i="69" s="1"/>
  <c r="AD28" i="69"/>
  <c r="AG28" i="69" s="1"/>
  <c r="AD25" i="69"/>
  <c r="AD24" i="69"/>
  <c r="AD23" i="69"/>
  <c r="AD21" i="69"/>
  <c r="AC35" i="69"/>
  <c r="AC26" i="69"/>
  <c r="AC31" i="69"/>
  <c r="AA34" i="69"/>
  <c r="AA33" i="69"/>
  <c r="AA32" i="69"/>
  <c r="AA30" i="69"/>
  <c r="AA29" i="69"/>
  <c r="AA28" i="69"/>
  <c r="AA25" i="69"/>
  <c r="AA24" i="69"/>
  <c r="AA23" i="69"/>
  <c r="U33" i="69"/>
  <c r="U34" i="69"/>
  <c r="U32" i="69"/>
  <c r="U29" i="69"/>
  <c r="U30" i="69"/>
  <c r="U28" i="69"/>
  <c r="U24" i="69"/>
  <c r="U25" i="69"/>
  <c r="U23" i="69"/>
  <c r="D35" i="69"/>
  <c r="E35" i="69"/>
  <c r="D31" i="69"/>
  <c r="E31" i="69"/>
  <c r="G34" i="69"/>
  <c r="G33" i="69"/>
  <c r="G32" i="69"/>
  <c r="G30" i="69"/>
  <c r="G29" i="69"/>
  <c r="G28" i="69"/>
  <c r="G25" i="69"/>
  <c r="G24" i="69"/>
  <c r="G23" i="69"/>
  <c r="D26" i="69"/>
  <c r="E26" i="69"/>
  <c r="AC36" i="69" l="1"/>
  <c r="E36" i="69"/>
  <c r="D36" i="69"/>
  <c r="Q36" i="69"/>
  <c r="W36" i="69"/>
  <c r="Q32" i="93" l="1"/>
  <c r="Q31" i="93"/>
  <c r="N50" i="61"/>
  <c r="T55" i="90"/>
  <c r="AG36" i="90" s="1"/>
  <c r="K24" i="69" l="1"/>
  <c r="S20" i="85" s="1"/>
  <c r="M76" i="137" l="1"/>
  <c r="P107" i="135" l="1"/>
  <c r="P40" i="135"/>
  <c r="P41" i="135"/>
  <c r="P43" i="135"/>
  <c r="P44" i="135"/>
  <c r="P60" i="135"/>
  <c r="P61" i="135"/>
  <c r="P62" i="135"/>
  <c r="P160" i="135" s="1"/>
  <c r="P63" i="135"/>
  <c r="P180" i="135" s="1"/>
  <c r="P64" i="135"/>
  <c r="P200" i="135" s="1"/>
  <c r="P66" i="135"/>
  <c r="P123" i="135" s="1"/>
  <c r="P67" i="135"/>
  <c r="P68" i="135"/>
  <c r="P161" i="135" s="1"/>
  <c r="P69" i="135"/>
  <c r="P181" i="135" s="1"/>
  <c r="P70" i="135"/>
  <c r="P201" i="135" s="1"/>
  <c r="P96" i="135"/>
  <c r="P129" i="135" s="1"/>
  <c r="P97" i="135"/>
  <c r="P148" i="135" s="1"/>
  <c r="P98" i="135"/>
  <c r="P168" i="135" s="1"/>
  <c r="P99" i="135"/>
  <c r="P187" i="135" s="1"/>
  <c r="P100" i="135"/>
  <c r="P207" i="135" s="1"/>
  <c r="AT103" i="135"/>
  <c r="AT104" i="135"/>
  <c r="AT105" i="135"/>
  <c r="AT106" i="135"/>
  <c r="AF66" i="135"/>
  <c r="AF123" i="135" s="1"/>
  <c r="AF67" i="135"/>
  <c r="P119" i="135" l="1"/>
  <c r="AF40" i="135"/>
  <c r="P139" i="135"/>
  <c r="AF41" i="135"/>
  <c r="P177" i="135"/>
  <c r="AF43" i="135"/>
  <c r="P197" i="135"/>
  <c r="AF44" i="135"/>
  <c r="P45" i="135"/>
  <c r="P65" i="135"/>
  <c r="P122" i="135"/>
  <c r="P71" i="135"/>
  <c r="BG18" i="120" l="1"/>
  <c r="AD19" i="69"/>
  <c r="AA21" i="85" l="1"/>
  <c r="Q11" i="93" l="1"/>
  <c r="I33" i="93"/>
  <c r="I36" i="93" s="1"/>
  <c r="S55" i="90" l="1"/>
  <c r="AF36" i="90" s="1"/>
  <c r="M35" i="137" l="1"/>
  <c r="N35" i="137"/>
  <c r="O35" i="137"/>
  <c r="P35" i="137"/>
  <c r="Q35" i="137"/>
  <c r="R35" i="137"/>
  <c r="S35" i="137"/>
  <c r="T35" i="137"/>
  <c r="M36" i="137"/>
  <c r="N36" i="137"/>
  <c r="O36" i="137"/>
  <c r="P36" i="137"/>
  <c r="Q36" i="137"/>
  <c r="R36" i="137"/>
  <c r="S36" i="137"/>
  <c r="T36" i="137"/>
  <c r="M37" i="137"/>
  <c r="N37" i="137"/>
  <c r="O37" i="137"/>
  <c r="P37" i="137"/>
  <c r="Q37" i="137"/>
  <c r="R37" i="137"/>
  <c r="S37" i="137"/>
  <c r="T37" i="137"/>
  <c r="M38" i="137"/>
  <c r="N38" i="137"/>
  <c r="O38" i="137"/>
  <c r="P38" i="137"/>
  <c r="Q38" i="137"/>
  <c r="R38" i="137"/>
  <c r="S38" i="137"/>
  <c r="T38" i="137"/>
  <c r="M40" i="137"/>
  <c r="N40" i="137"/>
  <c r="O40" i="137"/>
  <c r="P40" i="137"/>
  <c r="Q40" i="137"/>
  <c r="R40" i="137"/>
  <c r="S40" i="137"/>
  <c r="T40" i="137"/>
  <c r="M41" i="137"/>
  <c r="N41" i="137"/>
  <c r="O41" i="137"/>
  <c r="P41" i="137"/>
  <c r="Q41" i="137"/>
  <c r="R41" i="137"/>
  <c r="S41" i="137"/>
  <c r="T41" i="137"/>
  <c r="M42" i="137"/>
  <c r="N42" i="137"/>
  <c r="O42" i="137"/>
  <c r="P42" i="137"/>
  <c r="Q42" i="137"/>
  <c r="R42" i="137"/>
  <c r="S42" i="137"/>
  <c r="T42" i="137"/>
  <c r="L36" i="137"/>
  <c r="L37" i="137"/>
  <c r="L38" i="137"/>
  <c r="L35" i="137"/>
  <c r="J34" i="137"/>
  <c r="K34" i="137"/>
  <c r="L41" i="137"/>
  <c r="L42" i="137"/>
  <c r="L40" i="137"/>
  <c r="S34" i="137" l="1"/>
  <c r="T34" i="137"/>
  <c r="T39" i="137"/>
  <c r="R34" i="137"/>
  <c r="S39" i="137"/>
  <c r="R39" i="137"/>
  <c r="Q39" i="137"/>
  <c r="Q34" i="137"/>
  <c r="P39" i="137"/>
  <c r="P34" i="137"/>
  <c r="O34" i="137"/>
  <c r="O39" i="137"/>
  <c r="N34" i="137"/>
  <c r="M34" i="137"/>
  <c r="N39" i="137"/>
  <c r="M39" i="137"/>
  <c r="L34" i="137"/>
  <c r="Q33" i="137" l="1"/>
  <c r="Q44" i="137" s="1"/>
  <c r="T33" i="137"/>
  <c r="T44" i="137" s="1"/>
  <c r="S33" i="137"/>
  <c r="S44" i="137" s="1"/>
  <c r="R33" i="137"/>
  <c r="R44" i="137" s="1"/>
  <c r="M33" i="137"/>
  <c r="M44" i="137" s="1"/>
  <c r="N33" i="137"/>
  <c r="N44" i="137" s="1"/>
  <c r="O33" i="137"/>
  <c r="O44" i="137" s="1"/>
  <c r="P33" i="137"/>
  <c r="P44" i="137" s="1"/>
  <c r="AA44" i="91"/>
  <c r="Q129" i="135" l="1"/>
  <c r="K40" i="135"/>
  <c r="L40" i="135"/>
  <c r="M40" i="135"/>
  <c r="AC40" i="135" s="1"/>
  <c r="N40" i="135"/>
  <c r="L41" i="135"/>
  <c r="M41" i="135"/>
  <c r="N41" i="135"/>
  <c r="L43" i="135"/>
  <c r="AB43" i="135" s="1"/>
  <c r="M43" i="135"/>
  <c r="N43" i="135"/>
  <c r="L44" i="135"/>
  <c r="M44" i="135"/>
  <c r="N44" i="135"/>
  <c r="L60" i="135"/>
  <c r="L122" i="135" s="1"/>
  <c r="M60" i="135"/>
  <c r="M122" i="135" s="1"/>
  <c r="N60" i="135"/>
  <c r="N122" i="135" s="1"/>
  <c r="L61" i="135"/>
  <c r="M61" i="135"/>
  <c r="N61" i="135"/>
  <c r="L62" i="135"/>
  <c r="L160" i="135" s="1"/>
  <c r="M62" i="135"/>
  <c r="M160" i="135" s="1"/>
  <c r="N62" i="135"/>
  <c r="N160" i="135" s="1"/>
  <c r="L63" i="135"/>
  <c r="L180" i="135" s="1"/>
  <c r="M63" i="135"/>
  <c r="M180" i="135" s="1"/>
  <c r="N63" i="135"/>
  <c r="N180" i="135" s="1"/>
  <c r="L64" i="135"/>
  <c r="L200" i="135" s="1"/>
  <c r="M64" i="135"/>
  <c r="M200" i="135" s="1"/>
  <c r="N64" i="135"/>
  <c r="N200" i="135" s="1"/>
  <c r="L66" i="135"/>
  <c r="L123" i="135" s="1"/>
  <c r="M66" i="135"/>
  <c r="M123" i="135" s="1"/>
  <c r="N66" i="135"/>
  <c r="N123" i="135" s="1"/>
  <c r="L67" i="135"/>
  <c r="M67" i="135"/>
  <c r="N67" i="135"/>
  <c r="L68" i="135"/>
  <c r="L161" i="135" s="1"/>
  <c r="M68" i="135"/>
  <c r="M161" i="135" s="1"/>
  <c r="N68" i="135"/>
  <c r="N161" i="135" s="1"/>
  <c r="L69" i="135"/>
  <c r="M69" i="135"/>
  <c r="M181" i="135" s="1"/>
  <c r="N69" i="135"/>
  <c r="N181" i="135" s="1"/>
  <c r="L70" i="135"/>
  <c r="L201" i="135" s="1"/>
  <c r="M70" i="135"/>
  <c r="M201" i="135" s="1"/>
  <c r="N70" i="135"/>
  <c r="N201" i="135" s="1"/>
  <c r="K96" i="135"/>
  <c r="K129" i="135" s="1"/>
  <c r="L96" i="135"/>
  <c r="L129" i="135" s="1"/>
  <c r="M96" i="135"/>
  <c r="M129" i="135" s="1"/>
  <c r="N96" i="135"/>
  <c r="N129" i="135" s="1"/>
  <c r="K97" i="135"/>
  <c r="K148" i="135" s="1"/>
  <c r="L97" i="135"/>
  <c r="L148" i="135" s="1"/>
  <c r="M97" i="135"/>
  <c r="M148" i="135" s="1"/>
  <c r="N97" i="135"/>
  <c r="N148" i="135" s="1"/>
  <c r="L98" i="135"/>
  <c r="L168" i="135" s="1"/>
  <c r="M98" i="135"/>
  <c r="M168" i="135" s="1"/>
  <c r="N98" i="135"/>
  <c r="N168" i="135" s="1"/>
  <c r="K99" i="135"/>
  <c r="K187" i="135" s="1"/>
  <c r="L99" i="135"/>
  <c r="L187" i="135" s="1"/>
  <c r="M99" i="135"/>
  <c r="M187" i="135" s="1"/>
  <c r="N99" i="135"/>
  <c r="N187" i="135" s="1"/>
  <c r="K100" i="135"/>
  <c r="K207" i="135" s="1"/>
  <c r="L100" i="135"/>
  <c r="L207" i="135" s="1"/>
  <c r="K107" i="135"/>
  <c r="L107" i="135"/>
  <c r="M107" i="135"/>
  <c r="N107" i="135"/>
  <c r="L177" i="135"/>
  <c r="L119" i="135" l="1"/>
  <c r="AB40" i="135"/>
  <c r="K119" i="135"/>
  <c r="Z40" i="135"/>
  <c r="N119" i="135"/>
  <c r="AD40" i="135"/>
  <c r="M139" i="135"/>
  <c r="AC41" i="135"/>
  <c r="N139" i="135"/>
  <c r="AD41" i="135"/>
  <c r="L139" i="135"/>
  <c r="AB41" i="135"/>
  <c r="N177" i="135"/>
  <c r="AD43" i="135"/>
  <c r="M177" i="135"/>
  <c r="AC43" i="135"/>
  <c r="M197" i="135"/>
  <c r="AC44" i="135"/>
  <c r="L197" i="135"/>
  <c r="AB44" i="135"/>
  <c r="N197" i="135"/>
  <c r="AD44" i="135"/>
  <c r="M71" i="135"/>
  <c r="L71" i="135"/>
  <c r="N45" i="135"/>
  <c r="L65" i="135"/>
  <c r="M45" i="135"/>
  <c r="M119" i="135"/>
  <c r="N65" i="135"/>
  <c r="M65" i="135"/>
  <c r="L181" i="135"/>
  <c r="N71" i="135"/>
  <c r="L45" i="135"/>
  <c r="BG17" i="120" l="1"/>
  <c r="AS102" i="135" l="1"/>
  <c r="AS103" i="135"/>
  <c r="AS104" i="135"/>
  <c r="AS105" i="135"/>
  <c r="AS106" i="135"/>
  <c r="AE66" i="135"/>
  <c r="AE123" i="135" s="1"/>
  <c r="AE67" i="135"/>
  <c r="O40" i="135"/>
  <c r="O41" i="135"/>
  <c r="O43" i="135"/>
  <c r="O44" i="135"/>
  <c r="O60" i="135"/>
  <c r="O61" i="135"/>
  <c r="O62" i="135"/>
  <c r="O160" i="135" s="1"/>
  <c r="O63" i="135"/>
  <c r="O180" i="135" s="1"/>
  <c r="O64" i="135"/>
  <c r="O200" i="135" s="1"/>
  <c r="O66" i="135"/>
  <c r="O67" i="135"/>
  <c r="O68" i="135"/>
  <c r="O161" i="135" s="1"/>
  <c r="O69" i="135"/>
  <c r="O181" i="135" s="1"/>
  <c r="O70" i="135"/>
  <c r="O201" i="135" s="1"/>
  <c r="O96" i="135"/>
  <c r="O129" i="135" s="1"/>
  <c r="O97" i="135"/>
  <c r="O148" i="135" s="1"/>
  <c r="O98" i="135"/>
  <c r="O168" i="135" s="1"/>
  <c r="O99" i="135"/>
  <c r="O187" i="135" s="1"/>
  <c r="O100" i="135"/>
  <c r="O207" i="135" s="1"/>
  <c r="O107" i="135"/>
  <c r="O119" i="135" l="1"/>
  <c r="AE40" i="135"/>
  <c r="O139" i="135"/>
  <c r="AE41" i="135"/>
  <c r="O177" i="135"/>
  <c r="AE43" i="135"/>
  <c r="O197" i="135"/>
  <c r="AE44" i="135"/>
  <c r="O45" i="135"/>
  <c r="O65" i="135"/>
  <c r="O122" i="135"/>
  <c r="O71" i="135"/>
  <c r="O123" i="135"/>
  <c r="AV25" i="102"/>
  <c r="AW25" i="102" s="1"/>
  <c r="AV24" i="102"/>
  <c r="AW24" i="102" s="1"/>
  <c r="AV23" i="102"/>
  <c r="AW23" i="102" s="1"/>
  <c r="AV22" i="102"/>
  <c r="AW22" i="102" s="1"/>
  <c r="AW21" i="102"/>
  <c r="AV21" i="102"/>
  <c r="AX4" i="102"/>
  <c r="AW4" i="102"/>
  <c r="AV4" i="102"/>
  <c r="AU4" i="102"/>
  <c r="AT4" i="102"/>
  <c r="AX3" i="102"/>
  <c r="AW3" i="102"/>
  <c r="AV3" i="102"/>
  <c r="AU3" i="102"/>
  <c r="AT3" i="102"/>
  <c r="R55" i="90" l="1"/>
  <c r="AE36" i="90" s="1"/>
  <c r="AA39" i="85" l="1"/>
  <c r="K42" i="132" l="1"/>
  <c r="K43" i="132"/>
  <c r="K43" i="137" l="1"/>
  <c r="K39" i="137" l="1"/>
  <c r="BK4" i="120" l="1"/>
  <c r="BF10" i="120" s="1"/>
  <c r="BK5" i="120"/>
  <c r="BF11" i="120" s="1"/>
  <c r="BK6" i="120"/>
  <c r="BF12" i="120" s="1"/>
  <c r="BK3" i="120"/>
  <c r="BF9" i="120" s="1"/>
  <c r="BG16" i="120"/>
  <c r="Q22" i="8" l="1"/>
  <c r="P22" i="8"/>
  <c r="O22" i="8"/>
  <c r="N22" i="8"/>
  <c r="M22" i="8"/>
  <c r="L22" i="8"/>
  <c r="K22" i="8"/>
  <c r="J22" i="8"/>
  <c r="I22" i="8"/>
  <c r="H22" i="8"/>
  <c r="AR102" i="135" l="1"/>
  <c r="AR103" i="135"/>
  <c r="AR104" i="135"/>
  <c r="AR105" i="135"/>
  <c r="AR106" i="135"/>
  <c r="AD66" i="135"/>
  <c r="AD123" i="135" s="1"/>
  <c r="AD67" i="135"/>
  <c r="Q58" i="93" l="1"/>
  <c r="E33" i="93" l="1"/>
  <c r="E36" i="93" l="1"/>
  <c r="E34" i="93"/>
  <c r="Q55" i="90"/>
  <c r="AD36" i="90" s="1"/>
  <c r="AA21" i="69" l="1"/>
  <c r="U21" i="69"/>
  <c r="G21" i="69"/>
  <c r="D22" i="69" l="1"/>
  <c r="D27" i="69" s="1"/>
  <c r="D37" i="69" s="1"/>
  <c r="E22" i="69"/>
  <c r="E27" i="69" s="1"/>
  <c r="E37" i="69" s="1"/>
  <c r="Q22" i="69"/>
  <c r="Q27" i="69" s="1"/>
  <c r="Q37" i="69" s="1"/>
  <c r="W22" i="69"/>
  <c r="W27" i="69" s="1"/>
  <c r="W37" i="69" s="1"/>
  <c r="AC22" i="69"/>
  <c r="AC27" i="69" s="1"/>
  <c r="AC37" i="69" s="1"/>
  <c r="R50" i="8" l="1"/>
  <c r="J96" i="141" l="1"/>
  <c r="I96" i="141"/>
  <c r="T94" i="141"/>
  <c r="S94" i="141"/>
  <c r="R94" i="141"/>
  <c r="Q94" i="141"/>
  <c r="P94" i="141"/>
  <c r="O94" i="141"/>
  <c r="N94" i="141"/>
  <c r="M94" i="141"/>
  <c r="L94" i="141"/>
  <c r="K94" i="141"/>
  <c r="J94" i="141"/>
  <c r="I94" i="141"/>
  <c r="U93" i="141"/>
  <c r="U92" i="141"/>
  <c r="Q85" i="141"/>
  <c r="R85" i="141"/>
  <c r="S85" i="141"/>
  <c r="T85" i="141"/>
  <c r="M86" i="141"/>
  <c r="O86" i="141"/>
  <c r="P86" i="141"/>
  <c r="Q86" i="141"/>
  <c r="R86" i="141"/>
  <c r="S86" i="141"/>
  <c r="T86" i="141"/>
  <c r="J86" i="141"/>
  <c r="I86" i="141"/>
  <c r="B88" i="141"/>
  <c r="H87" i="141"/>
  <c r="H88" i="141" s="1"/>
  <c r="B87" i="141"/>
  <c r="T70" i="141"/>
  <c r="S70" i="141"/>
  <c r="R70" i="141"/>
  <c r="Q70" i="141"/>
  <c r="P70" i="141"/>
  <c r="O70" i="141"/>
  <c r="N70" i="141"/>
  <c r="M70" i="141"/>
  <c r="L70" i="141"/>
  <c r="K70" i="141"/>
  <c r="J70" i="141"/>
  <c r="I70" i="141"/>
  <c r="T65" i="141"/>
  <c r="T67" i="141" s="1"/>
  <c r="S65" i="141"/>
  <c r="S67" i="141" s="1"/>
  <c r="R65" i="141"/>
  <c r="R67" i="141" s="1"/>
  <c r="Q65" i="141"/>
  <c r="Q67" i="141" s="1"/>
  <c r="P65" i="141"/>
  <c r="P67" i="141" s="1"/>
  <c r="O65" i="141"/>
  <c r="O67" i="141" s="1"/>
  <c r="N65" i="141"/>
  <c r="N67" i="141" s="1"/>
  <c r="M65" i="141"/>
  <c r="M67" i="141" s="1"/>
  <c r="L65" i="141"/>
  <c r="L67" i="141" s="1"/>
  <c r="K65" i="141"/>
  <c r="K67" i="141" s="1"/>
  <c r="J65" i="141"/>
  <c r="J67" i="141" s="1"/>
  <c r="I65" i="141"/>
  <c r="I67" i="141" s="1"/>
  <c r="T58" i="141"/>
  <c r="S58" i="141"/>
  <c r="R58" i="141"/>
  <c r="Q58" i="141"/>
  <c r="P58" i="141"/>
  <c r="O58" i="141"/>
  <c r="N58" i="141"/>
  <c r="M58" i="141"/>
  <c r="L58" i="141"/>
  <c r="K58" i="141"/>
  <c r="J58" i="141"/>
  <c r="I58" i="141"/>
  <c r="T53" i="141"/>
  <c r="T55" i="141" s="1"/>
  <c r="S53" i="141"/>
  <c r="S55" i="141" s="1"/>
  <c r="R53" i="141"/>
  <c r="R55" i="141" s="1"/>
  <c r="Q53" i="141"/>
  <c r="Q55" i="141" s="1"/>
  <c r="P53" i="141"/>
  <c r="P55" i="141" s="1"/>
  <c r="O53" i="141"/>
  <c r="O55" i="141" s="1"/>
  <c r="N53" i="141"/>
  <c r="N55" i="141" s="1"/>
  <c r="M53" i="141"/>
  <c r="M55" i="141" s="1"/>
  <c r="L53" i="141"/>
  <c r="L55" i="141" s="1"/>
  <c r="K53" i="141"/>
  <c r="K55" i="141" s="1"/>
  <c r="J53" i="141"/>
  <c r="J55" i="141" s="1"/>
  <c r="I53" i="141"/>
  <c r="I55" i="141" s="1"/>
  <c r="T46" i="141"/>
  <c r="S46" i="141"/>
  <c r="R46" i="141"/>
  <c r="Q46" i="141"/>
  <c r="P46" i="141"/>
  <c r="O46" i="141"/>
  <c r="N46" i="141"/>
  <c r="M46" i="141"/>
  <c r="L46" i="141"/>
  <c r="K46" i="141"/>
  <c r="J46" i="141"/>
  <c r="I46" i="141"/>
  <c r="T41" i="141"/>
  <c r="S41" i="141"/>
  <c r="R41" i="141"/>
  <c r="Q41" i="141"/>
  <c r="P41" i="141"/>
  <c r="O41" i="141"/>
  <c r="N41" i="141"/>
  <c r="M41" i="141"/>
  <c r="L41" i="141"/>
  <c r="K41" i="141"/>
  <c r="J41" i="141"/>
  <c r="I41" i="141"/>
  <c r="T34" i="141"/>
  <c r="S34" i="141"/>
  <c r="R34" i="141"/>
  <c r="Q34" i="141"/>
  <c r="P34" i="141"/>
  <c r="O34" i="141"/>
  <c r="N34" i="141"/>
  <c r="M34" i="141"/>
  <c r="L34" i="141"/>
  <c r="K34" i="141"/>
  <c r="J34" i="141"/>
  <c r="I34" i="141"/>
  <c r="T29" i="141"/>
  <c r="T31" i="141" s="1"/>
  <c r="S29" i="141"/>
  <c r="S31" i="141" s="1"/>
  <c r="R29" i="141"/>
  <c r="R31" i="141" s="1"/>
  <c r="Q29" i="141"/>
  <c r="P29" i="141"/>
  <c r="P31" i="141" s="1"/>
  <c r="O29" i="141"/>
  <c r="O31" i="141" s="1"/>
  <c r="N29" i="141"/>
  <c r="N31" i="141" s="1"/>
  <c r="M29" i="141"/>
  <c r="M31" i="141" s="1"/>
  <c r="L29" i="141"/>
  <c r="L31" i="141" s="1"/>
  <c r="K29" i="141"/>
  <c r="J29" i="141"/>
  <c r="J31" i="141" s="1"/>
  <c r="I29" i="141"/>
  <c r="T22" i="141"/>
  <c r="S22" i="141"/>
  <c r="R22" i="141"/>
  <c r="Q22" i="141"/>
  <c r="P22" i="141"/>
  <c r="O22" i="141"/>
  <c r="N22" i="141"/>
  <c r="M22" i="141"/>
  <c r="L22" i="141"/>
  <c r="K22" i="141"/>
  <c r="J22" i="141"/>
  <c r="I22" i="141"/>
  <c r="T17" i="141"/>
  <c r="S17" i="141"/>
  <c r="R17" i="141"/>
  <c r="Q17" i="141"/>
  <c r="P17" i="141"/>
  <c r="O17" i="141"/>
  <c r="N17" i="141"/>
  <c r="M17" i="141"/>
  <c r="L17" i="141"/>
  <c r="K17" i="141"/>
  <c r="J17" i="141"/>
  <c r="I17" i="141"/>
  <c r="I19" i="141" s="1"/>
  <c r="H11" i="141"/>
  <c r="F10" i="141"/>
  <c r="F11" i="141" s="1"/>
  <c r="E10" i="141"/>
  <c r="E11" i="141" s="1"/>
  <c r="D10" i="141"/>
  <c r="D11" i="141" s="1"/>
  <c r="C10" i="141"/>
  <c r="C11" i="141" s="1"/>
  <c r="B10" i="141"/>
  <c r="B11" i="141" s="1"/>
  <c r="G9" i="141"/>
  <c r="H8" i="141"/>
  <c r="F8" i="141"/>
  <c r="E8" i="141"/>
  <c r="D8" i="141"/>
  <c r="C8" i="141"/>
  <c r="B8" i="141"/>
  <c r="T7" i="141"/>
  <c r="S7" i="141"/>
  <c r="R7" i="141"/>
  <c r="Q7" i="141"/>
  <c r="P7" i="141"/>
  <c r="O7" i="141"/>
  <c r="N7" i="141"/>
  <c r="M7" i="141"/>
  <c r="L7" i="141"/>
  <c r="K7" i="141"/>
  <c r="J7" i="141"/>
  <c r="I7" i="141"/>
  <c r="G7" i="141"/>
  <c r="T6" i="141"/>
  <c r="S6" i="141"/>
  <c r="R6" i="141"/>
  <c r="Q6" i="141"/>
  <c r="P6" i="141"/>
  <c r="O6" i="141"/>
  <c r="N6" i="141"/>
  <c r="M6" i="141"/>
  <c r="L6" i="141"/>
  <c r="K6" i="141"/>
  <c r="J6" i="141"/>
  <c r="I6" i="141"/>
  <c r="G6" i="141"/>
  <c r="H5" i="141"/>
  <c r="F5" i="141"/>
  <c r="E5" i="141"/>
  <c r="D5" i="141"/>
  <c r="C5" i="141"/>
  <c r="B5" i="141"/>
  <c r="G4" i="141"/>
  <c r="G3" i="141"/>
  <c r="U99" i="137"/>
  <c r="T87" i="141" l="1"/>
  <c r="T88" i="141" s="1"/>
  <c r="R91" i="141"/>
  <c r="K91" i="141"/>
  <c r="K95" i="141" s="1"/>
  <c r="O8" i="141"/>
  <c r="E12" i="141"/>
  <c r="S87" i="141"/>
  <c r="S88" i="141" s="1"/>
  <c r="R87" i="141"/>
  <c r="R88" i="141" s="1"/>
  <c r="O91" i="141"/>
  <c r="O95" i="141" s="1"/>
  <c r="U94" i="141"/>
  <c r="G8" i="141"/>
  <c r="M91" i="141"/>
  <c r="M95" i="141" s="1"/>
  <c r="N91" i="141"/>
  <c r="N95" i="141" s="1"/>
  <c r="S91" i="141"/>
  <c r="U91" i="141" s="1"/>
  <c r="T91" i="141"/>
  <c r="T95" i="141" s="1"/>
  <c r="G5" i="141"/>
  <c r="L91" i="141"/>
  <c r="L95" i="141" s="1"/>
  <c r="R95" i="141"/>
  <c r="P91" i="141"/>
  <c r="I91" i="141"/>
  <c r="Q91" i="141"/>
  <c r="J91" i="141"/>
  <c r="Q87" i="141"/>
  <c r="Q88" i="141" s="1"/>
  <c r="C12" i="141"/>
  <c r="K3" i="141"/>
  <c r="L3" i="141"/>
  <c r="B12" i="141"/>
  <c r="F12" i="141"/>
  <c r="H12" i="141"/>
  <c r="O3" i="141"/>
  <c r="D12" i="141"/>
  <c r="J3" i="141"/>
  <c r="T3" i="141"/>
  <c r="P3" i="141"/>
  <c r="I3" i="141"/>
  <c r="Q3" i="141"/>
  <c r="N3" i="141"/>
  <c r="R3" i="141"/>
  <c r="P8" i="141"/>
  <c r="Q8" i="141"/>
  <c r="L8" i="141"/>
  <c r="T8" i="141"/>
  <c r="M8" i="141"/>
  <c r="U6" i="141"/>
  <c r="J8" i="141"/>
  <c r="R8" i="141"/>
  <c r="K8" i="141"/>
  <c r="S8" i="141"/>
  <c r="N8" i="141"/>
  <c r="U7" i="141"/>
  <c r="I8" i="141"/>
  <c r="G10" i="141"/>
  <c r="G11" i="141" s="1"/>
  <c r="I31" i="141"/>
  <c r="Q31" i="141"/>
  <c r="S3" i="141"/>
  <c r="M3" i="141"/>
  <c r="K31" i="141"/>
  <c r="G12" i="141" l="1"/>
  <c r="S95" i="141"/>
  <c r="Q95" i="141"/>
  <c r="J95" i="141"/>
  <c r="I95" i="141"/>
  <c r="P95" i="141"/>
  <c r="U95" i="141"/>
  <c r="U8" i="141"/>
  <c r="U3" i="141"/>
  <c r="M99" i="137" l="1"/>
  <c r="H77" i="137" l="1"/>
  <c r="J28" i="137" l="1"/>
  <c r="J43" i="137" l="1"/>
  <c r="L39" i="137"/>
  <c r="L33" i="137" s="1"/>
  <c r="L44" i="137" s="1"/>
  <c r="J39" i="137"/>
  <c r="X104" i="137"/>
  <c r="W104" i="137"/>
  <c r="V102" i="137"/>
  <c r="V106" i="137" s="1"/>
  <c r="U102" i="137"/>
  <c r="U106" i="137" s="1"/>
  <c r="T102" i="137"/>
  <c r="T106" i="137" s="1"/>
  <c r="S102" i="137"/>
  <c r="S106" i="137" s="1"/>
  <c r="R102" i="137"/>
  <c r="R106" i="137" s="1"/>
  <c r="Q102" i="137"/>
  <c r="Q106" i="137" s="1"/>
  <c r="P102" i="137"/>
  <c r="O102" i="137"/>
  <c r="O106" i="137" s="1"/>
  <c r="N102" i="137"/>
  <c r="M102" i="137"/>
  <c r="L102" i="137"/>
  <c r="L106" i="137" s="1"/>
  <c r="K102" i="137"/>
  <c r="K106" i="137" s="1"/>
  <c r="J102" i="137"/>
  <c r="J106" i="137" s="1"/>
  <c r="W101" i="137"/>
  <c r="W100" i="137"/>
  <c r="J99" i="137"/>
  <c r="J105" i="137" s="1"/>
  <c r="P106" i="137" l="1"/>
  <c r="N76" i="137"/>
  <c r="N86" i="141" s="1"/>
  <c r="N106" i="137"/>
  <c r="L76" i="137"/>
  <c r="L86" i="141" s="1"/>
  <c r="K75" i="137"/>
  <c r="K85" i="141" s="1"/>
  <c r="K79" i="137"/>
  <c r="K99" i="137"/>
  <c r="K105" i="137" s="1"/>
  <c r="T99" i="137"/>
  <c r="T105" i="137" s="1"/>
  <c r="O99" i="137"/>
  <c r="P99" i="137"/>
  <c r="Q99" i="137"/>
  <c r="J107" i="137"/>
  <c r="R99" i="137"/>
  <c r="X102" i="137"/>
  <c r="S99" i="137"/>
  <c r="S105" i="137" s="1"/>
  <c r="L99" i="137"/>
  <c r="L103" i="137" s="1"/>
  <c r="U103" i="137"/>
  <c r="J76" i="137"/>
  <c r="M106" i="137"/>
  <c r="M107" i="137" s="1"/>
  <c r="K76" i="137"/>
  <c r="K86" i="141" s="1"/>
  <c r="N99" i="137"/>
  <c r="V99" i="137"/>
  <c r="V107" i="137" s="1"/>
  <c r="M103" i="137"/>
  <c r="I76" i="137"/>
  <c r="W99" i="137"/>
  <c r="W105" i="137" s="1"/>
  <c r="X99" i="137"/>
  <c r="X105" i="137" s="1"/>
  <c r="W102" i="137"/>
  <c r="W106" i="137" s="1"/>
  <c r="U107" i="137"/>
  <c r="J103" i="137"/>
  <c r="M105" i="137"/>
  <c r="U105" i="137"/>
  <c r="Q105" i="137" l="1"/>
  <c r="O75" i="137"/>
  <c r="O85" i="141" s="1"/>
  <c r="O87" i="141" s="1"/>
  <c r="O88" i="141" s="1"/>
  <c r="O79" i="137"/>
  <c r="R105" i="137"/>
  <c r="P75" i="137"/>
  <c r="P85" i="141" s="1"/>
  <c r="P87" i="141" s="1"/>
  <c r="P88" i="141" s="1"/>
  <c r="P79" i="137"/>
  <c r="I79" i="137"/>
  <c r="I82" i="137" s="1"/>
  <c r="I75" i="137"/>
  <c r="I85" i="141" s="1"/>
  <c r="I87" i="141" s="1"/>
  <c r="I88" i="141" s="1"/>
  <c r="K103" i="137"/>
  <c r="K107" i="137"/>
  <c r="L107" i="137"/>
  <c r="S103" i="137"/>
  <c r="P103" i="137"/>
  <c r="N79" i="137"/>
  <c r="N75" i="137"/>
  <c r="N85" i="141" s="1"/>
  <c r="N87" i="141" s="1"/>
  <c r="N88" i="141" s="1"/>
  <c r="S107" i="137"/>
  <c r="U86" i="141"/>
  <c r="O103" i="137"/>
  <c r="M79" i="137"/>
  <c r="M75" i="137"/>
  <c r="M85" i="141" s="1"/>
  <c r="M87" i="141" s="1"/>
  <c r="M88" i="141" s="1"/>
  <c r="N105" i="137"/>
  <c r="L79" i="137"/>
  <c r="L75" i="137"/>
  <c r="L85" i="141" s="1"/>
  <c r="L87" i="141" s="1"/>
  <c r="L88" i="141" s="1"/>
  <c r="T103" i="137"/>
  <c r="P105" i="137"/>
  <c r="V103" i="137"/>
  <c r="V105" i="137"/>
  <c r="K87" i="141"/>
  <c r="K88" i="141" s="1"/>
  <c r="O107" i="137"/>
  <c r="O105" i="137"/>
  <c r="P107" i="137"/>
  <c r="Q103" i="137"/>
  <c r="N103" i="137"/>
  <c r="R107" i="137"/>
  <c r="L105" i="137"/>
  <c r="J75" i="137"/>
  <c r="J85" i="141" s="1"/>
  <c r="J87" i="141" s="1"/>
  <c r="J88" i="141" s="1"/>
  <c r="J79" i="137"/>
  <c r="Q107" i="137"/>
  <c r="N107" i="137"/>
  <c r="T107" i="137"/>
  <c r="R103" i="137"/>
  <c r="X103" i="137"/>
  <c r="W103" i="137"/>
  <c r="W107" i="137"/>
  <c r="U85" i="141" l="1"/>
  <c r="U87" i="141" s="1"/>
  <c r="U88" i="141" s="1"/>
  <c r="N97" i="105"/>
  <c r="M92" i="135" s="1"/>
  <c r="M167" i="135" s="1"/>
  <c r="AQ102" i="135" l="1"/>
  <c r="AQ103" i="135"/>
  <c r="AQ104" i="135"/>
  <c r="AQ105" i="135"/>
  <c r="AQ106" i="135"/>
  <c r="AP106" i="135"/>
  <c r="AP105" i="135"/>
  <c r="AP104" i="135"/>
  <c r="AP103" i="135"/>
  <c r="AP102" i="135"/>
  <c r="AA43" i="90" l="1"/>
  <c r="AC66" i="135" l="1"/>
  <c r="AC123" i="135" s="1"/>
  <c r="AC67" i="135"/>
  <c r="AA43" i="92"/>
  <c r="AA37" i="82" l="1"/>
  <c r="P27" i="92" l="1"/>
  <c r="BG15" i="120" l="1"/>
  <c r="J33" i="137" l="1"/>
  <c r="J44" i="137" s="1"/>
  <c r="K33" i="137"/>
  <c r="K44" i="137" s="1"/>
  <c r="F36" i="93"/>
  <c r="G33" i="93"/>
  <c r="H33" i="93"/>
  <c r="H36" i="93" s="1"/>
  <c r="J33" i="93"/>
  <c r="J36" i="93" s="1"/>
  <c r="K33" i="93"/>
  <c r="K36" i="93" s="1"/>
  <c r="L33" i="93"/>
  <c r="L36" i="93" s="1"/>
  <c r="M33" i="93"/>
  <c r="M36" i="93" s="1"/>
  <c r="N33" i="93"/>
  <c r="N36" i="93" s="1"/>
  <c r="O33" i="93"/>
  <c r="O36" i="93" s="1"/>
  <c r="AL208" i="135" s="1"/>
  <c r="AL209" i="135" s="1"/>
  <c r="AL210" i="135" s="1"/>
  <c r="P33" i="93"/>
  <c r="P36" i="93" s="1"/>
  <c r="AM208" i="135" s="1"/>
  <c r="AM209" i="135" s="1"/>
  <c r="AM210" i="135" s="1"/>
  <c r="G36" i="93" l="1"/>
  <c r="G34" i="93"/>
  <c r="Q34" i="93" s="1"/>
  <c r="AJ188" i="135"/>
  <c r="G24" i="8" l="1"/>
  <c r="G23" i="8"/>
  <c r="P55" i="90"/>
  <c r="AC36" i="90" s="1"/>
  <c r="P10" i="90" l="1"/>
  <c r="J48" i="141" l="1"/>
  <c r="G76" i="105"/>
  <c r="F21" i="135" s="1"/>
  <c r="F193" i="135" s="1"/>
  <c r="H76" i="105"/>
  <c r="G21" i="135" s="1"/>
  <c r="G193" i="135" s="1"/>
  <c r="I76" i="105"/>
  <c r="H21" i="135" s="1"/>
  <c r="H193" i="135" s="1"/>
  <c r="K76" i="105"/>
  <c r="L76" i="105"/>
  <c r="X22" i="120" s="1"/>
  <c r="M76" i="105"/>
  <c r="G75" i="105"/>
  <c r="H75" i="105"/>
  <c r="I75" i="105"/>
  <c r="K75" i="105"/>
  <c r="M75" i="105"/>
  <c r="K20" i="120" s="1"/>
  <c r="Q20" i="120" s="1"/>
  <c r="H20" i="135" l="1"/>
  <c r="G20" i="120"/>
  <c r="G20" i="135"/>
  <c r="F20" i="120"/>
  <c r="F20" i="135"/>
  <c r="E20" i="120"/>
  <c r="W53" i="8"/>
  <c r="W54" i="8"/>
  <c r="H20" i="120" l="1"/>
  <c r="W51" i="8"/>
  <c r="AA102" i="135"/>
  <c r="AO102" i="135" l="1"/>
  <c r="BU103" i="135"/>
  <c r="BU105" i="135" s="1"/>
  <c r="BU104" i="135"/>
  <c r="BU108" i="135" s="1"/>
  <c r="BV104" i="135"/>
  <c r="BV106" i="135" s="1"/>
  <c r="BV103" i="135"/>
  <c r="BV105" i="135" s="1"/>
  <c r="AN149" i="135"/>
  <c r="BE10" i="120"/>
  <c r="BG10" i="120" s="1"/>
  <c r="BG9" i="120"/>
  <c r="BV107" i="135" l="1"/>
  <c r="BU107" i="135"/>
  <c r="BU106" i="135"/>
  <c r="BV108" i="135"/>
  <c r="W35" i="8"/>
  <c r="W36" i="8"/>
  <c r="W37" i="8"/>
  <c r="Z123" i="135"/>
  <c r="AA103" i="135"/>
  <c r="AA104" i="135"/>
  <c r="AA105" i="135"/>
  <c r="AA106" i="135"/>
  <c r="AO106" i="135" l="1"/>
  <c r="AO105" i="135"/>
  <c r="AO104" i="135"/>
  <c r="AO103" i="135"/>
  <c r="AA107" i="135"/>
  <c r="AB67" i="135" l="1"/>
  <c r="AN67" i="135" s="1"/>
  <c r="AB66" i="135"/>
  <c r="AN66" i="135" s="1"/>
  <c r="AB123" i="135" l="1"/>
  <c r="AN123" i="135" s="1"/>
  <c r="BE12" i="120" l="1"/>
  <c r="BG12" i="120" s="1"/>
  <c r="I41" i="105" l="1"/>
  <c r="O94" i="105"/>
  <c r="N89" i="135" s="1"/>
  <c r="N128" i="135" s="1"/>
  <c r="P94" i="105"/>
  <c r="O89" i="135" s="1"/>
  <c r="O128" i="135" s="1"/>
  <c r="Q94" i="105"/>
  <c r="P89" i="135" s="1"/>
  <c r="P128" i="135" s="1"/>
  <c r="R94" i="105"/>
  <c r="Q89" i="135" s="1"/>
  <c r="Q128" i="135" s="1"/>
  <c r="S94" i="105"/>
  <c r="R89" i="135" s="1"/>
  <c r="T94" i="105"/>
  <c r="S89" i="135" s="1"/>
  <c r="S128" i="135" s="1"/>
  <c r="U94" i="105"/>
  <c r="T89" i="135" s="1"/>
  <c r="T128" i="135" s="1"/>
  <c r="V94" i="105"/>
  <c r="U89" i="135" s="1"/>
  <c r="U128" i="135" s="1"/>
  <c r="W94" i="105"/>
  <c r="V89" i="135" s="1"/>
  <c r="X94" i="105"/>
  <c r="W89" i="135" s="1"/>
  <c r="O95" i="105"/>
  <c r="N90" i="135" s="1"/>
  <c r="N147" i="135" s="1"/>
  <c r="P95" i="105"/>
  <c r="O90" i="135" s="1"/>
  <c r="O147" i="135" s="1"/>
  <c r="Q95" i="105"/>
  <c r="P90" i="135" s="1"/>
  <c r="P147" i="135" s="1"/>
  <c r="R95" i="105"/>
  <c r="Q90" i="135" s="1"/>
  <c r="Q147" i="135" s="1"/>
  <c r="S95" i="105"/>
  <c r="R90" i="135" s="1"/>
  <c r="R147" i="135" s="1"/>
  <c r="T95" i="105"/>
  <c r="S90" i="135" s="1"/>
  <c r="S147" i="135" s="1"/>
  <c r="U95" i="105"/>
  <c r="T90" i="135" s="1"/>
  <c r="T147" i="135" s="1"/>
  <c r="V95" i="105"/>
  <c r="U90" i="135" s="1"/>
  <c r="W95" i="105"/>
  <c r="V90" i="135" s="1"/>
  <c r="V147" i="135" s="1"/>
  <c r="X95" i="105"/>
  <c r="W90" i="135" s="1"/>
  <c r="W147" i="135" s="1"/>
  <c r="O96" i="105"/>
  <c r="N91" i="135" s="1"/>
  <c r="P96" i="105"/>
  <c r="O91" i="135" s="1"/>
  <c r="Q96" i="105"/>
  <c r="P91" i="135" s="1"/>
  <c r="R96" i="105"/>
  <c r="Q91" i="135" s="1"/>
  <c r="S96" i="105"/>
  <c r="R91" i="135" s="1"/>
  <c r="R166" i="135" s="1"/>
  <c r="T96" i="105"/>
  <c r="S91" i="135" s="1"/>
  <c r="S166" i="135" s="1"/>
  <c r="U96" i="105"/>
  <c r="T91" i="135" s="1"/>
  <c r="T166" i="135" s="1"/>
  <c r="V96" i="105"/>
  <c r="U91" i="135" s="1"/>
  <c r="U166" i="135" s="1"/>
  <c r="W96" i="105"/>
  <c r="V91" i="135" s="1"/>
  <c r="V166" i="135" s="1"/>
  <c r="X96" i="105"/>
  <c r="W91" i="135" s="1"/>
  <c r="W166" i="135" s="1"/>
  <c r="O97" i="105"/>
  <c r="N92" i="135" s="1"/>
  <c r="N167" i="135" s="1"/>
  <c r="P97" i="105"/>
  <c r="O92" i="135" s="1"/>
  <c r="O167" i="135" s="1"/>
  <c r="Q97" i="105"/>
  <c r="P92" i="135" s="1"/>
  <c r="P167" i="135" s="1"/>
  <c r="R97" i="105"/>
  <c r="Q92" i="135" s="1"/>
  <c r="Q167" i="135" s="1"/>
  <c r="S97" i="105"/>
  <c r="R92" i="135" s="1"/>
  <c r="R167" i="135" s="1"/>
  <c r="T97" i="105"/>
  <c r="S92" i="135" s="1"/>
  <c r="S167" i="135" s="1"/>
  <c r="U97" i="105"/>
  <c r="T92" i="135" s="1"/>
  <c r="T167" i="135" s="1"/>
  <c r="V97" i="105"/>
  <c r="U92" i="135" s="1"/>
  <c r="U167" i="135" s="1"/>
  <c r="W97" i="105"/>
  <c r="V92" i="135" s="1"/>
  <c r="V167" i="135" s="1"/>
  <c r="X97" i="105"/>
  <c r="W92" i="135" s="1"/>
  <c r="W167" i="135" s="1"/>
  <c r="O98" i="105"/>
  <c r="N93" i="135" s="1"/>
  <c r="N186" i="135" s="1"/>
  <c r="P98" i="105"/>
  <c r="O93" i="135" s="1"/>
  <c r="O186" i="135" s="1"/>
  <c r="Q98" i="105"/>
  <c r="P93" i="135" s="1"/>
  <c r="P186" i="135" s="1"/>
  <c r="R98" i="105"/>
  <c r="Q93" i="135" s="1"/>
  <c r="Q186" i="135" s="1"/>
  <c r="S98" i="105"/>
  <c r="R93" i="135" s="1"/>
  <c r="R186" i="135" s="1"/>
  <c r="T98" i="105"/>
  <c r="S93" i="135" s="1"/>
  <c r="S186" i="135" s="1"/>
  <c r="U98" i="105"/>
  <c r="T93" i="135" s="1"/>
  <c r="T186" i="135" s="1"/>
  <c r="V98" i="105"/>
  <c r="U93" i="135" s="1"/>
  <c r="U186" i="135" s="1"/>
  <c r="W98" i="105"/>
  <c r="V93" i="135" s="1"/>
  <c r="V186" i="135" s="1"/>
  <c r="X98" i="105"/>
  <c r="W93" i="135" s="1"/>
  <c r="W186" i="135" s="1"/>
  <c r="P99" i="105"/>
  <c r="O94" i="135" s="1"/>
  <c r="O206" i="135" s="1"/>
  <c r="Q99" i="105"/>
  <c r="P94" i="135" s="1"/>
  <c r="P206" i="135" s="1"/>
  <c r="R99" i="105"/>
  <c r="Q94" i="135" s="1"/>
  <c r="Q206" i="135" s="1"/>
  <c r="S99" i="105"/>
  <c r="R94" i="135" s="1"/>
  <c r="R206" i="135" s="1"/>
  <c r="T99" i="105"/>
  <c r="S94" i="135" s="1"/>
  <c r="S206" i="135" s="1"/>
  <c r="V99" i="105"/>
  <c r="U94" i="135" s="1"/>
  <c r="U206" i="135" s="1"/>
  <c r="W99" i="105"/>
  <c r="V94" i="135" s="1"/>
  <c r="V206" i="135" s="1"/>
  <c r="X99" i="105"/>
  <c r="W94" i="135" s="1"/>
  <c r="W206" i="135" s="1"/>
  <c r="M89" i="135"/>
  <c r="M128" i="135" s="1"/>
  <c r="M90" i="135"/>
  <c r="M147" i="135" s="1"/>
  <c r="M91" i="135"/>
  <c r="N98" i="105"/>
  <c r="M93" i="135" s="1"/>
  <c r="M186" i="135" s="1"/>
  <c r="N99" i="105"/>
  <c r="M94" i="135" s="1"/>
  <c r="M206" i="135" s="1"/>
  <c r="L89" i="135"/>
  <c r="L128" i="135" s="1"/>
  <c r="L90" i="135"/>
  <c r="L147" i="135" s="1"/>
  <c r="L91" i="135"/>
  <c r="M97" i="105"/>
  <c r="L92" i="135" s="1"/>
  <c r="L167" i="135" s="1"/>
  <c r="M98" i="105"/>
  <c r="L93" i="135" s="1"/>
  <c r="L186" i="135" s="1"/>
  <c r="M99" i="105"/>
  <c r="L94" i="135" s="1"/>
  <c r="L206" i="135" s="1"/>
  <c r="E41" i="105"/>
  <c r="F41" i="105"/>
  <c r="G41" i="105"/>
  <c r="H41" i="105"/>
  <c r="D41" i="105"/>
  <c r="W128" i="135" l="1"/>
  <c r="W95" i="135"/>
  <c r="V128" i="135"/>
  <c r="V95" i="135"/>
  <c r="U147" i="135"/>
  <c r="U95" i="135"/>
  <c r="R128" i="135"/>
  <c r="O95" i="135"/>
  <c r="O166" i="135"/>
  <c r="L166" i="135"/>
  <c r="L95" i="135"/>
  <c r="Q95" i="135"/>
  <c r="Q166" i="135"/>
  <c r="N166" i="135"/>
  <c r="M166" i="135"/>
  <c r="M95" i="135"/>
  <c r="P166" i="135"/>
  <c r="P95" i="135"/>
  <c r="K53" i="105"/>
  <c r="L53" i="105"/>
  <c r="K13" i="85"/>
  <c r="I53" i="105" s="1"/>
  <c r="J13" i="85"/>
  <c r="H53" i="105" s="1"/>
  <c r="I13" i="85"/>
  <c r="G53" i="105" s="1"/>
  <c r="F11" i="135" s="1"/>
  <c r="H13" i="85"/>
  <c r="F53" i="105" s="1"/>
  <c r="E11" i="135" s="1"/>
  <c r="G13" i="85"/>
  <c r="E53" i="105" s="1"/>
  <c r="F13" i="85"/>
  <c r="D53" i="105" s="1"/>
  <c r="E13" i="85"/>
  <c r="D13" i="85"/>
  <c r="D19" i="85" s="1"/>
  <c r="AP209" i="105" l="1"/>
  <c r="AQ209" i="105"/>
  <c r="AR209" i="105"/>
  <c r="AS209" i="105"/>
  <c r="AQ208" i="105"/>
  <c r="AR208" i="105"/>
  <c r="AS208" i="105"/>
  <c r="AP208" i="105"/>
  <c r="AS86" i="105" l="1"/>
  <c r="AT86" i="105"/>
  <c r="AU86" i="105"/>
  <c r="AS87" i="105"/>
  <c r="AT87" i="105"/>
  <c r="AU87" i="105"/>
  <c r="AV87" i="105"/>
  <c r="AS88" i="105"/>
  <c r="AT88" i="105"/>
  <c r="AU88" i="105"/>
  <c r="AV88" i="105"/>
  <c r="AR87" i="105"/>
  <c r="AR88" i="105"/>
  <c r="AR86" i="105"/>
  <c r="CK56" i="105" l="1"/>
  <c r="J23" i="91" l="1"/>
  <c r="Z13" i="85"/>
  <c r="X53" i="105" s="1"/>
  <c r="Y13" i="85"/>
  <c r="W53" i="105" s="1"/>
  <c r="X13" i="85"/>
  <c r="V53" i="105" s="1"/>
  <c r="W13" i="85"/>
  <c r="U53" i="105" s="1"/>
  <c r="T53" i="105"/>
  <c r="U13" i="85"/>
  <c r="S53" i="105" s="1"/>
  <c r="T13" i="85"/>
  <c r="R53" i="105" s="1"/>
  <c r="S13" i="85"/>
  <c r="Q53" i="105" s="1"/>
  <c r="R13" i="85"/>
  <c r="P53" i="105" s="1"/>
  <c r="Q13" i="85"/>
  <c r="O53" i="105" s="1"/>
  <c r="N53" i="105"/>
  <c r="O13" i="85"/>
  <c r="M53" i="105" s="1"/>
  <c r="T67" i="8"/>
  <c r="T66" i="8"/>
  <c r="T62" i="8"/>
  <c r="T61" i="8"/>
  <c r="T54" i="8"/>
  <c r="T53" i="8"/>
  <c r="T52" i="8"/>
  <c r="T51" i="8"/>
  <c r="T50" i="8"/>
  <c r="T49" i="8"/>
  <c r="T48" i="8"/>
  <c r="T47" i="8"/>
  <c r="T46" i="8"/>
  <c r="T45" i="8"/>
  <c r="T44" i="8"/>
  <c r="T43" i="8"/>
  <c r="T42" i="8"/>
  <c r="T41" i="8"/>
  <c r="T40" i="8"/>
  <c r="T35" i="8"/>
  <c r="T34" i="8"/>
  <c r="T33" i="8"/>
  <c r="T32" i="8"/>
  <c r="T31" i="8"/>
  <c r="U30" i="8"/>
  <c r="T30" i="8"/>
  <c r="U29" i="8"/>
  <c r="T29" i="8"/>
  <c r="U28" i="8"/>
  <c r="T28" i="8"/>
  <c r="U27" i="8"/>
  <c r="T27" i="8"/>
  <c r="U26" i="8"/>
  <c r="T26" i="8"/>
  <c r="AA13" i="85" l="1"/>
  <c r="Y53" i="105" s="1"/>
  <c r="T95" i="137" l="1"/>
  <c r="S95" i="137"/>
  <c r="R95" i="137"/>
  <c r="Q95" i="137"/>
  <c r="P95" i="137"/>
  <c r="O95" i="137"/>
  <c r="N95" i="137"/>
  <c r="M95" i="137"/>
  <c r="L95" i="137"/>
  <c r="K95" i="137"/>
  <c r="J95" i="137"/>
  <c r="I95" i="137"/>
  <c r="H95" i="137"/>
  <c r="H96" i="137" s="1"/>
  <c r="G95" i="137"/>
  <c r="G96" i="137" s="1"/>
  <c r="U94" i="137"/>
  <c r="U93" i="137"/>
  <c r="T91" i="137"/>
  <c r="S91" i="137"/>
  <c r="R91" i="137"/>
  <c r="Q91" i="137"/>
  <c r="P91" i="137"/>
  <c r="O91" i="137"/>
  <c r="N91" i="137"/>
  <c r="M91" i="137"/>
  <c r="L91" i="137"/>
  <c r="K91" i="137"/>
  <c r="J91" i="137"/>
  <c r="I91" i="137"/>
  <c r="H91" i="137"/>
  <c r="H92" i="137" s="1"/>
  <c r="G91" i="137"/>
  <c r="G92" i="137" s="1"/>
  <c r="U90" i="137"/>
  <c r="U89" i="137"/>
  <c r="P96" i="137" l="1"/>
  <c r="P84" i="137"/>
  <c r="M96" i="137"/>
  <c r="M84" i="137"/>
  <c r="N96" i="137"/>
  <c r="N84" i="137"/>
  <c r="O96" i="137"/>
  <c r="O84" i="137"/>
  <c r="Q96" i="137"/>
  <c r="Q84" i="137"/>
  <c r="S96" i="137"/>
  <c r="S84" i="137"/>
  <c r="I96" i="137"/>
  <c r="I84" i="137"/>
  <c r="J96" i="137"/>
  <c r="J84" i="137"/>
  <c r="R96" i="137"/>
  <c r="R84" i="137"/>
  <c r="K96" i="137"/>
  <c r="K84" i="137"/>
  <c r="L96" i="137"/>
  <c r="L84" i="137"/>
  <c r="T96" i="137"/>
  <c r="T84" i="137"/>
  <c r="N92" i="137"/>
  <c r="N81" i="137"/>
  <c r="O92" i="137"/>
  <c r="O81" i="137"/>
  <c r="I92" i="137"/>
  <c r="I81" i="137"/>
  <c r="J92" i="137"/>
  <c r="J81" i="137"/>
  <c r="S92" i="137"/>
  <c r="S81" i="137"/>
  <c r="M92" i="137"/>
  <c r="M81" i="137"/>
  <c r="P92" i="137"/>
  <c r="P81" i="137"/>
  <c r="Q92" i="137"/>
  <c r="Q81" i="137"/>
  <c r="R92" i="137"/>
  <c r="R81" i="137"/>
  <c r="K92" i="137"/>
  <c r="K81" i="137"/>
  <c r="L92" i="137"/>
  <c r="L81" i="137"/>
  <c r="T92" i="137"/>
  <c r="T81" i="137"/>
  <c r="U91" i="137"/>
  <c r="U92" i="137" s="1"/>
  <c r="U95" i="137"/>
  <c r="U96" i="137" l="1"/>
  <c r="U84" i="137"/>
  <c r="AA18" i="91"/>
  <c r="H60" i="137" l="1"/>
  <c r="G60" i="137"/>
  <c r="J45" i="137" l="1"/>
  <c r="K45" i="137"/>
  <c r="L45" i="137"/>
  <c r="M45" i="137"/>
  <c r="N45" i="137"/>
  <c r="O45" i="137"/>
  <c r="P45" i="137"/>
  <c r="Q45" i="137"/>
  <c r="R45" i="137"/>
  <c r="S45" i="137"/>
  <c r="T45" i="137"/>
  <c r="U43" i="137"/>
  <c r="J82" i="137" l="1"/>
  <c r="J83" i="137" s="1"/>
  <c r="K82" i="137"/>
  <c r="K83" i="137" s="1"/>
  <c r="L82" i="137"/>
  <c r="L83" i="137" s="1"/>
  <c r="M82" i="137"/>
  <c r="M83" i="137" s="1"/>
  <c r="N82" i="137"/>
  <c r="N83" i="137" s="1"/>
  <c r="O82" i="137"/>
  <c r="O83" i="137" s="1"/>
  <c r="P82" i="137"/>
  <c r="P83" i="137" s="1"/>
  <c r="Q82" i="137"/>
  <c r="Q83" i="137" s="1"/>
  <c r="R82" i="137"/>
  <c r="R83" i="137" s="1"/>
  <c r="S82" i="137"/>
  <c r="S83" i="137" s="1"/>
  <c r="T82" i="137"/>
  <c r="U80" i="137"/>
  <c r="U79" i="137"/>
  <c r="I77" i="137"/>
  <c r="I78" i="137" s="1"/>
  <c r="J77" i="137"/>
  <c r="J78" i="137" s="1"/>
  <c r="K77" i="137"/>
  <c r="K78" i="137" s="1"/>
  <c r="L77" i="137"/>
  <c r="L78" i="137" s="1"/>
  <c r="M77" i="137"/>
  <c r="M78" i="137" s="1"/>
  <c r="N77" i="137"/>
  <c r="N78" i="137" s="1"/>
  <c r="O77" i="137"/>
  <c r="O78" i="137" s="1"/>
  <c r="P77" i="137"/>
  <c r="P78" i="137" s="1"/>
  <c r="Q77" i="137"/>
  <c r="Q78" i="137" s="1"/>
  <c r="R77" i="137"/>
  <c r="R78" i="137" s="1"/>
  <c r="S77" i="137"/>
  <c r="S78" i="137" s="1"/>
  <c r="T77" i="137"/>
  <c r="T78" i="137" s="1"/>
  <c r="H78" i="137"/>
  <c r="G77" i="137"/>
  <c r="G78" i="137" s="1"/>
  <c r="U76" i="137"/>
  <c r="U75" i="137"/>
  <c r="J23" i="137"/>
  <c r="K23" i="137"/>
  <c r="L23" i="137"/>
  <c r="M23" i="137"/>
  <c r="N23" i="137"/>
  <c r="O23" i="137"/>
  <c r="P23" i="137"/>
  <c r="Q23" i="137"/>
  <c r="R23" i="137"/>
  <c r="S23" i="137"/>
  <c r="T23" i="137"/>
  <c r="J24" i="137"/>
  <c r="K24" i="137"/>
  <c r="L24" i="137"/>
  <c r="M24" i="137"/>
  <c r="N24" i="137"/>
  <c r="O24" i="137"/>
  <c r="P24" i="137"/>
  <c r="Q24" i="137"/>
  <c r="R24" i="137"/>
  <c r="S24" i="137"/>
  <c r="T24" i="137"/>
  <c r="J25" i="137"/>
  <c r="K25" i="137"/>
  <c r="L25" i="137"/>
  <c r="M25" i="137"/>
  <c r="N25" i="137"/>
  <c r="O25" i="137"/>
  <c r="P25" i="137"/>
  <c r="Q25" i="137"/>
  <c r="R25" i="137"/>
  <c r="S25" i="137"/>
  <c r="T25" i="137"/>
  <c r="J26" i="137"/>
  <c r="K26" i="137"/>
  <c r="L26" i="137"/>
  <c r="M26" i="137"/>
  <c r="N26" i="137"/>
  <c r="O26" i="137"/>
  <c r="P26" i="137"/>
  <c r="Q26" i="137"/>
  <c r="R26" i="137"/>
  <c r="S26" i="137"/>
  <c r="T26" i="137"/>
  <c r="J27" i="137"/>
  <c r="K27" i="137"/>
  <c r="L27" i="137"/>
  <c r="M27" i="137"/>
  <c r="N27" i="137"/>
  <c r="O27" i="137"/>
  <c r="P27" i="137"/>
  <c r="Q27" i="137"/>
  <c r="R27" i="137"/>
  <c r="S27" i="137"/>
  <c r="T27" i="137"/>
  <c r="K28" i="137"/>
  <c r="L28" i="137"/>
  <c r="M28" i="137"/>
  <c r="N28" i="137"/>
  <c r="O28" i="137"/>
  <c r="P28" i="137"/>
  <c r="Q28" i="137"/>
  <c r="R28" i="137"/>
  <c r="S28" i="137"/>
  <c r="T28" i="137"/>
  <c r="L54" i="105"/>
  <c r="K41" i="135"/>
  <c r="Z41" i="135" s="1"/>
  <c r="T83" i="137"/>
  <c r="I83" i="137"/>
  <c r="H34" i="137"/>
  <c r="I30" i="137" s="1"/>
  <c r="H35" i="137"/>
  <c r="H36" i="137"/>
  <c r="H37" i="137"/>
  <c r="H38" i="137"/>
  <c r="H39" i="137"/>
  <c r="H40" i="137"/>
  <c r="H41" i="137"/>
  <c r="H42" i="137"/>
  <c r="H43" i="137"/>
  <c r="H33" i="137"/>
  <c r="H30" i="137" s="1"/>
  <c r="U42" i="137"/>
  <c r="U41" i="137"/>
  <c r="U40" i="137"/>
  <c r="U38" i="137"/>
  <c r="U36" i="137"/>
  <c r="U35" i="137"/>
  <c r="H82" i="137"/>
  <c r="H83" i="137" s="1"/>
  <c r="G82" i="137"/>
  <c r="G83" i="137" s="1"/>
  <c r="K139" i="135" l="1"/>
  <c r="U39" i="137"/>
  <c r="U77" i="137"/>
  <c r="U78" i="137" s="1"/>
  <c r="U82" i="137"/>
  <c r="U83" i="137" s="1"/>
  <c r="J29" i="137"/>
  <c r="K29" i="137"/>
  <c r="L29" i="137"/>
  <c r="M29" i="137"/>
  <c r="N29" i="137"/>
  <c r="O29" i="137"/>
  <c r="P29" i="137"/>
  <c r="Q29" i="137"/>
  <c r="R29" i="137"/>
  <c r="S29" i="137"/>
  <c r="T29" i="137"/>
  <c r="I28" i="137"/>
  <c r="I29" i="137" s="1"/>
  <c r="I24" i="137"/>
  <c r="I25" i="137"/>
  <c r="I26" i="137"/>
  <c r="I27" i="137"/>
  <c r="I23" i="137"/>
  <c r="D27" i="137"/>
  <c r="C27" i="137"/>
  <c r="B27" i="137"/>
  <c r="H27" i="137" s="1"/>
  <c r="D26" i="137"/>
  <c r="C26" i="137"/>
  <c r="B26" i="137"/>
  <c r="H26" i="137" s="1"/>
  <c r="D25" i="137"/>
  <c r="C25" i="137"/>
  <c r="B25" i="137"/>
  <c r="H25" i="137" s="1"/>
  <c r="D24" i="137"/>
  <c r="C24" i="137"/>
  <c r="B24" i="137"/>
  <c r="H24" i="137" s="1"/>
  <c r="D23" i="137"/>
  <c r="C23" i="137"/>
  <c r="B23" i="137"/>
  <c r="G34" i="137"/>
  <c r="J30" i="137" s="1"/>
  <c r="G35" i="137"/>
  <c r="G36" i="137"/>
  <c r="G37" i="137"/>
  <c r="G38" i="137"/>
  <c r="G39" i="137"/>
  <c r="G40" i="137"/>
  <c r="G41" i="137"/>
  <c r="G42" i="137"/>
  <c r="G43" i="137"/>
  <c r="G33" i="137"/>
  <c r="G30" i="137" s="1"/>
  <c r="I37" i="137"/>
  <c r="I39" i="137"/>
  <c r="B52" i="137"/>
  <c r="C52" i="137"/>
  <c r="D52" i="137"/>
  <c r="E52" i="137"/>
  <c r="F52" i="137"/>
  <c r="B55" i="137"/>
  <c r="C55" i="137"/>
  <c r="D55" i="137"/>
  <c r="E55" i="137"/>
  <c r="F55" i="137"/>
  <c r="B57" i="137"/>
  <c r="B58" i="137" s="1"/>
  <c r="C57" i="137"/>
  <c r="C58" i="137" s="1"/>
  <c r="D57" i="137"/>
  <c r="D58" i="137" s="1"/>
  <c r="E57" i="137"/>
  <c r="E58" i="137" s="1"/>
  <c r="F57" i="137"/>
  <c r="F58" i="137" s="1"/>
  <c r="G9" i="137"/>
  <c r="C7" i="138"/>
  <c r="J53" i="137" s="1"/>
  <c r="D7" i="138"/>
  <c r="E7" i="138"/>
  <c r="F7" i="138"/>
  <c r="M53" i="137" s="1"/>
  <c r="G7" i="138"/>
  <c r="N53" i="137" s="1"/>
  <c r="N55" i="137" s="1"/>
  <c r="H7" i="138"/>
  <c r="I7" i="138"/>
  <c r="J7" i="138"/>
  <c r="Q53" i="137" s="1"/>
  <c r="K7" i="138"/>
  <c r="R53" i="137" s="1"/>
  <c r="L7" i="138"/>
  <c r="M7" i="138"/>
  <c r="C8" i="138"/>
  <c r="J54" i="137" s="1"/>
  <c r="D8" i="138"/>
  <c r="K54" i="137" s="1"/>
  <c r="E8" i="138"/>
  <c r="L54" i="137" s="1"/>
  <c r="F8" i="138"/>
  <c r="G8" i="138"/>
  <c r="N54" i="137" s="1"/>
  <c r="H8" i="138"/>
  <c r="O54" i="137" s="1"/>
  <c r="I8" i="138"/>
  <c r="P54" i="137" s="1"/>
  <c r="J8" i="138"/>
  <c r="K8" i="138"/>
  <c r="R54" i="137" s="1"/>
  <c r="L8" i="138"/>
  <c r="S54" i="137" s="1"/>
  <c r="M8" i="138"/>
  <c r="T54" i="137" s="1"/>
  <c r="O12" i="138"/>
  <c r="O9" i="138"/>
  <c r="O6" i="138"/>
  <c r="B8" i="138"/>
  <c r="I54" i="137" s="1"/>
  <c r="B7" i="138"/>
  <c r="B9" i="138" s="1"/>
  <c r="C64" i="138"/>
  <c r="D64" i="138"/>
  <c r="E64" i="138"/>
  <c r="F64" i="138"/>
  <c r="G64" i="138"/>
  <c r="G66" i="138" s="1"/>
  <c r="H64" i="138"/>
  <c r="H66" i="138" s="1"/>
  <c r="I64" i="138"/>
  <c r="I66" i="138" s="1"/>
  <c r="J64" i="138"/>
  <c r="J66" i="138" s="1"/>
  <c r="K64" i="138"/>
  <c r="L64" i="138"/>
  <c r="M64" i="138"/>
  <c r="F66" i="138"/>
  <c r="C69" i="138"/>
  <c r="D69" i="138"/>
  <c r="E69" i="138"/>
  <c r="F69" i="138"/>
  <c r="G69" i="138"/>
  <c r="H69" i="138"/>
  <c r="I69" i="138"/>
  <c r="J69" i="138"/>
  <c r="K69" i="138"/>
  <c r="L69" i="138"/>
  <c r="M69" i="138"/>
  <c r="C52" i="138"/>
  <c r="D52" i="138"/>
  <c r="E52" i="138"/>
  <c r="F52" i="138"/>
  <c r="G52" i="138"/>
  <c r="H52" i="138"/>
  <c r="I52" i="138"/>
  <c r="J52" i="138"/>
  <c r="K52" i="138"/>
  <c r="L52" i="138"/>
  <c r="M52" i="138"/>
  <c r="C57" i="138"/>
  <c r="D57" i="138"/>
  <c r="E57" i="138"/>
  <c r="F57" i="138"/>
  <c r="G57" i="138"/>
  <c r="H57" i="138"/>
  <c r="I57" i="138"/>
  <c r="J57" i="138"/>
  <c r="K57" i="138"/>
  <c r="L57" i="138"/>
  <c r="M57" i="138"/>
  <c r="C40" i="138"/>
  <c r="D40" i="138"/>
  <c r="E40" i="138"/>
  <c r="F40" i="138"/>
  <c r="G40" i="138"/>
  <c r="H40" i="138"/>
  <c r="I40" i="138"/>
  <c r="J40" i="138"/>
  <c r="K40" i="138"/>
  <c r="L40" i="138"/>
  <c r="M40" i="138"/>
  <c r="C45" i="138"/>
  <c r="D45" i="138"/>
  <c r="E45" i="138"/>
  <c r="F45" i="138"/>
  <c r="G45" i="138"/>
  <c r="H45" i="138"/>
  <c r="I45" i="138"/>
  <c r="J45" i="138"/>
  <c r="K45" i="138"/>
  <c r="L45" i="138"/>
  <c r="M45" i="138"/>
  <c r="C28" i="138"/>
  <c r="D28" i="138"/>
  <c r="E28" i="138"/>
  <c r="F28" i="138"/>
  <c r="G28" i="138"/>
  <c r="H28" i="138"/>
  <c r="I28" i="138"/>
  <c r="J28" i="138"/>
  <c r="K28" i="138"/>
  <c r="L28" i="138"/>
  <c r="M28" i="138"/>
  <c r="C33" i="138"/>
  <c r="D33" i="138"/>
  <c r="E33" i="138"/>
  <c r="F33" i="138"/>
  <c r="G33" i="138"/>
  <c r="H33" i="138"/>
  <c r="I33" i="138"/>
  <c r="J33" i="138"/>
  <c r="K33" i="138"/>
  <c r="L33" i="138"/>
  <c r="M33" i="138"/>
  <c r="C16" i="138"/>
  <c r="D16" i="138"/>
  <c r="E16" i="138"/>
  <c r="F16" i="138"/>
  <c r="G16" i="138"/>
  <c r="H16" i="138"/>
  <c r="I16" i="138"/>
  <c r="J16" i="138"/>
  <c r="K16" i="138"/>
  <c r="L16" i="138"/>
  <c r="M16" i="138"/>
  <c r="C21" i="138"/>
  <c r="D21" i="138"/>
  <c r="E21" i="138"/>
  <c r="F21" i="138"/>
  <c r="G21" i="138"/>
  <c r="H21" i="138"/>
  <c r="I21" i="138"/>
  <c r="J21" i="138"/>
  <c r="K21" i="138"/>
  <c r="L21" i="138"/>
  <c r="M21" i="138"/>
  <c r="B64" i="138"/>
  <c r="B52" i="138"/>
  <c r="B40" i="138"/>
  <c r="B28" i="138"/>
  <c r="B16" i="138"/>
  <c r="B69" i="138"/>
  <c r="B57" i="138"/>
  <c r="B45" i="138"/>
  <c r="B33" i="138"/>
  <c r="B21" i="138"/>
  <c r="U11" i="138"/>
  <c r="U12" i="138" s="1"/>
  <c r="T11" i="138"/>
  <c r="T12" i="138" s="1"/>
  <c r="S11" i="138"/>
  <c r="S12" i="138" s="1"/>
  <c r="R11" i="138"/>
  <c r="R12" i="138" s="1"/>
  <c r="Q11" i="138"/>
  <c r="Q12" i="138" s="1"/>
  <c r="V10" i="138"/>
  <c r="U9" i="138"/>
  <c r="T9" i="138"/>
  <c r="S9" i="138"/>
  <c r="R9" i="138"/>
  <c r="Q9" i="138"/>
  <c r="V8" i="138"/>
  <c r="V7" i="138"/>
  <c r="U6" i="138"/>
  <c r="T6" i="138"/>
  <c r="S6" i="138"/>
  <c r="R6" i="138"/>
  <c r="Q6" i="138"/>
  <c r="V5" i="138"/>
  <c r="V4" i="138"/>
  <c r="N16" i="138" l="1"/>
  <c r="N52" i="138"/>
  <c r="N54" i="138" s="1"/>
  <c r="N40" i="138"/>
  <c r="N28" i="138"/>
  <c r="N30" i="138" s="1"/>
  <c r="K66" i="138"/>
  <c r="N64" i="138"/>
  <c r="N66" i="138" s="1"/>
  <c r="B4" i="138"/>
  <c r="I50" i="137" s="1"/>
  <c r="K9" i="138"/>
  <c r="R55" i="137"/>
  <c r="J55" i="137"/>
  <c r="J9" i="138"/>
  <c r="Q54" i="137"/>
  <c r="Q55" i="137" s="1"/>
  <c r="M9" i="138"/>
  <c r="T53" i="137"/>
  <c r="T55" i="137" s="1"/>
  <c r="L9" i="138"/>
  <c r="S53" i="137"/>
  <c r="S55" i="137" s="1"/>
  <c r="U13" i="138"/>
  <c r="V6" i="138"/>
  <c r="S13" i="138"/>
  <c r="O13" i="138"/>
  <c r="T13" i="138"/>
  <c r="I9" i="138"/>
  <c r="P53" i="137"/>
  <c r="P55" i="137" s="1"/>
  <c r="H9" i="138"/>
  <c r="O53" i="137"/>
  <c r="O55" i="137" s="1"/>
  <c r="G9" i="138"/>
  <c r="E9" i="138"/>
  <c r="L53" i="137"/>
  <c r="L55" i="137" s="1"/>
  <c r="F9" i="138"/>
  <c r="M54" i="137"/>
  <c r="M55" i="137" s="1"/>
  <c r="F4" i="138"/>
  <c r="M50" i="137" s="1"/>
  <c r="E4" i="138"/>
  <c r="L50" i="137" s="1"/>
  <c r="L4" i="138"/>
  <c r="S50" i="137" s="1"/>
  <c r="K4" i="138"/>
  <c r="R50" i="137" s="1"/>
  <c r="M4" i="138"/>
  <c r="T50" i="137" s="1"/>
  <c r="J4" i="138"/>
  <c r="Q50" i="137" s="1"/>
  <c r="I4" i="138"/>
  <c r="P50" i="137" s="1"/>
  <c r="H4" i="138"/>
  <c r="O50" i="137" s="1"/>
  <c r="N8" i="138"/>
  <c r="U54" i="137" s="1"/>
  <c r="D9" i="138"/>
  <c r="K53" i="137"/>
  <c r="K55" i="137" s="1"/>
  <c r="D4" i="138"/>
  <c r="K50" i="137" s="1"/>
  <c r="C9" i="138"/>
  <c r="C4" i="138"/>
  <c r="J50" i="137" s="1"/>
  <c r="V9" i="138"/>
  <c r="G44" i="137"/>
  <c r="G45" i="137" s="1"/>
  <c r="G25" i="137"/>
  <c r="E66" i="138"/>
  <c r="L66" i="138"/>
  <c r="D66" i="138"/>
  <c r="G4" i="138"/>
  <c r="N50" i="137" s="1"/>
  <c r="N7" i="138"/>
  <c r="I53" i="137"/>
  <c r="I34" i="137"/>
  <c r="I33" i="137" s="1"/>
  <c r="U37" i="137"/>
  <c r="U34" i="137" s="1"/>
  <c r="G26" i="137"/>
  <c r="D59" i="137"/>
  <c r="D28" i="137"/>
  <c r="G24" i="137"/>
  <c r="B28" i="137"/>
  <c r="H28" i="137" s="1"/>
  <c r="H29" i="137" s="1"/>
  <c r="C28" i="137"/>
  <c r="G27" i="137"/>
  <c r="H23" i="137"/>
  <c r="G23" i="137"/>
  <c r="F59" i="137"/>
  <c r="E59" i="137"/>
  <c r="C59" i="137"/>
  <c r="B59" i="137"/>
  <c r="B66" i="138"/>
  <c r="B18" i="138"/>
  <c r="Q13" i="138"/>
  <c r="R13" i="138"/>
  <c r="V11" i="138"/>
  <c r="V12" i="138" s="1"/>
  <c r="D44" i="137"/>
  <c r="B44" i="137"/>
  <c r="G16" i="137"/>
  <c r="N4" i="138" l="1"/>
  <c r="N9" i="138"/>
  <c r="U53" i="137"/>
  <c r="U55" i="137" s="1"/>
  <c r="V13" i="138"/>
  <c r="G28" i="137"/>
  <c r="G29" i="137" s="1"/>
  <c r="I55" i="137"/>
  <c r="I44" i="137"/>
  <c r="I45" i="137" s="1"/>
  <c r="U33" i="137"/>
  <c r="U44" i="137" s="1"/>
  <c r="U45" i="137" s="1"/>
  <c r="C44" i="137"/>
  <c r="F4" i="137"/>
  <c r="F5" i="137"/>
  <c r="F6" i="137"/>
  <c r="F7" i="137"/>
  <c r="F3" i="137"/>
  <c r="H19" i="137"/>
  <c r="E18" i="137"/>
  <c r="D18" i="137"/>
  <c r="C18" i="137"/>
  <c r="B18" i="137"/>
  <c r="G17" i="137"/>
  <c r="G15" i="137"/>
  <c r="G14" i="137"/>
  <c r="G13" i="137"/>
  <c r="U50" i="137" l="1"/>
  <c r="B19" i="137"/>
  <c r="C19" i="137" s="1"/>
  <c r="G18" i="137"/>
  <c r="G19" i="137" s="1"/>
  <c r="H44" i="137" l="1"/>
  <c r="H45" i="137" s="1"/>
  <c r="H6" i="137" l="1"/>
  <c r="H8" i="137" s="1"/>
  <c r="H9" i="137" s="1"/>
  <c r="BF27" i="120" l="1"/>
  <c r="BI27" i="120" s="1"/>
  <c r="BE27" i="120"/>
  <c r="BH27" i="120" s="1"/>
  <c r="BE11" i="120"/>
  <c r="BG11" i="120" s="1"/>
  <c r="AU232" i="105" l="1"/>
  <c r="AV203" i="105" s="1"/>
  <c r="L12" i="120" s="1"/>
  <c r="AV232" i="105"/>
  <c r="AW203" i="105" s="1"/>
  <c r="M12" i="120" s="1"/>
  <c r="AW232" i="105"/>
  <c r="AX203" i="105" s="1"/>
  <c r="N12" i="120" s="1"/>
  <c r="AX232" i="105"/>
  <c r="AY203" i="105" s="1"/>
  <c r="O12" i="120" s="1"/>
  <c r="AY232" i="105"/>
  <c r="AZ203" i="105" s="1"/>
  <c r="P12" i="120" s="1"/>
  <c r="AZ232" i="105"/>
  <c r="BA203" i="105" s="1"/>
  <c r="R12" i="120" s="1"/>
  <c r="BA232" i="105"/>
  <c r="BB203" i="105" s="1"/>
  <c r="S12" i="120" s="1"/>
  <c r="BB232" i="105"/>
  <c r="BC203" i="105" s="1"/>
  <c r="T12" i="120" s="1"/>
  <c r="BC232" i="105"/>
  <c r="BD203" i="105" s="1"/>
  <c r="U12" i="120" s="1"/>
  <c r="BD232" i="105"/>
  <c r="BE203" i="105" s="1"/>
  <c r="V12" i="120" s="1"/>
  <c r="BE232" i="105"/>
  <c r="BF203" i="105" s="1"/>
  <c r="W12" i="120" s="1"/>
  <c r="AT232" i="105"/>
  <c r="AU203" i="105" l="1"/>
  <c r="K12" i="120" s="1"/>
  <c r="Q12" i="120"/>
  <c r="AU204" i="105" l="1"/>
  <c r="AV204" i="105" s="1"/>
  <c r="AW204" i="105" s="1"/>
  <c r="AX204" i="105" s="1"/>
  <c r="AY204" i="105" s="1"/>
  <c r="AZ204" i="105" s="1"/>
  <c r="BA204" i="105" s="1"/>
  <c r="BB204" i="105" s="1"/>
  <c r="BC204" i="105" s="1"/>
  <c r="BD204" i="105" s="1"/>
  <c r="BE204" i="105" s="1"/>
  <c r="BF204" i="105" s="1"/>
  <c r="BG203" i="105"/>
  <c r="O55" i="90"/>
  <c r="AB36" i="90" s="1"/>
  <c r="F64" i="8"/>
  <c r="F31" i="136" l="1"/>
  <c r="F32" i="136"/>
  <c r="F34" i="136"/>
  <c r="F35" i="136"/>
  <c r="F30" i="136"/>
  <c r="E36" i="136"/>
  <c r="E33" i="136"/>
  <c r="D36" i="136"/>
  <c r="D33" i="136"/>
  <c r="C36" i="136"/>
  <c r="C33" i="136"/>
  <c r="D37" i="136" l="1"/>
  <c r="F36" i="136"/>
  <c r="F33" i="136"/>
  <c r="C37" i="136"/>
  <c r="E37" i="136"/>
  <c r="F37" i="136" l="1"/>
  <c r="F113" i="135"/>
  <c r="G113" i="135"/>
  <c r="E113" i="135" l="1"/>
  <c r="H113" i="135"/>
  <c r="AD208" i="135" l="1"/>
  <c r="AE208" i="135"/>
  <c r="AF208" i="135"/>
  <c r="AG208" i="135"/>
  <c r="AH208" i="135"/>
  <c r="AI208" i="135"/>
  <c r="AK208" i="135"/>
  <c r="AJ208" i="135" l="1"/>
  <c r="J19" i="85"/>
  <c r="P10" i="132" l="1"/>
  <c r="Q10" i="132"/>
  <c r="R10" i="132"/>
  <c r="S10" i="132"/>
  <c r="T10" i="132"/>
  <c r="U10" i="132"/>
  <c r="V10" i="132"/>
  <c r="W10" i="132"/>
  <c r="X10" i="132"/>
  <c r="Y10" i="132"/>
  <c r="Z10" i="132"/>
  <c r="O10" i="132"/>
  <c r="F17" i="90" l="1"/>
  <c r="G17" i="90"/>
  <c r="K22" i="92"/>
  <c r="J22" i="92"/>
  <c r="F22" i="92"/>
  <c r="E22" i="92"/>
  <c r="D22" i="92"/>
  <c r="F23" i="92"/>
  <c r="J23" i="92"/>
  <c r="I23" i="91"/>
  <c r="K24" i="92"/>
  <c r="J24" i="92"/>
  <c r="I24" i="92"/>
  <c r="I22" i="91" l="1"/>
  <c r="J22" i="91"/>
  <c r="K22" i="91"/>
  <c r="K24" i="91"/>
  <c r="J24" i="91"/>
  <c r="I24" i="91"/>
  <c r="K18" i="90" l="1"/>
  <c r="J18" i="90"/>
  <c r="I18" i="90"/>
  <c r="K18" i="82"/>
  <c r="J18" i="82"/>
  <c r="I18" i="82"/>
  <c r="BT104" i="135" l="1"/>
  <c r="BT103" i="135"/>
  <c r="BT105" i="135" s="1"/>
  <c r="Y208" i="135"/>
  <c r="Y188" i="135"/>
  <c r="Z208" i="135" l="1"/>
  <c r="Z188" i="135"/>
  <c r="BT108" i="135"/>
  <c r="BT106" i="135"/>
  <c r="BT107" i="135"/>
  <c r="K16" i="90"/>
  <c r="J18" i="85"/>
  <c r="K18" i="85"/>
  <c r="J16" i="82"/>
  <c r="K16" i="82"/>
  <c r="Z149" i="135" l="1"/>
  <c r="D74" i="105" l="1"/>
  <c r="E74" i="105"/>
  <c r="D73" i="105"/>
  <c r="E73" i="105"/>
  <c r="D72" i="105"/>
  <c r="D94" i="105"/>
  <c r="E94" i="105"/>
  <c r="F100" i="135"/>
  <c r="F207" i="135" s="1"/>
  <c r="G100" i="135"/>
  <c r="G207" i="135" s="1"/>
  <c r="H100" i="135"/>
  <c r="J100" i="135"/>
  <c r="E100" i="135"/>
  <c r="E207" i="135" s="1"/>
  <c r="F99" i="135"/>
  <c r="F187" i="135" s="1"/>
  <c r="G99" i="135"/>
  <c r="G187" i="135" s="1"/>
  <c r="H99" i="135"/>
  <c r="J99" i="135"/>
  <c r="E99" i="135"/>
  <c r="E187" i="135" s="1"/>
  <c r="F98" i="135"/>
  <c r="F168" i="135" s="1"/>
  <c r="G98" i="135"/>
  <c r="G168" i="135" s="1"/>
  <c r="H98" i="135"/>
  <c r="J98" i="135"/>
  <c r="E98" i="135"/>
  <c r="E168" i="135" s="1"/>
  <c r="F97" i="135"/>
  <c r="F148" i="135" s="1"/>
  <c r="G97" i="135"/>
  <c r="G148" i="135" s="1"/>
  <c r="H97" i="135"/>
  <c r="J97" i="135"/>
  <c r="E97" i="135"/>
  <c r="E148" i="135" s="1"/>
  <c r="F96" i="135"/>
  <c r="F129" i="135" s="1"/>
  <c r="G96" i="135"/>
  <c r="G129" i="135" s="1"/>
  <c r="H96" i="135"/>
  <c r="J96" i="135"/>
  <c r="Y96" i="135" s="1"/>
  <c r="E96" i="135"/>
  <c r="E129" i="135" s="1"/>
  <c r="F72" i="135"/>
  <c r="G72" i="135"/>
  <c r="F73" i="135"/>
  <c r="F145" i="135" s="1"/>
  <c r="G73" i="135"/>
  <c r="G145" i="135" s="1"/>
  <c r="F74" i="135"/>
  <c r="F163" i="135" s="1"/>
  <c r="G74" i="135"/>
  <c r="G163" i="135" s="1"/>
  <c r="F75" i="135"/>
  <c r="F183" i="135" s="1"/>
  <c r="G75" i="135"/>
  <c r="G183" i="135" s="1"/>
  <c r="F76" i="135"/>
  <c r="F203" i="135" s="1"/>
  <c r="G76" i="135"/>
  <c r="G203" i="135" s="1"/>
  <c r="J76" i="135"/>
  <c r="E76" i="135"/>
  <c r="E203" i="135" s="1"/>
  <c r="E75" i="135"/>
  <c r="E183" i="135" s="1"/>
  <c r="E74" i="135"/>
  <c r="E163" i="135" s="1"/>
  <c r="E73" i="135"/>
  <c r="E145" i="135" s="1"/>
  <c r="E72" i="135"/>
  <c r="F44" i="135"/>
  <c r="F197" i="135" s="1"/>
  <c r="G44" i="135"/>
  <c r="G197" i="135" s="1"/>
  <c r="H44" i="135"/>
  <c r="J44" i="135"/>
  <c r="E44" i="135"/>
  <c r="E197" i="135" s="1"/>
  <c r="F43" i="135"/>
  <c r="F177" i="135" s="1"/>
  <c r="G43" i="135"/>
  <c r="G177" i="135" s="1"/>
  <c r="H43" i="135"/>
  <c r="J43" i="135"/>
  <c r="E43" i="135"/>
  <c r="E177" i="135" s="1"/>
  <c r="F41" i="135"/>
  <c r="F139" i="135" s="1"/>
  <c r="G41" i="135"/>
  <c r="G139" i="135" s="1"/>
  <c r="H41" i="135"/>
  <c r="J41" i="135"/>
  <c r="E41" i="135"/>
  <c r="E139" i="135" s="1"/>
  <c r="F40" i="135"/>
  <c r="F119" i="135" s="1"/>
  <c r="G40" i="135"/>
  <c r="G119" i="135" s="1"/>
  <c r="H40" i="135"/>
  <c r="J40" i="135"/>
  <c r="E40" i="135"/>
  <c r="J119" i="135" l="1"/>
  <c r="Y40" i="135"/>
  <c r="J168" i="135"/>
  <c r="Y98" i="135"/>
  <c r="J187" i="135"/>
  <c r="Y99" i="135"/>
  <c r="J177" i="135"/>
  <c r="Y43" i="135"/>
  <c r="J203" i="135"/>
  <c r="Y76" i="135"/>
  <c r="Z76" i="135" s="1"/>
  <c r="J207" i="135"/>
  <c r="Y100" i="135"/>
  <c r="J197" i="135"/>
  <c r="Y44" i="135"/>
  <c r="Y197" i="135" s="1"/>
  <c r="J139" i="135"/>
  <c r="Y41" i="135"/>
  <c r="J148" i="135"/>
  <c r="Y97" i="135"/>
  <c r="AK139" i="135"/>
  <c r="H197" i="135"/>
  <c r="AK45" i="135"/>
  <c r="AK119" i="135"/>
  <c r="AK177" i="135"/>
  <c r="AH139" i="135"/>
  <c r="AG139" i="135"/>
  <c r="AF139" i="135"/>
  <c r="AE139" i="135"/>
  <c r="AJ197" i="135"/>
  <c r="AI197" i="135"/>
  <c r="AH197" i="135"/>
  <c r="AG197" i="135"/>
  <c r="AF197" i="135"/>
  <c r="AE197" i="135"/>
  <c r="AD197" i="135"/>
  <c r="AC197" i="135"/>
  <c r="AH177" i="135"/>
  <c r="AG177" i="135"/>
  <c r="AF177" i="135"/>
  <c r="AE177" i="135"/>
  <c r="AD177" i="135"/>
  <c r="AC177" i="135"/>
  <c r="AD119" i="135"/>
  <c r="AC119" i="135"/>
  <c r="AB197" i="135"/>
  <c r="H168" i="135"/>
  <c r="H207" i="135"/>
  <c r="H148" i="135"/>
  <c r="H187" i="135"/>
  <c r="H129" i="135"/>
  <c r="H177" i="135"/>
  <c r="H139" i="135"/>
  <c r="J129" i="135"/>
  <c r="G101" i="135"/>
  <c r="F101" i="135"/>
  <c r="E101" i="135"/>
  <c r="H101" i="135"/>
  <c r="E77" i="135"/>
  <c r="E125" i="135"/>
  <c r="F77" i="135"/>
  <c r="F125" i="135"/>
  <c r="G77" i="135"/>
  <c r="G125" i="135"/>
  <c r="G45" i="135"/>
  <c r="E45" i="135"/>
  <c r="H45" i="135"/>
  <c r="F45" i="135"/>
  <c r="H119" i="135"/>
  <c r="E119" i="135"/>
  <c r="J45" i="135"/>
  <c r="AK197" i="135" l="1"/>
  <c r="AN197" i="135" s="1"/>
  <c r="AN43" i="135"/>
  <c r="AN44" i="135"/>
  <c r="AN40" i="135"/>
  <c r="AN41" i="135"/>
  <c r="AI177" i="135"/>
  <c r="AJ177" i="135"/>
  <c r="AI45" i="135"/>
  <c r="AI119" i="135"/>
  <c r="AJ45" i="135"/>
  <c r="AJ119" i="135"/>
  <c r="AI139" i="135"/>
  <c r="AJ139" i="135"/>
  <c r="Z97" i="135"/>
  <c r="Z100" i="135"/>
  <c r="Z207" i="135" s="1"/>
  <c r="Z98" i="135"/>
  <c r="Z168" i="135" s="1"/>
  <c r="Z99" i="135"/>
  <c r="Z187" i="135" s="1"/>
  <c r="AF119" i="135"/>
  <c r="AF45" i="135"/>
  <c r="AE119" i="135"/>
  <c r="AE45" i="135"/>
  <c r="AG45" i="135"/>
  <c r="AG119" i="135"/>
  <c r="Z96" i="135"/>
  <c r="Z129" i="135" s="1"/>
  <c r="AH119" i="135"/>
  <c r="AH45" i="135"/>
  <c r="AC139" i="135"/>
  <c r="AC45" i="135"/>
  <c r="AD139" i="135"/>
  <c r="AD45" i="135"/>
  <c r="AB119" i="135"/>
  <c r="Z139" i="135"/>
  <c r="AB139" i="135"/>
  <c r="AB177" i="135"/>
  <c r="Z119" i="135"/>
  <c r="AB45" i="135"/>
  <c r="Y101" i="135"/>
  <c r="Y187" i="135"/>
  <c r="Y207" i="135"/>
  <c r="Y177" i="135"/>
  <c r="Y168" i="135"/>
  <c r="Y148" i="135"/>
  <c r="Y129" i="135"/>
  <c r="Y139" i="135"/>
  <c r="Y119" i="135"/>
  <c r="Y45" i="135"/>
  <c r="AN177" i="135" l="1"/>
  <c r="AN119" i="135"/>
  <c r="AN139" i="135"/>
  <c r="AN45" i="135"/>
  <c r="M98" i="102" l="1"/>
  <c r="M99" i="102"/>
  <c r="M96" i="102"/>
  <c r="M59" i="102"/>
  <c r="N59" i="102" s="1"/>
  <c r="M60" i="102"/>
  <c r="N60" i="102" s="1"/>
  <c r="M61" i="102"/>
  <c r="M62" i="102"/>
  <c r="M58" i="102"/>
  <c r="N58" i="102" s="1"/>
  <c r="AC97" i="102"/>
  <c r="AD97" i="102"/>
  <c r="AE97" i="102"/>
  <c r="AF97" i="102"/>
  <c r="AG97" i="102"/>
  <c r="AH97" i="102"/>
  <c r="AI97" i="102"/>
  <c r="AJ97" i="102"/>
  <c r="AK97" i="102"/>
  <c r="AL97" i="102"/>
  <c r="AM97" i="102"/>
  <c r="AN97" i="102"/>
  <c r="AC98" i="102"/>
  <c r="AD98" i="102"/>
  <c r="AE98" i="102"/>
  <c r="AF98" i="102"/>
  <c r="AG98" i="102"/>
  <c r="AH98" i="102"/>
  <c r="AI98" i="102"/>
  <c r="AJ98" i="102"/>
  <c r="AK98" i="102"/>
  <c r="AL98" i="102"/>
  <c r="AM98" i="102"/>
  <c r="AN98" i="102"/>
  <c r="AC99" i="102"/>
  <c r="AD99" i="102"/>
  <c r="AE99" i="102"/>
  <c r="AF99" i="102"/>
  <c r="AG99" i="102"/>
  <c r="AH99" i="102"/>
  <c r="AI99" i="102"/>
  <c r="AJ99" i="102"/>
  <c r="AK99" i="102"/>
  <c r="AL99" i="102"/>
  <c r="AM99" i="102"/>
  <c r="AN99" i="102"/>
  <c r="AD96" i="102"/>
  <c r="AE96" i="102"/>
  <c r="AF96" i="102"/>
  <c r="AG96" i="102"/>
  <c r="AH96" i="102"/>
  <c r="AI96" i="102"/>
  <c r="AJ96" i="102"/>
  <c r="AK96" i="102"/>
  <c r="AL96" i="102"/>
  <c r="AM96" i="102"/>
  <c r="AN96" i="102"/>
  <c r="AC96" i="102"/>
  <c r="P96" i="102"/>
  <c r="Q96" i="102"/>
  <c r="R96" i="102"/>
  <c r="S96" i="102"/>
  <c r="T96" i="102"/>
  <c r="U96" i="102"/>
  <c r="V96" i="102"/>
  <c r="W96" i="102"/>
  <c r="X96" i="102"/>
  <c r="Y96" i="102"/>
  <c r="Z96" i="102"/>
  <c r="P97" i="102"/>
  <c r="Q97" i="102"/>
  <c r="R97" i="102"/>
  <c r="S97" i="102"/>
  <c r="T97" i="102"/>
  <c r="U97" i="102"/>
  <c r="V97" i="102"/>
  <c r="W97" i="102"/>
  <c r="X97" i="102"/>
  <c r="Y97" i="102"/>
  <c r="Z97" i="102"/>
  <c r="P98" i="102"/>
  <c r="Q98" i="102"/>
  <c r="R98" i="102"/>
  <c r="S98" i="102"/>
  <c r="T98" i="102"/>
  <c r="U98" i="102"/>
  <c r="V98" i="102"/>
  <c r="W98" i="102"/>
  <c r="X98" i="102"/>
  <c r="Y98" i="102"/>
  <c r="Z98" i="102"/>
  <c r="P99" i="102"/>
  <c r="Q99" i="102"/>
  <c r="R99" i="102"/>
  <c r="S99" i="102"/>
  <c r="T99" i="102"/>
  <c r="V99" i="102"/>
  <c r="W99" i="102"/>
  <c r="X99" i="102"/>
  <c r="Y99" i="102"/>
  <c r="Z99" i="102"/>
  <c r="O97" i="102"/>
  <c r="O98" i="102"/>
  <c r="O99" i="102"/>
  <c r="O96" i="102"/>
  <c r="I63" i="102"/>
  <c r="J63" i="102"/>
  <c r="K63" i="102"/>
  <c r="AN126" i="102"/>
  <c r="AM126" i="102"/>
  <c r="AL126" i="102"/>
  <c r="AK126" i="102"/>
  <c r="AJ126" i="102"/>
  <c r="AI126" i="102"/>
  <c r="AH126" i="102"/>
  <c r="AG126" i="102"/>
  <c r="AF126" i="102"/>
  <c r="AE126" i="102"/>
  <c r="AD126" i="102"/>
  <c r="AC126" i="102"/>
  <c r="AB126" i="102"/>
  <c r="Z126" i="102"/>
  <c r="Y126" i="102"/>
  <c r="X126" i="102"/>
  <c r="W126" i="102"/>
  <c r="V126" i="102"/>
  <c r="U126" i="102"/>
  <c r="T126" i="102"/>
  <c r="S126" i="102"/>
  <c r="R126" i="102"/>
  <c r="Q126" i="102"/>
  <c r="P126" i="102"/>
  <c r="O126" i="102"/>
  <c r="M126" i="102"/>
  <c r="K126" i="102"/>
  <c r="J126" i="102"/>
  <c r="I126" i="102"/>
  <c r="H126" i="102"/>
  <c r="AO125" i="102"/>
  <c r="AP125" i="102" s="1"/>
  <c r="AA125" i="102"/>
  <c r="N125" i="102"/>
  <c r="AO123" i="102"/>
  <c r="AP123" i="102" s="1"/>
  <c r="AA123" i="102"/>
  <c r="N123" i="102"/>
  <c r="AO122" i="102"/>
  <c r="AP122" i="102" s="1"/>
  <c r="AA122" i="102"/>
  <c r="N122" i="102"/>
  <c r="AO121" i="102"/>
  <c r="AP121" i="102" s="1"/>
  <c r="AA121" i="102"/>
  <c r="N121" i="102"/>
  <c r="AO120" i="102"/>
  <c r="AA120" i="102"/>
  <c r="N120" i="102"/>
  <c r="G117" i="102"/>
  <c r="F117" i="102"/>
  <c r="AN114" i="102"/>
  <c r="AM114" i="102"/>
  <c r="AL114" i="102"/>
  <c r="AK114" i="102"/>
  <c r="AJ114" i="102"/>
  <c r="AI114" i="102"/>
  <c r="AH114" i="102"/>
  <c r="AG114" i="102"/>
  <c r="AF114" i="102"/>
  <c r="AE114" i="102"/>
  <c r="AD114" i="102"/>
  <c r="AC114" i="102"/>
  <c r="AB114" i="102"/>
  <c r="Z114" i="102"/>
  <c r="Y114" i="102"/>
  <c r="X114" i="102"/>
  <c r="W114" i="102"/>
  <c r="V114" i="102"/>
  <c r="U114" i="102"/>
  <c r="T114" i="102"/>
  <c r="S114" i="102"/>
  <c r="R114" i="102"/>
  <c r="Q114" i="102"/>
  <c r="P114" i="102"/>
  <c r="O114" i="102"/>
  <c r="M114" i="102"/>
  <c r="K114" i="102"/>
  <c r="J114" i="102"/>
  <c r="I114" i="102"/>
  <c r="H114" i="102"/>
  <c r="AO113" i="102"/>
  <c r="AP113" i="102" s="1"/>
  <c r="AA113" i="102"/>
  <c r="N113" i="102"/>
  <c r="AO111" i="102"/>
  <c r="AP111" i="102" s="1"/>
  <c r="AA111" i="102"/>
  <c r="N111" i="102"/>
  <c r="AO110" i="102"/>
  <c r="AP110" i="102" s="1"/>
  <c r="AA110" i="102"/>
  <c r="N110" i="102"/>
  <c r="AO109" i="102"/>
  <c r="AP109" i="102" s="1"/>
  <c r="AA109" i="102"/>
  <c r="N109" i="102"/>
  <c r="AO108" i="102"/>
  <c r="AA108" i="102"/>
  <c r="N108" i="102"/>
  <c r="G105" i="102"/>
  <c r="F105" i="102"/>
  <c r="Q102" i="102" l="1"/>
  <c r="O40" i="95" s="1"/>
  <c r="E171" i="8"/>
  <c r="N126" i="102"/>
  <c r="AA114" i="102"/>
  <c r="N114" i="102"/>
  <c r="AO114" i="102"/>
  <c r="AP114" i="102" s="1"/>
  <c r="AO126" i="102"/>
  <c r="AP126" i="102" s="1"/>
  <c r="AA126" i="102"/>
  <c r="AP120" i="102"/>
  <c r="AP108" i="102"/>
  <c r="M63" i="102"/>
  <c r="Z31" i="69" l="1"/>
  <c r="BD107" i="135" l="1"/>
  <c r="BD104" i="135"/>
  <c r="CK35" i="105" l="1"/>
  <c r="K72" i="102" l="1"/>
  <c r="K74" i="102"/>
  <c r="K76" i="102"/>
  <c r="K78" i="102"/>
  <c r="K80" i="102"/>
  <c r="K34" i="102"/>
  <c r="K36" i="102"/>
  <c r="K38" i="102"/>
  <c r="K40" i="102"/>
  <c r="K42" i="102"/>
  <c r="K9" i="102" l="1"/>
  <c r="K43" i="102"/>
  <c r="K13" i="102"/>
  <c r="K11" i="102"/>
  <c r="K15" i="102"/>
  <c r="K7" i="102"/>
  <c r="K11" i="85" l="1"/>
  <c r="I18" i="105" s="1"/>
  <c r="K81" i="102" l="1"/>
  <c r="N96" i="102"/>
  <c r="N97" i="102"/>
  <c r="N98" i="102"/>
  <c r="N99" i="102"/>
  <c r="N100" i="102"/>
  <c r="I102" i="102"/>
  <c r="N132" i="102"/>
  <c r="N133" i="102"/>
  <c r="N134" i="102"/>
  <c r="N135" i="102"/>
  <c r="N136" i="102"/>
  <c r="I138" i="102"/>
  <c r="J138" i="102"/>
  <c r="K138" i="102"/>
  <c r="N143" i="102"/>
  <c r="N144" i="102"/>
  <c r="N145" i="102"/>
  <c r="N146" i="102"/>
  <c r="N148" i="102"/>
  <c r="I149" i="102"/>
  <c r="J149" i="102"/>
  <c r="K149" i="102"/>
  <c r="M149" i="102"/>
  <c r="N149" i="102" l="1"/>
  <c r="H68" i="135" l="1"/>
  <c r="H69" i="135"/>
  <c r="H70" i="135"/>
  <c r="H201" i="135" s="1"/>
  <c r="H67" i="135"/>
  <c r="H66" i="135"/>
  <c r="H61" i="135"/>
  <c r="H62" i="135"/>
  <c r="H63" i="135"/>
  <c r="H64" i="135"/>
  <c r="H60" i="135"/>
  <c r="H55" i="135"/>
  <c r="H53" i="135"/>
  <c r="H51" i="135"/>
  <c r="H49" i="135"/>
  <c r="H47" i="135"/>
  <c r="H72" i="105"/>
  <c r="I72" i="105"/>
  <c r="H73" i="105"/>
  <c r="G18" i="135" s="1"/>
  <c r="I73" i="105"/>
  <c r="H18" i="135" s="1"/>
  <c r="I74" i="105"/>
  <c r="H19" i="135" s="1"/>
  <c r="G49" i="105"/>
  <c r="E19" i="120" s="1"/>
  <c r="H46" i="105"/>
  <c r="H50" i="105"/>
  <c r="H49" i="105"/>
  <c r="H47" i="105"/>
  <c r="G11" i="135" s="1"/>
  <c r="H48" i="105"/>
  <c r="G13" i="135" l="1"/>
  <c r="F19" i="120"/>
  <c r="G14" i="135"/>
  <c r="G192" i="135" s="1"/>
  <c r="F21" i="120"/>
  <c r="F18" i="120"/>
  <c r="G12" i="135"/>
  <c r="G10" i="135"/>
  <c r="H199" i="135"/>
  <c r="H200" i="135"/>
  <c r="G17" i="135"/>
  <c r="H17" i="135"/>
  <c r="I77" i="105"/>
  <c r="H71" i="135"/>
  <c r="E12" i="120"/>
  <c r="F12" i="120"/>
  <c r="D12" i="120"/>
  <c r="E11" i="120"/>
  <c r="F11" i="120"/>
  <c r="D11" i="120"/>
  <c r="H58" i="105"/>
  <c r="C3" i="120"/>
  <c r="F3" i="135"/>
  <c r="G3" i="135"/>
  <c r="F4" i="135"/>
  <c r="G4" i="135"/>
  <c r="F5" i="135"/>
  <c r="G5" i="135"/>
  <c r="F6" i="135"/>
  <c r="F191" i="135" s="1"/>
  <c r="G6" i="135"/>
  <c r="G191" i="135" s="1"/>
  <c r="F2" i="135"/>
  <c r="G2" i="135"/>
  <c r="H22" i="135" l="1"/>
  <c r="G8" i="120"/>
  <c r="I78" i="105"/>
  <c r="H3" i="135"/>
  <c r="H6" i="135"/>
  <c r="C79" i="8"/>
  <c r="K39" i="102" l="1"/>
  <c r="H191" i="135"/>
  <c r="H23" i="135"/>
  <c r="AO32" i="92" l="1"/>
  <c r="S86" i="105" l="1"/>
  <c r="R81" i="135" s="1"/>
  <c r="R204" i="135" s="1"/>
  <c r="T86" i="105"/>
  <c r="S81" i="135" s="1"/>
  <c r="S204" i="135" s="1"/>
  <c r="U86" i="105"/>
  <c r="T81" i="135" s="1"/>
  <c r="T204" i="135" s="1"/>
  <c r="V86" i="105"/>
  <c r="U81" i="135" s="1"/>
  <c r="U204" i="135" s="1"/>
  <c r="W86" i="105"/>
  <c r="V81" i="135" s="1"/>
  <c r="V204" i="135" s="1"/>
  <c r="V92" i="105"/>
  <c r="U87" i="135" s="1"/>
  <c r="U205" i="135" s="1"/>
  <c r="S92" i="105"/>
  <c r="R87" i="135" s="1"/>
  <c r="R205" i="135" s="1"/>
  <c r="H54" i="135" l="1"/>
  <c r="H198" i="135" s="1"/>
  <c r="H52" i="135"/>
  <c r="H50" i="135"/>
  <c r="H48" i="135"/>
  <c r="H46" i="135"/>
  <c r="H120" i="135" l="1"/>
  <c r="H107" i="135" l="1"/>
  <c r="J107" i="135"/>
  <c r="G107" i="135"/>
  <c r="I94" i="105"/>
  <c r="F97" i="105"/>
  <c r="F96" i="105"/>
  <c r="F95" i="105"/>
  <c r="F64" i="135"/>
  <c r="F200" i="135" s="1"/>
  <c r="F63" i="135"/>
  <c r="E64" i="135"/>
  <c r="E200" i="135" s="1"/>
  <c r="E63" i="135"/>
  <c r="J21" i="102" l="1"/>
  <c r="J22" i="102"/>
  <c r="J23" i="102"/>
  <c r="J24" i="102"/>
  <c r="J25" i="102"/>
  <c r="I66" i="105" l="1"/>
  <c r="I68" i="105"/>
  <c r="H33" i="135" s="1"/>
  <c r="I69" i="105"/>
  <c r="H34" i="135" s="1"/>
  <c r="I70" i="105"/>
  <c r="H35" i="135" s="1"/>
  <c r="H195" i="135" s="1"/>
  <c r="H26" i="135"/>
  <c r="I63" i="105"/>
  <c r="H27" i="135" s="1"/>
  <c r="I64" i="105"/>
  <c r="H28" i="135" l="1"/>
  <c r="H194" i="135" s="1"/>
  <c r="I65" i="105"/>
  <c r="H31" i="135"/>
  <c r="I71" i="105"/>
  <c r="E152" i="135"/>
  <c r="E90" i="135"/>
  <c r="F99" i="105"/>
  <c r="E94" i="135" s="1"/>
  <c r="E206" i="135" s="1"/>
  <c r="F98" i="105"/>
  <c r="E93" i="135" s="1"/>
  <c r="E186" i="135" s="1"/>
  <c r="F94" i="105"/>
  <c r="E89" i="135" s="1"/>
  <c r="E128" i="135" s="1"/>
  <c r="E147" i="135" l="1"/>
  <c r="N49" i="102"/>
  <c r="N50" i="102"/>
  <c r="N48" i="102"/>
  <c r="H83" i="105"/>
  <c r="G78" i="135" s="1"/>
  <c r="I83" i="105"/>
  <c r="H78" i="135" s="1"/>
  <c r="H84" i="105"/>
  <c r="G79" i="135" s="1"/>
  <c r="I84" i="105"/>
  <c r="H79" i="135" s="1"/>
  <c r="H164" i="135" s="1"/>
  <c r="H85" i="105"/>
  <c r="G80" i="135" s="1"/>
  <c r="G184" i="135" s="1"/>
  <c r="I85" i="105"/>
  <c r="H80" i="135" s="1"/>
  <c r="H184" i="135" s="1"/>
  <c r="H86" i="105"/>
  <c r="G81" i="135" s="1"/>
  <c r="G204" i="135" s="1"/>
  <c r="I86" i="105"/>
  <c r="H81" i="135" s="1"/>
  <c r="H204" i="135" s="1"/>
  <c r="H89" i="105"/>
  <c r="G84" i="135" s="1"/>
  <c r="G146" i="135" s="1"/>
  <c r="H90" i="105"/>
  <c r="G85" i="135" s="1"/>
  <c r="H91" i="105"/>
  <c r="G86" i="135" s="1"/>
  <c r="G185" i="135" s="1"/>
  <c r="H92" i="105"/>
  <c r="G87" i="135" s="1"/>
  <c r="G205" i="135" s="1"/>
  <c r="H88" i="105"/>
  <c r="H93" i="105" l="1"/>
  <c r="G83" i="135"/>
  <c r="H126" i="135"/>
  <c r="H82" i="135"/>
  <c r="G126" i="135"/>
  <c r="G82" i="135"/>
  <c r="I87" i="105"/>
  <c r="H87" i="105"/>
  <c r="G88" i="135" l="1"/>
  <c r="G127" i="135"/>
  <c r="H94" i="105" l="1"/>
  <c r="G89" i="135" s="1"/>
  <c r="H89" i="135"/>
  <c r="K94" i="105"/>
  <c r="J89" i="135" s="1"/>
  <c r="L94" i="105"/>
  <c r="K89" i="135" s="1"/>
  <c r="K128" i="135" s="1"/>
  <c r="G94" i="105"/>
  <c r="F89" i="135" s="1"/>
  <c r="F128" i="135" l="1"/>
  <c r="J128" i="135"/>
  <c r="G128" i="135"/>
  <c r="H128" i="135"/>
  <c r="H99" i="105"/>
  <c r="G94" i="135" s="1"/>
  <c r="G206" i="135" s="1"/>
  <c r="I99" i="105"/>
  <c r="H94" i="135" s="1"/>
  <c r="H206" i="135" s="1"/>
  <c r="K99" i="105"/>
  <c r="J94" i="135" s="1"/>
  <c r="J206" i="135" s="1"/>
  <c r="G99" i="105"/>
  <c r="F94" i="135" s="1"/>
  <c r="F206" i="135" s="1"/>
  <c r="H98" i="105"/>
  <c r="G93" i="135" s="1"/>
  <c r="G186" i="135" s="1"/>
  <c r="I98" i="105"/>
  <c r="H93" i="135" s="1"/>
  <c r="H186" i="135" s="1"/>
  <c r="K98" i="105"/>
  <c r="J93" i="135" s="1"/>
  <c r="J186" i="135" s="1"/>
  <c r="G98" i="105"/>
  <c r="F93" i="135" s="1"/>
  <c r="F186" i="135" s="1"/>
  <c r="H97" i="105"/>
  <c r="G92" i="135" s="1"/>
  <c r="I97" i="105"/>
  <c r="H92" i="135" s="1"/>
  <c r="H167" i="135" s="1"/>
  <c r="K97" i="105"/>
  <c r="J92" i="135" s="1"/>
  <c r="J167" i="135" s="1"/>
  <c r="G97" i="105"/>
  <c r="F92" i="135" s="1"/>
  <c r="H96" i="105"/>
  <c r="G91" i="135" s="1"/>
  <c r="I96" i="105"/>
  <c r="H91" i="135" s="1"/>
  <c r="H166" i="135" s="1"/>
  <c r="K96" i="105"/>
  <c r="J91" i="135" s="1"/>
  <c r="J166" i="135" s="1"/>
  <c r="G96" i="105"/>
  <c r="F91" i="135" s="1"/>
  <c r="H95" i="105"/>
  <c r="G90" i="135" s="1"/>
  <c r="G147" i="135" s="1"/>
  <c r="I95" i="105"/>
  <c r="H90" i="135" s="1"/>
  <c r="H147" i="135" s="1"/>
  <c r="K95" i="105"/>
  <c r="J90" i="135" s="1"/>
  <c r="J147" i="135" s="1"/>
  <c r="G95" i="105"/>
  <c r="F90" i="135" s="1"/>
  <c r="F147" i="135" s="1"/>
  <c r="K70" i="105"/>
  <c r="L70" i="105" s="1"/>
  <c r="K68" i="105"/>
  <c r="L68" i="105" s="1"/>
  <c r="K66" i="105"/>
  <c r="K64" i="105"/>
  <c r="K69" i="105"/>
  <c r="L69" i="105" s="1"/>
  <c r="U53" i="91"/>
  <c r="L64" i="105" l="1"/>
  <c r="K65" i="105"/>
  <c r="L66" i="105"/>
  <c r="G95" i="135"/>
  <c r="H95" i="135"/>
  <c r="F95" i="135"/>
  <c r="K71" i="105"/>
  <c r="L71" i="105"/>
  <c r="X5" i="120" s="1"/>
  <c r="K63" i="105"/>
  <c r="L63" i="105" s="1"/>
  <c r="G22" i="120"/>
  <c r="G6" i="120"/>
  <c r="H6" i="120" s="1"/>
  <c r="L65" i="105" l="1"/>
  <c r="X6" i="120" s="1"/>
  <c r="AR23" i="105" l="1"/>
  <c r="K49" i="105"/>
  <c r="L49" i="105" s="1"/>
  <c r="X19" i="120" s="1"/>
  <c r="K50" i="105"/>
  <c r="L50" i="105" l="1"/>
  <c r="X21" i="120" s="1"/>
  <c r="K9" i="105"/>
  <c r="I50" i="105"/>
  <c r="I49" i="105"/>
  <c r="G19" i="120" s="1"/>
  <c r="H19" i="120" s="1"/>
  <c r="I48" i="105"/>
  <c r="I47" i="105"/>
  <c r="I46" i="105"/>
  <c r="F3" i="120"/>
  <c r="I9" i="105" l="1"/>
  <c r="G21" i="120"/>
  <c r="I6" i="105"/>
  <c r="I51" i="105"/>
  <c r="I7" i="105"/>
  <c r="H11" i="135"/>
  <c r="AR50" i="105"/>
  <c r="AR49" i="105"/>
  <c r="BD14" i="105"/>
  <c r="BE14" i="105"/>
  <c r="K48" i="105" l="1"/>
  <c r="I10" i="105"/>
  <c r="AB102" i="102"/>
  <c r="Z60" i="135" l="1"/>
  <c r="Z62" i="135"/>
  <c r="BE65" i="135"/>
  <c r="BE64" i="135" s="1"/>
  <c r="BE66" i="135"/>
  <c r="BE67" i="135"/>
  <c r="BE68" i="135"/>
  <c r="G71" i="135"/>
  <c r="F71" i="135"/>
  <c r="E71" i="135"/>
  <c r="G65" i="135"/>
  <c r="F65" i="135"/>
  <c r="E65" i="135"/>
  <c r="G55" i="135"/>
  <c r="G199" i="135" s="1"/>
  <c r="F55" i="135"/>
  <c r="F199" i="135" s="1"/>
  <c r="E55" i="135"/>
  <c r="E199" i="135" s="1"/>
  <c r="G54" i="135"/>
  <c r="G198" i="135" s="1"/>
  <c r="F54" i="135"/>
  <c r="F198" i="135" s="1"/>
  <c r="E54" i="135"/>
  <c r="E198" i="135" s="1"/>
  <c r="H179" i="135"/>
  <c r="G53" i="135"/>
  <c r="G179" i="135" s="1"/>
  <c r="F53" i="135"/>
  <c r="F179" i="135" s="1"/>
  <c r="E53" i="135"/>
  <c r="E179" i="135" s="1"/>
  <c r="H178" i="135"/>
  <c r="G52" i="135"/>
  <c r="G178" i="135" s="1"/>
  <c r="F52" i="135"/>
  <c r="F178" i="135" s="1"/>
  <c r="E52" i="135"/>
  <c r="E178" i="135" s="1"/>
  <c r="G51" i="135"/>
  <c r="G159" i="135" s="1"/>
  <c r="F51" i="135"/>
  <c r="F159" i="135" s="1"/>
  <c r="E51" i="135"/>
  <c r="E159" i="135" s="1"/>
  <c r="G181" i="135"/>
  <c r="F181" i="135"/>
  <c r="E181" i="135"/>
  <c r="H158" i="135"/>
  <c r="G50" i="135"/>
  <c r="G158" i="135" s="1"/>
  <c r="F50" i="135"/>
  <c r="F158" i="135" s="1"/>
  <c r="E50" i="135"/>
  <c r="E158" i="135" s="1"/>
  <c r="G180" i="135"/>
  <c r="F180" i="135"/>
  <c r="E180" i="135"/>
  <c r="H141" i="135"/>
  <c r="G49" i="135"/>
  <c r="G141" i="135" s="1"/>
  <c r="F49" i="135"/>
  <c r="F141" i="135" s="1"/>
  <c r="E49" i="135"/>
  <c r="E141" i="135" s="1"/>
  <c r="H140" i="135"/>
  <c r="G48" i="135"/>
  <c r="G140" i="135" s="1"/>
  <c r="F48" i="135"/>
  <c r="F140" i="135" s="1"/>
  <c r="E48" i="135"/>
  <c r="E140" i="135" s="1"/>
  <c r="G47" i="135"/>
  <c r="G121" i="135" s="1"/>
  <c r="F47" i="135"/>
  <c r="E47" i="135"/>
  <c r="E121" i="135" s="1"/>
  <c r="G46" i="135"/>
  <c r="G120" i="135" s="1"/>
  <c r="F46" i="135"/>
  <c r="E46" i="135"/>
  <c r="E120" i="135" s="1"/>
  <c r="G173" i="135"/>
  <c r="F173" i="135"/>
  <c r="G171" i="135"/>
  <c r="F171" i="135"/>
  <c r="E171" i="135"/>
  <c r="G161" i="135"/>
  <c r="F161" i="135"/>
  <c r="E161" i="135"/>
  <c r="H175" i="135"/>
  <c r="G160" i="135"/>
  <c r="F160" i="135"/>
  <c r="E160" i="135"/>
  <c r="H156" i="135"/>
  <c r="H117" i="135"/>
  <c r="H174" i="135"/>
  <c r="G152" i="135"/>
  <c r="F152" i="135"/>
  <c r="G135" i="135"/>
  <c r="G133" i="135"/>
  <c r="F133" i="135"/>
  <c r="E133" i="135"/>
  <c r="Y123" i="135"/>
  <c r="G123" i="135"/>
  <c r="F123" i="135"/>
  <c r="E123" i="135"/>
  <c r="G122" i="135"/>
  <c r="F122" i="135"/>
  <c r="E122" i="135"/>
  <c r="G8" i="135"/>
  <c r="F8" i="135"/>
  <c r="E8" i="135"/>
  <c r="G115" i="135"/>
  <c r="H133" i="135"/>
  <c r="G112" i="135"/>
  <c r="F112" i="135"/>
  <c r="E112" i="135"/>
  <c r="Y63" i="135" l="1"/>
  <c r="AK63" i="135" s="1"/>
  <c r="Y60" i="135"/>
  <c r="Y62" i="135"/>
  <c r="AK62" i="135" s="1"/>
  <c r="Z64" i="135"/>
  <c r="Z200" i="135" s="1"/>
  <c r="Y69" i="135"/>
  <c r="AK69" i="135" s="1"/>
  <c r="H135" i="135"/>
  <c r="H57" i="135"/>
  <c r="E56" i="135"/>
  <c r="H115" i="135"/>
  <c r="F57" i="135"/>
  <c r="F56" i="135"/>
  <c r="Y68" i="135"/>
  <c r="AK68" i="135" s="1"/>
  <c r="F121" i="135"/>
  <c r="H121" i="135"/>
  <c r="H56" i="135"/>
  <c r="H29" i="135"/>
  <c r="H36" i="135"/>
  <c r="E57" i="135"/>
  <c r="F120" i="135"/>
  <c r="H159" i="135"/>
  <c r="G57" i="135"/>
  <c r="H155" i="135"/>
  <c r="G56" i="135"/>
  <c r="H173" i="135"/>
  <c r="H154" i="135"/>
  <c r="AK60" i="135" l="1"/>
  <c r="AK122" i="135" s="1"/>
  <c r="AB60" i="135"/>
  <c r="AK161" i="135"/>
  <c r="AK160" i="135"/>
  <c r="AK181" i="135"/>
  <c r="AK180" i="135"/>
  <c r="H37" i="135"/>
  <c r="H30" i="135"/>
  <c r="Z63" i="135"/>
  <c r="Z180" i="135" s="1"/>
  <c r="AJ63" i="135"/>
  <c r="AI63" i="135"/>
  <c r="AJ68" i="135"/>
  <c r="AI68" i="135"/>
  <c r="Y64" i="135"/>
  <c r="AK64" i="135" s="1"/>
  <c r="Z68" i="135"/>
  <c r="Z161" i="135" s="1"/>
  <c r="AJ62" i="135"/>
  <c r="AI62" i="135"/>
  <c r="AJ60" i="135"/>
  <c r="AI60" i="135"/>
  <c r="AJ69" i="135"/>
  <c r="AI69" i="135"/>
  <c r="Z69" i="135"/>
  <c r="Z181" i="135" s="1"/>
  <c r="Y70" i="135"/>
  <c r="Z70" i="135"/>
  <c r="Z201" i="135" s="1"/>
  <c r="AH63" i="135"/>
  <c r="AG63" i="135"/>
  <c r="AF63" i="135"/>
  <c r="AE63" i="135"/>
  <c r="AH62" i="135"/>
  <c r="AG62" i="135"/>
  <c r="AF62" i="135"/>
  <c r="AE62" i="135"/>
  <c r="AD62" i="135"/>
  <c r="AD160" i="135" s="1"/>
  <c r="AH69" i="135"/>
  <c r="AG69" i="135"/>
  <c r="AF69" i="135"/>
  <c r="AE69" i="135"/>
  <c r="AH68" i="135"/>
  <c r="AG68" i="135"/>
  <c r="AF68" i="135"/>
  <c r="AE68" i="135"/>
  <c r="AH60" i="135"/>
  <c r="AG60" i="135"/>
  <c r="AF60" i="135"/>
  <c r="AE60" i="135"/>
  <c r="AD68" i="135"/>
  <c r="AD161" i="135" s="1"/>
  <c r="AB68" i="135"/>
  <c r="AC68" i="135"/>
  <c r="AD63" i="135"/>
  <c r="AD180" i="135" s="1"/>
  <c r="AC63" i="135"/>
  <c r="AB63" i="135"/>
  <c r="AD69" i="135"/>
  <c r="AD181" i="135" s="1"/>
  <c r="AC69" i="135"/>
  <c r="AB69" i="135"/>
  <c r="AC62" i="135"/>
  <c r="AC160" i="135" s="1"/>
  <c r="AB62" i="135"/>
  <c r="AD60" i="135"/>
  <c r="AD122" i="135" s="1"/>
  <c r="AC60" i="135"/>
  <c r="Y122" i="135"/>
  <c r="Y181" i="135"/>
  <c r="Z122" i="135"/>
  <c r="Y180" i="135"/>
  <c r="Z160" i="135"/>
  <c r="BE54" i="135"/>
  <c r="BE69" i="135" s="1"/>
  <c r="Y161" i="135"/>
  <c r="Y160" i="135"/>
  <c r="E59" i="135"/>
  <c r="H59" i="135"/>
  <c r="H58" i="135"/>
  <c r="F58" i="135"/>
  <c r="E58" i="135"/>
  <c r="G58" i="135"/>
  <c r="G59" i="135"/>
  <c r="F59" i="135"/>
  <c r="AK65" i="135" l="1"/>
  <c r="Y201" i="135"/>
  <c r="AK70" i="135"/>
  <c r="AK200" i="135"/>
  <c r="AN62" i="135"/>
  <c r="AN69" i="135"/>
  <c r="AE64" i="135"/>
  <c r="AE200" i="135" s="1"/>
  <c r="Y200" i="135"/>
  <c r="AN63" i="135"/>
  <c r="AN68" i="135"/>
  <c r="AN60" i="135"/>
  <c r="Z65" i="135"/>
  <c r="AH64" i="135"/>
  <c r="AH200" i="135" s="1"/>
  <c r="Z71" i="135"/>
  <c r="AE70" i="135"/>
  <c r="AE201" i="135" s="1"/>
  <c r="Y71" i="135"/>
  <c r="AB64" i="135"/>
  <c r="AB200" i="135" s="1"/>
  <c r="AF70" i="135"/>
  <c r="AF201" i="135" s="1"/>
  <c r="AC64" i="135"/>
  <c r="AD64" i="135"/>
  <c r="AD200" i="135" s="1"/>
  <c r="AG70" i="135"/>
  <c r="AH70" i="135"/>
  <c r="AH201" i="135" s="1"/>
  <c r="AJ64" i="135"/>
  <c r="AI64" i="135"/>
  <c r="AI161" i="135"/>
  <c r="AJ181" i="135"/>
  <c r="AJ161" i="135"/>
  <c r="AB70" i="135"/>
  <c r="AB201" i="135" s="1"/>
  <c r="AD70" i="135"/>
  <c r="AD201" i="135" s="1"/>
  <c r="AF64" i="135"/>
  <c r="AF200" i="135" s="1"/>
  <c r="AI122" i="135"/>
  <c r="AI180" i="135"/>
  <c r="AI160" i="135"/>
  <c r="AJ160" i="135"/>
  <c r="AC70" i="135"/>
  <c r="AI181" i="135"/>
  <c r="AG64" i="135"/>
  <c r="AG200" i="135" s="1"/>
  <c r="AJ122" i="135"/>
  <c r="AJ180" i="135"/>
  <c r="AJ70" i="135"/>
  <c r="AJ201" i="135" s="1"/>
  <c r="AI70" i="135"/>
  <c r="AI201" i="135" s="1"/>
  <c r="AG181" i="135"/>
  <c r="AG180" i="135"/>
  <c r="AE160" i="135"/>
  <c r="AH180" i="135"/>
  <c r="AF161" i="135"/>
  <c r="AF160" i="135"/>
  <c r="AH181" i="135"/>
  <c r="AG161" i="135"/>
  <c r="AG160" i="135"/>
  <c r="AE122" i="135"/>
  <c r="AH161" i="135"/>
  <c r="AH160" i="135"/>
  <c r="AF122" i="135"/>
  <c r="AG122" i="135"/>
  <c r="AE181" i="135"/>
  <c r="AE180" i="135"/>
  <c r="AE161" i="135"/>
  <c r="AH122" i="135"/>
  <c r="AF181" i="135"/>
  <c r="AF180" i="135"/>
  <c r="AC180" i="135"/>
  <c r="AC122" i="135"/>
  <c r="AC161" i="135"/>
  <c r="AC181" i="135"/>
  <c r="AB181" i="135"/>
  <c r="AB180" i="135"/>
  <c r="AB161" i="135"/>
  <c r="AB160" i="135"/>
  <c r="AB122" i="135"/>
  <c r="AE71" i="135" l="1"/>
  <c r="AK201" i="135"/>
  <c r="AK71" i="135"/>
  <c r="AE65" i="135"/>
  <c r="AN122" i="135"/>
  <c r="AN160" i="135"/>
  <c r="AN180" i="135"/>
  <c r="AN161" i="135"/>
  <c r="AN181" i="135"/>
  <c r="AI65" i="135"/>
  <c r="AI200" i="135"/>
  <c r="AC65" i="135"/>
  <c r="AC200" i="135"/>
  <c r="AJ65" i="135"/>
  <c r="AJ200" i="135"/>
  <c r="AC71" i="135"/>
  <c r="AC201" i="135"/>
  <c r="AG71" i="135"/>
  <c r="AG201" i="135"/>
  <c r="AB71" i="135"/>
  <c r="AN70" i="135"/>
  <c r="AB65" i="135"/>
  <c r="AN64" i="135"/>
  <c r="AH65" i="135"/>
  <c r="AF71" i="135"/>
  <c r="AH71" i="135"/>
  <c r="AG65" i="135"/>
  <c r="AF65" i="135"/>
  <c r="AD65" i="135"/>
  <c r="AD71" i="135"/>
  <c r="AJ71" i="135"/>
  <c r="AI71" i="135"/>
  <c r="J91" i="102"/>
  <c r="H63" i="102"/>
  <c r="N61" i="102"/>
  <c r="N62" i="102"/>
  <c r="K48" i="102"/>
  <c r="K49" i="102"/>
  <c r="K50" i="102"/>
  <c r="K51" i="102"/>
  <c r="K52" i="102"/>
  <c r="J43" i="102"/>
  <c r="AN201" i="135" l="1"/>
  <c r="AN200" i="135"/>
  <c r="AN65" i="135"/>
  <c r="AN71" i="135"/>
  <c r="N63" i="102"/>
  <c r="J53" i="102"/>
  <c r="F10" i="120" s="1"/>
  <c r="J81" i="102"/>
  <c r="F9" i="120" s="1"/>
  <c r="K16" i="102" l="1"/>
  <c r="K18" i="105" l="1"/>
  <c r="AL18" i="105" s="1"/>
  <c r="H44" i="105"/>
  <c r="H43" i="105"/>
  <c r="H40" i="105"/>
  <c r="I40" i="105"/>
  <c r="G15" i="120" s="1"/>
  <c r="BB10" i="105"/>
  <c r="H6" i="105" s="1"/>
  <c r="BB13" i="105"/>
  <c r="H9" i="105" s="1"/>
  <c r="BB12" i="105"/>
  <c r="H8" i="105" s="1"/>
  <c r="H7" i="105"/>
  <c r="U72" i="8"/>
  <c r="T72" i="8"/>
  <c r="U71" i="8"/>
  <c r="T71" i="8"/>
  <c r="U67" i="8"/>
  <c r="U66" i="8"/>
  <c r="U62" i="8"/>
  <c r="U61" i="8"/>
  <c r="S61" i="8"/>
  <c r="R61" i="8"/>
  <c r="C76" i="8"/>
  <c r="K33" i="102" s="1"/>
  <c r="AA148" i="102"/>
  <c r="AA146" i="102"/>
  <c r="AA145" i="102"/>
  <c r="AA144" i="102"/>
  <c r="AA143" i="102"/>
  <c r="AA136" i="102"/>
  <c r="AA135" i="102"/>
  <c r="AA134" i="102"/>
  <c r="AA133" i="102"/>
  <c r="AA132" i="102"/>
  <c r="AA97" i="102"/>
  <c r="AA98" i="102"/>
  <c r="AA99" i="102"/>
  <c r="AA100" i="102"/>
  <c r="AA96" i="102"/>
  <c r="R76" i="8"/>
  <c r="AD18" i="69"/>
  <c r="AB18" i="69"/>
  <c r="Z18" i="69"/>
  <c r="Y18" i="69"/>
  <c r="X18" i="69"/>
  <c r="V18" i="69"/>
  <c r="T18" i="69"/>
  <c r="S18" i="69"/>
  <c r="R18" i="69"/>
  <c r="P18" i="69"/>
  <c r="N18" i="69"/>
  <c r="M18" i="69"/>
  <c r="L18" i="69"/>
  <c r="J18" i="69"/>
  <c r="I18" i="69"/>
  <c r="H18" i="69"/>
  <c r="F18" i="69"/>
  <c r="C18" i="69"/>
  <c r="B18" i="69"/>
  <c r="G18" i="69" s="1"/>
  <c r="J12" i="91"/>
  <c r="J12" i="90"/>
  <c r="AA36" i="82"/>
  <c r="AA138" i="102" l="1"/>
  <c r="AA102" i="102"/>
  <c r="BF34" i="120"/>
  <c r="BF36" i="120" s="1"/>
  <c r="H45" i="105"/>
  <c r="F13" i="120" s="1"/>
  <c r="J17" i="90"/>
  <c r="H42" i="105" s="1"/>
  <c r="L18" i="105"/>
  <c r="U74" i="8"/>
  <c r="AA149" i="102"/>
  <c r="J16" i="90"/>
  <c r="H74" i="105"/>
  <c r="G19" i="135" s="1"/>
  <c r="G22" i="135" l="1"/>
  <c r="G23" i="135" s="1"/>
  <c r="G154" i="135"/>
  <c r="N110" i="61"/>
  <c r="C98" i="8"/>
  <c r="C94" i="8"/>
  <c r="C95" i="8"/>
  <c r="C96" i="8"/>
  <c r="C97" i="8"/>
  <c r="F76" i="8" l="1"/>
  <c r="F176" i="8" s="1"/>
  <c r="J81" i="130" l="1"/>
  <c r="R59" i="8" l="1"/>
  <c r="S59" i="8"/>
  <c r="T59" i="8"/>
  <c r="S35" i="8"/>
  <c r="R58" i="8"/>
  <c r="S58" i="8"/>
  <c r="T58" i="8"/>
  <c r="S34" i="8"/>
  <c r="S37" i="8"/>
  <c r="T37" i="8"/>
  <c r="R57" i="8"/>
  <c r="S57" i="8"/>
  <c r="T57" i="8"/>
  <c r="S33" i="8"/>
  <c r="R56" i="8" l="1"/>
  <c r="S56" i="8"/>
  <c r="T56" i="8"/>
  <c r="S32" i="8"/>
  <c r="R55" i="8" l="1"/>
  <c r="S55" i="8"/>
  <c r="T55" i="8"/>
  <c r="S31" i="8"/>
  <c r="I93" i="130" l="1"/>
  <c r="H93" i="130"/>
  <c r="G93" i="130"/>
  <c r="H92" i="130" l="1"/>
  <c r="G92" i="130"/>
  <c r="H91" i="130"/>
  <c r="G91" i="130"/>
  <c r="H90" i="130"/>
  <c r="G90" i="130"/>
  <c r="Y57" i="105" l="1"/>
  <c r="K92" i="130"/>
  <c r="K93" i="130"/>
  <c r="K82" i="130"/>
  <c r="K90" i="130"/>
  <c r="K91" i="130"/>
  <c r="K81" i="130"/>
  <c r="K80" i="130"/>
  <c r="L81" i="130"/>
  <c r="V95" i="130" l="1"/>
  <c r="V94" i="130"/>
  <c r="V93" i="130"/>
  <c r="U95" i="130"/>
  <c r="U94" i="130"/>
  <c r="U93" i="130"/>
  <c r="T95" i="130"/>
  <c r="T94" i="130"/>
  <c r="T93" i="130"/>
  <c r="T92" i="130"/>
  <c r="S94" i="130"/>
  <c r="S93" i="130"/>
  <c r="S92" i="130"/>
  <c r="V90" i="130"/>
  <c r="V89" i="130"/>
  <c r="V88" i="130"/>
  <c r="V87" i="130"/>
  <c r="U90" i="130"/>
  <c r="U89" i="130"/>
  <c r="U88" i="130"/>
  <c r="T90" i="130"/>
  <c r="T89" i="130"/>
  <c r="T88" i="130"/>
  <c r="T87" i="130"/>
  <c r="S90" i="130"/>
  <c r="S89" i="130"/>
  <c r="S88" i="130"/>
  <c r="S87" i="130"/>
  <c r="BF239" i="105"/>
  <c r="BF238" i="105"/>
  <c r="BF237" i="105"/>
  <c r="BF236" i="105"/>
  <c r="BF235" i="105"/>
  <c r="BF234" i="105"/>
  <c r="BF233" i="105"/>
  <c r="BF219" i="105"/>
  <c r="BF220" i="105"/>
  <c r="BF221" i="105"/>
  <c r="BF222" i="105"/>
  <c r="BF223" i="105"/>
  <c r="BF224" i="105"/>
  <c r="BF218" i="105"/>
  <c r="I12" i="92"/>
  <c r="H12" i="92"/>
  <c r="I12" i="91"/>
  <c r="H12" i="91"/>
  <c r="I12" i="90"/>
  <c r="I17" i="90" s="1"/>
  <c r="H12" i="90"/>
  <c r="I12" i="85"/>
  <c r="H12" i="85"/>
  <c r="H18" i="85" s="1"/>
  <c r="I12" i="82"/>
  <c r="N75" i="130"/>
  <c r="N74" i="130"/>
  <c r="N73" i="130"/>
  <c r="N72" i="130"/>
  <c r="N71" i="130"/>
  <c r="L71" i="130"/>
  <c r="M71" i="130"/>
  <c r="L72" i="130"/>
  <c r="M72" i="130"/>
  <c r="L73" i="130"/>
  <c r="M73" i="130"/>
  <c r="L74" i="130"/>
  <c r="M74" i="130"/>
  <c r="L75" i="130"/>
  <c r="M75" i="130"/>
  <c r="K75" i="130"/>
  <c r="K74" i="130"/>
  <c r="K73" i="130"/>
  <c r="K72" i="130"/>
  <c r="K71" i="130"/>
  <c r="V101" i="130"/>
  <c r="T101" i="130"/>
  <c r="U101" i="130"/>
  <c r="S101" i="130"/>
  <c r="V100" i="130"/>
  <c r="T100" i="130"/>
  <c r="U100" i="130"/>
  <c r="S100" i="130"/>
  <c r="T78" i="130"/>
  <c r="T79" i="130" s="1"/>
  <c r="U78" i="130"/>
  <c r="U79" i="130" s="1"/>
  <c r="V78" i="130"/>
  <c r="V79" i="130" s="1"/>
  <c r="S78" i="130"/>
  <c r="S79" i="130" s="1"/>
  <c r="U27" i="130"/>
  <c r="U28" i="130"/>
  <c r="U29" i="130"/>
  <c r="U30" i="130"/>
  <c r="U31" i="130"/>
  <c r="U32" i="130"/>
  <c r="U33" i="130"/>
  <c r="U34" i="130"/>
  <c r="U35" i="130"/>
  <c r="U36" i="130"/>
  <c r="U37" i="130"/>
  <c r="U38" i="130"/>
  <c r="U39" i="130"/>
  <c r="U40" i="130"/>
  <c r="U41" i="130"/>
  <c r="U42" i="130"/>
  <c r="U43" i="130"/>
  <c r="U44" i="130"/>
  <c r="U45" i="130"/>
  <c r="U46" i="130"/>
  <c r="U47" i="130"/>
  <c r="U48" i="130"/>
  <c r="U49" i="130"/>
  <c r="U50" i="130"/>
  <c r="U51" i="130"/>
  <c r="U52" i="130"/>
  <c r="U53" i="130"/>
  <c r="U54" i="130"/>
  <c r="U55" i="130"/>
  <c r="U56" i="130"/>
  <c r="T27" i="130"/>
  <c r="T28" i="130"/>
  <c r="T29" i="130"/>
  <c r="T30" i="130"/>
  <c r="T31" i="130"/>
  <c r="T32" i="130"/>
  <c r="T33" i="130"/>
  <c r="T34" i="130"/>
  <c r="T35" i="130"/>
  <c r="T36" i="130"/>
  <c r="T37" i="130"/>
  <c r="T38" i="130"/>
  <c r="T39" i="130"/>
  <c r="T40" i="130"/>
  <c r="T41" i="130"/>
  <c r="T42" i="130"/>
  <c r="T43" i="130"/>
  <c r="T44" i="130"/>
  <c r="T45" i="130"/>
  <c r="T46" i="130"/>
  <c r="T47" i="130"/>
  <c r="T48" i="130"/>
  <c r="T49" i="130"/>
  <c r="T50" i="130"/>
  <c r="T51" i="130"/>
  <c r="T52" i="130"/>
  <c r="T53" i="130"/>
  <c r="T54" i="130"/>
  <c r="T55" i="130"/>
  <c r="T56" i="130"/>
  <c r="S33" i="130"/>
  <c r="S34" i="130"/>
  <c r="S35" i="130"/>
  <c r="S36" i="130"/>
  <c r="S37" i="130"/>
  <c r="S38" i="130"/>
  <c r="S39" i="130"/>
  <c r="S40" i="130"/>
  <c r="S41" i="130"/>
  <c r="S42" i="130"/>
  <c r="S43" i="130"/>
  <c r="S44" i="130"/>
  <c r="S45" i="130"/>
  <c r="S46" i="130"/>
  <c r="S47" i="130"/>
  <c r="S48" i="130"/>
  <c r="S49" i="130"/>
  <c r="S50" i="130"/>
  <c r="S51" i="130"/>
  <c r="S52" i="130"/>
  <c r="S53" i="130"/>
  <c r="S54" i="130"/>
  <c r="S55" i="130"/>
  <c r="S56" i="130"/>
  <c r="S29" i="130"/>
  <c r="S30" i="130"/>
  <c r="S31" i="130"/>
  <c r="S32" i="130"/>
  <c r="S28" i="130"/>
  <c r="S27" i="130"/>
  <c r="V24" i="130"/>
  <c r="T24" i="130"/>
  <c r="U24" i="130"/>
  <c r="S24" i="130"/>
  <c r="I16" i="82" l="1"/>
  <c r="I19" i="85"/>
  <c r="I18" i="85"/>
  <c r="H17" i="90"/>
  <c r="H16" i="90"/>
  <c r="I16" i="90"/>
  <c r="S96" i="130"/>
  <c r="U96" i="130"/>
  <c r="V91" i="130"/>
  <c r="N76" i="130"/>
  <c r="K76" i="130"/>
  <c r="U91" i="130"/>
  <c r="M76" i="130"/>
  <c r="L76" i="130"/>
  <c r="S91" i="130"/>
  <c r="V96" i="130"/>
  <c r="T96" i="130"/>
  <c r="U59" i="130"/>
  <c r="T91" i="130"/>
  <c r="T58" i="130"/>
  <c r="U57" i="130"/>
  <c r="T57" i="130"/>
  <c r="T62" i="130"/>
  <c r="U62" i="130"/>
  <c r="S61" i="130"/>
  <c r="T59" i="130"/>
  <c r="U61" i="130"/>
  <c r="U60" i="130"/>
  <c r="T61" i="130"/>
  <c r="T60" i="130"/>
  <c r="U58" i="130"/>
  <c r="S57" i="130"/>
  <c r="S58" i="130"/>
  <c r="S62" i="130"/>
  <c r="S60" i="130"/>
  <c r="S59" i="130"/>
  <c r="T64" i="130" l="1"/>
  <c r="T63" i="130"/>
  <c r="U64" i="130"/>
  <c r="U63" i="130"/>
  <c r="S64" i="130"/>
  <c r="S63" i="130"/>
  <c r="K46" i="105"/>
  <c r="K6" i="105" s="1"/>
  <c r="O46" i="105"/>
  <c r="P46" i="105"/>
  <c r="Q46" i="105"/>
  <c r="R46" i="105"/>
  <c r="S46" i="105"/>
  <c r="T46" i="105"/>
  <c r="U46" i="105"/>
  <c r="V46" i="105"/>
  <c r="W46" i="105"/>
  <c r="X46" i="105"/>
  <c r="K47" i="105"/>
  <c r="O47" i="105"/>
  <c r="P47" i="105"/>
  <c r="Q47" i="105"/>
  <c r="R47" i="105"/>
  <c r="S47" i="105"/>
  <c r="T47" i="105"/>
  <c r="U47" i="105"/>
  <c r="V47" i="105"/>
  <c r="W47" i="105"/>
  <c r="X47" i="105"/>
  <c r="M49" i="105"/>
  <c r="K19" i="120" s="1"/>
  <c r="N49" i="105"/>
  <c r="L19" i="120" s="1"/>
  <c r="O49" i="105"/>
  <c r="M19" i="120" s="1"/>
  <c r="P49" i="105"/>
  <c r="N19" i="120" s="1"/>
  <c r="Q49" i="105"/>
  <c r="O19" i="120" s="1"/>
  <c r="R49" i="105"/>
  <c r="P19" i="120" s="1"/>
  <c r="S49" i="105"/>
  <c r="T49" i="105"/>
  <c r="R19" i="120" s="1"/>
  <c r="U49" i="105"/>
  <c r="S19" i="120" s="1"/>
  <c r="V49" i="105"/>
  <c r="T19" i="120" s="1"/>
  <c r="W49" i="105"/>
  <c r="U19" i="120" s="1"/>
  <c r="X49" i="105"/>
  <c r="V19" i="120" s="1"/>
  <c r="AS49" i="105"/>
  <c r="AT49" i="105"/>
  <c r="AU49" i="105"/>
  <c r="AV49" i="105"/>
  <c r="AW49" i="105"/>
  <c r="AX49" i="105"/>
  <c r="AY49" i="105"/>
  <c r="AZ49" i="105"/>
  <c r="BA49" i="105"/>
  <c r="BB49" i="105"/>
  <c r="BC49" i="105"/>
  <c r="BD49" i="105"/>
  <c r="D50" i="105"/>
  <c r="D9" i="105" s="1"/>
  <c r="M50" i="105"/>
  <c r="K21" i="120" s="1"/>
  <c r="N50" i="105"/>
  <c r="L21" i="120" s="1"/>
  <c r="O50" i="105"/>
  <c r="M21" i="120" s="1"/>
  <c r="P50" i="105"/>
  <c r="N21" i="120" s="1"/>
  <c r="Q50" i="105"/>
  <c r="O21" i="120" s="1"/>
  <c r="R50" i="105"/>
  <c r="P21" i="120" s="1"/>
  <c r="S50" i="105"/>
  <c r="T50" i="105"/>
  <c r="R21" i="120" s="1"/>
  <c r="U50" i="105"/>
  <c r="S21" i="120" s="1"/>
  <c r="V50" i="105"/>
  <c r="T21" i="120" s="1"/>
  <c r="W50" i="105"/>
  <c r="U21" i="120" s="1"/>
  <c r="X50" i="105"/>
  <c r="V21" i="120" s="1"/>
  <c r="AS50" i="105"/>
  <c r="AT50" i="105"/>
  <c r="AU50" i="105"/>
  <c r="AV50" i="105"/>
  <c r="AW50" i="105"/>
  <c r="AX50" i="105"/>
  <c r="AY50" i="105"/>
  <c r="AZ50" i="105"/>
  <c r="BA50" i="105"/>
  <c r="BB50" i="105"/>
  <c r="BC50" i="105"/>
  <c r="BD50" i="105"/>
  <c r="D51" i="105"/>
  <c r="E51" i="105"/>
  <c r="C4" i="120" s="1"/>
  <c r="C7" i="120" s="1"/>
  <c r="AC51" i="105"/>
  <c r="AD51" i="105"/>
  <c r="AE51" i="105"/>
  <c r="AF51" i="105"/>
  <c r="AG51" i="105"/>
  <c r="AH51" i="105"/>
  <c r="AI51" i="105"/>
  <c r="AJ51" i="105"/>
  <c r="AK51" i="105"/>
  <c r="AR51" i="105"/>
  <c r="F52" i="105"/>
  <c r="E10" i="135" s="1"/>
  <c r="G52" i="105"/>
  <c r="F10" i="135" s="1"/>
  <c r="I52" i="105"/>
  <c r="H10" i="135" s="1"/>
  <c r="K52" i="105"/>
  <c r="M52" i="105"/>
  <c r="N52" i="105"/>
  <c r="O52" i="105"/>
  <c r="P52" i="105"/>
  <c r="Q52" i="105"/>
  <c r="R52" i="105"/>
  <c r="S52" i="105"/>
  <c r="T52" i="105"/>
  <c r="U52" i="105"/>
  <c r="V52" i="105"/>
  <c r="W52" i="105"/>
  <c r="X52" i="105"/>
  <c r="E134" i="135"/>
  <c r="F134" i="135"/>
  <c r="F54" i="105"/>
  <c r="D18" i="120" s="1"/>
  <c r="G54" i="105"/>
  <c r="E18" i="120" s="1"/>
  <c r="I54" i="105"/>
  <c r="K54" i="105"/>
  <c r="M54" i="105"/>
  <c r="N54" i="105"/>
  <c r="O54" i="105"/>
  <c r="P54" i="105"/>
  <c r="Q54" i="105"/>
  <c r="R54" i="105"/>
  <c r="S54" i="105"/>
  <c r="T54" i="105"/>
  <c r="U54" i="105"/>
  <c r="V54" i="105"/>
  <c r="W54" i="105"/>
  <c r="X54" i="105"/>
  <c r="F55" i="105"/>
  <c r="G55" i="105"/>
  <c r="F13" i="135" s="1"/>
  <c r="I55" i="105"/>
  <c r="H13" i="135" s="1"/>
  <c r="K55" i="105"/>
  <c r="M55" i="105"/>
  <c r="N55" i="105"/>
  <c r="O55" i="105"/>
  <c r="P55" i="105"/>
  <c r="Q55" i="105"/>
  <c r="R55" i="105"/>
  <c r="S55" i="105"/>
  <c r="T55" i="105"/>
  <c r="U55" i="105"/>
  <c r="V55" i="105"/>
  <c r="W55" i="105"/>
  <c r="X55" i="105"/>
  <c r="F56" i="105"/>
  <c r="G56" i="105"/>
  <c r="I56" i="105"/>
  <c r="H14" i="135" s="1"/>
  <c r="H192" i="135" s="1"/>
  <c r="K56" i="105"/>
  <c r="M56" i="105"/>
  <c r="N56" i="105"/>
  <c r="O56" i="105"/>
  <c r="P56" i="105"/>
  <c r="Q56" i="105"/>
  <c r="R56" i="105"/>
  <c r="S56" i="105"/>
  <c r="T56" i="105"/>
  <c r="U56" i="105"/>
  <c r="V56" i="105"/>
  <c r="W56" i="105"/>
  <c r="X56" i="105"/>
  <c r="M63" i="105"/>
  <c r="M65" i="105" s="1"/>
  <c r="N63" i="105"/>
  <c r="O63" i="105"/>
  <c r="P63" i="105"/>
  <c r="Q63" i="105"/>
  <c r="R63" i="105"/>
  <c r="S63" i="105"/>
  <c r="T63" i="105"/>
  <c r="U63" i="105"/>
  <c r="V63" i="105"/>
  <c r="W63" i="105"/>
  <c r="X63" i="105"/>
  <c r="M64" i="105"/>
  <c r="N64" i="105"/>
  <c r="O64" i="105"/>
  <c r="P64" i="105"/>
  <c r="P65" i="105" s="1"/>
  <c r="Q64" i="105"/>
  <c r="Q65" i="105" s="1"/>
  <c r="R64" i="105"/>
  <c r="S64" i="105"/>
  <c r="T64" i="105"/>
  <c r="U64" i="105"/>
  <c r="V64" i="105"/>
  <c r="W64" i="105"/>
  <c r="X64" i="105"/>
  <c r="X65" i="105" s="1"/>
  <c r="M66" i="105"/>
  <c r="N66" i="105"/>
  <c r="O66" i="105"/>
  <c r="P66" i="105"/>
  <c r="Q66" i="105"/>
  <c r="R66" i="105"/>
  <c r="S66" i="105"/>
  <c r="T66" i="105"/>
  <c r="U66" i="105"/>
  <c r="V66" i="105"/>
  <c r="W66" i="105"/>
  <c r="X66" i="105"/>
  <c r="M68" i="105"/>
  <c r="N68" i="105"/>
  <c r="O68" i="105"/>
  <c r="P68" i="105"/>
  <c r="Q68" i="105"/>
  <c r="R68" i="105"/>
  <c r="S68" i="105"/>
  <c r="T68" i="105"/>
  <c r="U68" i="105"/>
  <c r="V68" i="105"/>
  <c r="W68" i="105"/>
  <c r="X68" i="105"/>
  <c r="M69" i="105"/>
  <c r="N69" i="105"/>
  <c r="O69" i="105"/>
  <c r="P69" i="105"/>
  <c r="Q69" i="105"/>
  <c r="R69" i="105"/>
  <c r="S69" i="105"/>
  <c r="T69" i="105"/>
  <c r="U69" i="105"/>
  <c r="V69" i="105"/>
  <c r="W69" i="105"/>
  <c r="X69" i="105"/>
  <c r="M70" i="105"/>
  <c r="N70" i="105"/>
  <c r="O70" i="105"/>
  <c r="P70" i="105"/>
  <c r="Q70" i="105"/>
  <c r="R70" i="105"/>
  <c r="S70" i="105"/>
  <c r="T70" i="105"/>
  <c r="U70" i="105"/>
  <c r="V70" i="105"/>
  <c r="W70" i="105"/>
  <c r="X70" i="105"/>
  <c r="G72" i="105"/>
  <c r="F17" i="135" s="1"/>
  <c r="K72" i="105"/>
  <c r="F73" i="105"/>
  <c r="E18" i="135" s="1"/>
  <c r="E135" i="135" s="1"/>
  <c r="G73" i="105"/>
  <c r="F18" i="135" s="1"/>
  <c r="F135" i="135" s="1"/>
  <c r="K73" i="105"/>
  <c r="F74" i="105"/>
  <c r="E19" i="135" s="1"/>
  <c r="E154" i="135" s="1"/>
  <c r="G74" i="105"/>
  <c r="F19" i="135" s="1"/>
  <c r="F154" i="135" s="1"/>
  <c r="K74" i="105"/>
  <c r="D77" i="105"/>
  <c r="D78" i="105" s="1"/>
  <c r="BU11" i="105"/>
  <c r="BV11" i="105"/>
  <c r="BW11" i="105"/>
  <c r="BA13" i="105"/>
  <c r="BA14" i="105" s="1"/>
  <c r="AT14" i="105"/>
  <c r="AU14" i="105"/>
  <c r="AV14" i="105"/>
  <c r="AW14" i="105"/>
  <c r="AX14" i="105"/>
  <c r="AY14" i="105"/>
  <c r="BC14" i="105"/>
  <c r="D10" i="105" l="1"/>
  <c r="W65" i="105"/>
  <c r="O65" i="105"/>
  <c r="V65" i="105"/>
  <c r="N65" i="105"/>
  <c r="F10" i="105"/>
  <c r="E10" i="105"/>
  <c r="U65" i="105"/>
  <c r="T65" i="105"/>
  <c r="S65" i="105"/>
  <c r="H12" i="135"/>
  <c r="G18" i="120"/>
  <c r="R65" i="105"/>
  <c r="Q21" i="120"/>
  <c r="Q19" i="120"/>
  <c r="L47" i="105"/>
  <c r="K7" i="105"/>
  <c r="M17" i="90"/>
  <c r="L48" i="105"/>
  <c r="X18" i="120" s="1"/>
  <c r="M18" i="90"/>
  <c r="N18" i="90" s="1"/>
  <c r="L46" i="105"/>
  <c r="F12" i="135"/>
  <c r="F153" i="135" s="1"/>
  <c r="F157" i="135" s="1"/>
  <c r="E12" i="135"/>
  <c r="E153" i="135" s="1"/>
  <c r="E157" i="135" s="1"/>
  <c r="F138" i="135"/>
  <c r="E138" i="135"/>
  <c r="F22" i="135"/>
  <c r="F115" i="135"/>
  <c r="BE49" i="105"/>
  <c r="K78" i="105"/>
  <c r="E114" i="135"/>
  <c r="F58" i="105"/>
  <c r="K58" i="105"/>
  <c r="I58" i="105"/>
  <c r="F114" i="135"/>
  <c r="G58" i="105"/>
  <c r="H172" i="135"/>
  <c r="H176" i="135" s="1"/>
  <c r="H134" i="135"/>
  <c r="H138" i="135" s="1"/>
  <c r="N71" i="105"/>
  <c r="G114" i="135"/>
  <c r="G118" i="135" s="1"/>
  <c r="BA51" i="105"/>
  <c r="AS51" i="105"/>
  <c r="AV51" i="105"/>
  <c r="T48" i="105"/>
  <c r="R18" i="120" s="1"/>
  <c r="G153" i="135"/>
  <c r="G157" i="135" s="1"/>
  <c r="AU51" i="105"/>
  <c r="AY51" i="105"/>
  <c r="AX51" i="105"/>
  <c r="G134" i="135"/>
  <c r="G138" i="135" s="1"/>
  <c r="G172" i="135"/>
  <c r="G176" i="135" s="1"/>
  <c r="F172" i="135"/>
  <c r="F176" i="135" s="1"/>
  <c r="V84" i="130"/>
  <c r="V82" i="130"/>
  <c r="V80" i="130"/>
  <c r="V83" i="130"/>
  <c r="V81" i="130"/>
  <c r="K77" i="105"/>
  <c r="U58" i="105"/>
  <c r="O71" i="105"/>
  <c r="M71" i="105"/>
  <c r="H51" i="105"/>
  <c r="F4" i="120" s="1"/>
  <c r="F7" i="120" s="1"/>
  <c r="BD51" i="105"/>
  <c r="T71" i="105"/>
  <c r="AW51" i="105"/>
  <c r="U71" i="105"/>
  <c r="M58" i="105"/>
  <c r="V71" i="105"/>
  <c r="K51" i="105"/>
  <c r="K10" i="105" s="1"/>
  <c r="S58" i="105"/>
  <c r="Q58" i="105"/>
  <c r="R58" i="105"/>
  <c r="T80" i="130"/>
  <c r="S71" i="105"/>
  <c r="AZ51" i="105"/>
  <c r="S48" i="105"/>
  <c r="U80" i="130"/>
  <c r="R71" i="105"/>
  <c r="V58" i="105"/>
  <c r="R48" i="105"/>
  <c r="P18" i="120" s="1"/>
  <c r="U84" i="130"/>
  <c r="Q71" i="105"/>
  <c r="N58" i="105"/>
  <c r="Q48" i="105"/>
  <c r="O18" i="120" s="1"/>
  <c r="T84" i="130"/>
  <c r="X71" i="105"/>
  <c r="P71" i="105"/>
  <c r="T58" i="105"/>
  <c r="X48" i="105"/>
  <c r="V18" i="120" s="1"/>
  <c r="P48" i="105"/>
  <c r="N18" i="120" s="1"/>
  <c r="U83" i="130"/>
  <c r="O48" i="105"/>
  <c r="M18" i="120" s="1"/>
  <c r="X58" i="105"/>
  <c r="P58" i="105"/>
  <c r="V48" i="105"/>
  <c r="T18" i="120" s="1"/>
  <c r="L18" i="120"/>
  <c r="T83" i="130"/>
  <c r="U82" i="130"/>
  <c r="U81" i="130"/>
  <c r="T82" i="130"/>
  <c r="T81" i="130"/>
  <c r="O58" i="105"/>
  <c r="U48" i="105"/>
  <c r="S18" i="120" s="1"/>
  <c r="K18" i="120"/>
  <c r="W71" i="105"/>
  <c r="M87" i="130" s="1"/>
  <c r="M86" i="130"/>
  <c r="BE50" i="105"/>
  <c r="W48" i="105"/>
  <c r="U18" i="120" s="1"/>
  <c r="W58" i="105"/>
  <c r="BC51" i="105"/>
  <c r="S82" i="130"/>
  <c r="S81" i="130"/>
  <c r="G77" i="105"/>
  <c r="H77" i="105"/>
  <c r="BB51" i="105"/>
  <c r="AT51" i="105"/>
  <c r="Q18" i="120" l="1"/>
  <c r="AN17" i="90"/>
  <c r="N17" i="90"/>
  <c r="F118" i="135"/>
  <c r="F23" i="135"/>
  <c r="F8" i="120"/>
  <c r="E8" i="120"/>
  <c r="X51" i="105"/>
  <c r="X59" i="105" s="1"/>
  <c r="W51" i="105"/>
  <c r="W59" i="105" s="1"/>
  <c r="G7" i="120"/>
  <c r="G4" i="120"/>
  <c r="I59" i="105"/>
  <c r="I79" i="105" s="1"/>
  <c r="H153" i="135"/>
  <c r="H157" i="135" s="1"/>
  <c r="T51" i="105"/>
  <c r="T59" i="105" s="1"/>
  <c r="H59" i="105"/>
  <c r="H79" i="105" s="1"/>
  <c r="K59" i="105"/>
  <c r="K79" i="105" s="1"/>
  <c r="L51" i="105"/>
  <c r="H114" i="135"/>
  <c r="H118" i="135" s="1"/>
  <c r="H15" i="135"/>
  <c r="I83" i="130"/>
  <c r="K83" i="130" s="1"/>
  <c r="G15" i="135"/>
  <c r="V85" i="130"/>
  <c r="V86" i="130" s="1"/>
  <c r="BE51" i="105"/>
  <c r="O51" i="105"/>
  <c r="O59" i="105" s="1"/>
  <c r="Q51" i="105"/>
  <c r="Q59" i="105" s="1"/>
  <c r="M51" i="105"/>
  <c r="M59" i="105" s="1"/>
  <c r="N51" i="105"/>
  <c r="N59" i="105" s="1"/>
  <c r="R51" i="105"/>
  <c r="R59" i="105" s="1"/>
  <c r="Y48" i="105"/>
  <c r="H78" i="105"/>
  <c r="I84" i="130"/>
  <c r="K84" i="130" s="1"/>
  <c r="V51" i="105"/>
  <c r="V59" i="105" s="1"/>
  <c r="U51" i="105"/>
  <c r="U59" i="105" s="1"/>
  <c r="G78" i="105"/>
  <c r="H84" i="130"/>
  <c r="M88" i="130"/>
  <c r="P51" i="105"/>
  <c r="P59" i="105" s="1"/>
  <c r="S51" i="105"/>
  <c r="S59" i="105" s="1"/>
  <c r="T85" i="130"/>
  <c r="T86" i="130" s="1"/>
  <c r="U85" i="130"/>
  <c r="U86" i="130" s="1"/>
  <c r="H8" i="120" l="1"/>
  <c r="G16" i="135"/>
  <c r="G39" i="135" s="1"/>
  <c r="G196" i="135"/>
  <c r="H16" i="135"/>
  <c r="H196" i="135"/>
  <c r="M83" i="130"/>
  <c r="G38" i="135"/>
  <c r="K85" i="130"/>
  <c r="K89" i="130" s="1"/>
  <c r="I85" i="130"/>
  <c r="I89" i="130" s="1"/>
  <c r="BG27" i="120" l="1"/>
  <c r="N22" i="93"/>
  <c r="N27" i="93" l="1"/>
  <c r="AK188" i="135" s="1"/>
  <c r="AA14" i="85"/>
  <c r="Q17" i="93" l="1"/>
  <c r="L22" i="93" l="1"/>
  <c r="L27" i="93" l="1"/>
  <c r="AI188" i="135" s="1"/>
  <c r="M248" i="8"/>
  <c r="Q12" i="93" l="1"/>
  <c r="L13" i="93"/>
  <c r="AI130" i="135" s="1"/>
  <c r="M13" i="93"/>
  <c r="N13" i="93"/>
  <c r="O13" i="93"/>
  <c r="AL130" i="135" s="1"/>
  <c r="P13" i="93"/>
  <c r="K13" i="93"/>
  <c r="AH130" i="135" s="1"/>
  <c r="D13" i="93"/>
  <c r="AM130" i="135" l="1"/>
  <c r="AL131" i="135"/>
  <c r="AL132" i="135"/>
  <c r="AL214" i="135" s="1"/>
  <c r="J3" i="93"/>
  <c r="I3" i="93"/>
  <c r="P3" i="93"/>
  <c r="O3" i="93"/>
  <c r="G3" i="93"/>
  <c r="N3" i="93"/>
  <c r="F3" i="93"/>
  <c r="M3" i="93"/>
  <c r="L3" i="93"/>
  <c r="H3" i="93"/>
  <c r="K3" i="93"/>
  <c r="Y130" i="135"/>
  <c r="AK130" i="135"/>
  <c r="AJ130" i="135"/>
  <c r="K13" i="105"/>
  <c r="L13" i="105" l="1"/>
  <c r="E101" i="8"/>
  <c r="AM131" i="135"/>
  <c r="AM132" i="135"/>
  <c r="AM214" i="135" s="1"/>
  <c r="Z130" i="135"/>
  <c r="I4" i="95"/>
  <c r="AA4" i="95" s="1"/>
  <c r="BB14" i="105" l="1"/>
  <c r="H10" i="105" s="1"/>
  <c r="I14" i="92" l="1"/>
  <c r="G45" i="105" l="1"/>
  <c r="E13" i="120" s="1"/>
  <c r="BE34" i="120"/>
  <c r="I22" i="92"/>
  <c r="I23" i="92"/>
  <c r="G50" i="105"/>
  <c r="AC10" i="8"/>
  <c r="AC9" i="8"/>
  <c r="AC8" i="8"/>
  <c r="AC7" i="8"/>
  <c r="AC6" i="8"/>
  <c r="BE39" i="120" l="1"/>
  <c r="BE36" i="120"/>
  <c r="F14" i="135"/>
  <c r="F192" i="135" s="1"/>
  <c r="E21" i="120"/>
  <c r="H21" i="120" s="1"/>
  <c r="G51" i="105"/>
  <c r="E4" i="120" s="1"/>
  <c r="H4" i="120" s="1"/>
  <c r="AZ13" i="105"/>
  <c r="G9" i="105" s="1"/>
  <c r="BE41" i="120" l="1"/>
  <c r="BE43" i="120"/>
  <c r="E7" i="120"/>
  <c r="H7" i="120" s="1"/>
  <c r="AZ14" i="105"/>
  <c r="G10" i="105" s="1"/>
  <c r="G59" i="105"/>
  <c r="G79" i="105" s="1"/>
  <c r="H83" i="130"/>
  <c r="H85" i="130" s="1"/>
  <c r="H89" i="130" s="1"/>
  <c r="F15" i="135"/>
  <c r="F196" i="135" s="1"/>
  <c r="AE29" i="69"/>
  <c r="AE30" i="69"/>
  <c r="BI19" i="120"/>
  <c r="F16" i="135" l="1"/>
  <c r="F39" i="135" s="1"/>
  <c r="F38" i="135"/>
  <c r="BI18" i="120"/>
  <c r="BH21" i="120" l="1"/>
  <c r="BI17" i="120"/>
  <c r="BJ19" i="120"/>
  <c r="BI21" i="120" l="1"/>
  <c r="BI20" i="120" s="1"/>
  <c r="BJ20" i="120" s="1"/>
  <c r="BJ17" i="120"/>
  <c r="BI16" i="120" s="1"/>
  <c r="BJ16" i="120"/>
  <c r="AA14" i="82" l="1"/>
  <c r="Y66" i="105" l="1"/>
  <c r="Q21" i="93" l="1"/>
  <c r="P6" i="95" l="1"/>
  <c r="P12" i="95"/>
  <c r="P18" i="95"/>
  <c r="F6" i="102" l="1"/>
  <c r="G6" i="102"/>
  <c r="H6" i="102"/>
  <c r="D7" i="102"/>
  <c r="E7" i="102"/>
  <c r="H7" i="102"/>
  <c r="F8" i="102"/>
  <c r="G8" i="102"/>
  <c r="H8" i="102"/>
  <c r="E9" i="102"/>
  <c r="H9" i="102"/>
  <c r="F10" i="102"/>
  <c r="G10" i="102"/>
  <c r="H10" i="102"/>
  <c r="E11" i="102"/>
  <c r="H11" i="102"/>
  <c r="F12" i="102"/>
  <c r="G12" i="102"/>
  <c r="H12" i="102"/>
  <c r="E13" i="102"/>
  <c r="H13" i="102"/>
  <c r="F14" i="102"/>
  <c r="G14" i="102"/>
  <c r="H14" i="102"/>
  <c r="E15" i="102"/>
  <c r="G15" i="102"/>
  <c r="H15" i="102"/>
  <c r="I16" i="102"/>
  <c r="J16" i="102"/>
  <c r="H16" i="102" l="1"/>
  <c r="AA15" i="90"/>
  <c r="Y47" i="105" l="1"/>
  <c r="Q10" i="93" l="1"/>
  <c r="Y36" i="95" l="1"/>
  <c r="Q28" i="132" l="1"/>
  <c r="AA43" i="91" l="1"/>
  <c r="AA42" i="91"/>
  <c r="AA41" i="91"/>
  <c r="AA40" i="91"/>
  <c r="AA39" i="91"/>
  <c r="AA38" i="91"/>
  <c r="AA37" i="91"/>
  <c r="AA35" i="91"/>
  <c r="AA33" i="91"/>
  <c r="AA32" i="91"/>
  <c r="AA31" i="91"/>
  <c r="Y98" i="105" s="1"/>
  <c r="X93" i="135" s="1"/>
  <c r="X186" i="135" s="1"/>
  <c r="X99" i="135" l="1"/>
  <c r="X187" i="135" s="1"/>
  <c r="AA17" i="92" l="1"/>
  <c r="Y64" i="105" s="1"/>
  <c r="AA20" i="91"/>
  <c r="AA19" i="91"/>
  <c r="AA17" i="91"/>
  <c r="Y63" i="105" s="1"/>
  <c r="AA13" i="90"/>
  <c r="AA14" i="90"/>
  <c r="Y62" i="105" s="1"/>
  <c r="Y65" i="105" l="1"/>
  <c r="J86" i="130" s="1"/>
  <c r="L86" i="130" s="1"/>
  <c r="Y68" i="105"/>
  <c r="G27" i="93" l="1"/>
  <c r="AD188" i="135" s="1"/>
  <c r="AA16" i="92"/>
  <c r="AA18" i="92"/>
  <c r="AA19" i="92"/>
  <c r="AA20" i="92"/>
  <c r="Y70" i="105" l="1"/>
  <c r="D20" i="95" l="1"/>
  <c r="E20" i="95"/>
  <c r="F20" i="95"/>
  <c r="AA16" i="91" l="1"/>
  <c r="Y69" i="105" l="1"/>
  <c r="Y71" i="105" s="1"/>
  <c r="J87" i="130" s="1"/>
  <c r="L87" i="130" s="1"/>
  <c r="L88" i="130" s="1"/>
  <c r="J88" i="130" l="1"/>
  <c r="P22" i="82" l="1"/>
  <c r="Q22" i="82"/>
  <c r="R22" i="82"/>
  <c r="S22" i="82"/>
  <c r="T22" i="82"/>
  <c r="U22" i="82"/>
  <c r="V22" i="82"/>
  <c r="W22" i="82"/>
  <c r="X22" i="82"/>
  <c r="Y22" i="82"/>
  <c r="Z22" i="82"/>
  <c r="G12" i="92" l="1"/>
  <c r="G12" i="91"/>
  <c r="AP133" i="105"/>
  <c r="M6" i="120"/>
  <c r="N6" i="120"/>
  <c r="O6" i="120"/>
  <c r="P6" i="120"/>
  <c r="R6" i="120"/>
  <c r="S6" i="120"/>
  <c r="T6" i="120"/>
  <c r="U6" i="120"/>
  <c r="V6" i="120"/>
  <c r="W6" i="120"/>
  <c r="M5" i="120"/>
  <c r="N5" i="120"/>
  <c r="O5" i="120"/>
  <c r="P5" i="120"/>
  <c r="R5" i="120"/>
  <c r="S5" i="120"/>
  <c r="T5" i="120"/>
  <c r="U5" i="120"/>
  <c r="V5" i="120"/>
  <c r="W5" i="120"/>
  <c r="L5" i="120" l="1"/>
  <c r="K5" i="120"/>
  <c r="L6" i="120"/>
  <c r="K6" i="120"/>
  <c r="Q5" i="120" l="1"/>
  <c r="Q6" i="120"/>
  <c r="C11" i="120" l="1"/>
  <c r="Q61" i="93" l="1"/>
  <c r="Q66" i="93" s="1"/>
  <c r="O19" i="95" l="1"/>
  <c r="J19" i="95" s="1"/>
  <c r="BE247" i="105" l="1"/>
  <c r="BD247" i="105"/>
  <c r="BB247" i="105"/>
  <c r="BA247" i="105"/>
  <c r="AZ247" i="105"/>
  <c r="AY247" i="105"/>
  <c r="AX247" i="105"/>
  <c r="AW247" i="105"/>
  <c r="AV247" i="105"/>
  <c r="AU247" i="105"/>
  <c r="AT247" i="105"/>
  <c r="BF246" i="105"/>
  <c r="BF245" i="105"/>
  <c r="BF244" i="105"/>
  <c r="BF243" i="105"/>
  <c r="BF242" i="105"/>
  <c r="BF247" i="105" l="1"/>
  <c r="BI247" i="105" s="1"/>
  <c r="Y43" i="95" l="1"/>
  <c r="G19" i="95" s="1"/>
  <c r="AA55" i="90"/>
  <c r="K31" i="95" l="1"/>
  <c r="F87" i="8" l="1"/>
  <c r="F127" i="8" s="1"/>
  <c r="M7" i="132" l="1"/>
  <c r="M8" i="132"/>
  <c r="M9" i="132"/>
  <c r="M10" i="132"/>
  <c r="M11" i="132"/>
  <c r="M12" i="132"/>
  <c r="M13" i="132"/>
  <c r="M14" i="132"/>
  <c r="M15" i="132"/>
  <c r="M16" i="132"/>
  <c r="M17" i="132"/>
  <c r="M18" i="132"/>
  <c r="M19" i="132"/>
  <c r="M20" i="132"/>
  <c r="M21" i="132"/>
  <c r="M22" i="132"/>
  <c r="M23" i="132"/>
  <c r="M24" i="132"/>
  <c r="N24" i="132"/>
  <c r="M25" i="132"/>
  <c r="M26" i="132"/>
  <c r="M27" i="132"/>
  <c r="M28" i="132"/>
  <c r="M29" i="132"/>
  <c r="M30" i="132"/>
  <c r="M31" i="132"/>
  <c r="M32" i="132"/>
  <c r="M33" i="132"/>
  <c r="M6" i="132"/>
  <c r="M5" i="132"/>
  <c r="M4" i="132"/>
  <c r="G42" i="132"/>
  <c r="H42" i="132"/>
  <c r="I42" i="132"/>
  <c r="G43" i="132"/>
  <c r="H43" i="132"/>
  <c r="I43" i="132"/>
  <c r="J43" i="132"/>
  <c r="J42" i="132"/>
  <c r="J46" i="135" l="1"/>
  <c r="J120" i="135" s="1"/>
  <c r="J47" i="135"/>
  <c r="Y47" i="135" s="1"/>
  <c r="J48" i="135"/>
  <c r="J140" i="135" s="1"/>
  <c r="J54" i="135"/>
  <c r="J198" i="135" s="1"/>
  <c r="J55" i="135"/>
  <c r="Y55" i="135" s="1"/>
  <c r="J53" i="135"/>
  <c r="Y53" i="135" s="1"/>
  <c r="J52" i="135"/>
  <c r="J178" i="135" s="1"/>
  <c r="J50" i="135"/>
  <c r="J158" i="135" s="1"/>
  <c r="J51" i="135"/>
  <c r="Y51" i="135" s="1"/>
  <c r="J49" i="135"/>
  <c r="Y49" i="135" s="1"/>
  <c r="C20" i="95"/>
  <c r="Y199" i="135" l="1"/>
  <c r="J199" i="135"/>
  <c r="J121" i="135"/>
  <c r="J57" i="135"/>
  <c r="J56" i="135"/>
  <c r="J179" i="135"/>
  <c r="J159" i="135"/>
  <c r="J141" i="135"/>
  <c r="BE132" i="105"/>
  <c r="BE131" i="105"/>
  <c r="J58" i="135" l="1"/>
  <c r="Y121" i="135"/>
  <c r="Y179" i="135"/>
  <c r="Y141" i="135"/>
  <c r="Y159" i="135"/>
  <c r="J59" i="135"/>
  <c r="Y56" i="135"/>
  <c r="AP129" i="105"/>
  <c r="AP131" i="105"/>
  <c r="AP130" i="105"/>
  <c r="AP132" i="105"/>
  <c r="AP128" i="105"/>
  <c r="Y85" i="105"/>
  <c r="X80" i="135" s="1"/>
  <c r="X184" i="135" s="1"/>
  <c r="Y91" i="105"/>
  <c r="X86" i="135" s="1"/>
  <c r="X185" i="135" s="1"/>
  <c r="Y58" i="135" l="1"/>
  <c r="BQ3" i="105"/>
  <c r="BG3" i="105"/>
  <c r="O22" i="92" l="1"/>
  <c r="P22" i="92"/>
  <c r="Q22" i="92"/>
  <c r="R22" i="92"/>
  <c r="S22" i="92"/>
  <c r="T22" i="92"/>
  <c r="U22" i="92"/>
  <c r="V22" i="92"/>
  <c r="W22" i="92"/>
  <c r="X22" i="92"/>
  <c r="Y22" i="92"/>
  <c r="Z22" i="92"/>
  <c r="AA21" i="92" l="1"/>
  <c r="F53" i="84" l="1"/>
  <c r="F47" i="84"/>
  <c r="F41" i="84"/>
  <c r="E41" i="84"/>
  <c r="C41" i="84"/>
  <c r="D32" i="84"/>
  <c r="C32" i="84"/>
  <c r="B32" i="84"/>
  <c r="A32" i="84"/>
  <c r="F24" i="84"/>
  <c r="J21" i="84"/>
  <c r="I21" i="84"/>
  <c r="H21" i="84"/>
  <c r="G21" i="84"/>
  <c r="F21" i="84"/>
  <c r="E21" i="84"/>
  <c r="D21" i="84"/>
  <c r="C21" i="84"/>
  <c r="B21" i="84"/>
  <c r="A21" i="84"/>
  <c r="J10" i="84"/>
  <c r="I10" i="84"/>
  <c r="H10" i="84"/>
  <c r="G10" i="84"/>
  <c r="F10" i="84"/>
  <c r="E10" i="84"/>
  <c r="D10" i="84"/>
  <c r="B10" i="84"/>
  <c r="Y42" i="95"/>
  <c r="G18" i="95" s="1"/>
  <c r="K42" i="95"/>
  <c r="K41" i="95"/>
  <c r="K40" i="95"/>
  <c r="K39" i="95"/>
  <c r="Y38" i="95"/>
  <c r="G12" i="95" s="1"/>
  <c r="H12" i="95" s="1"/>
  <c r="K38" i="95"/>
  <c r="Y37" i="95"/>
  <c r="G11" i="95" s="1"/>
  <c r="H11" i="95" s="1"/>
  <c r="K37" i="95"/>
  <c r="K36" i="95"/>
  <c r="Y35" i="95"/>
  <c r="G9" i="95" s="1"/>
  <c r="H9" i="95" s="1"/>
  <c r="K35" i="95"/>
  <c r="Y34" i="95"/>
  <c r="K34" i="95"/>
  <c r="Y33" i="95"/>
  <c r="G7" i="95" s="1"/>
  <c r="H7" i="95" s="1"/>
  <c r="K33" i="95"/>
  <c r="Y32" i="95"/>
  <c r="G6" i="95" s="1"/>
  <c r="H6" i="95" s="1"/>
  <c r="K32" i="95"/>
  <c r="Y31" i="95"/>
  <c r="G5" i="95" s="1"/>
  <c r="H5" i="95" s="1"/>
  <c r="Y30" i="95"/>
  <c r="K30" i="95"/>
  <c r="Y29" i="95"/>
  <c r="G3" i="95" s="1"/>
  <c r="K29" i="95"/>
  <c r="Y20" i="95"/>
  <c r="Z20" i="95" s="1"/>
  <c r="H19" i="95"/>
  <c r="X18" i="95"/>
  <c r="W18" i="95"/>
  <c r="V18" i="95"/>
  <c r="U18" i="95"/>
  <c r="T18" i="95"/>
  <c r="S18" i="95"/>
  <c r="R18" i="95"/>
  <c r="Q18" i="95"/>
  <c r="O18" i="95"/>
  <c r="O20" i="95" s="1"/>
  <c r="N18" i="95"/>
  <c r="M18" i="95"/>
  <c r="I18" i="95"/>
  <c r="AA18" i="95" s="1"/>
  <c r="Y17" i="95"/>
  <c r="F17" i="95"/>
  <c r="F21" i="95" s="1"/>
  <c r="E17" i="95"/>
  <c r="D17" i="95"/>
  <c r="C17" i="95"/>
  <c r="Y13" i="95"/>
  <c r="F13" i="95"/>
  <c r="E13" i="95"/>
  <c r="D13" i="95"/>
  <c r="D21" i="95" s="1"/>
  <c r="C13" i="95"/>
  <c r="X12" i="95"/>
  <c r="W12" i="95"/>
  <c r="V12" i="95"/>
  <c r="U12" i="95"/>
  <c r="T12" i="95"/>
  <c r="S12" i="95"/>
  <c r="R12" i="95"/>
  <c r="Q12" i="95"/>
  <c r="O12" i="95"/>
  <c r="N12" i="95"/>
  <c r="M12" i="95"/>
  <c r="I12" i="95"/>
  <c r="AA12" i="95" s="1"/>
  <c r="I11" i="95"/>
  <c r="AA11" i="95" s="1"/>
  <c r="G10" i="95"/>
  <c r="H10" i="95" s="1"/>
  <c r="I9" i="95"/>
  <c r="AA9" i="95" s="1"/>
  <c r="X6" i="95"/>
  <c r="W6" i="95"/>
  <c r="V6" i="95"/>
  <c r="U6" i="95"/>
  <c r="T6" i="95"/>
  <c r="S6" i="95"/>
  <c r="R6" i="95"/>
  <c r="Q6" i="95"/>
  <c r="O6" i="95"/>
  <c r="N6" i="95"/>
  <c r="M6" i="95"/>
  <c r="I6" i="95"/>
  <c r="AA6" i="95" s="1"/>
  <c r="P72" i="93"/>
  <c r="O72" i="93"/>
  <c r="N72" i="93"/>
  <c r="M72" i="93"/>
  <c r="L72" i="93"/>
  <c r="K72" i="93"/>
  <c r="J72" i="93"/>
  <c r="I72" i="93"/>
  <c r="H72" i="93"/>
  <c r="G72" i="93"/>
  <c r="F72" i="93"/>
  <c r="E72" i="93"/>
  <c r="D72" i="93"/>
  <c r="Q3" i="93" s="1"/>
  <c r="E3" i="93" s="1"/>
  <c r="Q71" i="93"/>
  <c r="Q70" i="93"/>
  <c r="X19" i="95"/>
  <c r="W19" i="95"/>
  <c r="S19" i="95"/>
  <c r="R19" i="95"/>
  <c r="Q19" i="95"/>
  <c r="P19" i="95"/>
  <c r="N19" i="95"/>
  <c r="M19" i="95"/>
  <c r="Q57" i="93"/>
  <c r="Q46" i="93"/>
  <c r="E37" i="93"/>
  <c r="X11" i="95"/>
  <c r="W11" i="95"/>
  <c r="T11" i="95"/>
  <c r="S11" i="95"/>
  <c r="Q11" i="95"/>
  <c r="P11" i="95"/>
  <c r="O11" i="95"/>
  <c r="AB208" i="135"/>
  <c r="V9" i="95"/>
  <c r="U9" i="95"/>
  <c r="P22" i="93"/>
  <c r="P27" i="93" s="1"/>
  <c r="O22" i="93"/>
  <c r="O27" i="93" s="1"/>
  <c r="K22" i="93"/>
  <c r="K27" i="93" s="1"/>
  <c r="J22" i="93"/>
  <c r="J27" i="93" s="1"/>
  <c r="I22" i="93"/>
  <c r="H22" i="93"/>
  <c r="H27" i="93" s="1"/>
  <c r="O9" i="95"/>
  <c r="F22" i="93"/>
  <c r="X4" i="95"/>
  <c r="W4" i="95"/>
  <c r="V4" i="95"/>
  <c r="U4" i="95"/>
  <c r="T4" i="95"/>
  <c r="S4" i="95"/>
  <c r="J13" i="93"/>
  <c r="AG130" i="135" s="1"/>
  <c r="I13" i="93"/>
  <c r="H13" i="93"/>
  <c r="AE130" i="135" s="1"/>
  <c r="G13" i="93"/>
  <c r="AD130" i="135" s="1"/>
  <c r="F13" i="93"/>
  <c r="E13" i="93"/>
  <c r="Q13" i="93"/>
  <c r="Q9" i="93"/>
  <c r="AQ149" i="102"/>
  <c r="AN149" i="102"/>
  <c r="X16" i="95" s="1"/>
  <c r="AM149" i="102"/>
  <c r="W16" i="95" s="1"/>
  <c r="AL149" i="102"/>
  <c r="V16" i="95" s="1"/>
  <c r="AK149" i="102"/>
  <c r="U16" i="95" s="1"/>
  <c r="AJ149" i="102"/>
  <c r="T16" i="95" s="1"/>
  <c r="AI149" i="102"/>
  <c r="S16" i="95" s="1"/>
  <c r="AH149" i="102"/>
  <c r="R16" i="95" s="1"/>
  <c r="AG149" i="102"/>
  <c r="Q16" i="95" s="1"/>
  <c r="AF149" i="102"/>
  <c r="P16" i="95" s="1"/>
  <c r="AE149" i="102"/>
  <c r="O16" i="95" s="1"/>
  <c r="AD149" i="102"/>
  <c r="N16" i="95" s="1"/>
  <c r="AC149" i="102"/>
  <c r="AB149" i="102"/>
  <c r="I16" i="95" s="1"/>
  <c r="Z149" i="102"/>
  <c r="Y149" i="102"/>
  <c r="X149" i="102"/>
  <c r="W149" i="102"/>
  <c r="V149" i="102"/>
  <c r="U149" i="102"/>
  <c r="T149" i="102"/>
  <c r="S149" i="102"/>
  <c r="R149" i="102"/>
  <c r="Q149" i="102"/>
  <c r="O41" i="95" s="1"/>
  <c r="P149" i="102"/>
  <c r="O149" i="102"/>
  <c r="AO148" i="102"/>
  <c r="AP148" i="102" s="1"/>
  <c r="AO146" i="102"/>
  <c r="AO145" i="102"/>
  <c r="AP145" i="102" s="1"/>
  <c r="AO144" i="102"/>
  <c r="AP144" i="102" s="1"/>
  <c r="AO143" i="102"/>
  <c r="AP143" i="102" s="1"/>
  <c r="AQ138" i="102"/>
  <c r="AO136" i="102"/>
  <c r="AP136" i="102" s="1"/>
  <c r="AO135" i="102"/>
  <c r="AP135" i="102" s="1"/>
  <c r="AO134" i="102"/>
  <c r="AO133" i="102"/>
  <c r="AP133" i="102" s="1"/>
  <c r="AO132" i="102"/>
  <c r="Q171" i="8"/>
  <c r="P171" i="8"/>
  <c r="O171" i="8"/>
  <c r="N171" i="8"/>
  <c r="M171" i="8"/>
  <c r="L171" i="8"/>
  <c r="K171" i="8"/>
  <c r="J171" i="8"/>
  <c r="I171" i="8"/>
  <c r="H171" i="8"/>
  <c r="G171" i="8"/>
  <c r="F171" i="8"/>
  <c r="H102" i="102"/>
  <c r="AO100" i="102"/>
  <c r="AP100" i="102" s="1"/>
  <c r="AO99" i="102"/>
  <c r="AP99" i="102" s="1"/>
  <c r="AO98" i="102"/>
  <c r="AP98" i="102" s="1"/>
  <c r="AO97" i="102"/>
  <c r="AP97" i="102" s="1"/>
  <c r="AO96" i="102"/>
  <c r="AP96" i="102" s="1"/>
  <c r="F92" i="102"/>
  <c r="F93" i="102" s="1"/>
  <c r="I91" i="102"/>
  <c r="G91" i="102"/>
  <c r="F91" i="102"/>
  <c r="E91" i="102"/>
  <c r="D91" i="102"/>
  <c r="C91" i="102"/>
  <c r="Z90" i="102"/>
  <c r="Y90" i="102"/>
  <c r="X90" i="102"/>
  <c r="W90" i="102"/>
  <c r="V90" i="102"/>
  <c r="U90" i="102"/>
  <c r="T90" i="102"/>
  <c r="S90" i="102"/>
  <c r="R90" i="102"/>
  <c r="Q90" i="102"/>
  <c r="P90" i="102"/>
  <c r="O90" i="102"/>
  <c r="N90" i="102"/>
  <c r="Z89" i="102"/>
  <c r="Y89" i="102"/>
  <c r="X89" i="102"/>
  <c r="W89" i="102"/>
  <c r="V89" i="102"/>
  <c r="U89" i="102"/>
  <c r="T89" i="102"/>
  <c r="S89" i="102"/>
  <c r="R89" i="102"/>
  <c r="Q89" i="102"/>
  <c r="P89" i="102"/>
  <c r="O89" i="102"/>
  <c r="M24" i="102"/>
  <c r="N24" i="102" s="1"/>
  <c r="Z88" i="102"/>
  <c r="Y88" i="102"/>
  <c r="X88" i="102"/>
  <c r="W88" i="102"/>
  <c r="V88" i="102"/>
  <c r="U88" i="102"/>
  <c r="T88" i="102"/>
  <c r="S88" i="102"/>
  <c r="R88" i="102"/>
  <c r="Q88" i="102"/>
  <c r="P88" i="102"/>
  <c r="O88" i="102"/>
  <c r="N88" i="102"/>
  <c r="Z87" i="102"/>
  <c r="Y87" i="102"/>
  <c r="X87" i="102"/>
  <c r="W87" i="102"/>
  <c r="V87" i="102"/>
  <c r="U87" i="102"/>
  <c r="T87" i="102"/>
  <c r="S87" i="102"/>
  <c r="R87" i="102"/>
  <c r="Q87" i="102"/>
  <c r="P87" i="102"/>
  <c r="O87" i="102"/>
  <c r="N87" i="102"/>
  <c r="Z86" i="102"/>
  <c r="Y86" i="102"/>
  <c r="X86" i="102"/>
  <c r="W86" i="102"/>
  <c r="V86" i="102"/>
  <c r="U86" i="102"/>
  <c r="T86" i="102"/>
  <c r="S86" i="102"/>
  <c r="R86" i="102"/>
  <c r="Q86" i="102"/>
  <c r="P86" i="102"/>
  <c r="O86" i="102"/>
  <c r="N86" i="102"/>
  <c r="I81" i="102"/>
  <c r="Z80" i="102"/>
  <c r="Y80" i="102"/>
  <c r="X80" i="102"/>
  <c r="W80" i="102"/>
  <c r="V80" i="102"/>
  <c r="U80" i="102"/>
  <c r="T80" i="102"/>
  <c r="S80" i="102"/>
  <c r="R80" i="102"/>
  <c r="Q80" i="102"/>
  <c r="P80" i="102"/>
  <c r="O80" i="102"/>
  <c r="N80" i="102"/>
  <c r="F80" i="102"/>
  <c r="E80" i="102"/>
  <c r="Z78" i="102"/>
  <c r="Y78" i="102"/>
  <c r="X78" i="102"/>
  <c r="W78" i="102"/>
  <c r="V78" i="102"/>
  <c r="U78" i="102"/>
  <c r="T78" i="102"/>
  <c r="S78" i="102"/>
  <c r="R78" i="102"/>
  <c r="Q78" i="102"/>
  <c r="P78" i="102"/>
  <c r="O78" i="102"/>
  <c r="N78" i="102"/>
  <c r="F78" i="102"/>
  <c r="E78" i="102"/>
  <c r="Z76" i="102"/>
  <c r="Y76" i="102"/>
  <c r="X76" i="102"/>
  <c r="W76" i="102"/>
  <c r="V76" i="102"/>
  <c r="U76" i="102"/>
  <c r="T76" i="102"/>
  <c r="S76" i="102"/>
  <c r="R76" i="102"/>
  <c r="Q76" i="102"/>
  <c r="P76" i="102"/>
  <c r="O76" i="102"/>
  <c r="N76" i="102"/>
  <c r="F76" i="102"/>
  <c r="E76" i="102"/>
  <c r="Z74" i="102"/>
  <c r="Y74" i="102"/>
  <c r="X74" i="102"/>
  <c r="W74" i="102"/>
  <c r="V74" i="102"/>
  <c r="U74" i="102"/>
  <c r="T74" i="102"/>
  <c r="S74" i="102"/>
  <c r="R74" i="102"/>
  <c r="Q74" i="102"/>
  <c r="P74" i="102"/>
  <c r="O74" i="102"/>
  <c r="N74" i="102"/>
  <c r="F74" i="102"/>
  <c r="E74" i="102"/>
  <c r="Z72" i="102"/>
  <c r="Y72" i="102"/>
  <c r="X72" i="102"/>
  <c r="W72" i="102"/>
  <c r="V72" i="102"/>
  <c r="U72" i="102"/>
  <c r="T72" i="102"/>
  <c r="S72" i="102"/>
  <c r="R72" i="102"/>
  <c r="Q72" i="102"/>
  <c r="P72" i="102"/>
  <c r="O72" i="102"/>
  <c r="N72" i="102"/>
  <c r="F72" i="102"/>
  <c r="E72" i="102"/>
  <c r="D72" i="102"/>
  <c r="AB62" i="102"/>
  <c r="Z62" i="102"/>
  <c r="Y62" i="102"/>
  <c r="X62" i="102"/>
  <c r="W62" i="102"/>
  <c r="V62" i="102"/>
  <c r="U62" i="102"/>
  <c r="T62" i="102"/>
  <c r="S62" i="102"/>
  <c r="R62" i="102"/>
  <c r="Q62" i="102"/>
  <c r="P62" i="102"/>
  <c r="O62" i="102"/>
  <c r="AB61" i="102"/>
  <c r="Z61" i="102"/>
  <c r="Y61" i="102"/>
  <c r="X61" i="102"/>
  <c r="W61" i="102"/>
  <c r="V61" i="102"/>
  <c r="U61" i="102"/>
  <c r="T61" i="102"/>
  <c r="S61" i="102"/>
  <c r="R61" i="102"/>
  <c r="Q61" i="102"/>
  <c r="O61" i="102"/>
  <c r="AB60" i="102"/>
  <c r="Z60" i="102"/>
  <c r="Y60" i="102"/>
  <c r="X60" i="102"/>
  <c r="W60" i="102"/>
  <c r="V60" i="102"/>
  <c r="U60" i="102"/>
  <c r="T60" i="102"/>
  <c r="S60" i="102"/>
  <c r="R60" i="102"/>
  <c r="Q60" i="102"/>
  <c r="P60" i="102"/>
  <c r="O60" i="102"/>
  <c r="AB59" i="102"/>
  <c r="Z59" i="102"/>
  <c r="Y59" i="102"/>
  <c r="X59" i="102"/>
  <c r="W59" i="102"/>
  <c r="V59" i="102"/>
  <c r="U59" i="102"/>
  <c r="T59" i="102"/>
  <c r="S59" i="102"/>
  <c r="R59" i="102"/>
  <c r="Q59" i="102"/>
  <c r="P59" i="102"/>
  <c r="O59" i="102"/>
  <c r="AB58" i="102"/>
  <c r="Z58" i="102"/>
  <c r="Y58" i="102"/>
  <c r="X58" i="102"/>
  <c r="W58" i="102"/>
  <c r="V58" i="102"/>
  <c r="U58" i="102"/>
  <c r="T58" i="102"/>
  <c r="S58" i="102"/>
  <c r="R58" i="102"/>
  <c r="Q58" i="102"/>
  <c r="M53" i="102"/>
  <c r="I53" i="102"/>
  <c r="G53" i="102"/>
  <c r="F53" i="102"/>
  <c r="Z52" i="102"/>
  <c r="Y52" i="102"/>
  <c r="Y25" i="102" s="1"/>
  <c r="X52" i="102"/>
  <c r="W52" i="102"/>
  <c r="W25" i="102" s="1"/>
  <c r="V52" i="102"/>
  <c r="U52" i="102"/>
  <c r="T52" i="102"/>
  <c r="S52" i="102"/>
  <c r="R52" i="102"/>
  <c r="Q52" i="102"/>
  <c r="Q25" i="102" s="1"/>
  <c r="P52" i="102"/>
  <c r="O52" i="102"/>
  <c r="N52" i="102"/>
  <c r="Z51" i="102"/>
  <c r="Y51" i="102"/>
  <c r="X51" i="102"/>
  <c r="W51" i="102"/>
  <c r="V51" i="102"/>
  <c r="U51" i="102"/>
  <c r="T51" i="102"/>
  <c r="S51" i="102"/>
  <c r="R51" i="102"/>
  <c r="Q51" i="102"/>
  <c r="P51" i="102"/>
  <c r="O51" i="102"/>
  <c r="N51" i="102"/>
  <c r="Z50" i="102"/>
  <c r="Y50" i="102"/>
  <c r="X50" i="102"/>
  <c r="W50" i="102"/>
  <c r="V50" i="102"/>
  <c r="U50" i="102"/>
  <c r="T50" i="102"/>
  <c r="T23" i="102" s="1"/>
  <c r="S50" i="102"/>
  <c r="R50" i="102"/>
  <c r="Q50" i="102"/>
  <c r="P50" i="102"/>
  <c r="O50" i="102"/>
  <c r="Z49" i="102"/>
  <c r="Y49" i="102"/>
  <c r="X49" i="102"/>
  <c r="W49" i="102"/>
  <c r="V49" i="102"/>
  <c r="U49" i="102"/>
  <c r="T49" i="102"/>
  <c r="S49" i="102"/>
  <c r="R49" i="102"/>
  <c r="Q49" i="102"/>
  <c r="P49" i="102"/>
  <c r="O49" i="102"/>
  <c r="Z48" i="102"/>
  <c r="Y48" i="102"/>
  <c r="X48" i="102"/>
  <c r="W48" i="102"/>
  <c r="V48" i="102"/>
  <c r="U48" i="102"/>
  <c r="T48" i="102"/>
  <c r="S48" i="102"/>
  <c r="R48" i="102"/>
  <c r="Q48" i="102"/>
  <c r="P48" i="102"/>
  <c r="O48" i="102"/>
  <c r="I43" i="102"/>
  <c r="Z42" i="102"/>
  <c r="Y42" i="102"/>
  <c r="X42" i="102"/>
  <c r="W42" i="102"/>
  <c r="V42" i="102"/>
  <c r="U42" i="102"/>
  <c r="T42" i="102"/>
  <c r="S42" i="102"/>
  <c r="R42" i="102"/>
  <c r="Q42" i="102"/>
  <c r="P42" i="102"/>
  <c r="O42" i="102"/>
  <c r="F42" i="102"/>
  <c r="F15" i="102" s="1"/>
  <c r="E42" i="102"/>
  <c r="Z40" i="102"/>
  <c r="Z13" i="102" s="1"/>
  <c r="Y40" i="102"/>
  <c r="X40" i="102"/>
  <c r="W40" i="102"/>
  <c r="V40" i="102"/>
  <c r="U40" i="102"/>
  <c r="T40" i="102"/>
  <c r="S40" i="102"/>
  <c r="R40" i="102"/>
  <c r="Q40" i="102"/>
  <c r="P40" i="102"/>
  <c r="O40" i="102"/>
  <c r="G40" i="102"/>
  <c r="G13" i="102" s="1"/>
  <c r="F40" i="102"/>
  <c r="F13" i="102" s="1"/>
  <c r="E40" i="102"/>
  <c r="Z38" i="102"/>
  <c r="Y38" i="102"/>
  <c r="X38" i="102"/>
  <c r="W38" i="102"/>
  <c r="V38" i="102"/>
  <c r="U38" i="102"/>
  <c r="T38" i="102"/>
  <c r="S38" i="102"/>
  <c r="R38" i="102"/>
  <c r="Q38" i="102"/>
  <c r="P38" i="102"/>
  <c r="O38" i="102"/>
  <c r="N38" i="102"/>
  <c r="G38" i="102"/>
  <c r="G11" i="102" s="1"/>
  <c r="F38" i="102"/>
  <c r="F11" i="102" s="1"/>
  <c r="E38" i="102"/>
  <c r="Z36" i="102"/>
  <c r="Y36" i="102"/>
  <c r="X36" i="102"/>
  <c r="X9" i="102" s="1"/>
  <c r="W36" i="102"/>
  <c r="V36" i="102"/>
  <c r="U36" i="102"/>
  <c r="T36" i="102"/>
  <c r="S36" i="102"/>
  <c r="R36" i="102"/>
  <c r="Q36" i="102"/>
  <c r="P36" i="102"/>
  <c r="O36" i="102"/>
  <c r="N36" i="102"/>
  <c r="G36" i="102"/>
  <c r="G9" i="102" s="1"/>
  <c r="F36" i="102"/>
  <c r="F9" i="102" s="1"/>
  <c r="E36" i="102"/>
  <c r="Z34" i="102"/>
  <c r="Y34" i="102"/>
  <c r="X34" i="102"/>
  <c r="W34" i="102"/>
  <c r="V34" i="102"/>
  <c r="U34" i="102"/>
  <c r="T34" i="102"/>
  <c r="S34" i="102"/>
  <c r="R34" i="102"/>
  <c r="Q34" i="102"/>
  <c r="P34" i="102"/>
  <c r="O34" i="102"/>
  <c r="N34" i="102"/>
  <c r="G34" i="102"/>
  <c r="G7" i="102" s="1"/>
  <c r="F34" i="102"/>
  <c r="F7" i="102" s="1"/>
  <c r="F16" i="102" s="1"/>
  <c r="E34" i="102"/>
  <c r="D34" i="102"/>
  <c r="AJ28" i="102"/>
  <c r="I25" i="102"/>
  <c r="H25" i="102"/>
  <c r="G25" i="102"/>
  <c r="I24" i="102"/>
  <c r="H24" i="102"/>
  <c r="G24" i="102"/>
  <c r="I23" i="102"/>
  <c r="H23" i="102"/>
  <c r="G23" i="102"/>
  <c r="AN22" i="102"/>
  <c r="AM22" i="102"/>
  <c r="AL22" i="102"/>
  <c r="AK22" i="102"/>
  <c r="AJ22" i="102"/>
  <c r="AI22" i="102"/>
  <c r="AH22" i="102"/>
  <c r="AG22" i="102"/>
  <c r="AF22" i="102"/>
  <c r="AE22" i="102"/>
  <c r="AB22" i="102"/>
  <c r="I22" i="102"/>
  <c r="H22" i="102"/>
  <c r="G22" i="102"/>
  <c r="AN21" i="102"/>
  <c r="AM21" i="102"/>
  <c r="AL21" i="102"/>
  <c r="AK21" i="102"/>
  <c r="AJ21" i="102"/>
  <c r="AI21" i="102"/>
  <c r="AH21" i="102"/>
  <c r="AG21" i="102"/>
  <c r="AF21" i="102"/>
  <c r="AE21" i="102"/>
  <c r="AB21" i="102"/>
  <c r="I21" i="102"/>
  <c r="H21" i="102"/>
  <c r="G21" i="102"/>
  <c r="I41" i="132"/>
  <c r="H41" i="132"/>
  <c r="G41" i="132"/>
  <c r="I40" i="132"/>
  <c r="H40" i="132"/>
  <c r="G40" i="132"/>
  <c r="M39" i="132"/>
  <c r="I39" i="132"/>
  <c r="H39" i="132"/>
  <c r="G39" i="132"/>
  <c r="M38" i="132"/>
  <c r="I38" i="132"/>
  <c r="H38" i="132"/>
  <c r="G38" i="132"/>
  <c r="M37" i="132"/>
  <c r="I37" i="132"/>
  <c r="H37" i="132"/>
  <c r="G37" i="132"/>
  <c r="M36" i="132"/>
  <c r="I36" i="132"/>
  <c r="H36" i="132"/>
  <c r="G36" i="132"/>
  <c r="M35" i="132"/>
  <c r="I35" i="132"/>
  <c r="H35" i="132"/>
  <c r="G35" i="132"/>
  <c r="M34" i="132"/>
  <c r="I34" i="132"/>
  <c r="H34" i="132"/>
  <c r="G34" i="132"/>
  <c r="P32" i="132"/>
  <c r="P30" i="132"/>
  <c r="Z29" i="132"/>
  <c r="M66" i="138" s="1"/>
  <c r="Y29" i="132"/>
  <c r="X29" i="132"/>
  <c r="W29" i="132"/>
  <c r="V29" i="132"/>
  <c r="U29" i="132"/>
  <c r="T29" i="132"/>
  <c r="S29" i="132"/>
  <c r="R29" i="132"/>
  <c r="P29" i="132"/>
  <c r="O29" i="132"/>
  <c r="Z28" i="132"/>
  <c r="Y28" i="132"/>
  <c r="X28" i="132"/>
  <c r="W28" i="132"/>
  <c r="V28" i="132"/>
  <c r="U28" i="132"/>
  <c r="T28" i="132"/>
  <c r="S28" i="132"/>
  <c r="R28" i="132"/>
  <c r="P28" i="132"/>
  <c r="O28" i="132"/>
  <c r="Z23" i="132"/>
  <c r="Y23" i="132"/>
  <c r="X23" i="132"/>
  <c r="W23" i="132"/>
  <c r="V23" i="132"/>
  <c r="U23" i="132"/>
  <c r="T23" i="132"/>
  <c r="S23" i="132"/>
  <c r="R23" i="132"/>
  <c r="Q23" i="132"/>
  <c r="P23" i="132"/>
  <c r="O23" i="132"/>
  <c r="Z22" i="132"/>
  <c r="Y22" i="132"/>
  <c r="X22" i="132"/>
  <c r="W22" i="132"/>
  <c r="V22" i="132"/>
  <c r="U22" i="132"/>
  <c r="T22" i="132"/>
  <c r="S22" i="132"/>
  <c r="R22" i="132"/>
  <c r="Q22" i="132"/>
  <c r="P22" i="132"/>
  <c r="O22" i="132"/>
  <c r="Z11" i="132"/>
  <c r="Y11" i="132"/>
  <c r="X11" i="132"/>
  <c r="W11" i="132"/>
  <c r="V11" i="132"/>
  <c r="U11" i="132"/>
  <c r="T11" i="132"/>
  <c r="S11" i="132"/>
  <c r="R11" i="132"/>
  <c r="Q11" i="132"/>
  <c r="P11" i="132"/>
  <c r="O11" i="132"/>
  <c r="Z6" i="132"/>
  <c r="Y6" i="132"/>
  <c r="X6" i="132"/>
  <c r="W6" i="132"/>
  <c r="V6" i="132"/>
  <c r="U6" i="132"/>
  <c r="T6" i="132"/>
  <c r="S6" i="132"/>
  <c r="R6" i="132"/>
  <c r="Q6" i="132"/>
  <c r="P6" i="132"/>
  <c r="Z5" i="132"/>
  <c r="Y5" i="132"/>
  <c r="X5" i="132"/>
  <c r="W5" i="132"/>
  <c r="V5" i="132"/>
  <c r="U5" i="132"/>
  <c r="T5" i="132"/>
  <c r="S5" i="132"/>
  <c r="R5" i="132"/>
  <c r="Q5" i="132"/>
  <c r="P5" i="132"/>
  <c r="O5" i="132"/>
  <c r="Z4" i="132"/>
  <c r="Y4" i="132"/>
  <c r="X4" i="132"/>
  <c r="W4" i="132"/>
  <c r="V4" i="132"/>
  <c r="U4" i="132"/>
  <c r="T4" i="132"/>
  <c r="S4" i="132"/>
  <c r="R4" i="132"/>
  <c r="Q4" i="132"/>
  <c r="P4" i="132"/>
  <c r="O4" i="132"/>
  <c r="L99" i="105"/>
  <c r="K94" i="135" s="1"/>
  <c r="K206" i="135" s="1"/>
  <c r="Z30" i="92"/>
  <c r="Z33" i="132" s="1"/>
  <c r="Y30" i="92"/>
  <c r="Y33" i="132" s="1"/>
  <c r="X30" i="92"/>
  <c r="X33" i="132" s="1"/>
  <c r="W30" i="92"/>
  <c r="W33" i="132" s="1"/>
  <c r="V30" i="92"/>
  <c r="V33" i="132" s="1"/>
  <c r="U30" i="92"/>
  <c r="U33" i="132" s="1"/>
  <c r="T30" i="92"/>
  <c r="T33" i="132" s="1"/>
  <c r="S30" i="92"/>
  <c r="S33" i="132" s="1"/>
  <c r="R30" i="92"/>
  <c r="R33" i="132" s="1"/>
  <c r="Q30" i="92"/>
  <c r="Q33" i="132" s="1"/>
  <c r="P30" i="92"/>
  <c r="P33" i="132" s="1"/>
  <c r="O30" i="92"/>
  <c r="O33" i="132" s="1"/>
  <c r="N33" i="132"/>
  <c r="Z29" i="92"/>
  <c r="Z32" i="132" s="1"/>
  <c r="Y29" i="92"/>
  <c r="Y32" i="132" s="1"/>
  <c r="X29" i="92"/>
  <c r="X32" i="132" s="1"/>
  <c r="W29" i="92"/>
  <c r="W32" i="132" s="1"/>
  <c r="V29" i="92"/>
  <c r="V32" i="132" s="1"/>
  <c r="U29" i="92"/>
  <c r="U32" i="132" s="1"/>
  <c r="T29" i="92"/>
  <c r="T32" i="132" s="1"/>
  <c r="S29" i="92"/>
  <c r="S32" i="132" s="1"/>
  <c r="R29" i="92"/>
  <c r="R32" i="132" s="1"/>
  <c r="Q29" i="92"/>
  <c r="Q32" i="132" s="1"/>
  <c r="O29" i="92"/>
  <c r="N32" i="132"/>
  <c r="Z28" i="92"/>
  <c r="Z31" i="132" s="1"/>
  <c r="Y28" i="92"/>
  <c r="Y31" i="132" s="1"/>
  <c r="X28" i="92"/>
  <c r="X31" i="132" s="1"/>
  <c r="W28" i="92"/>
  <c r="W31" i="132" s="1"/>
  <c r="V28" i="92"/>
  <c r="V31" i="132" s="1"/>
  <c r="U28" i="92"/>
  <c r="U31" i="132" s="1"/>
  <c r="T28" i="92"/>
  <c r="T31" i="132" s="1"/>
  <c r="S28" i="92"/>
  <c r="S31" i="132" s="1"/>
  <c r="R28" i="92"/>
  <c r="R31" i="132" s="1"/>
  <c r="Q28" i="92"/>
  <c r="Q31" i="132" s="1"/>
  <c r="P28" i="92"/>
  <c r="P31" i="132" s="1"/>
  <c r="O28" i="92"/>
  <c r="O31" i="132" s="1"/>
  <c r="N31" i="132"/>
  <c r="Z27" i="92"/>
  <c r="Z30" i="132" s="1"/>
  <c r="Y27" i="92"/>
  <c r="Y30" i="132" s="1"/>
  <c r="X27" i="92"/>
  <c r="X30" i="132" s="1"/>
  <c r="W27" i="92"/>
  <c r="W30" i="132" s="1"/>
  <c r="V27" i="92"/>
  <c r="V30" i="132" s="1"/>
  <c r="U27" i="92"/>
  <c r="U30" i="132" s="1"/>
  <c r="T27" i="92"/>
  <c r="T30" i="132" s="1"/>
  <c r="S27" i="92"/>
  <c r="S30" i="132" s="1"/>
  <c r="R27" i="92"/>
  <c r="R30" i="132" s="1"/>
  <c r="Q27" i="92"/>
  <c r="Q30" i="132" s="1"/>
  <c r="O27" i="92"/>
  <c r="O30" i="132" s="1"/>
  <c r="N30" i="132"/>
  <c r="AA25" i="92"/>
  <c r="N28" i="132"/>
  <c r="AA15" i="92"/>
  <c r="Y76" i="105" s="1"/>
  <c r="H15" i="92"/>
  <c r="F76" i="105" s="1"/>
  <c r="H14" i="92"/>
  <c r="G14" i="92"/>
  <c r="AA13" i="92"/>
  <c r="Y56" i="105" s="1"/>
  <c r="F12" i="92"/>
  <c r="E12" i="92"/>
  <c r="D12" i="92"/>
  <c r="AA9" i="92"/>
  <c r="K44" i="135"/>
  <c r="H46" i="91"/>
  <c r="G46" i="91"/>
  <c r="F46" i="91"/>
  <c r="E46" i="91"/>
  <c r="D46" i="91"/>
  <c r="L98" i="105"/>
  <c r="K93" i="135" s="1"/>
  <c r="K186" i="135" s="1"/>
  <c r="Z30" i="91"/>
  <c r="Z27" i="132" s="1"/>
  <c r="Y30" i="91"/>
  <c r="Y27" i="132" s="1"/>
  <c r="X27" i="132"/>
  <c r="W27" i="132"/>
  <c r="V27" i="132"/>
  <c r="U27" i="132"/>
  <c r="T27" i="132"/>
  <c r="S27" i="132"/>
  <c r="R27" i="132"/>
  <c r="Q27" i="132"/>
  <c r="P27" i="132"/>
  <c r="O27" i="132"/>
  <c r="N27" i="132"/>
  <c r="Z29" i="91"/>
  <c r="Z26" i="132" s="1"/>
  <c r="Y29" i="91"/>
  <c r="Y26" i="132" s="1"/>
  <c r="X26" i="132"/>
  <c r="W26" i="132"/>
  <c r="V26" i="132"/>
  <c r="U26" i="132"/>
  <c r="T26" i="132"/>
  <c r="S26" i="132"/>
  <c r="R26" i="132"/>
  <c r="Q26" i="132"/>
  <c r="P26" i="132"/>
  <c r="O26" i="132"/>
  <c r="N26" i="132"/>
  <c r="Z28" i="91"/>
  <c r="Z25" i="132" s="1"/>
  <c r="Y28" i="91"/>
  <c r="Y25" i="132" s="1"/>
  <c r="X25" i="132"/>
  <c r="W25" i="132"/>
  <c r="V25" i="132"/>
  <c r="U25" i="132"/>
  <c r="T25" i="132"/>
  <c r="S25" i="132"/>
  <c r="R25" i="132"/>
  <c r="Q25" i="132"/>
  <c r="P25" i="132"/>
  <c r="O25" i="132"/>
  <c r="N25" i="132"/>
  <c r="Z27" i="91"/>
  <c r="Z24" i="132" s="1"/>
  <c r="Y27" i="91"/>
  <c r="Y24" i="132" s="1"/>
  <c r="X24" i="132"/>
  <c r="W24" i="132"/>
  <c r="V24" i="132"/>
  <c r="U24" i="132"/>
  <c r="T24" i="132"/>
  <c r="S24" i="132"/>
  <c r="R24" i="132"/>
  <c r="Q24" i="132"/>
  <c r="P24" i="132"/>
  <c r="AA26" i="91"/>
  <c r="N23" i="132"/>
  <c r="AA25" i="91"/>
  <c r="N22" i="132"/>
  <c r="Z21" i="91"/>
  <c r="Z22" i="91" s="1"/>
  <c r="Y21" i="91"/>
  <c r="Y22" i="91" s="1"/>
  <c r="AA15" i="91"/>
  <c r="Y75" i="105" s="1"/>
  <c r="W20" i="120" s="1"/>
  <c r="L75" i="105"/>
  <c r="X20" i="120" s="1"/>
  <c r="H15" i="91"/>
  <c r="F75" i="105" s="1"/>
  <c r="D20" i="120" s="1"/>
  <c r="H14" i="91"/>
  <c r="G14" i="91"/>
  <c r="F14" i="91"/>
  <c r="E14" i="91"/>
  <c r="E23" i="91" s="1"/>
  <c r="AA13" i="91"/>
  <c r="L55" i="105"/>
  <c r="Z12" i="91"/>
  <c r="Y12" i="91"/>
  <c r="F12" i="91"/>
  <c r="E12" i="91"/>
  <c r="D12" i="91"/>
  <c r="K14" i="105"/>
  <c r="AA9" i="91"/>
  <c r="K43" i="135"/>
  <c r="Z43" i="135" s="1"/>
  <c r="AL65" i="90"/>
  <c r="AL64" i="90"/>
  <c r="AL60" i="90"/>
  <c r="AA42" i="90"/>
  <c r="AA41" i="90"/>
  <c r="AA40" i="90"/>
  <c r="AA39" i="90"/>
  <c r="AA38" i="90"/>
  <c r="AA37" i="90"/>
  <c r="AA36" i="90"/>
  <c r="AA35" i="90"/>
  <c r="AA34" i="90"/>
  <c r="AA33" i="90"/>
  <c r="AA32" i="90"/>
  <c r="AA31" i="90"/>
  <c r="AA30" i="90"/>
  <c r="AA29" i="90"/>
  <c r="AA28" i="90"/>
  <c r="AA27" i="90"/>
  <c r="AA26" i="90"/>
  <c r="Y97" i="105" s="1"/>
  <c r="X92" i="135" s="1"/>
  <c r="X167" i="135" s="1"/>
  <c r="L97" i="105"/>
  <c r="K92" i="135" s="1"/>
  <c r="K167" i="135" s="1"/>
  <c r="AA25" i="90"/>
  <c r="Y96" i="105" s="1"/>
  <c r="X91" i="135" s="1"/>
  <c r="X166" i="135" s="1"/>
  <c r="L96" i="105"/>
  <c r="K91" i="135" s="1"/>
  <c r="Z24" i="90"/>
  <c r="Z21" i="132" s="1"/>
  <c r="Y24" i="90"/>
  <c r="Y21" i="132" s="1"/>
  <c r="X24" i="90"/>
  <c r="X21" i="132" s="1"/>
  <c r="W24" i="90"/>
  <c r="W21" i="132" s="1"/>
  <c r="V24" i="90"/>
  <c r="V21" i="132" s="1"/>
  <c r="U24" i="90"/>
  <c r="U21" i="132" s="1"/>
  <c r="T24" i="90"/>
  <c r="T21" i="132" s="1"/>
  <c r="S24" i="90"/>
  <c r="S21" i="132" s="1"/>
  <c r="R24" i="90"/>
  <c r="R21" i="132" s="1"/>
  <c r="Q24" i="90"/>
  <c r="Q21" i="132" s="1"/>
  <c r="P24" i="90"/>
  <c r="P21" i="132" s="1"/>
  <c r="O24" i="90"/>
  <c r="O21" i="132" s="1"/>
  <c r="N21" i="132"/>
  <c r="Z23" i="90"/>
  <c r="Z20" i="132" s="1"/>
  <c r="Y23" i="90"/>
  <c r="Y20" i="132" s="1"/>
  <c r="X23" i="90"/>
  <c r="X20" i="132" s="1"/>
  <c r="W23" i="90"/>
  <c r="W20" i="132" s="1"/>
  <c r="V23" i="90"/>
  <c r="V20" i="132" s="1"/>
  <c r="U23" i="90"/>
  <c r="U20" i="132" s="1"/>
  <c r="T23" i="90"/>
  <c r="T20" i="132" s="1"/>
  <c r="S23" i="90"/>
  <c r="S20" i="132" s="1"/>
  <c r="R23" i="90"/>
  <c r="R20" i="132" s="1"/>
  <c r="Q23" i="90"/>
  <c r="Q20" i="132" s="1"/>
  <c r="P23" i="90"/>
  <c r="P20" i="132" s="1"/>
  <c r="O23" i="90"/>
  <c r="N20" i="132"/>
  <c r="Z22" i="90"/>
  <c r="Z19" i="132" s="1"/>
  <c r="Y22" i="90"/>
  <c r="Y19" i="132" s="1"/>
  <c r="X22" i="90"/>
  <c r="X19" i="132" s="1"/>
  <c r="W22" i="90"/>
  <c r="W19" i="132" s="1"/>
  <c r="V22" i="90"/>
  <c r="V19" i="132" s="1"/>
  <c r="U22" i="90"/>
  <c r="U19" i="132" s="1"/>
  <c r="T22" i="90"/>
  <c r="T19" i="132" s="1"/>
  <c r="S22" i="90"/>
  <c r="S19" i="132" s="1"/>
  <c r="R22" i="90"/>
  <c r="R19" i="132" s="1"/>
  <c r="Q22" i="90"/>
  <c r="Q19" i="132" s="1"/>
  <c r="P22" i="90"/>
  <c r="P19" i="132" s="1"/>
  <c r="O22" i="90"/>
  <c r="N19" i="132"/>
  <c r="Z21" i="90"/>
  <c r="Y21" i="90"/>
  <c r="X21" i="90"/>
  <c r="W21" i="90"/>
  <c r="V21" i="90"/>
  <c r="U21" i="90"/>
  <c r="T21" i="90"/>
  <c r="S21" i="90"/>
  <c r="R21" i="90"/>
  <c r="Q21" i="90"/>
  <c r="P21" i="90"/>
  <c r="O21" i="90"/>
  <c r="N18" i="132"/>
  <c r="Z20" i="90"/>
  <c r="Z17" i="132" s="1"/>
  <c r="Y20" i="90"/>
  <c r="Y17" i="132" s="1"/>
  <c r="V51" i="135" s="1"/>
  <c r="V159" i="135" s="1"/>
  <c r="X20" i="90"/>
  <c r="X17" i="132" s="1"/>
  <c r="W20" i="90"/>
  <c r="W17" i="132" s="1"/>
  <c r="V20" i="90"/>
  <c r="V17" i="132" s="1"/>
  <c r="U20" i="90"/>
  <c r="U17" i="132" s="1"/>
  <c r="T20" i="90"/>
  <c r="T17" i="132" s="1"/>
  <c r="S20" i="90"/>
  <c r="S17" i="132" s="1"/>
  <c r="R20" i="90"/>
  <c r="R17" i="132" s="1"/>
  <c r="Q17" i="132"/>
  <c r="P20" i="90"/>
  <c r="P17" i="132" s="1"/>
  <c r="O20" i="90"/>
  <c r="N17" i="132"/>
  <c r="Z19" i="90"/>
  <c r="Z16" i="132" s="1"/>
  <c r="Y19" i="90"/>
  <c r="Y16" i="132" s="1"/>
  <c r="X19" i="90"/>
  <c r="X16" i="132" s="1"/>
  <c r="W19" i="90"/>
  <c r="W16" i="132" s="1"/>
  <c r="V19" i="90"/>
  <c r="V16" i="132" s="1"/>
  <c r="U19" i="90"/>
  <c r="U16" i="132" s="1"/>
  <c r="T19" i="90"/>
  <c r="T16" i="132" s="1"/>
  <c r="S19" i="90"/>
  <c r="S16" i="132" s="1"/>
  <c r="R19" i="90"/>
  <c r="R16" i="132" s="1"/>
  <c r="Q16" i="132"/>
  <c r="P19" i="90"/>
  <c r="P16" i="132" s="1"/>
  <c r="O19" i="90"/>
  <c r="N16" i="132"/>
  <c r="Z12" i="90"/>
  <c r="H41" i="85"/>
  <c r="AA38" i="85"/>
  <c r="AA37" i="85"/>
  <c r="AA36" i="85"/>
  <c r="AA35" i="85"/>
  <c r="AA34" i="85"/>
  <c r="AA33" i="85"/>
  <c r="AA32" i="85"/>
  <c r="AA31" i="85"/>
  <c r="Y95" i="105" s="1"/>
  <c r="X90" i="135" s="1"/>
  <c r="X147" i="135" s="1"/>
  <c r="L95" i="105"/>
  <c r="K90" i="135" s="1"/>
  <c r="K147" i="135" s="1"/>
  <c r="AA30" i="85"/>
  <c r="G30" i="85"/>
  <c r="G41" i="85" s="1"/>
  <c r="F30" i="85"/>
  <c r="F41" i="85" s="1"/>
  <c r="E30" i="85"/>
  <c r="E41" i="85" s="1"/>
  <c r="D30" i="85"/>
  <c r="D41" i="85" s="1"/>
  <c r="AA29" i="85"/>
  <c r="AA28" i="85"/>
  <c r="AA27" i="85"/>
  <c r="Z26" i="85"/>
  <c r="Z15" i="132" s="1"/>
  <c r="Y26" i="85"/>
  <c r="Y15" i="132" s="1"/>
  <c r="X26" i="85"/>
  <c r="X15" i="132" s="1"/>
  <c r="W26" i="85"/>
  <c r="W15" i="132" s="1"/>
  <c r="V26" i="85"/>
  <c r="V15" i="132" s="1"/>
  <c r="U26" i="85"/>
  <c r="U15" i="132" s="1"/>
  <c r="T26" i="85"/>
  <c r="T15" i="132" s="1"/>
  <c r="S26" i="85"/>
  <c r="S15" i="132" s="1"/>
  <c r="R26" i="85"/>
  <c r="R15" i="132" s="1"/>
  <c r="Q26" i="85"/>
  <c r="Q15" i="132" s="1"/>
  <c r="P26" i="85"/>
  <c r="P15" i="132" s="1"/>
  <c r="O15" i="132"/>
  <c r="N15" i="132"/>
  <c r="Z25" i="85"/>
  <c r="Z14" i="132" s="1"/>
  <c r="Y25" i="85"/>
  <c r="Y14" i="132" s="1"/>
  <c r="X25" i="85"/>
  <c r="X14" i="132" s="1"/>
  <c r="W25" i="85"/>
  <c r="W14" i="132" s="1"/>
  <c r="V25" i="85"/>
  <c r="V14" i="132" s="1"/>
  <c r="U25" i="85"/>
  <c r="U14" i="132" s="1"/>
  <c r="T25" i="85"/>
  <c r="T14" i="132" s="1"/>
  <c r="S25" i="85"/>
  <c r="S14" i="132" s="1"/>
  <c r="R25" i="85"/>
  <c r="R14" i="132" s="1"/>
  <c r="Q25" i="85"/>
  <c r="Q14" i="132" s="1"/>
  <c r="P25" i="85"/>
  <c r="P14" i="132" s="1"/>
  <c r="O14" i="132"/>
  <c r="N14" i="132"/>
  <c r="Z24" i="85"/>
  <c r="Z13" i="132" s="1"/>
  <c r="Y24" i="85"/>
  <c r="Y13" i="132" s="1"/>
  <c r="V49" i="135" s="1"/>
  <c r="V141" i="135" s="1"/>
  <c r="X24" i="85"/>
  <c r="X13" i="132" s="1"/>
  <c r="W24" i="85"/>
  <c r="W13" i="132" s="1"/>
  <c r="V24" i="85"/>
  <c r="V13" i="132" s="1"/>
  <c r="U24" i="85"/>
  <c r="U13" i="132" s="1"/>
  <c r="T24" i="85"/>
  <c r="T13" i="132" s="1"/>
  <c r="S24" i="85"/>
  <c r="S13" i="132" s="1"/>
  <c r="R24" i="85"/>
  <c r="R13" i="132" s="1"/>
  <c r="Q24" i="85"/>
  <c r="Q13" i="132" s="1"/>
  <c r="P24" i="85"/>
  <c r="P13" i="132" s="1"/>
  <c r="N13" i="132"/>
  <c r="Z23" i="85"/>
  <c r="Z12" i="132" s="1"/>
  <c r="W48" i="135" s="1"/>
  <c r="W140" i="135" s="1"/>
  <c r="Y23" i="85"/>
  <c r="Y12" i="132" s="1"/>
  <c r="X12" i="132"/>
  <c r="U48" i="135" s="1"/>
  <c r="U140" i="135" s="1"/>
  <c r="W12" i="132"/>
  <c r="V12" i="132"/>
  <c r="U12" i="132"/>
  <c r="T12" i="132"/>
  <c r="S12" i="132"/>
  <c r="R12" i="132"/>
  <c r="Q12" i="132"/>
  <c r="P12" i="132"/>
  <c r="M48" i="135" s="1"/>
  <c r="M140" i="135" s="1"/>
  <c r="N12" i="132"/>
  <c r="AA22" i="85"/>
  <c r="N11" i="132"/>
  <c r="N10" i="132"/>
  <c r="G18" i="85"/>
  <c r="Z12" i="85"/>
  <c r="Y12" i="85"/>
  <c r="X12" i="85"/>
  <c r="W12" i="85"/>
  <c r="V12" i="85"/>
  <c r="U12" i="85"/>
  <c r="T12" i="85"/>
  <c r="S12" i="85"/>
  <c r="R12" i="85"/>
  <c r="Q12" i="85"/>
  <c r="P12" i="85"/>
  <c r="O12" i="85"/>
  <c r="K12" i="105"/>
  <c r="AA9" i="85"/>
  <c r="AA35" i="82"/>
  <c r="AA34" i="82"/>
  <c r="AA33" i="82"/>
  <c r="AA32" i="82"/>
  <c r="AA31" i="82"/>
  <c r="Y94" i="105" s="1"/>
  <c r="X89" i="135" s="1"/>
  <c r="X128" i="135" s="1"/>
  <c r="AA30" i="82"/>
  <c r="AA29" i="82"/>
  <c r="AA28" i="82"/>
  <c r="AA27" i="82"/>
  <c r="AA26" i="82"/>
  <c r="Z25" i="82"/>
  <c r="Z9" i="132" s="1"/>
  <c r="Y25" i="82"/>
  <c r="Y9" i="132" s="1"/>
  <c r="X25" i="82"/>
  <c r="X9" i="132" s="1"/>
  <c r="W25" i="82"/>
  <c r="W9" i="132" s="1"/>
  <c r="V25" i="82"/>
  <c r="V9" i="132" s="1"/>
  <c r="U25" i="82"/>
  <c r="U9" i="132" s="1"/>
  <c r="T25" i="82"/>
  <c r="T9" i="132" s="1"/>
  <c r="S25" i="82"/>
  <c r="S9" i="132" s="1"/>
  <c r="R25" i="82"/>
  <c r="R9" i="132" s="1"/>
  <c r="Q25" i="82"/>
  <c r="Q9" i="132" s="1"/>
  <c r="P25" i="82"/>
  <c r="P9" i="132" s="1"/>
  <c r="O25" i="82"/>
  <c r="N9" i="132"/>
  <c r="Z24" i="82"/>
  <c r="Z8" i="132" s="1"/>
  <c r="Y24" i="82"/>
  <c r="Y8" i="132" s="1"/>
  <c r="X24" i="82"/>
  <c r="X8" i="132" s="1"/>
  <c r="W24" i="82"/>
  <c r="W8" i="132" s="1"/>
  <c r="V24" i="82"/>
  <c r="V8" i="132" s="1"/>
  <c r="U24" i="82"/>
  <c r="U8" i="132" s="1"/>
  <c r="T24" i="82"/>
  <c r="T8" i="132" s="1"/>
  <c r="S24" i="82"/>
  <c r="S8" i="132" s="1"/>
  <c r="R24" i="82"/>
  <c r="R8" i="132" s="1"/>
  <c r="Q24" i="82"/>
  <c r="Q8" i="132" s="1"/>
  <c r="P24" i="82"/>
  <c r="P8" i="132" s="1"/>
  <c r="O24" i="82"/>
  <c r="O8" i="132" s="1"/>
  <c r="N8" i="132"/>
  <c r="Z23" i="82"/>
  <c r="Z7" i="132" s="1"/>
  <c r="Y23" i="82"/>
  <c r="Y7" i="132" s="1"/>
  <c r="X23" i="82"/>
  <c r="X7" i="132" s="1"/>
  <c r="W23" i="82"/>
  <c r="W7" i="132" s="1"/>
  <c r="V23" i="82"/>
  <c r="V7" i="132" s="1"/>
  <c r="S47" i="135" s="1"/>
  <c r="AI47" i="135" s="1"/>
  <c r="U23" i="82"/>
  <c r="U7" i="132" s="1"/>
  <c r="T23" i="82"/>
  <c r="T7" i="132" s="1"/>
  <c r="S23" i="82"/>
  <c r="S7" i="132" s="1"/>
  <c r="R23" i="82"/>
  <c r="R7" i="132" s="1"/>
  <c r="Q23" i="82"/>
  <c r="Q7" i="132" s="1"/>
  <c r="P23" i="82"/>
  <c r="P7" i="132" s="1"/>
  <c r="O23" i="82"/>
  <c r="O7" i="132" s="1"/>
  <c r="N7" i="132"/>
  <c r="O22" i="82"/>
  <c r="O6" i="132" s="1"/>
  <c r="N6" i="132"/>
  <c r="AA21" i="82"/>
  <c r="AA20" i="82"/>
  <c r="N4" i="132"/>
  <c r="AA19" i="82"/>
  <c r="X40" i="135" s="1"/>
  <c r="X119" i="135" s="1"/>
  <c r="AA13" i="82"/>
  <c r="Z12" i="82"/>
  <c r="Y12" i="82"/>
  <c r="X12" i="82"/>
  <c r="V72" i="105" s="1"/>
  <c r="W12" i="82"/>
  <c r="U72" i="105" s="1"/>
  <c r="V12" i="82"/>
  <c r="T72" i="105" s="1"/>
  <c r="U12" i="82"/>
  <c r="T12" i="82"/>
  <c r="S12" i="82"/>
  <c r="R12" i="82"/>
  <c r="Q12" i="82"/>
  <c r="P12" i="82"/>
  <c r="H12" i="82"/>
  <c r="G12" i="82"/>
  <c r="Z11" i="82"/>
  <c r="Y11" i="82"/>
  <c r="BU34" i="120" s="1"/>
  <c r="BU36" i="120" s="1"/>
  <c r="X11" i="82"/>
  <c r="BT34" i="120" s="1"/>
  <c r="BT36" i="120" s="1"/>
  <c r="W11" i="82"/>
  <c r="BS34" i="120" s="1"/>
  <c r="BS36" i="120" s="1"/>
  <c r="V11" i="82"/>
  <c r="BR34" i="120" s="1"/>
  <c r="BR36" i="120" s="1"/>
  <c r="U11" i="82"/>
  <c r="BQ34" i="120" s="1"/>
  <c r="BQ36" i="120" s="1"/>
  <c r="T11" i="82"/>
  <c r="BP34" i="120" s="1"/>
  <c r="BP36" i="120" s="1"/>
  <c r="S11" i="82"/>
  <c r="BO34" i="120" s="1"/>
  <c r="BO36" i="120" s="1"/>
  <c r="R11" i="82"/>
  <c r="BN34" i="120" s="1"/>
  <c r="BN36" i="120" s="1"/>
  <c r="Q11" i="82"/>
  <c r="BM34" i="120" s="1"/>
  <c r="BM36" i="120" s="1"/>
  <c r="P11" i="82"/>
  <c r="BL34" i="120" s="1"/>
  <c r="BL36" i="120" s="1"/>
  <c r="O11" i="82"/>
  <c r="S10" i="82"/>
  <c r="Q17" i="105" s="1"/>
  <c r="AD17" i="105" s="1"/>
  <c r="K11" i="105"/>
  <c r="E99" i="8" s="1"/>
  <c r="BF255" i="105"/>
  <c r="BF254" i="105"/>
  <c r="BF253" i="105"/>
  <c r="BF231" i="105"/>
  <c r="BF230" i="105"/>
  <c r="BF229" i="105"/>
  <c r="I68" i="135" s="1"/>
  <c r="BF228" i="105"/>
  <c r="BF227" i="105"/>
  <c r="BE217" i="105"/>
  <c r="BF202" i="105" s="1"/>
  <c r="W11" i="120" s="1"/>
  <c r="BD217" i="105"/>
  <c r="BE202" i="105" s="1"/>
  <c r="V11" i="120" s="1"/>
  <c r="BC217" i="105"/>
  <c r="BB217" i="105"/>
  <c r="BA217" i="105"/>
  <c r="AZ217" i="105"/>
  <c r="BA202" i="105" s="1"/>
  <c r="R11" i="120" s="1"/>
  <c r="AY217" i="105"/>
  <c r="AZ202" i="105" s="1"/>
  <c r="P11" i="120" s="1"/>
  <c r="AX217" i="105"/>
  <c r="AY202" i="105" s="1"/>
  <c r="O11" i="120" s="1"/>
  <c r="AW217" i="105"/>
  <c r="AX202" i="105" s="1"/>
  <c r="N11" i="120" s="1"/>
  <c r="AV217" i="105"/>
  <c r="AW202" i="105" s="1"/>
  <c r="M11" i="120" s="1"/>
  <c r="AU217" i="105"/>
  <c r="AV202" i="105" s="1"/>
  <c r="L11" i="120" s="1"/>
  <c r="AT217" i="105"/>
  <c r="AU202" i="105" s="1"/>
  <c r="K11" i="120" s="1"/>
  <c r="BF216" i="105"/>
  <c r="BF215" i="105"/>
  <c r="I63" i="135" s="1"/>
  <c r="BF214" i="105"/>
  <c r="BF213" i="105"/>
  <c r="BF212" i="105"/>
  <c r="F194" i="105"/>
  <c r="E194" i="105"/>
  <c r="C194" i="105"/>
  <c r="R192" i="105"/>
  <c r="P190" i="105"/>
  <c r="C186" i="105"/>
  <c r="AX179" i="105"/>
  <c r="Q166" i="105"/>
  <c r="Q165" i="105" s="1"/>
  <c r="R167" i="105" s="1"/>
  <c r="AW162" i="105"/>
  <c r="AT162" i="105"/>
  <c r="X103" i="105"/>
  <c r="W103" i="105"/>
  <c r="V103" i="105"/>
  <c r="U103" i="105"/>
  <c r="T103" i="105"/>
  <c r="S103" i="105"/>
  <c r="R103" i="105"/>
  <c r="Q103" i="105"/>
  <c r="P103" i="105"/>
  <c r="O103" i="105"/>
  <c r="N103" i="105"/>
  <c r="M103" i="105"/>
  <c r="X102" i="105"/>
  <c r="W102" i="105"/>
  <c r="V102" i="105"/>
  <c r="U102" i="105"/>
  <c r="T102" i="105"/>
  <c r="S102" i="105"/>
  <c r="R102" i="105"/>
  <c r="Q102" i="105"/>
  <c r="P102" i="105"/>
  <c r="O102" i="105"/>
  <c r="N102" i="105"/>
  <c r="M102" i="105"/>
  <c r="X101" i="105"/>
  <c r="W101" i="105"/>
  <c r="V101" i="105"/>
  <c r="U101" i="105"/>
  <c r="T101" i="105"/>
  <c r="S101" i="105"/>
  <c r="R101" i="105"/>
  <c r="Q101" i="105"/>
  <c r="P101" i="105"/>
  <c r="O101" i="105"/>
  <c r="N101" i="105"/>
  <c r="M101" i="105"/>
  <c r="X100" i="105"/>
  <c r="W100" i="105"/>
  <c r="V100" i="105"/>
  <c r="U100" i="105"/>
  <c r="T100" i="105"/>
  <c r="S100" i="105"/>
  <c r="R100" i="105"/>
  <c r="Q100" i="105"/>
  <c r="P100" i="105"/>
  <c r="O100" i="105"/>
  <c r="N100" i="105"/>
  <c r="M100" i="105"/>
  <c r="E92" i="135"/>
  <c r="E97" i="105"/>
  <c r="D97" i="105"/>
  <c r="E91" i="135"/>
  <c r="E96" i="105"/>
  <c r="D96" i="105"/>
  <c r="X86" i="105"/>
  <c r="W81" i="135" s="1"/>
  <c r="W204" i="135" s="1"/>
  <c r="R86" i="105"/>
  <c r="Q81" i="135" s="1"/>
  <c r="Q204" i="135" s="1"/>
  <c r="Q86" i="105"/>
  <c r="P81" i="135" s="1"/>
  <c r="P204" i="135" s="1"/>
  <c r="P86" i="105"/>
  <c r="O81" i="135" s="1"/>
  <c r="O204" i="135" s="1"/>
  <c r="N86" i="105"/>
  <c r="M81" i="135" s="1"/>
  <c r="M204" i="135" s="1"/>
  <c r="M86" i="105"/>
  <c r="L81" i="135" s="1"/>
  <c r="L204" i="135" s="1"/>
  <c r="K86" i="105"/>
  <c r="G86" i="105"/>
  <c r="F81" i="135" s="1"/>
  <c r="F204" i="135" s="1"/>
  <c r="F86" i="105"/>
  <c r="E81" i="135" s="1"/>
  <c r="E204" i="135" s="1"/>
  <c r="E86" i="105"/>
  <c r="D86" i="105"/>
  <c r="X85" i="105"/>
  <c r="W80" i="135" s="1"/>
  <c r="W184" i="135" s="1"/>
  <c r="W85" i="105"/>
  <c r="V80" i="135" s="1"/>
  <c r="V184" i="135" s="1"/>
  <c r="V85" i="105"/>
  <c r="U80" i="135" s="1"/>
  <c r="U184" i="135" s="1"/>
  <c r="U85" i="105"/>
  <c r="T80" i="135" s="1"/>
  <c r="T184" i="135" s="1"/>
  <c r="T85" i="105"/>
  <c r="S80" i="135" s="1"/>
  <c r="S184" i="135" s="1"/>
  <c r="S85" i="105"/>
  <c r="R80" i="135" s="1"/>
  <c r="R184" i="135" s="1"/>
  <c r="R85" i="105"/>
  <c r="Q80" i="135" s="1"/>
  <c r="Q184" i="135" s="1"/>
  <c r="Q85" i="105"/>
  <c r="P80" i="135" s="1"/>
  <c r="P184" i="135" s="1"/>
  <c r="P85" i="105"/>
  <c r="O80" i="135" s="1"/>
  <c r="O184" i="135" s="1"/>
  <c r="O85" i="105"/>
  <c r="N80" i="135" s="1"/>
  <c r="N184" i="135" s="1"/>
  <c r="N85" i="105"/>
  <c r="M80" i="135" s="1"/>
  <c r="M184" i="135" s="1"/>
  <c r="M85" i="105"/>
  <c r="L80" i="135" s="1"/>
  <c r="L184" i="135" s="1"/>
  <c r="K85" i="105"/>
  <c r="G85" i="105"/>
  <c r="F80" i="135" s="1"/>
  <c r="F184" i="135" s="1"/>
  <c r="F85" i="105"/>
  <c r="E80" i="135" s="1"/>
  <c r="E184" i="135" s="1"/>
  <c r="E85" i="105"/>
  <c r="D85" i="105"/>
  <c r="X84" i="105"/>
  <c r="W79" i="135" s="1"/>
  <c r="W164" i="135" s="1"/>
  <c r="W84" i="105"/>
  <c r="V79" i="135" s="1"/>
  <c r="V164" i="135" s="1"/>
  <c r="V84" i="105"/>
  <c r="U79" i="135" s="1"/>
  <c r="U164" i="135" s="1"/>
  <c r="U84" i="105"/>
  <c r="T79" i="135" s="1"/>
  <c r="T164" i="135" s="1"/>
  <c r="T84" i="105"/>
  <c r="S79" i="135" s="1"/>
  <c r="S164" i="135" s="1"/>
  <c r="S84" i="105"/>
  <c r="R79" i="135" s="1"/>
  <c r="R164" i="135" s="1"/>
  <c r="R84" i="105"/>
  <c r="Q79" i="135" s="1"/>
  <c r="Q84" i="105"/>
  <c r="P79" i="135" s="1"/>
  <c r="P84" i="105"/>
  <c r="O79" i="135" s="1"/>
  <c r="O84" i="105"/>
  <c r="N79" i="135" s="1"/>
  <c r="M79" i="135"/>
  <c r="L79" i="135"/>
  <c r="K84" i="105"/>
  <c r="G84" i="105"/>
  <c r="F79" i="135" s="1"/>
  <c r="F84" i="105"/>
  <c r="E79" i="135" s="1"/>
  <c r="E84" i="105"/>
  <c r="D84" i="105"/>
  <c r="X83" i="105"/>
  <c r="W78" i="135" s="1"/>
  <c r="W83" i="105"/>
  <c r="V78" i="135" s="1"/>
  <c r="V83" i="105"/>
  <c r="U78" i="135" s="1"/>
  <c r="U83" i="105"/>
  <c r="T78" i="135" s="1"/>
  <c r="T126" i="135" s="1"/>
  <c r="T83" i="105"/>
  <c r="S78" i="135" s="1"/>
  <c r="S83" i="105"/>
  <c r="R78" i="135" s="1"/>
  <c r="R83" i="105"/>
  <c r="Q78" i="135" s="1"/>
  <c r="Q126" i="135" s="1"/>
  <c r="Q83" i="105"/>
  <c r="P78" i="135" s="1"/>
  <c r="P126" i="135" s="1"/>
  <c r="P83" i="105"/>
  <c r="O78" i="135" s="1"/>
  <c r="O126" i="135" s="1"/>
  <c r="O83" i="105"/>
  <c r="N78" i="135" s="1"/>
  <c r="N126" i="135" s="1"/>
  <c r="M78" i="135"/>
  <c r="M126" i="135" s="1"/>
  <c r="L78" i="135"/>
  <c r="L126" i="135" s="1"/>
  <c r="K83" i="105"/>
  <c r="G83" i="105"/>
  <c r="F78" i="135" s="1"/>
  <c r="F83" i="105"/>
  <c r="E78" i="135" s="1"/>
  <c r="E83" i="105"/>
  <c r="D83" i="105"/>
  <c r="AQ92" i="105"/>
  <c r="X92" i="105"/>
  <c r="W87" i="135" s="1"/>
  <c r="W205" i="135" s="1"/>
  <c r="W92" i="105"/>
  <c r="V87" i="135" s="1"/>
  <c r="V205" i="135" s="1"/>
  <c r="U92" i="105"/>
  <c r="T87" i="135" s="1"/>
  <c r="T205" i="135" s="1"/>
  <c r="T92" i="105"/>
  <c r="S87" i="135" s="1"/>
  <c r="S205" i="135" s="1"/>
  <c r="R92" i="105"/>
  <c r="Q87" i="135" s="1"/>
  <c r="Q205" i="135" s="1"/>
  <c r="Q92" i="105"/>
  <c r="P87" i="135" s="1"/>
  <c r="P205" i="135" s="1"/>
  <c r="P92" i="105"/>
  <c r="O87" i="135" s="1"/>
  <c r="O205" i="135" s="1"/>
  <c r="N92" i="105"/>
  <c r="M87" i="135" s="1"/>
  <c r="M205" i="135" s="1"/>
  <c r="M92" i="105"/>
  <c r="L87" i="135" s="1"/>
  <c r="L205" i="135" s="1"/>
  <c r="K92" i="105"/>
  <c r="I92" i="105"/>
  <c r="H87" i="135" s="1"/>
  <c r="H205" i="135" s="1"/>
  <c r="G92" i="105"/>
  <c r="F87" i="135" s="1"/>
  <c r="F205" i="135" s="1"/>
  <c r="F92" i="105"/>
  <c r="E87" i="135" s="1"/>
  <c r="E205" i="135" s="1"/>
  <c r="E92" i="105"/>
  <c r="D92" i="105"/>
  <c r="X91" i="105"/>
  <c r="W86" i="135" s="1"/>
  <c r="W185" i="135" s="1"/>
  <c r="W91" i="105"/>
  <c r="V86" i="135" s="1"/>
  <c r="V185" i="135" s="1"/>
  <c r="V91" i="105"/>
  <c r="U86" i="135" s="1"/>
  <c r="U185" i="135" s="1"/>
  <c r="U91" i="105"/>
  <c r="T86" i="135" s="1"/>
  <c r="T185" i="135" s="1"/>
  <c r="T91" i="105"/>
  <c r="S86" i="135" s="1"/>
  <c r="S185" i="135" s="1"/>
  <c r="S91" i="105"/>
  <c r="R86" i="135" s="1"/>
  <c r="R185" i="135" s="1"/>
  <c r="R91" i="105"/>
  <c r="Q86" i="135" s="1"/>
  <c r="Q185" i="135" s="1"/>
  <c r="Q91" i="105"/>
  <c r="P86" i="135" s="1"/>
  <c r="P185" i="135" s="1"/>
  <c r="P91" i="105"/>
  <c r="O86" i="135" s="1"/>
  <c r="O185" i="135" s="1"/>
  <c r="O91" i="105"/>
  <c r="N86" i="135" s="1"/>
  <c r="N185" i="135" s="1"/>
  <c r="N91" i="105"/>
  <c r="M86" i="135" s="1"/>
  <c r="M185" i="135" s="1"/>
  <c r="M91" i="105"/>
  <c r="L86" i="135" s="1"/>
  <c r="L185" i="135" s="1"/>
  <c r="K91" i="105"/>
  <c r="I91" i="105"/>
  <c r="H86" i="135" s="1"/>
  <c r="H185" i="135" s="1"/>
  <c r="G91" i="105"/>
  <c r="F86" i="135" s="1"/>
  <c r="F185" i="135" s="1"/>
  <c r="F91" i="105"/>
  <c r="E86" i="135" s="1"/>
  <c r="E185" i="135" s="1"/>
  <c r="E91" i="105"/>
  <c r="D91" i="105"/>
  <c r="AR90" i="105"/>
  <c r="X90" i="105"/>
  <c r="W85" i="135" s="1"/>
  <c r="W165" i="135" s="1"/>
  <c r="W90" i="105"/>
  <c r="V85" i="135" s="1"/>
  <c r="V165" i="135" s="1"/>
  <c r="V90" i="105"/>
  <c r="U85" i="135" s="1"/>
  <c r="U165" i="135" s="1"/>
  <c r="U90" i="105"/>
  <c r="T85" i="135" s="1"/>
  <c r="T165" i="135" s="1"/>
  <c r="T90" i="105"/>
  <c r="S85" i="135" s="1"/>
  <c r="S165" i="135" s="1"/>
  <c r="S90" i="105"/>
  <c r="R85" i="135" s="1"/>
  <c r="R165" i="135" s="1"/>
  <c r="R90" i="105"/>
  <c r="Q85" i="135" s="1"/>
  <c r="Q90" i="105"/>
  <c r="P85" i="135" s="1"/>
  <c r="P90" i="105"/>
  <c r="O85" i="135" s="1"/>
  <c r="O90" i="105"/>
  <c r="N85" i="135" s="1"/>
  <c r="M85" i="135"/>
  <c r="L85" i="135"/>
  <c r="K90" i="105"/>
  <c r="I90" i="105"/>
  <c r="H85" i="135" s="1"/>
  <c r="H165" i="135" s="1"/>
  <c r="G90" i="105"/>
  <c r="F85" i="135" s="1"/>
  <c r="F90" i="105"/>
  <c r="E85" i="135" s="1"/>
  <c r="E90" i="105"/>
  <c r="D90" i="105"/>
  <c r="X89" i="105"/>
  <c r="W84" i="135" s="1"/>
  <c r="W146" i="135" s="1"/>
  <c r="W89" i="105"/>
  <c r="V84" i="135" s="1"/>
  <c r="V146" i="135" s="1"/>
  <c r="V89" i="105"/>
  <c r="U84" i="135" s="1"/>
  <c r="U146" i="135" s="1"/>
  <c r="U89" i="105"/>
  <c r="T84" i="135" s="1"/>
  <c r="T146" i="135" s="1"/>
  <c r="T89" i="105"/>
  <c r="S84" i="135" s="1"/>
  <c r="S146" i="135" s="1"/>
  <c r="S89" i="105"/>
  <c r="R84" i="135" s="1"/>
  <c r="R146" i="135" s="1"/>
  <c r="R89" i="105"/>
  <c r="Q84" i="135" s="1"/>
  <c r="Q146" i="135" s="1"/>
  <c r="Q89" i="105"/>
  <c r="P84" i="135" s="1"/>
  <c r="P146" i="135" s="1"/>
  <c r="P89" i="105"/>
  <c r="O84" i="135" s="1"/>
  <c r="O146" i="135" s="1"/>
  <c r="O89" i="105"/>
  <c r="N84" i="135" s="1"/>
  <c r="N146" i="135" s="1"/>
  <c r="M84" i="135"/>
  <c r="M146" i="135" s="1"/>
  <c r="L84" i="135"/>
  <c r="L146" i="135" s="1"/>
  <c r="K89" i="105"/>
  <c r="I89" i="105"/>
  <c r="H84" i="135" s="1"/>
  <c r="H146" i="135" s="1"/>
  <c r="G89" i="105"/>
  <c r="F84" i="135" s="1"/>
  <c r="F146" i="135" s="1"/>
  <c r="F89" i="105"/>
  <c r="E84" i="135" s="1"/>
  <c r="E146" i="135" s="1"/>
  <c r="E89" i="105"/>
  <c r="D89" i="105"/>
  <c r="X88" i="105"/>
  <c r="W83" i="135" s="1"/>
  <c r="W88" i="105"/>
  <c r="V83" i="135" s="1"/>
  <c r="V88" i="105"/>
  <c r="U83" i="135" s="1"/>
  <c r="U88" i="105"/>
  <c r="T83" i="135" s="1"/>
  <c r="T127" i="135" s="1"/>
  <c r="T88" i="105"/>
  <c r="S83" i="135" s="1"/>
  <c r="S88" i="105"/>
  <c r="R83" i="135" s="1"/>
  <c r="R88" i="105"/>
  <c r="Q83" i="135" s="1"/>
  <c r="Q127" i="135" s="1"/>
  <c r="Q88" i="105"/>
  <c r="P83" i="135" s="1"/>
  <c r="P127" i="135" s="1"/>
  <c r="P88" i="105"/>
  <c r="O83" i="135" s="1"/>
  <c r="O127" i="135" s="1"/>
  <c r="O88" i="105"/>
  <c r="N83" i="135" s="1"/>
  <c r="N127" i="135" s="1"/>
  <c r="M83" i="135"/>
  <c r="M127" i="135" s="1"/>
  <c r="L83" i="135"/>
  <c r="L127" i="135" s="1"/>
  <c r="K88" i="105"/>
  <c r="J83" i="135" s="1"/>
  <c r="I88" i="105"/>
  <c r="H83" i="135" s="1"/>
  <c r="G88" i="105"/>
  <c r="F83" i="135" s="1"/>
  <c r="F88" i="105"/>
  <c r="E83" i="135" s="1"/>
  <c r="E88" i="105"/>
  <c r="D88" i="105"/>
  <c r="G44" i="105"/>
  <c r="D44" i="105"/>
  <c r="G43" i="105"/>
  <c r="G42" i="105"/>
  <c r="F42" i="105"/>
  <c r="E42" i="105"/>
  <c r="D42" i="105"/>
  <c r="E16" i="120"/>
  <c r="D16" i="120"/>
  <c r="C16" i="120"/>
  <c r="G40" i="105"/>
  <c r="E15" i="120" s="1"/>
  <c r="H15" i="120" s="1"/>
  <c r="F40" i="105"/>
  <c r="D15" i="120" s="1"/>
  <c r="E40" i="105"/>
  <c r="C15" i="120" s="1"/>
  <c r="D40" i="105"/>
  <c r="BT35" i="105"/>
  <c r="BS35" i="105"/>
  <c r="BU34" i="105"/>
  <c r="BU33" i="105"/>
  <c r="BU32" i="105"/>
  <c r="BU31" i="105"/>
  <c r="BU30" i="105"/>
  <c r="I30" i="124"/>
  <c r="I29" i="124"/>
  <c r="I28" i="124"/>
  <c r="I27" i="124"/>
  <c r="C17" i="120"/>
  <c r="I11" i="124"/>
  <c r="I15" i="124"/>
  <c r="I14" i="124"/>
  <c r="I13" i="124"/>
  <c r="I12" i="124"/>
  <c r="BS3" i="105"/>
  <c r="BP3" i="105"/>
  <c r="BO3" i="105"/>
  <c r="BN3" i="105"/>
  <c r="BM3" i="105"/>
  <c r="BL3" i="105"/>
  <c r="BK3" i="105"/>
  <c r="BJ3" i="105"/>
  <c r="BI3" i="105"/>
  <c r="BH3" i="105"/>
  <c r="L39" i="124"/>
  <c r="K39" i="124"/>
  <c r="C39" i="124"/>
  <c r="B39" i="124"/>
  <c r="L38" i="124"/>
  <c r="K38" i="124"/>
  <c r="C38" i="124"/>
  <c r="B38" i="124"/>
  <c r="L37" i="124"/>
  <c r="K37" i="124"/>
  <c r="B37" i="124"/>
  <c r="L36" i="124"/>
  <c r="K36" i="124"/>
  <c r="C36" i="124"/>
  <c r="B36" i="124"/>
  <c r="L35" i="124"/>
  <c r="K35" i="124"/>
  <c r="C35" i="124"/>
  <c r="B35" i="124"/>
  <c r="L23" i="124"/>
  <c r="K23" i="124"/>
  <c r="B23" i="124"/>
  <c r="L22" i="124"/>
  <c r="K22" i="124"/>
  <c r="B22" i="124"/>
  <c r="L21" i="124"/>
  <c r="K21" i="124"/>
  <c r="B21" i="124"/>
  <c r="L20" i="124"/>
  <c r="K20" i="124"/>
  <c r="B20" i="124"/>
  <c r="L19" i="124"/>
  <c r="K19" i="124"/>
  <c r="B19" i="124"/>
  <c r="N7" i="124"/>
  <c r="L7" i="124"/>
  <c r="N6" i="124"/>
  <c r="L6" i="124"/>
  <c r="N5" i="124"/>
  <c r="L5" i="124"/>
  <c r="N4" i="124"/>
  <c r="L4" i="124"/>
  <c r="N3" i="124"/>
  <c r="L3" i="124"/>
  <c r="W22" i="120"/>
  <c r="V22" i="120"/>
  <c r="U22" i="120"/>
  <c r="T22" i="120"/>
  <c r="S22" i="120"/>
  <c r="R22" i="120"/>
  <c r="P22" i="120"/>
  <c r="O22" i="120"/>
  <c r="N22" i="120"/>
  <c r="M22" i="120"/>
  <c r="L22" i="120"/>
  <c r="K22" i="120"/>
  <c r="E22" i="120"/>
  <c r="H22" i="120" s="1"/>
  <c r="D22" i="120"/>
  <c r="C22" i="120"/>
  <c r="E10" i="120"/>
  <c r="D10" i="120"/>
  <c r="C10" i="120"/>
  <c r="E9" i="120"/>
  <c r="D9" i="120"/>
  <c r="N195" i="61"/>
  <c r="J195" i="61"/>
  <c r="H195" i="61"/>
  <c r="F195" i="61"/>
  <c r="N181" i="61"/>
  <c r="J181" i="61"/>
  <c r="H181" i="61"/>
  <c r="F181" i="61"/>
  <c r="N171" i="61"/>
  <c r="N151" i="61"/>
  <c r="N148" i="61"/>
  <c r="N143" i="61"/>
  <c r="Q142" i="61"/>
  <c r="Q152" i="61" s="1"/>
  <c r="N142" i="61"/>
  <c r="N153" i="61" s="1"/>
  <c r="G142" i="61"/>
  <c r="H142" i="61" s="1"/>
  <c r="F142" i="61"/>
  <c r="N141" i="61"/>
  <c r="V132" i="61"/>
  <c r="U132" i="61"/>
  <c r="Q132" i="61"/>
  <c r="M132" i="61"/>
  <c r="Q131" i="61"/>
  <c r="N131" i="61"/>
  <c r="M131" i="61"/>
  <c r="R121" i="61"/>
  <c r="O121" i="61"/>
  <c r="N120" i="61"/>
  <c r="R111" i="61"/>
  <c r="N100" i="61"/>
  <c r="R101" i="61" s="1"/>
  <c r="N90" i="61"/>
  <c r="R91" i="61" s="1"/>
  <c r="R81" i="61"/>
  <c r="N70" i="61"/>
  <c r="O71" i="61" s="1"/>
  <c r="N60" i="61"/>
  <c r="R61" i="61" s="1"/>
  <c r="U51" i="61"/>
  <c r="R51" i="61"/>
  <c r="N40" i="61"/>
  <c r="H31" i="61"/>
  <c r="F31" i="61"/>
  <c r="E31" i="61"/>
  <c r="N30" i="61"/>
  <c r="O31" i="61" s="1"/>
  <c r="N20" i="61"/>
  <c r="N10" i="61"/>
  <c r="S1" i="61"/>
  <c r="E248" i="8"/>
  <c r="R244" i="8"/>
  <c r="Q243" i="8"/>
  <c r="P243" i="8"/>
  <c r="O243" i="8"/>
  <c r="N243" i="8"/>
  <c r="M243" i="8"/>
  <c r="L243" i="8"/>
  <c r="K243" i="8"/>
  <c r="J243" i="8"/>
  <c r="I243" i="8"/>
  <c r="H243" i="8"/>
  <c r="G243" i="8"/>
  <c r="F243" i="8"/>
  <c r="R243" i="8" s="1"/>
  <c r="R241" i="8"/>
  <c r="R240" i="8"/>
  <c r="V232" i="8"/>
  <c r="V233" i="8" s="1"/>
  <c r="T232" i="8"/>
  <c r="T233" i="8" s="1"/>
  <c r="S232" i="8"/>
  <c r="S234" i="8" s="1"/>
  <c r="R232" i="8"/>
  <c r="R234" i="8" s="1"/>
  <c r="Q232" i="8"/>
  <c r="Q234" i="8" s="1"/>
  <c r="P232" i="8"/>
  <c r="P234" i="8" s="1"/>
  <c r="O232" i="8"/>
  <c r="O234" i="8" s="1"/>
  <c r="N232" i="8"/>
  <c r="N234" i="8" s="1"/>
  <c r="M232" i="8"/>
  <c r="M233" i="8" s="1"/>
  <c r="L232" i="8"/>
  <c r="L233" i="8" s="1"/>
  <c r="K232" i="8"/>
  <c r="K234" i="8" s="1"/>
  <c r="J232" i="8"/>
  <c r="J234" i="8" s="1"/>
  <c r="I232" i="8"/>
  <c r="I234" i="8" s="1"/>
  <c r="H232" i="8"/>
  <c r="H234" i="8" s="1"/>
  <c r="G232" i="8"/>
  <c r="G234" i="8" s="1"/>
  <c r="F232" i="8"/>
  <c r="F234" i="8" s="1"/>
  <c r="F220" i="8"/>
  <c r="V171" i="8"/>
  <c r="V161" i="8"/>
  <c r="U161" i="8"/>
  <c r="T161" i="8"/>
  <c r="S161" i="8"/>
  <c r="R161" i="8"/>
  <c r="V160" i="8"/>
  <c r="U160" i="8"/>
  <c r="T160" i="8"/>
  <c r="S160" i="8"/>
  <c r="R160" i="8"/>
  <c r="V159" i="8"/>
  <c r="U159" i="8"/>
  <c r="T159" i="8"/>
  <c r="S159" i="8"/>
  <c r="R159" i="8"/>
  <c r="V153" i="8"/>
  <c r="U153" i="8"/>
  <c r="T153" i="8"/>
  <c r="S153" i="8"/>
  <c r="R153" i="8"/>
  <c r="V152" i="8"/>
  <c r="U152" i="8"/>
  <c r="T152" i="8"/>
  <c r="S152" i="8"/>
  <c r="R152" i="8"/>
  <c r="V145" i="8"/>
  <c r="U145" i="8"/>
  <c r="T145" i="8"/>
  <c r="S145" i="8"/>
  <c r="R145" i="8"/>
  <c r="W139" i="8"/>
  <c r="V138" i="8"/>
  <c r="U138" i="8"/>
  <c r="T138" i="8"/>
  <c r="S138" i="8"/>
  <c r="R138" i="8"/>
  <c r="V137" i="8"/>
  <c r="U137" i="8"/>
  <c r="T137" i="8"/>
  <c r="S137" i="8"/>
  <c r="R137" i="8"/>
  <c r="V136" i="8"/>
  <c r="N136" i="8"/>
  <c r="M136" i="8"/>
  <c r="L136" i="8"/>
  <c r="K136" i="8"/>
  <c r="J136" i="8"/>
  <c r="I136" i="8"/>
  <c r="H136" i="8"/>
  <c r="G136" i="8"/>
  <c r="F136" i="8"/>
  <c r="V130" i="8"/>
  <c r="U130" i="8"/>
  <c r="T130" i="8"/>
  <c r="S130" i="8"/>
  <c r="R130" i="8"/>
  <c r="E130" i="8"/>
  <c r="C129" i="8"/>
  <c r="Q115" i="8"/>
  <c r="P115" i="8"/>
  <c r="O115" i="8"/>
  <c r="N115" i="8"/>
  <c r="M115" i="8"/>
  <c r="L115" i="8"/>
  <c r="K115" i="8"/>
  <c r="J115" i="8"/>
  <c r="I115" i="8"/>
  <c r="H115" i="8"/>
  <c r="G115" i="8"/>
  <c r="F115" i="8"/>
  <c r="Q114" i="8"/>
  <c r="P114" i="8"/>
  <c r="O114" i="8"/>
  <c r="N114" i="8"/>
  <c r="M114" i="8"/>
  <c r="L114" i="8"/>
  <c r="K114" i="8"/>
  <c r="J114" i="8"/>
  <c r="I114" i="8"/>
  <c r="H114" i="8"/>
  <c r="G114" i="8"/>
  <c r="F114" i="8"/>
  <c r="F149" i="8" s="1"/>
  <c r="Q113" i="8"/>
  <c r="Q142" i="8" s="1"/>
  <c r="P113" i="8"/>
  <c r="P142" i="8" s="1"/>
  <c r="O113" i="8"/>
  <c r="O142" i="8" s="1"/>
  <c r="N113" i="8"/>
  <c r="N142" i="8" s="1"/>
  <c r="M113" i="8"/>
  <c r="M142" i="8" s="1"/>
  <c r="L113" i="8"/>
  <c r="L142" i="8" s="1"/>
  <c r="K113" i="8"/>
  <c r="K142" i="8" s="1"/>
  <c r="J113" i="8"/>
  <c r="J142" i="8" s="1"/>
  <c r="I113" i="8"/>
  <c r="I142" i="8" s="1"/>
  <c r="H113" i="8"/>
  <c r="H142" i="8" s="1"/>
  <c r="G113" i="8"/>
  <c r="G142" i="8" s="1"/>
  <c r="F113" i="8"/>
  <c r="F142" i="8" s="1"/>
  <c r="Q112" i="8"/>
  <c r="P112" i="8"/>
  <c r="O112" i="8"/>
  <c r="N112" i="8"/>
  <c r="M112" i="8"/>
  <c r="L112" i="8"/>
  <c r="K112" i="8"/>
  <c r="J112" i="8"/>
  <c r="J134" i="8" s="1"/>
  <c r="I112" i="8"/>
  <c r="H112" i="8"/>
  <c r="G112" i="8"/>
  <c r="Q111" i="8"/>
  <c r="P111" i="8"/>
  <c r="P128" i="8" s="1"/>
  <c r="O111" i="8"/>
  <c r="N111" i="8"/>
  <c r="N128" i="8" s="1"/>
  <c r="M111" i="8"/>
  <c r="M128" i="8" s="1"/>
  <c r="L111" i="8"/>
  <c r="L128" i="8" s="1"/>
  <c r="K111" i="8"/>
  <c r="K128" i="8" s="1"/>
  <c r="J111" i="8"/>
  <c r="I111" i="8"/>
  <c r="I128" i="8" s="1"/>
  <c r="H111" i="8"/>
  <c r="G111" i="8"/>
  <c r="G128" i="8" s="1"/>
  <c r="F111" i="8"/>
  <c r="W110" i="8"/>
  <c r="I3" i="137"/>
  <c r="Q85" i="8"/>
  <c r="P85" i="8"/>
  <c r="O85" i="8"/>
  <c r="N85" i="8"/>
  <c r="M85" i="8"/>
  <c r="L85" i="8"/>
  <c r="K85" i="8"/>
  <c r="J85" i="8"/>
  <c r="I85" i="8"/>
  <c r="I186" i="8" s="1"/>
  <c r="H85" i="8"/>
  <c r="G85" i="8"/>
  <c r="F85" i="8"/>
  <c r="Q84" i="8"/>
  <c r="P84" i="8"/>
  <c r="O84" i="8"/>
  <c r="N84" i="8"/>
  <c r="M84" i="8"/>
  <c r="L84" i="8"/>
  <c r="K84" i="8"/>
  <c r="J84" i="8"/>
  <c r="I84" i="8"/>
  <c r="I185" i="8" s="1"/>
  <c r="H84" i="8"/>
  <c r="H185" i="8" s="1"/>
  <c r="G84" i="8"/>
  <c r="G185" i="8" s="1"/>
  <c r="F84" i="8"/>
  <c r="Q83" i="8"/>
  <c r="P83" i="8"/>
  <c r="O83" i="8"/>
  <c r="N83" i="8"/>
  <c r="M83" i="8"/>
  <c r="L83" i="8"/>
  <c r="K83" i="8"/>
  <c r="J83" i="8"/>
  <c r="I83" i="8"/>
  <c r="H83" i="8"/>
  <c r="H184" i="8" s="1"/>
  <c r="G83" i="8"/>
  <c r="F83" i="8"/>
  <c r="Q82" i="8"/>
  <c r="P82" i="8"/>
  <c r="O82" i="8"/>
  <c r="N82" i="8"/>
  <c r="M82" i="8"/>
  <c r="L82" i="8"/>
  <c r="K82" i="8"/>
  <c r="J82" i="8"/>
  <c r="I82" i="8"/>
  <c r="H82" i="8"/>
  <c r="H183" i="8" s="1"/>
  <c r="G82" i="8"/>
  <c r="F82" i="8"/>
  <c r="Q81" i="8"/>
  <c r="P81" i="8"/>
  <c r="O81" i="8"/>
  <c r="N81" i="8"/>
  <c r="M81" i="8"/>
  <c r="L81" i="8"/>
  <c r="K81" i="8"/>
  <c r="J81" i="8"/>
  <c r="J182" i="8" s="1"/>
  <c r="I81" i="8"/>
  <c r="I182" i="8" s="1"/>
  <c r="H81" i="8"/>
  <c r="H182" i="8" s="1"/>
  <c r="G81" i="8"/>
  <c r="F81" i="8"/>
  <c r="Q80" i="8"/>
  <c r="P80" i="8"/>
  <c r="O80" i="8"/>
  <c r="N80" i="8"/>
  <c r="M80" i="8"/>
  <c r="L80" i="8"/>
  <c r="K80" i="8"/>
  <c r="J80" i="8"/>
  <c r="J180" i="8" s="1"/>
  <c r="I80" i="8"/>
  <c r="I180" i="8" s="1"/>
  <c r="H80" i="8"/>
  <c r="G80" i="8"/>
  <c r="F80" i="8"/>
  <c r="Q79" i="8"/>
  <c r="P79" i="8"/>
  <c r="O79" i="8"/>
  <c r="N79" i="8"/>
  <c r="M79" i="8"/>
  <c r="L79" i="8"/>
  <c r="K79" i="8"/>
  <c r="K179" i="8" s="1"/>
  <c r="J79" i="8"/>
  <c r="I79" i="8"/>
  <c r="I179" i="8" s="1"/>
  <c r="H79" i="8"/>
  <c r="H179" i="8" s="1"/>
  <c r="G79" i="8"/>
  <c r="G179" i="8" s="1"/>
  <c r="F79" i="8"/>
  <c r="F179" i="8" s="1"/>
  <c r="Q78" i="8"/>
  <c r="P78" i="8"/>
  <c r="O78" i="8"/>
  <c r="N78" i="8"/>
  <c r="M78" i="8"/>
  <c r="L78" i="8"/>
  <c r="K78" i="8"/>
  <c r="K178" i="8" s="1"/>
  <c r="J78" i="8"/>
  <c r="I78" i="8"/>
  <c r="I178" i="8" s="1"/>
  <c r="H78" i="8"/>
  <c r="H178" i="8" s="1"/>
  <c r="G78" i="8"/>
  <c r="G178" i="8" s="1"/>
  <c r="F78" i="8"/>
  <c r="Q77" i="8"/>
  <c r="P77" i="8"/>
  <c r="O77" i="8"/>
  <c r="N77" i="8"/>
  <c r="M77" i="8"/>
  <c r="L77" i="8"/>
  <c r="K77" i="8"/>
  <c r="J77" i="8"/>
  <c r="I77" i="8"/>
  <c r="I177" i="8" s="1"/>
  <c r="H77" i="8"/>
  <c r="H177" i="8" s="1"/>
  <c r="G77" i="8"/>
  <c r="G177" i="8" s="1"/>
  <c r="F77" i="8"/>
  <c r="F177" i="8" s="1"/>
  <c r="Q76" i="8"/>
  <c r="P76" i="8"/>
  <c r="O76" i="8"/>
  <c r="N76" i="8"/>
  <c r="M76" i="8"/>
  <c r="L76" i="8"/>
  <c r="K76" i="8"/>
  <c r="J76" i="8"/>
  <c r="J176" i="8" s="1"/>
  <c r="I76" i="8"/>
  <c r="H76" i="8"/>
  <c r="G76" i="8"/>
  <c r="G176" i="8" s="1"/>
  <c r="O33" i="102"/>
  <c r="T74" i="8"/>
  <c r="S74" i="8"/>
  <c r="R74" i="8"/>
  <c r="Q74" i="8"/>
  <c r="P74" i="8"/>
  <c r="O74" i="8"/>
  <c r="N74" i="8"/>
  <c r="M74" i="8"/>
  <c r="L74" i="8"/>
  <c r="K74" i="8"/>
  <c r="J74" i="8"/>
  <c r="I74" i="8"/>
  <c r="H74" i="8"/>
  <c r="G74" i="8"/>
  <c r="F74" i="8"/>
  <c r="V72" i="8"/>
  <c r="V71" i="8"/>
  <c r="S69" i="8"/>
  <c r="R69" i="8"/>
  <c r="Q69" i="8"/>
  <c r="P69" i="8"/>
  <c r="O69" i="8"/>
  <c r="N69" i="8"/>
  <c r="M69" i="8"/>
  <c r="L69" i="8"/>
  <c r="K69" i="8"/>
  <c r="J69" i="8"/>
  <c r="I69" i="8"/>
  <c r="H69" i="8"/>
  <c r="G69" i="8"/>
  <c r="F69" i="8"/>
  <c r="V67" i="8"/>
  <c r="V66" i="8"/>
  <c r="S64" i="8"/>
  <c r="R64" i="8"/>
  <c r="Q64" i="8"/>
  <c r="P64" i="8"/>
  <c r="O64" i="8"/>
  <c r="N64" i="8"/>
  <c r="M64" i="8"/>
  <c r="L64" i="8"/>
  <c r="K64" i="8"/>
  <c r="J64" i="8"/>
  <c r="I64" i="8"/>
  <c r="H64" i="8"/>
  <c r="G64" i="8"/>
  <c r="V62" i="8"/>
  <c r="V61" i="8"/>
  <c r="W60" i="8"/>
  <c r="W61" i="8" s="1"/>
  <c r="V59" i="8"/>
  <c r="U59" i="8"/>
  <c r="U85" i="8" s="1"/>
  <c r="E85" i="8"/>
  <c r="V58" i="8"/>
  <c r="AA78" i="102" s="1"/>
  <c r="U58" i="8"/>
  <c r="U84" i="8" s="1"/>
  <c r="E84" i="8"/>
  <c r="V57" i="8"/>
  <c r="AA76" i="102" s="1"/>
  <c r="U57" i="8"/>
  <c r="U83" i="8" s="1"/>
  <c r="E83" i="8"/>
  <c r="V56" i="8"/>
  <c r="AA74" i="102" s="1"/>
  <c r="U56" i="8"/>
  <c r="U82" i="8" s="1"/>
  <c r="E82" i="8"/>
  <c r="V55" i="8"/>
  <c r="AA72" i="102" s="1"/>
  <c r="U55" i="8"/>
  <c r="U81" i="8" s="1"/>
  <c r="V54" i="8"/>
  <c r="AA42" i="102" s="1"/>
  <c r="U54" i="8"/>
  <c r="U80" i="8" s="1"/>
  <c r="S54" i="8"/>
  <c r="R54" i="8"/>
  <c r="E80" i="8"/>
  <c r="V53" i="8"/>
  <c r="AA40" i="102" s="1"/>
  <c r="U53" i="8"/>
  <c r="U79" i="8" s="1"/>
  <c r="S53" i="8"/>
  <c r="R53" i="8"/>
  <c r="E79" i="8"/>
  <c r="V52" i="8"/>
  <c r="AA38" i="102" s="1"/>
  <c r="U52" i="8"/>
  <c r="U78" i="8" s="1"/>
  <c r="S52" i="8"/>
  <c r="R52" i="8"/>
  <c r="E78" i="8"/>
  <c r="V51" i="8"/>
  <c r="AA36" i="102" s="1"/>
  <c r="U51" i="8"/>
  <c r="U77" i="8" s="1"/>
  <c r="S51" i="8"/>
  <c r="R51" i="8"/>
  <c r="E77" i="8"/>
  <c r="AD50" i="8"/>
  <c r="V50" i="8"/>
  <c r="U50" i="8"/>
  <c r="U76" i="8" s="1"/>
  <c r="S50" i="8"/>
  <c r="AD49" i="8"/>
  <c r="V49" i="8"/>
  <c r="U49" i="8"/>
  <c r="E194" i="8"/>
  <c r="AD48" i="8"/>
  <c r="AC48" i="8"/>
  <c r="V48" i="8"/>
  <c r="U48" i="8"/>
  <c r="E193" i="8"/>
  <c r="AD47" i="8"/>
  <c r="V47" i="8"/>
  <c r="U47" i="8"/>
  <c r="E192" i="8"/>
  <c r="AD46" i="8"/>
  <c r="AC46" i="8"/>
  <c r="V46" i="8"/>
  <c r="U46" i="8"/>
  <c r="AF45" i="8"/>
  <c r="AE45" i="8"/>
  <c r="AD45" i="8"/>
  <c r="AC45" i="8"/>
  <c r="V45" i="8"/>
  <c r="U45" i="8"/>
  <c r="AF44" i="8"/>
  <c r="AE44" i="8"/>
  <c r="AD44" i="8"/>
  <c r="AC44" i="8"/>
  <c r="V44" i="8"/>
  <c r="U44" i="8"/>
  <c r="E190" i="8"/>
  <c r="AF43" i="8"/>
  <c r="AE43" i="8"/>
  <c r="AD43" i="8"/>
  <c r="V43" i="8"/>
  <c r="U43" i="8"/>
  <c r="E189" i="8"/>
  <c r="AF42" i="8"/>
  <c r="AE42" i="8"/>
  <c r="AD42" i="8"/>
  <c r="V42" i="8"/>
  <c r="U42" i="8"/>
  <c r="E188" i="8"/>
  <c r="AF41" i="8"/>
  <c r="AE41" i="8"/>
  <c r="AD41" i="8"/>
  <c r="V41" i="8"/>
  <c r="AA49" i="102" s="1"/>
  <c r="U41" i="8"/>
  <c r="V40" i="8"/>
  <c r="AA48" i="102" s="1"/>
  <c r="U40" i="8"/>
  <c r="AA22" i="82"/>
  <c r="V37" i="8"/>
  <c r="U37" i="8"/>
  <c r="AG36" i="8"/>
  <c r="AC36" i="8"/>
  <c r="V36" i="8"/>
  <c r="U36" i="8"/>
  <c r="T36" i="8"/>
  <c r="S36" i="8"/>
  <c r="R36" i="8"/>
  <c r="AG35" i="8"/>
  <c r="AC35" i="8"/>
  <c r="V35" i="8"/>
  <c r="U35" i="8"/>
  <c r="AG34" i="8"/>
  <c r="AC34" i="8"/>
  <c r="W34" i="8"/>
  <c r="V34" i="8"/>
  <c r="U34" i="8"/>
  <c r="AG33" i="8"/>
  <c r="AC33" i="8"/>
  <c r="W33" i="8"/>
  <c r="V33" i="8"/>
  <c r="U33" i="8"/>
  <c r="AG32" i="8"/>
  <c r="AC32" i="8"/>
  <c r="W32" i="8"/>
  <c r="V32" i="8"/>
  <c r="U32" i="8"/>
  <c r="W31" i="8"/>
  <c r="W41" i="8" s="1"/>
  <c r="V31" i="8"/>
  <c r="U31" i="8"/>
  <c r="W30" i="8"/>
  <c r="V30" i="8"/>
  <c r="R85" i="8"/>
  <c r="W29" i="8"/>
  <c r="V29" i="8"/>
  <c r="R114" i="8"/>
  <c r="AC28" i="8"/>
  <c r="W28" i="8"/>
  <c r="V28" i="8"/>
  <c r="AC27" i="8"/>
  <c r="W27" i="8"/>
  <c r="V27" i="8"/>
  <c r="AC26" i="8"/>
  <c r="V26" i="8"/>
  <c r="U23" i="137" s="1"/>
  <c r="AC25" i="8"/>
  <c r="AC24" i="8"/>
  <c r="Q24" i="8"/>
  <c r="P24" i="8"/>
  <c r="O24" i="8"/>
  <c r="N24" i="8"/>
  <c r="M24" i="8"/>
  <c r="L24" i="8"/>
  <c r="K24" i="8"/>
  <c r="J24" i="8"/>
  <c r="I24" i="8"/>
  <c r="H24" i="8"/>
  <c r="F24" i="8"/>
  <c r="Q23" i="8"/>
  <c r="P23" i="8"/>
  <c r="O23" i="8"/>
  <c r="N23" i="8"/>
  <c r="M23" i="8"/>
  <c r="L23" i="8"/>
  <c r="K23" i="8"/>
  <c r="J23" i="8"/>
  <c r="I23" i="8"/>
  <c r="H23" i="8"/>
  <c r="F23" i="8"/>
  <c r="Y21" i="8"/>
  <c r="Q21" i="8"/>
  <c r="Z11" i="85" s="1"/>
  <c r="X18" i="105" s="1"/>
  <c r="AK18" i="105" s="1"/>
  <c r="P21" i="8"/>
  <c r="Y11" i="85" s="1"/>
  <c r="W18" i="105" s="1"/>
  <c r="AJ18" i="105" s="1"/>
  <c r="O21" i="8"/>
  <c r="X11" i="85" s="1"/>
  <c r="V18" i="105" s="1"/>
  <c r="AI18" i="105" s="1"/>
  <c r="N21" i="8"/>
  <c r="W11" i="85" s="1"/>
  <c r="U18" i="105" s="1"/>
  <c r="AH18" i="105" s="1"/>
  <c r="M21" i="8"/>
  <c r="V11" i="85" s="1"/>
  <c r="T18" i="105" s="1"/>
  <c r="AG18" i="105" s="1"/>
  <c r="L21" i="8"/>
  <c r="K21" i="8"/>
  <c r="T11" i="85" s="1"/>
  <c r="R18" i="105" s="1"/>
  <c r="AE18" i="105" s="1"/>
  <c r="J21" i="8"/>
  <c r="S11" i="85" s="1"/>
  <c r="Q18" i="105" s="1"/>
  <c r="AD18" i="105" s="1"/>
  <c r="I21" i="8"/>
  <c r="R11" i="85" s="1"/>
  <c r="P18" i="105" s="1"/>
  <c r="AC18" i="105" s="1"/>
  <c r="H21" i="8"/>
  <c r="P11" i="85"/>
  <c r="O11" i="85"/>
  <c r="AM18" i="105" s="1"/>
  <c r="AN18" i="105" s="1"/>
  <c r="AE20" i="8"/>
  <c r="AD20" i="8"/>
  <c r="AC20" i="8"/>
  <c r="Q20" i="8"/>
  <c r="P20" i="8"/>
  <c r="O20" i="8"/>
  <c r="N20" i="8"/>
  <c r="M20" i="8"/>
  <c r="L20" i="8"/>
  <c r="K20" i="8"/>
  <c r="J20" i="8"/>
  <c r="I20" i="8"/>
  <c r="H20" i="8"/>
  <c r="AE19" i="8"/>
  <c r="AD19" i="8"/>
  <c r="AC19" i="8"/>
  <c r="AE18" i="8"/>
  <c r="AD18" i="8"/>
  <c r="AC18" i="8"/>
  <c r="Q18" i="8"/>
  <c r="P18" i="8"/>
  <c r="O18" i="8"/>
  <c r="N18" i="8"/>
  <c r="M18" i="8"/>
  <c r="L18" i="8"/>
  <c r="K18" i="8"/>
  <c r="J18" i="8"/>
  <c r="I18" i="8"/>
  <c r="H18" i="8"/>
  <c r="H123" i="8" s="1"/>
  <c r="G18" i="8"/>
  <c r="F18" i="8"/>
  <c r="E12" i="8"/>
  <c r="AE17" i="8"/>
  <c r="AD17" i="8"/>
  <c r="AC17" i="8"/>
  <c r="Y17" i="8"/>
  <c r="Q17" i="8"/>
  <c r="P17" i="8"/>
  <c r="O17" i="8"/>
  <c r="N17" i="8"/>
  <c r="M17" i="8"/>
  <c r="L17" i="8"/>
  <c r="K17" i="8"/>
  <c r="J17" i="8"/>
  <c r="I17" i="8"/>
  <c r="H17" i="8"/>
  <c r="G17" i="8"/>
  <c r="F17" i="8"/>
  <c r="AE16" i="8"/>
  <c r="AD16" i="8"/>
  <c r="AC16" i="8"/>
  <c r="Q16" i="8"/>
  <c r="P16" i="8"/>
  <c r="O16" i="8"/>
  <c r="N16" i="8"/>
  <c r="M16" i="8"/>
  <c r="L16" i="8"/>
  <c r="K16" i="8"/>
  <c r="J16" i="8"/>
  <c r="I16" i="8"/>
  <c r="H16" i="8"/>
  <c r="Q15" i="8"/>
  <c r="P15" i="8"/>
  <c r="O15" i="8"/>
  <c r="N15" i="8"/>
  <c r="M15" i="8"/>
  <c r="L15" i="8"/>
  <c r="K15" i="8"/>
  <c r="J15" i="8"/>
  <c r="I15" i="8"/>
  <c r="H15" i="8"/>
  <c r="Q14" i="8"/>
  <c r="P14" i="8"/>
  <c r="O14" i="8"/>
  <c r="N14" i="8"/>
  <c r="M14" i="8"/>
  <c r="L14" i="8"/>
  <c r="K14" i="8"/>
  <c r="J14" i="8"/>
  <c r="I14" i="8"/>
  <c r="H14" i="8"/>
  <c r="Q10" i="8"/>
  <c r="T6" i="8"/>
  <c r="Q6" i="8"/>
  <c r="P6" i="8"/>
  <c r="O6" i="8"/>
  <c r="N6" i="8"/>
  <c r="M6" i="8"/>
  <c r="L6" i="8"/>
  <c r="K6" i="8"/>
  <c r="J6" i="8"/>
  <c r="I6" i="8"/>
  <c r="H6" i="8"/>
  <c r="G6" i="8"/>
  <c r="F6" i="8"/>
  <c r="T5" i="8"/>
  <c r="Q5" i="8"/>
  <c r="P5" i="8"/>
  <c r="O5" i="8"/>
  <c r="N5" i="8"/>
  <c r="M5" i="8"/>
  <c r="L5" i="8"/>
  <c r="K5" i="8"/>
  <c r="J5" i="8"/>
  <c r="I5" i="8"/>
  <c r="H5" i="8"/>
  <c r="G5" i="8"/>
  <c r="F5" i="8"/>
  <c r="T4" i="8"/>
  <c r="Q4" i="8"/>
  <c r="P4" i="8"/>
  <c r="O4" i="8"/>
  <c r="N4" i="8"/>
  <c r="M4" i="8"/>
  <c r="L4" i="8"/>
  <c r="K4" i="8"/>
  <c r="J4" i="8"/>
  <c r="I4" i="8"/>
  <c r="T3" i="8"/>
  <c r="Q3" i="8"/>
  <c r="P3" i="8"/>
  <c r="O3" i="8"/>
  <c r="N3" i="8"/>
  <c r="M3" i="8"/>
  <c r="L3" i="8"/>
  <c r="K3" i="8"/>
  <c r="J3" i="8"/>
  <c r="I3" i="8"/>
  <c r="H3" i="8"/>
  <c r="T2" i="8"/>
  <c r="Q2" i="8"/>
  <c r="P2" i="8"/>
  <c r="O2" i="8"/>
  <c r="N2" i="8"/>
  <c r="M2" i="8"/>
  <c r="L2" i="8"/>
  <c r="K2" i="8"/>
  <c r="J2" i="8"/>
  <c r="I2" i="8"/>
  <c r="H2" i="8"/>
  <c r="AE42" i="69"/>
  <c r="AD42" i="69"/>
  <c r="AF42" i="69" s="1"/>
  <c r="AA42" i="69"/>
  <c r="U42" i="69"/>
  <c r="O42" i="69"/>
  <c r="K42" i="69"/>
  <c r="G42" i="69"/>
  <c r="AE41" i="69"/>
  <c r="AD41" i="69"/>
  <c r="AF41" i="69" s="1"/>
  <c r="AA41" i="69"/>
  <c r="U41" i="69"/>
  <c r="O41" i="69"/>
  <c r="K41" i="69"/>
  <c r="G41" i="69"/>
  <c r="AB35" i="69"/>
  <c r="Z35" i="69"/>
  <c r="Y35" i="69"/>
  <c r="X35" i="69"/>
  <c r="V35" i="69"/>
  <c r="T35" i="69"/>
  <c r="S35" i="69"/>
  <c r="R35" i="69"/>
  <c r="P35" i="69"/>
  <c r="N35" i="69"/>
  <c r="M35" i="69"/>
  <c r="L35" i="69"/>
  <c r="J35" i="69"/>
  <c r="I35" i="69"/>
  <c r="H35" i="69"/>
  <c r="F35" i="69"/>
  <c r="C35" i="69"/>
  <c r="B35" i="69"/>
  <c r="AE34" i="69"/>
  <c r="AF34" i="69"/>
  <c r="Z24" i="91"/>
  <c r="O34" i="69"/>
  <c r="K34" i="69"/>
  <c r="Z20" i="85" s="1"/>
  <c r="X41" i="105" s="1"/>
  <c r="Z18" i="82"/>
  <c r="AE33" i="69"/>
  <c r="Y24" i="91"/>
  <c r="O33" i="69"/>
  <c r="K33" i="69"/>
  <c r="Y20" i="85" s="1"/>
  <c r="W41" i="105" s="1"/>
  <c r="Y18" i="82"/>
  <c r="AE32" i="69"/>
  <c r="X24" i="91"/>
  <c r="O32" i="69"/>
  <c r="K32" i="69"/>
  <c r="X20" i="85" s="1"/>
  <c r="V41" i="105" s="1"/>
  <c r="X18" i="82"/>
  <c r="AB31" i="69"/>
  <c r="Z36" i="69"/>
  <c r="Y31" i="69"/>
  <c r="X31" i="69"/>
  <c r="V31" i="69"/>
  <c r="T31" i="69"/>
  <c r="S31" i="69"/>
  <c r="S36" i="69" s="1"/>
  <c r="R31" i="69"/>
  <c r="P31" i="69"/>
  <c r="N31" i="69"/>
  <c r="M31" i="69"/>
  <c r="L31" i="69"/>
  <c r="J31" i="69"/>
  <c r="I31" i="69"/>
  <c r="H31" i="69"/>
  <c r="H36" i="69" s="1"/>
  <c r="F31" i="69"/>
  <c r="C31" i="69"/>
  <c r="B31" i="69"/>
  <c r="AF30" i="69"/>
  <c r="W24" i="91"/>
  <c r="O30" i="69"/>
  <c r="K30" i="69"/>
  <c r="W20" i="85" s="1"/>
  <c r="U41" i="105" s="1"/>
  <c r="W18" i="82"/>
  <c r="AF29" i="69"/>
  <c r="V24" i="91"/>
  <c r="O29" i="69"/>
  <c r="K29" i="69"/>
  <c r="V20" i="85" s="1"/>
  <c r="T41" i="105" s="1"/>
  <c r="V18" i="82"/>
  <c r="AE28" i="69"/>
  <c r="U24" i="91"/>
  <c r="O28" i="69"/>
  <c r="K28" i="69"/>
  <c r="U20" i="85" s="1"/>
  <c r="S41" i="105" s="1"/>
  <c r="U18" i="82"/>
  <c r="AB26" i="69"/>
  <c r="Z26" i="69"/>
  <c r="Y26" i="69"/>
  <c r="X26" i="69"/>
  <c r="V26" i="69"/>
  <c r="AA26" i="69" s="1"/>
  <c r="T26" i="69"/>
  <c r="S26" i="69"/>
  <c r="R26" i="69"/>
  <c r="P26" i="69"/>
  <c r="N26" i="69"/>
  <c r="M26" i="69"/>
  <c r="L26" i="69"/>
  <c r="J26" i="69"/>
  <c r="I26" i="69"/>
  <c r="H26" i="69"/>
  <c r="F26" i="69"/>
  <c r="C26" i="69"/>
  <c r="B26" i="69"/>
  <c r="AE25" i="69"/>
  <c r="T24" i="91"/>
  <c r="O25" i="69"/>
  <c r="K25" i="69"/>
  <c r="T18" i="82"/>
  <c r="AE24" i="69"/>
  <c r="AF24" i="69" s="1"/>
  <c r="AG24" i="69"/>
  <c r="S24" i="91"/>
  <c r="O24" i="69"/>
  <c r="Q41" i="105"/>
  <c r="S18" i="82"/>
  <c r="AE23" i="69"/>
  <c r="R24" i="91"/>
  <c r="O23" i="69"/>
  <c r="K23" i="69"/>
  <c r="R18" i="82"/>
  <c r="AB22" i="69"/>
  <c r="Y22" i="69"/>
  <c r="X22" i="69"/>
  <c r="V22" i="69"/>
  <c r="S22" i="69"/>
  <c r="R22" i="69"/>
  <c r="P22" i="69"/>
  <c r="M22" i="69"/>
  <c r="L22" i="69"/>
  <c r="I22" i="69"/>
  <c r="H22" i="69"/>
  <c r="C22" i="69"/>
  <c r="B22" i="69"/>
  <c r="AE21" i="69"/>
  <c r="Q24" i="91"/>
  <c r="O21" i="69"/>
  <c r="K21" i="69"/>
  <c r="Q18" i="82"/>
  <c r="AE20" i="69"/>
  <c r="AD20" i="69"/>
  <c r="AA20" i="69"/>
  <c r="U20" i="69"/>
  <c r="O20" i="69"/>
  <c r="K20" i="69"/>
  <c r="G20" i="69"/>
  <c r="P18" i="82" s="1"/>
  <c r="AE18" i="69"/>
  <c r="AF18" i="69" s="1"/>
  <c r="AA18" i="69"/>
  <c r="U18" i="69"/>
  <c r="O18" i="69"/>
  <c r="K18" i="69"/>
  <c r="AE13" i="69"/>
  <c r="AD13" i="69"/>
  <c r="AF13" i="69" s="1"/>
  <c r="AA13" i="69"/>
  <c r="U13" i="69"/>
  <c r="O13" i="69"/>
  <c r="K13" i="69"/>
  <c r="G13" i="69"/>
  <c r="H18" i="82" s="1"/>
  <c r="AE12" i="69"/>
  <c r="AD12" i="69"/>
  <c r="AF12" i="69" s="1"/>
  <c r="AA12" i="69"/>
  <c r="U12" i="69"/>
  <c r="O12" i="69"/>
  <c r="K12" i="69"/>
  <c r="G12" i="69"/>
  <c r="AE11" i="69"/>
  <c r="AD11" i="69"/>
  <c r="AF11" i="69" s="1"/>
  <c r="AA11" i="69"/>
  <c r="U11" i="69"/>
  <c r="O11" i="69"/>
  <c r="K11" i="69"/>
  <c r="G11" i="69"/>
  <c r="AE10" i="69"/>
  <c r="AD10" i="69"/>
  <c r="AA10" i="69"/>
  <c r="U10" i="69"/>
  <c r="O10" i="69"/>
  <c r="K10" i="69"/>
  <c r="G10" i="69"/>
  <c r="AE9" i="69"/>
  <c r="AD9" i="69"/>
  <c r="AA9" i="69"/>
  <c r="U9" i="69"/>
  <c r="O9" i="69"/>
  <c r="K9" i="69"/>
  <c r="G9" i="69"/>
  <c r="AE8" i="69"/>
  <c r="AD8" i="69"/>
  <c r="AF8" i="69" s="1"/>
  <c r="AA8" i="69"/>
  <c r="U8" i="69"/>
  <c r="O8" i="69"/>
  <c r="K8" i="69"/>
  <c r="G8" i="69"/>
  <c r="AE7" i="69"/>
  <c r="AF7" i="69" s="1"/>
  <c r="U7" i="69"/>
  <c r="O7" i="69"/>
  <c r="K7" i="69"/>
  <c r="G7" i="69"/>
  <c r="AF6" i="69"/>
  <c r="AE6" i="69"/>
  <c r="U6" i="69"/>
  <c r="O6" i="69"/>
  <c r="K6" i="69"/>
  <c r="G6" i="69"/>
  <c r="J16" i="95" l="1"/>
  <c r="J12" i="95"/>
  <c r="H87" i="8"/>
  <c r="H89" i="8"/>
  <c r="H73" i="8"/>
  <c r="P9" i="102"/>
  <c r="Z16" i="82"/>
  <c r="BV34" i="120"/>
  <c r="BV36" i="120" s="1"/>
  <c r="E45" i="105"/>
  <c r="C13" i="120" s="1"/>
  <c r="AP134" i="102"/>
  <c r="AO138" i="102"/>
  <c r="Q22" i="120"/>
  <c r="F45" i="105"/>
  <c r="BD34" i="120"/>
  <c r="BD36" i="120" s="1"/>
  <c r="O16" i="82"/>
  <c r="BK34" i="120"/>
  <c r="L14" i="105"/>
  <c r="E102" i="8"/>
  <c r="L12" i="105"/>
  <c r="E100" i="8"/>
  <c r="X41" i="102"/>
  <c r="O180" i="8"/>
  <c r="T75" i="102"/>
  <c r="K184" i="8"/>
  <c r="Q157" i="8"/>
  <c r="AA89" i="102"/>
  <c r="V193" i="8"/>
  <c r="W33" i="102"/>
  <c r="N176" i="8"/>
  <c r="AK33" i="102" s="1"/>
  <c r="S35" i="102"/>
  <c r="J177" i="8"/>
  <c r="O37" i="102"/>
  <c r="F178" i="8"/>
  <c r="W37" i="102"/>
  <c r="N178" i="8"/>
  <c r="S39" i="102"/>
  <c r="J179" i="8"/>
  <c r="O41" i="102"/>
  <c r="F180" i="8"/>
  <c r="W41" i="102"/>
  <c r="N180" i="8"/>
  <c r="O73" i="102"/>
  <c r="F183" i="8"/>
  <c r="W73" i="102"/>
  <c r="N183" i="8"/>
  <c r="S75" i="102"/>
  <c r="J184" i="8"/>
  <c r="O77" i="102"/>
  <c r="F185" i="8"/>
  <c r="W77" i="102"/>
  <c r="N185" i="8"/>
  <c r="S79" i="102"/>
  <c r="J186" i="8"/>
  <c r="X8" i="82"/>
  <c r="V30" i="105" s="1"/>
  <c r="O128" i="8"/>
  <c r="U8" i="85"/>
  <c r="S31" i="105" s="1"/>
  <c r="L134" i="8"/>
  <c r="H157" i="8"/>
  <c r="P157" i="8"/>
  <c r="P18" i="132"/>
  <c r="P36" i="132" s="1"/>
  <c r="X18" i="132"/>
  <c r="X33" i="102"/>
  <c r="O176" i="8"/>
  <c r="P73" i="102"/>
  <c r="G183" i="8"/>
  <c r="Q33" i="102"/>
  <c r="H176" i="8"/>
  <c r="Y33" i="102"/>
  <c r="P176" i="8"/>
  <c r="U35" i="102"/>
  <c r="L177" i="8"/>
  <c r="Y37" i="102"/>
  <c r="P178" i="8"/>
  <c r="U39" i="102"/>
  <c r="L179" i="8"/>
  <c r="Q41" i="102"/>
  <c r="H180" i="8"/>
  <c r="Y41" i="102"/>
  <c r="P180" i="8"/>
  <c r="U71" i="102"/>
  <c r="L182" i="8"/>
  <c r="Y73" i="102"/>
  <c r="P183" i="8"/>
  <c r="U75" i="102"/>
  <c r="L184" i="8"/>
  <c r="Y77" i="102"/>
  <c r="P185" i="8"/>
  <c r="U79" i="102"/>
  <c r="L186" i="8"/>
  <c r="Q116" i="8"/>
  <c r="Q226" i="8" s="1"/>
  <c r="Q128" i="8"/>
  <c r="W8" i="85"/>
  <c r="U31" i="105" s="1"/>
  <c r="N134" i="8"/>
  <c r="J157" i="8"/>
  <c r="R18" i="132"/>
  <c r="R36" i="132" s="1"/>
  <c r="Z18" i="132"/>
  <c r="Z36" i="132" s="1"/>
  <c r="X37" i="102"/>
  <c r="O178" i="8"/>
  <c r="AA52" i="102"/>
  <c r="V190" i="8"/>
  <c r="R33" i="102"/>
  <c r="I176" i="8"/>
  <c r="Z33" i="102"/>
  <c r="Q176" i="8"/>
  <c r="V35" i="102"/>
  <c r="M177" i="8"/>
  <c r="Z37" i="102"/>
  <c r="Q178" i="8"/>
  <c r="V39" i="102"/>
  <c r="M179" i="8"/>
  <c r="Z41" i="102"/>
  <c r="Q180" i="8"/>
  <c r="V71" i="102"/>
  <c r="M182" i="8"/>
  <c r="R73" i="102"/>
  <c r="I183" i="8"/>
  <c r="Z73" i="102"/>
  <c r="Q183" i="8"/>
  <c r="V75" i="102"/>
  <c r="M184" i="8"/>
  <c r="Z77" i="102"/>
  <c r="Q185" i="8"/>
  <c r="V79" i="102"/>
  <c r="M186" i="8"/>
  <c r="S8" i="82"/>
  <c r="Q30" i="105" s="1"/>
  <c r="J128" i="8"/>
  <c r="P8" i="85"/>
  <c r="G134" i="8"/>
  <c r="X8" i="85"/>
  <c r="V31" i="105" s="1"/>
  <c r="O134" i="8"/>
  <c r="K157" i="8"/>
  <c r="S18" i="132"/>
  <c r="S36" i="132" s="1"/>
  <c r="X77" i="102"/>
  <c r="O185" i="8"/>
  <c r="V8" i="85"/>
  <c r="T31" i="105" s="1"/>
  <c r="M134" i="8"/>
  <c r="W26" i="135"/>
  <c r="W33" i="135"/>
  <c r="W156" i="135" s="1"/>
  <c r="F144" i="8"/>
  <c r="AB7" i="90" s="1"/>
  <c r="AA88" i="102"/>
  <c r="V192" i="8"/>
  <c r="W35" i="102"/>
  <c r="N177" i="8"/>
  <c r="S37" i="102"/>
  <c r="J178" i="8"/>
  <c r="W39" i="102"/>
  <c r="W12" i="102" s="1"/>
  <c r="N179" i="8"/>
  <c r="O71" i="102"/>
  <c r="F182" i="8"/>
  <c r="W71" i="102"/>
  <c r="N182" i="8"/>
  <c r="S73" i="102"/>
  <c r="J183" i="8"/>
  <c r="O75" i="102"/>
  <c r="F184" i="8"/>
  <c r="W75" i="102"/>
  <c r="N184" i="8"/>
  <c r="S77" i="102"/>
  <c r="J185" i="8"/>
  <c r="O79" i="102"/>
  <c r="F186" i="8"/>
  <c r="W79" i="102"/>
  <c r="N186" i="8"/>
  <c r="Q8" i="85"/>
  <c r="O31" i="105" s="1"/>
  <c r="H134" i="8"/>
  <c r="Y8" i="85"/>
  <c r="W31" i="105" s="1"/>
  <c r="P134" i="8"/>
  <c r="L157" i="8"/>
  <c r="T18" i="132"/>
  <c r="T36" i="132" s="1"/>
  <c r="E178" i="8"/>
  <c r="M37" i="102"/>
  <c r="Q8" i="82"/>
  <c r="O30" i="105" s="1"/>
  <c r="H128" i="8"/>
  <c r="I157" i="8"/>
  <c r="G144" i="8"/>
  <c r="AC7" i="90" s="1"/>
  <c r="AA51" i="102"/>
  <c r="V189" i="8"/>
  <c r="AA90" i="102"/>
  <c r="V194" i="8"/>
  <c r="T33" i="102"/>
  <c r="K176" i="8"/>
  <c r="X35" i="102"/>
  <c r="O177" i="8"/>
  <c r="X39" i="102"/>
  <c r="O179" i="8"/>
  <c r="T41" i="102"/>
  <c r="K180" i="8"/>
  <c r="P71" i="102"/>
  <c r="G182" i="8"/>
  <c r="X71" i="102"/>
  <c r="O182" i="8"/>
  <c r="T73" i="102"/>
  <c r="K183" i="8"/>
  <c r="P75" i="102"/>
  <c r="G184" i="8"/>
  <c r="X75" i="102"/>
  <c r="X10" i="102" s="1"/>
  <c r="O184" i="8"/>
  <c r="T77" i="102"/>
  <c r="K185" i="8"/>
  <c r="P79" i="102"/>
  <c r="G186" i="8"/>
  <c r="X79" i="102"/>
  <c r="O186" i="8"/>
  <c r="R8" i="85"/>
  <c r="P31" i="105" s="1"/>
  <c r="I134" i="8"/>
  <c r="Z8" i="85"/>
  <c r="X31" i="105" s="1"/>
  <c r="Q134" i="8"/>
  <c r="M157" i="8"/>
  <c r="U18" i="132"/>
  <c r="T71" i="102"/>
  <c r="K182" i="8"/>
  <c r="Y18" i="132"/>
  <c r="E184" i="8"/>
  <c r="M75" i="102"/>
  <c r="U33" i="102"/>
  <c r="U6" i="102" s="1"/>
  <c r="L176" i="8"/>
  <c r="Y35" i="102"/>
  <c r="P177" i="8"/>
  <c r="U37" i="102"/>
  <c r="L178" i="8"/>
  <c r="Y39" i="102"/>
  <c r="P179" i="8"/>
  <c r="U41" i="102"/>
  <c r="U14" i="102" s="1"/>
  <c r="L180" i="8"/>
  <c r="Y71" i="102"/>
  <c r="Y6" i="102" s="1"/>
  <c r="P182" i="8"/>
  <c r="U73" i="102"/>
  <c r="L183" i="8"/>
  <c r="Y75" i="102"/>
  <c r="P184" i="8"/>
  <c r="U77" i="102"/>
  <c r="L185" i="8"/>
  <c r="Q79" i="102"/>
  <c r="H186" i="8"/>
  <c r="Y79" i="102"/>
  <c r="P186" i="8"/>
  <c r="F157" i="8"/>
  <c r="N157" i="8"/>
  <c r="V18" i="132"/>
  <c r="S50" i="135" s="1"/>
  <c r="S158" i="135" s="1"/>
  <c r="T35" i="102"/>
  <c r="K177" i="8"/>
  <c r="P41" i="102"/>
  <c r="G180" i="8"/>
  <c r="X73" i="102"/>
  <c r="O183" i="8"/>
  <c r="T79" i="102"/>
  <c r="T14" i="102" s="1"/>
  <c r="K186" i="8"/>
  <c r="Q18" i="132"/>
  <c r="AA50" i="102"/>
  <c r="AA53" i="102" s="1"/>
  <c r="V188" i="8"/>
  <c r="V33" i="102"/>
  <c r="M176" i="8"/>
  <c r="Z35" i="102"/>
  <c r="Q177" i="8"/>
  <c r="V37" i="102"/>
  <c r="M178" i="8"/>
  <c r="Z39" i="102"/>
  <c r="Z12" i="102" s="1"/>
  <c r="Q179" i="8"/>
  <c r="V41" i="102"/>
  <c r="M180" i="8"/>
  <c r="Z71" i="102"/>
  <c r="Q182" i="8"/>
  <c r="V73" i="102"/>
  <c r="M183" i="8"/>
  <c r="R75" i="102"/>
  <c r="I184" i="8"/>
  <c r="Z75" i="102"/>
  <c r="Q184" i="8"/>
  <c r="V77" i="102"/>
  <c r="M185" i="8"/>
  <c r="Z79" i="102"/>
  <c r="Z14" i="102" s="1"/>
  <c r="Q186" i="8"/>
  <c r="O8" i="82"/>
  <c r="F128" i="8"/>
  <c r="T8" i="85"/>
  <c r="R31" i="105" s="1"/>
  <c r="K134" i="8"/>
  <c r="G157" i="8"/>
  <c r="O157" i="8"/>
  <c r="O18" i="132"/>
  <c r="W18" i="132"/>
  <c r="BB202" i="105"/>
  <c r="S11" i="120" s="1"/>
  <c r="BC202" i="105"/>
  <c r="BD202" i="105"/>
  <c r="U11" i="120" s="1"/>
  <c r="E27" i="93"/>
  <c r="AB188" i="135" s="1"/>
  <c r="AM188" i="135"/>
  <c r="AM189" i="135" s="1"/>
  <c r="AM190" i="135" s="1"/>
  <c r="AM215" i="135" s="1"/>
  <c r="AM216" i="135" s="1"/>
  <c r="P4" i="93"/>
  <c r="P5" i="93" s="1"/>
  <c r="F27" i="93"/>
  <c r="AC188" i="135" s="1"/>
  <c r="Q72" i="93"/>
  <c r="I27" i="93"/>
  <c r="Q9" i="95" s="1"/>
  <c r="E183" i="8"/>
  <c r="M73" i="102"/>
  <c r="E177" i="8"/>
  <c r="AN24" i="85" s="1"/>
  <c r="M35" i="102"/>
  <c r="P49" i="135"/>
  <c r="AF49" i="135" s="1"/>
  <c r="V48" i="135"/>
  <c r="V140" i="135" s="1"/>
  <c r="P63" i="102"/>
  <c r="X70" i="135"/>
  <c r="X201" i="135" s="1"/>
  <c r="I70" i="135"/>
  <c r="X60" i="135"/>
  <c r="X122" i="135" s="1"/>
  <c r="I60" i="135"/>
  <c r="X61" i="135"/>
  <c r="I61" i="135"/>
  <c r="J61" i="135" s="1"/>
  <c r="K61" i="135" s="1"/>
  <c r="X66" i="135"/>
  <c r="X123" i="135" s="1"/>
  <c r="I66" i="135"/>
  <c r="X62" i="135"/>
  <c r="X160" i="135" s="1"/>
  <c r="I62" i="135"/>
  <c r="X67" i="135"/>
  <c r="I67" i="135"/>
  <c r="J67" i="135" s="1"/>
  <c r="K67" i="135" s="1"/>
  <c r="J63" i="135"/>
  <c r="K63" i="135" s="1"/>
  <c r="K180" i="135" s="1"/>
  <c r="I180" i="135"/>
  <c r="J68" i="135"/>
  <c r="K68" i="135" s="1"/>
  <c r="K161" i="135" s="1"/>
  <c r="I161" i="135"/>
  <c r="X64" i="135"/>
  <c r="X200" i="135" s="1"/>
  <c r="I64" i="135"/>
  <c r="X69" i="135"/>
  <c r="X181" i="135" s="1"/>
  <c r="I69" i="135"/>
  <c r="E180" i="8"/>
  <c r="M41" i="102"/>
  <c r="E186" i="8"/>
  <c r="M79" i="102"/>
  <c r="Y106" i="135"/>
  <c r="AA208" i="135"/>
  <c r="W53" i="135"/>
  <c r="W179" i="135" s="1"/>
  <c r="E179" i="8"/>
  <c r="M39" i="102"/>
  <c r="E185" i="8"/>
  <c r="M77" i="102"/>
  <c r="D49" i="105"/>
  <c r="F23" i="91"/>
  <c r="D43" i="105" s="1"/>
  <c r="D45" i="105" s="1"/>
  <c r="E49" i="105"/>
  <c r="C19" i="120" s="1"/>
  <c r="G23" i="91"/>
  <c r="E43" i="105" s="1"/>
  <c r="G22" i="91"/>
  <c r="H23" i="91"/>
  <c r="F43" i="105" s="1"/>
  <c r="H22" i="91"/>
  <c r="F49" i="105"/>
  <c r="E20" i="135"/>
  <c r="E173" i="135" s="1"/>
  <c r="S83" i="130"/>
  <c r="V53" i="135"/>
  <c r="V179" i="135" s="1"/>
  <c r="E167" i="8"/>
  <c r="AN63" i="102"/>
  <c r="Q167" i="8" s="1"/>
  <c r="AF63" i="102"/>
  <c r="I167" i="8" s="1"/>
  <c r="F167" i="8"/>
  <c r="AL188" i="135"/>
  <c r="AL189" i="135" s="1"/>
  <c r="AL190" i="135" s="1"/>
  <c r="AL215" i="135" s="1"/>
  <c r="AL216" i="135" s="1"/>
  <c r="O4" i="93"/>
  <c r="O5" i="93" s="1"/>
  <c r="K4" i="93"/>
  <c r="K5" i="93" s="1"/>
  <c r="AH188" i="135"/>
  <c r="Q4" i="95"/>
  <c r="AF130" i="135"/>
  <c r="M4" i="95"/>
  <c r="E4" i="93"/>
  <c r="E5" i="93" s="1"/>
  <c r="AB130" i="135"/>
  <c r="N4" i="95"/>
  <c r="AC130" i="135"/>
  <c r="R54" i="135"/>
  <c r="R198" i="135" s="1"/>
  <c r="W55" i="135"/>
  <c r="W199" i="135" s="1"/>
  <c r="H22" i="92"/>
  <c r="H23" i="92"/>
  <c r="F44" i="105" s="1"/>
  <c r="F50" i="105"/>
  <c r="E21" i="135"/>
  <c r="E193" i="135" s="1"/>
  <c r="S84" i="130"/>
  <c r="G22" i="92"/>
  <c r="G23" i="92"/>
  <c r="E44" i="105" s="1"/>
  <c r="M55" i="135"/>
  <c r="E195" i="8"/>
  <c r="E170" i="8" s="1"/>
  <c r="K197" i="135"/>
  <c r="Z44" i="135"/>
  <c r="L6" i="105"/>
  <c r="E94" i="8"/>
  <c r="O50" i="135"/>
  <c r="O158" i="135" s="1"/>
  <c r="W50" i="135"/>
  <c r="W158" i="135" s="1"/>
  <c r="R51" i="135"/>
  <c r="AH51" i="135" s="1"/>
  <c r="P53" i="135"/>
  <c r="AF53" i="135" s="1"/>
  <c r="V52" i="135"/>
  <c r="V178" i="135" s="1"/>
  <c r="E191" i="8"/>
  <c r="E166" i="8" s="1"/>
  <c r="E2" i="8"/>
  <c r="E127" i="8" s="1"/>
  <c r="AN9" i="82" s="1"/>
  <c r="E3" i="8"/>
  <c r="E5" i="8"/>
  <c r="E6" i="8"/>
  <c r="W49" i="135"/>
  <c r="W141" i="135" s="1"/>
  <c r="V47" i="135"/>
  <c r="V121" i="135" s="1"/>
  <c r="R53" i="135"/>
  <c r="AH53" i="135" s="1"/>
  <c r="S48" i="135"/>
  <c r="S140" i="135" s="1"/>
  <c r="S52" i="135"/>
  <c r="S178" i="135" s="1"/>
  <c r="T54" i="135"/>
  <c r="T198" i="135" s="1"/>
  <c r="S51" i="135"/>
  <c r="AI51" i="135" s="1"/>
  <c r="V15" i="102"/>
  <c r="P48" i="135"/>
  <c r="P140" i="135" s="1"/>
  <c r="P52" i="135"/>
  <c r="P178" i="135" s="1"/>
  <c r="O11" i="61"/>
  <c r="R12" i="61"/>
  <c r="W47" i="135"/>
  <c r="W121" i="135" s="1"/>
  <c r="R48" i="135"/>
  <c r="R140" i="135" s="1"/>
  <c r="M49" i="135"/>
  <c r="W51" i="135"/>
  <c r="W159" i="135" s="1"/>
  <c r="R52" i="135"/>
  <c r="R178" i="135" s="1"/>
  <c r="M53" i="135"/>
  <c r="U55" i="135"/>
  <c r="V50" i="135"/>
  <c r="V158" i="135" s="1"/>
  <c r="S54" i="135"/>
  <c r="S198" i="135" s="1"/>
  <c r="V55" i="135"/>
  <c r="V199" i="135" s="1"/>
  <c r="M52" i="135"/>
  <c r="M178" i="135" s="1"/>
  <c r="U52" i="135"/>
  <c r="U178" i="135" s="1"/>
  <c r="U54" i="135"/>
  <c r="U198" i="135" s="1"/>
  <c r="P55" i="135"/>
  <c r="V54" i="135"/>
  <c r="V198" i="135" s="1"/>
  <c r="O52" i="135"/>
  <c r="O178" i="135" s="1"/>
  <c r="W52" i="135"/>
  <c r="W178" i="135" s="1"/>
  <c r="O54" i="135"/>
  <c r="O198" i="135" s="1"/>
  <c r="W54" i="135"/>
  <c r="W198" i="135" s="1"/>
  <c r="R55" i="135"/>
  <c r="S49" i="135"/>
  <c r="AI49" i="135" s="1"/>
  <c r="M51" i="135"/>
  <c r="AC51" i="135" s="1"/>
  <c r="S53" i="135"/>
  <c r="AI53" i="135" s="1"/>
  <c r="S55" i="135"/>
  <c r="Q54" i="135"/>
  <c r="Q198" i="135" s="1"/>
  <c r="L55" i="135"/>
  <c r="M54" i="135"/>
  <c r="M198" i="135" s="1"/>
  <c r="K52" i="135"/>
  <c r="K178" i="135" s="1"/>
  <c r="K53" i="135"/>
  <c r="Z53" i="135" s="1"/>
  <c r="K49" i="135"/>
  <c r="P87" i="8"/>
  <c r="P127" i="8" s="1"/>
  <c r="M15" i="102"/>
  <c r="N15" i="102" s="1"/>
  <c r="V127" i="135"/>
  <c r="V88" i="135"/>
  <c r="W127" i="135"/>
  <c r="W88" i="135"/>
  <c r="V126" i="135"/>
  <c r="V82" i="135"/>
  <c r="W126" i="135"/>
  <c r="W82" i="135"/>
  <c r="S127" i="135"/>
  <c r="S88" i="135"/>
  <c r="S126" i="135"/>
  <c r="S82" i="135"/>
  <c r="AA31" i="69"/>
  <c r="Y36" i="69"/>
  <c r="U26" i="69"/>
  <c r="P24" i="91"/>
  <c r="T20" i="85"/>
  <c r="R41" i="105" s="1"/>
  <c r="R20" i="85"/>
  <c r="P41" i="105" s="1"/>
  <c r="AD22" i="69"/>
  <c r="Q20" i="85"/>
  <c r="O41" i="105" s="1"/>
  <c r="G26" i="69"/>
  <c r="AD26" i="69"/>
  <c r="AF10" i="69"/>
  <c r="H24" i="91"/>
  <c r="G24" i="91"/>
  <c r="F24" i="91"/>
  <c r="E24" i="91"/>
  <c r="D24" i="91"/>
  <c r="Q8" i="91"/>
  <c r="O33" i="105" s="1"/>
  <c r="Y8" i="91"/>
  <c r="W33" i="105" s="1"/>
  <c r="Z8" i="91"/>
  <c r="X33" i="105" s="1"/>
  <c r="O8" i="90"/>
  <c r="S8" i="91"/>
  <c r="Q33" i="105" s="1"/>
  <c r="T8" i="91"/>
  <c r="R33" i="105" s="1"/>
  <c r="Q8" i="90"/>
  <c r="O32" i="105" s="1"/>
  <c r="U8" i="91"/>
  <c r="S33" i="105" s="1"/>
  <c r="V8" i="91"/>
  <c r="T33" i="105" s="1"/>
  <c r="Z8" i="92"/>
  <c r="X34" i="105" s="1"/>
  <c r="P8" i="91"/>
  <c r="N33" i="105" s="1"/>
  <c r="R6" i="105"/>
  <c r="U7" i="105"/>
  <c r="M8" i="105"/>
  <c r="F121" i="8"/>
  <c r="O59" i="91" s="1"/>
  <c r="O64" i="91" s="1"/>
  <c r="U8" i="105"/>
  <c r="T9" i="105"/>
  <c r="J73" i="135"/>
  <c r="K25" i="105"/>
  <c r="L25" i="105" s="1"/>
  <c r="S46" i="135"/>
  <c r="S6" i="105"/>
  <c r="N8" i="105"/>
  <c r="G121" i="8"/>
  <c r="P59" i="91" s="1"/>
  <c r="P64" i="91" s="1"/>
  <c r="P7" i="91" s="1"/>
  <c r="G122" i="8" s="1"/>
  <c r="G151" i="8" s="1"/>
  <c r="M9" i="105"/>
  <c r="U9" i="105"/>
  <c r="S3" i="135"/>
  <c r="AI3" i="135" s="1"/>
  <c r="J74" i="135"/>
  <c r="K26" i="105"/>
  <c r="L26" i="105" s="1"/>
  <c r="T6" i="105"/>
  <c r="O7" i="105"/>
  <c r="W7" i="105"/>
  <c r="H121" i="8"/>
  <c r="Q59" i="91" s="1"/>
  <c r="Q64" i="91" s="1"/>
  <c r="Q7" i="91" s="1"/>
  <c r="H122" i="8" s="1"/>
  <c r="H151" i="8" s="1"/>
  <c r="AD7" i="91" s="1"/>
  <c r="AO7" i="91" s="1"/>
  <c r="W8" i="105"/>
  <c r="P151" i="8"/>
  <c r="AL7" i="91" s="1"/>
  <c r="N9" i="105"/>
  <c r="V9" i="105"/>
  <c r="W11" i="135"/>
  <c r="W134" i="135" s="1"/>
  <c r="W138" i="135" s="1"/>
  <c r="W12" i="135"/>
  <c r="W153" i="135" s="1"/>
  <c r="W157" i="135" s="1"/>
  <c r="U6" i="105"/>
  <c r="N68" i="8"/>
  <c r="P7" i="105"/>
  <c r="X7" i="105"/>
  <c r="P8" i="105"/>
  <c r="I151" i="8"/>
  <c r="AE7" i="91" s="1"/>
  <c r="I121" i="8"/>
  <c r="R59" i="91" s="1"/>
  <c r="R64" i="91" s="1"/>
  <c r="X8" i="105"/>
  <c r="Q151" i="8"/>
  <c r="AM7" i="91" s="1"/>
  <c r="W9" i="105"/>
  <c r="S121" i="135"/>
  <c r="J75" i="135"/>
  <c r="K27" i="105"/>
  <c r="L27" i="105" s="1"/>
  <c r="V46" i="135"/>
  <c r="Q7" i="105"/>
  <c r="Q8" i="105"/>
  <c r="J121" i="8"/>
  <c r="S59" i="91" s="1"/>
  <c r="S64" i="91" s="1"/>
  <c r="J151" i="8"/>
  <c r="AF7" i="91" s="1"/>
  <c r="P9" i="105"/>
  <c r="X9" i="105"/>
  <c r="V3" i="135"/>
  <c r="V133" i="135" s="1"/>
  <c r="K5" i="105"/>
  <c r="L11" i="105"/>
  <c r="AP22" i="85"/>
  <c r="AP26" i="91"/>
  <c r="W46" i="135"/>
  <c r="O6" i="105"/>
  <c r="W6" i="105"/>
  <c r="R7" i="105"/>
  <c r="R8" i="105"/>
  <c r="K121" i="8"/>
  <c r="T59" i="91" s="1"/>
  <c r="T64" i="91" s="1"/>
  <c r="K151" i="8"/>
  <c r="AG7" i="91" s="1"/>
  <c r="Q9" i="105"/>
  <c r="W3" i="135"/>
  <c r="W133" i="135" s="1"/>
  <c r="AP21" i="82"/>
  <c r="P6" i="105"/>
  <c r="X6" i="105"/>
  <c r="S7" i="105"/>
  <c r="S8" i="105"/>
  <c r="L121" i="8"/>
  <c r="U59" i="91" s="1"/>
  <c r="U64" i="91" s="1"/>
  <c r="L151" i="8"/>
  <c r="R9" i="105"/>
  <c r="AQ40" i="135"/>
  <c r="AQ119" i="135" s="1"/>
  <c r="Q6" i="105"/>
  <c r="T7" i="105"/>
  <c r="T8" i="105"/>
  <c r="M151" i="8"/>
  <c r="AI7" i="91" s="1"/>
  <c r="M121" i="8"/>
  <c r="V59" i="91" s="1"/>
  <c r="V64" i="91" s="1"/>
  <c r="S9" i="105"/>
  <c r="X63" i="102"/>
  <c r="O63" i="102"/>
  <c r="T63" i="102"/>
  <c r="V19" i="95"/>
  <c r="N4" i="93"/>
  <c r="N5" i="93" s="1"/>
  <c r="U127" i="135"/>
  <c r="U88" i="135"/>
  <c r="U126" i="135"/>
  <c r="U82" i="135"/>
  <c r="U35" i="69"/>
  <c r="U53" i="135"/>
  <c r="AK53" i="135" s="1"/>
  <c r="X8" i="91"/>
  <c r="V33" i="105" s="1"/>
  <c r="U50" i="135"/>
  <c r="U158" i="135" s="1"/>
  <c r="U51" i="135"/>
  <c r="AK51" i="135" s="1"/>
  <c r="X8" i="90"/>
  <c r="V32" i="105" s="1"/>
  <c r="U49" i="135"/>
  <c r="AK49" i="135" s="1"/>
  <c r="U47" i="135"/>
  <c r="AK47" i="135" s="1"/>
  <c r="U46" i="135"/>
  <c r="X36" i="69"/>
  <c r="AA35" i="69"/>
  <c r="M36" i="69"/>
  <c r="G35" i="69"/>
  <c r="AD35" i="69"/>
  <c r="V7" i="105"/>
  <c r="V8" i="105"/>
  <c r="O151" i="8"/>
  <c r="AK7" i="91" s="1"/>
  <c r="V6" i="105"/>
  <c r="U3" i="135"/>
  <c r="AK3" i="135" s="1"/>
  <c r="W63" i="102"/>
  <c r="AK63" i="102"/>
  <c r="N167" i="8" s="1"/>
  <c r="X98" i="135"/>
  <c r="X168" i="135" s="1"/>
  <c r="X96" i="135"/>
  <c r="X129" i="135" s="1"/>
  <c r="X97" i="135"/>
  <c r="X148" i="135" s="1"/>
  <c r="U19" i="95"/>
  <c r="U20" i="95" s="1"/>
  <c r="M4" i="93"/>
  <c r="M5" i="93" s="1"/>
  <c r="T88" i="135"/>
  <c r="T82" i="135"/>
  <c r="X44" i="135"/>
  <c r="X197" i="135" s="1"/>
  <c r="X43" i="135"/>
  <c r="X177" i="135" s="1"/>
  <c r="X41" i="135"/>
  <c r="X139" i="135" s="1"/>
  <c r="T55" i="135"/>
  <c r="T50" i="135"/>
  <c r="T158" i="135" s="1"/>
  <c r="T52" i="135"/>
  <c r="T178" i="135" s="1"/>
  <c r="T53" i="135"/>
  <c r="AJ53" i="135" s="1"/>
  <c r="W8" i="91"/>
  <c r="U33" i="105" s="1"/>
  <c r="T51" i="135"/>
  <c r="AJ51" i="135" s="1"/>
  <c r="W8" i="90"/>
  <c r="U32" i="105" s="1"/>
  <c r="T49" i="135"/>
  <c r="AJ49" i="135" s="1"/>
  <c r="T48" i="135"/>
  <c r="T140" i="135" s="1"/>
  <c r="T47" i="135"/>
  <c r="AJ47" i="135" s="1"/>
  <c r="T46" i="135"/>
  <c r="N12" i="8"/>
  <c r="N151" i="8"/>
  <c r="AJ7" i="91" s="1"/>
  <c r="T3" i="135"/>
  <c r="AJ3" i="135" s="1"/>
  <c r="C29" i="124"/>
  <c r="D29" i="124" s="1"/>
  <c r="E29" i="124" s="1"/>
  <c r="F5" i="124" s="1"/>
  <c r="X68" i="135"/>
  <c r="H65" i="135"/>
  <c r="X63" i="135"/>
  <c r="T19" i="95"/>
  <c r="L4" i="93"/>
  <c r="L5" i="93" s="1"/>
  <c r="Q48" i="135"/>
  <c r="Q140" i="135" s="1"/>
  <c r="Q52" i="135"/>
  <c r="Q178" i="135" s="1"/>
  <c r="L53" i="135"/>
  <c r="P54" i="135"/>
  <c r="P198" i="135" s="1"/>
  <c r="M23" i="102"/>
  <c r="N23" i="102" s="1"/>
  <c r="N48" i="135"/>
  <c r="N140" i="135" s="1"/>
  <c r="Q49" i="135"/>
  <c r="K51" i="135"/>
  <c r="N52" i="135"/>
  <c r="N178" i="135" s="1"/>
  <c r="Q53" i="135"/>
  <c r="Q7" i="8"/>
  <c r="Y11" i="91"/>
  <c r="K50" i="135"/>
  <c r="K158" i="135" s="1"/>
  <c r="N51" i="135"/>
  <c r="P141" i="135"/>
  <c r="AO208" i="135"/>
  <c r="J35" i="135"/>
  <c r="K21" i="135"/>
  <c r="J14" i="135"/>
  <c r="K35" i="135"/>
  <c r="K28" i="135"/>
  <c r="J28" i="135"/>
  <c r="J21" i="135"/>
  <c r="AA44" i="135"/>
  <c r="AA197" i="135" s="1"/>
  <c r="AA100" i="135"/>
  <c r="AA64" i="135"/>
  <c r="AA70" i="135"/>
  <c r="AA55" i="135"/>
  <c r="S11" i="91"/>
  <c r="Z6" i="102"/>
  <c r="J3" i="135"/>
  <c r="Y3" i="135" s="1"/>
  <c r="O51" i="135"/>
  <c r="V11" i="91"/>
  <c r="T20" i="105" s="1"/>
  <c r="BI84" i="105" s="1"/>
  <c r="R11" i="91"/>
  <c r="P20" i="105" s="1"/>
  <c r="AC20" i="105" s="1"/>
  <c r="T11" i="91"/>
  <c r="R20" i="105" s="1"/>
  <c r="AE20" i="105" s="1"/>
  <c r="K48" i="135"/>
  <c r="K140" i="135" s="1"/>
  <c r="N49" i="135"/>
  <c r="AD49" i="135" s="1"/>
  <c r="N50" i="135"/>
  <c r="N158" i="135" s="1"/>
  <c r="P51" i="135"/>
  <c r="AF51" i="135" s="1"/>
  <c r="N53" i="135"/>
  <c r="R46" i="135"/>
  <c r="R120" i="135" s="1"/>
  <c r="Z11" i="91"/>
  <c r="X20" i="105" s="1"/>
  <c r="H75" i="8"/>
  <c r="O49" i="135"/>
  <c r="AE49" i="135" s="1"/>
  <c r="Q51" i="135"/>
  <c r="O53" i="135"/>
  <c r="AE53" i="135" s="1"/>
  <c r="Z197" i="135"/>
  <c r="K54" i="135"/>
  <c r="K198" i="135" s="1"/>
  <c r="O55" i="135"/>
  <c r="K177" i="135"/>
  <c r="K45" i="135"/>
  <c r="O11" i="91"/>
  <c r="M20" i="105" s="1"/>
  <c r="Z20" i="105" s="1"/>
  <c r="X11" i="91"/>
  <c r="R60" i="141" s="1"/>
  <c r="O48" i="135"/>
  <c r="O140" i="135" s="1"/>
  <c r="R49" i="135"/>
  <c r="AH49" i="135" s="1"/>
  <c r="R50" i="135"/>
  <c r="R158" i="135" s="1"/>
  <c r="R179" i="135"/>
  <c r="N54" i="135"/>
  <c r="N198" i="135" s="1"/>
  <c r="Q55" i="135"/>
  <c r="N46" i="135"/>
  <c r="N120" i="135" s="1"/>
  <c r="Y52" i="105"/>
  <c r="V8" i="90"/>
  <c r="T32" i="105" s="1"/>
  <c r="M7" i="8"/>
  <c r="O46" i="135"/>
  <c r="O120" i="135" s="1"/>
  <c r="K46" i="135"/>
  <c r="K120" i="135" s="1"/>
  <c r="P46" i="135"/>
  <c r="P120" i="135" s="1"/>
  <c r="R88" i="135"/>
  <c r="R127" i="135"/>
  <c r="Q46" i="135"/>
  <c r="Q120" i="135" s="1"/>
  <c r="M47" i="135"/>
  <c r="R82" i="135"/>
  <c r="R126" i="135"/>
  <c r="N47" i="135"/>
  <c r="AD47" i="135" s="1"/>
  <c r="O47" i="135"/>
  <c r="AE47" i="135" s="1"/>
  <c r="L46" i="135"/>
  <c r="L120" i="135" s="1"/>
  <c r="P47" i="135"/>
  <c r="AF47" i="135" s="1"/>
  <c r="F17" i="138"/>
  <c r="F18" i="138" s="1"/>
  <c r="M46" i="135"/>
  <c r="M120" i="135" s="1"/>
  <c r="Q47" i="135"/>
  <c r="AG47" i="135" s="1"/>
  <c r="R47" i="135"/>
  <c r="AH47" i="135" s="1"/>
  <c r="U31" i="69"/>
  <c r="G31" i="69"/>
  <c r="AD31" i="69"/>
  <c r="U69" i="8"/>
  <c r="T69" i="8"/>
  <c r="T64" i="8"/>
  <c r="U64" i="8"/>
  <c r="U8" i="90"/>
  <c r="S32" i="105" s="1"/>
  <c r="H3" i="95"/>
  <c r="O165" i="135"/>
  <c r="O88" i="135"/>
  <c r="Q82" i="135"/>
  <c r="Q164" i="135"/>
  <c r="P165" i="135"/>
  <c r="P88" i="135"/>
  <c r="Q165" i="135"/>
  <c r="Q88" i="135"/>
  <c r="L164" i="135"/>
  <c r="L82" i="135"/>
  <c r="K98" i="135"/>
  <c r="M164" i="135"/>
  <c r="M82" i="135"/>
  <c r="L165" i="135"/>
  <c r="L88" i="135"/>
  <c r="N164" i="135"/>
  <c r="M165" i="135"/>
  <c r="M88" i="135"/>
  <c r="O164" i="135"/>
  <c r="O82" i="135"/>
  <c r="K166" i="135"/>
  <c r="N165" i="135"/>
  <c r="P164" i="135"/>
  <c r="P82" i="135"/>
  <c r="R4" i="95"/>
  <c r="R142" i="61"/>
  <c r="Q143" i="61" s="1"/>
  <c r="R143" i="61" s="1"/>
  <c r="T21" i="102"/>
  <c r="S63" i="102"/>
  <c r="I4" i="93"/>
  <c r="I5" i="93" s="1"/>
  <c r="AF19" i="90"/>
  <c r="S8" i="90"/>
  <c r="Q32" i="105" s="1"/>
  <c r="S21" i="102"/>
  <c r="X27" i="69"/>
  <c r="P27" i="69"/>
  <c r="E18" i="90"/>
  <c r="G24" i="92"/>
  <c r="Y24" i="92"/>
  <c r="D18" i="90"/>
  <c r="F24" i="92"/>
  <c r="T18" i="90"/>
  <c r="V18" i="90"/>
  <c r="W24" i="92"/>
  <c r="X24" i="92"/>
  <c r="E24" i="92"/>
  <c r="P18" i="90"/>
  <c r="S18" i="90"/>
  <c r="U18" i="90"/>
  <c r="D24" i="92"/>
  <c r="T24" i="92"/>
  <c r="V24" i="92"/>
  <c r="AF9" i="69"/>
  <c r="S24" i="92"/>
  <c r="U24" i="92"/>
  <c r="Z18" i="90"/>
  <c r="H18" i="90"/>
  <c r="G18" i="90"/>
  <c r="Y18" i="90"/>
  <c r="Z24" i="92"/>
  <c r="Q16" i="82"/>
  <c r="F18" i="90"/>
  <c r="H24" i="92"/>
  <c r="W18" i="90"/>
  <c r="X18" i="90"/>
  <c r="E21" i="95"/>
  <c r="R171" i="8"/>
  <c r="AA61" i="102"/>
  <c r="R63" i="102"/>
  <c r="Z63" i="102"/>
  <c r="F81" i="102"/>
  <c r="Y39" i="95"/>
  <c r="G14" i="95" s="1"/>
  <c r="H14" i="95" s="1"/>
  <c r="Y40" i="95"/>
  <c r="G15" i="95" s="1"/>
  <c r="H15" i="95" s="1"/>
  <c r="R28" i="95"/>
  <c r="Y41" i="95"/>
  <c r="G16" i="95" s="1"/>
  <c r="H16" i="95" s="1"/>
  <c r="U63" i="102"/>
  <c r="V63" i="102"/>
  <c r="S28" i="95"/>
  <c r="T28" i="95"/>
  <c r="AA62" i="102"/>
  <c r="M28" i="95"/>
  <c r="U28" i="95"/>
  <c r="Y63" i="102"/>
  <c r="N28" i="95"/>
  <c r="V28" i="95"/>
  <c r="AA59" i="102"/>
  <c r="G92" i="102"/>
  <c r="G93" i="102" s="1"/>
  <c r="O28" i="95"/>
  <c r="W28" i="95"/>
  <c r="AA60" i="102"/>
  <c r="P28" i="95"/>
  <c r="X28" i="95"/>
  <c r="F43" i="102"/>
  <c r="F82" i="102" s="1"/>
  <c r="F83" i="102" s="1"/>
  <c r="Q28" i="95"/>
  <c r="T171" i="8"/>
  <c r="P20" i="95"/>
  <c r="P4" i="95"/>
  <c r="R24" i="92"/>
  <c r="R18" i="90"/>
  <c r="L132" i="61"/>
  <c r="T31" i="61"/>
  <c r="Q63" i="102"/>
  <c r="AA58" i="102"/>
  <c r="T7" i="8"/>
  <c r="I8" i="8"/>
  <c r="Q8" i="8"/>
  <c r="U171" i="8"/>
  <c r="U4" i="8"/>
  <c r="L8" i="8"/>
  <c r="U14" i="8"/>
  <c r="T14" i="8"/>
  <c r="I96" i="8"/>
  <c r="I148" i="8" s="1"/>
  <c r="AC8" i="105" s="1"/>
  <c r="Q96" i="8"/>
  <c r="Q148" i="8" s="1"/>
  <c r="AK8" i="105" s="1"/>
  <c r="P97" i="8"/>
  <c r="B35" i="138"/>
  <c r="I36" i="141"/>
  <c r="J35" i="138"/>
  <c r="Q36" i="141"/>
  <c r="S10" i="90"/>
  <c r="Q19" i="105" s="1"/>
  <c r="AD19" i="105" s="1"/>
  <c r="M18" i="141"/>
  <c r="L42" i="141"/>
  <c r="L43" i="141" s="1"/>
  <c r="E41" i="138"/>
  <c r="E42" i="138" s="1"/>
  <c r="T42" i="141"/>
  <c r="T43" i="141" s="1"/>
  <c r="M41" i="138"/>
  <c r="M42" i="138" s="1"/>
  <c r="K18" i="141"/>
  <c r="K19" i="141" s="1"/>
  <c r="J96" i="8"/>
  <c r="J148" i="8" s="1"/>
  <c r="AD8" i="105" s="1"/>
  <c r="I12" i="8"/>
  <c r="I97" i="8"/>
  <c r="Q97" i="8"/>
  <c r="C35" i="138"/>
  <c r="J36" i="141"/>
  <c r="K35" i="138"/>
  <c r="R36" i="141"/>
  <c r="N18" i="141"/>
  <c r="G17" i="138"/>
  <c r="G18" i="138" s="1"/>
  <c r="M42" i="141"/>
  <c r="M43" i="141" s="1"/>
  <c r="F41" i="138"/>
  <c r="F42" i="138" s="1"/>
  <c r="U3" i="8"/>
  <c r="K96" i="8"/>
  <c r="K148" i="8" s="1"/>
  <c r="AE8" i="105" s="1"/>
  <c r="J97" i="8"/>
  <c r="L35" i="138"/>
  <c r="S36" i="141"/>
  <c r="T22" i="8"/>
  <c r="U22" i="8"/>
  <c r="U24" i="8"/>
  <c r="T24" i="8"/>
  <c r="O18" i="141"/>
  <c r="H17" i="138"/>
  <c r="H18" i="138" s="1"/>
  <c r="N42" i="141"/>
  <c r="N43" i="141" s="1"/>
  <c r="G41" i="138"/>
  <c r="G42" i="138" s="1"/>
  <c r="AC102" i="135"/>
  <c r="T16" i="8"/>
  <c r="U16" i="8"/>
  <c r="L96" i="8"/>
  <c r="L148" i="8" s="1"/>
  <c r="AF8" i="105" s="1"/>
  <c r="T17" i="8"/>
  <c r="U17" i="8"/>
  <c r="U108" i="8" s="1"/>
  <c r="K97" i="8"/>
  <c r="E35" i="138"/>
  <c r="L36" i="141"/>
  <c r="M35" i="138"/>
  <c r="T36" i="141"/>
  <c r="P18" i="141"/>
  <c r="I17" i="138"/>
  <c r="I18" i="138" s="1"/>
  <c r="O42" i="141"/>
  <c r="O43" i="141" s="1"/>
  <c r="H41" i="138"/>
  <c r="H42" i="138" s="1"/>
  <c r="U2" i="8"/>
  <c r="U6" i="8"/>
  <c r="Z5" i="90"/>
  <c r="M96" i="8"/>
  <c r="M148" i="8" s="1"/>
  <c r="AG8" i="105" s="1"/>
  <c r="L97" i="8"/>
  <c r="T18" i="8"/>
  <c r="U18" i="8"/>
  <c r="U109" i="8" s="1"/>
  <c r="F35" i="138"/>
  <c r="M36" i="141"/>
  <c r="Q18" i="141"/>
  <c r="J17" i="138"/>
  <c r="J18" i="138" s="1"/>
  <c r="P42" i="141"/>
  <c r="P43" i="141" s="1"/>
  <c r="I41" i="138"/>
  <c r="I42" i="138" s="1"/>
  <c r="F96" i="8"/>
  <c r="N96" i="8"/>
  <c r="N148" i="8" s="1"/>
  <c r="AH8" i="105" s="1"/>
  <c r="M97" i="8"/>
  <c r="G35" i="138"/>
  <c r="N36" i="141"/>
  <c r="U11" i="91"/>
  <c r="S20" i="105" s="1"/>
  <c r="AF20" i="105" s="1"/>
  <c r="T23" i="8"/>
  <c r="U23" i="8"/>
  <c r="F23" i="138"/>
  <c r="M24" i="141"/>
  <c r="C17" i="138"/>
  <c r="C18" i="138" s="1"/>
  <c r="J18" i="141"/>
  <c r="R18" i="141"/>
  <c r="K17" i="138"/>
  <c r="Q42" i="141"/>
  <c r="Q43" i="141" s="1"/>
  <c r="J41" i="138"/>
  <c r="J42" i="138" s="1"/>
  <c r="U5" i="8"/>
  <c r="U15" i="8"/>
  <c r="T15" i="8"/>
  <c r="G96" i="8"/>
  <c r="G148" i="8" s="1"/>
  <c r="AA8" i="105" s="1"/>
  <c r="O96" i="8"/>
  <c r="O148" i="8" s="1"/>
  <c r="AI8" i="105" s="1"/>
  <c r="F12" i="8"/>
  <c r="O5" i="92" s="1"/>
  <c r="F97" i="8"/>
  <c r="N97" i="8"/>
  <c r="T20" i="8"/>
  <c r="U20" i="8"/>
  <c r="T21" i="8"/>
  <c r="U21" i="8"/>
  <c r="U11" i="85"/>
  <c r="S18" i="105" s="1"/>
  <c r="AF18" i="105" s="1"/>
  <c r="D17" i="138"/>
  <c r="D18" i="138" s="1"/>
  <c r="S18" i="141"/>
  <c r="L17" i="138"/>
  <c r="L18" i="138" s="1"/>
  <c r="J42" i="141"/>
  <c r="J43" i="141" s="1"/>
  <c r="R42" i="141"/>
  <c r="R43" i="141" s="1"/>
  <c r="K41" i="138"/>
  <c r="P96" i="8"/>
  <c r="P148" i="8" s="1"/>
  <c r="AJ8" i="105" s="1"/>
  <c r="G97" i="8"/>
  <c r="O97" i="8"/>
  <c r="I35" i="138"/>
  <c r="P36" i="141"/>
  <c r="R10" i="90"/>
  <c r="Z10" i="90"/>
  <c r="X19" i="105" s="1"/>
  <c r="Z11" i="92"/>
  <c r="X21" i="105" s="1"/>
  <c r="AK21" i="105" s="1"/>
  <c r="AA34" i="102"/>
  <c r="AA43" i="102" s="1"/>
  <c r="V76" i="8"/>
  <c r="V176" i="8" s="1"/>
  <c r="L18" i="141"/>
  <c r="E17" i="138"/>
  <c r="E18" i="138" s="1"/>
  <c r="T18" i="141"/>
  <c r="M17" i="138"/>
  <c r="M18" i="138" s="1"/>
  <c r="K42" i="141"/>
  <c r="K43" i="141" s="1"/>
  <c r="S42" i="141"/>
  <c r="S43" i="141" s="1"/>
  <c r="L41" i="138"/>
  <c r="L42" i="138" s="1"/>
  <c r="O4" i="95"/>
  <c r="G4" i="93"/>
  <c r="Q24" i="92"/>
  <c r="Q18" i="90"/>
  <c r="U16" i="82"/>
  <c r="Y16" i="90"/>
  <c r="V16" i="82"/>
  <c r="Z16" i="90"/>
  <c r="W16" i="82"/>
  <c r="P16" i="82"/>
  <c r="X16" i="82"/>
  <c r="Y16" i="82"/>
  <c r="R16" i="82"/>
  <c r="S16" i="82"/>
  <c r="T16" i="82"/>
  <c r="H16" i="82"/>
  <c r="D13" i="120"/>
  <c r="D41" i="138"/>
  <c r="D42" i="138" s="1"/>
  <c r="H96" i="8"/>
  <c r="H148" i="8" s="1"/>
  <c r="AB8" i="105" s="1"/>
  <c r="H97" i="8"/>
  <c r="Q11" i="85"/>
  <c r="G73" i="8"/>
  <c r="G75" i="8" s="1"/>
  <c r="G89" i="8"/>
  <c r="G140" i="8" s="1"/>
  <c r="R21" i="61"/>
  <c r="T21" i="61"/>
  <c r="N9" i="95"/>
  <c r="P24" i="92"/>
  <c r="C66" i="138"/>
  <c r="U26" i="137"/>
  <c r="C41" i="138"/>
  <c r="C42" i="138" s="1"/>
  <c r="C83" i="8"/>
  <c r="K75" i="102" s="1"/>
  <c r="U25" i="137"/>
  <c r="AA9" i="102"/>
  <c r="C82" i="8"/>
  <c r="K73" i="102" s="1"/>
  <c r="U24" i="137"/>
  <c r="C81" i="8"/>
  <c r="K71" i="102" s="1"/>
  <c r="K6" i="102" s="1"/>
  <c r="O142" i="61"/>
  <c r="O143" i="61" s="1"/>
  <c r="P143" i="61" s="1"/>
  <c r="O25" i="102"/>
  <c r="AA80" i="102"/>
  <c r="AA15" i="102" s="1"/>
  <c r="U27" i="137"/>
  <c r="U28" i="137"/>
  <c r="U29" i="137" s="1"/>
  <c r="S18" i="85"/>
  <c r="H30" i="138"/>
  <c r="T18" i="85"/>
  <c r="I30" i="138"/>
  <c r="U18" i="85"/>
  <c r="J30" i="138"/>
  <c r="T73" i="105"/>
  <c r="V18" i="85"/>
  <c r="C30" i="138"/>
  <c r="K30" i="138"/>
  <c r="O18" i="85"/>
  <c r="U73" i="105"/>
  <c r="W18" i="85"/>
  <c r="D30" i="138"/>
  <c r="L30" i="138"/>
  <c r="P18" i="85"/>
  <c r="V73" i="105"/>
  <c r="X18" i="85"/>
  <c r="E30" i="138"/>
  <c r="M30" i="138"/>
  <c r="Q18" i="85"/>
  <c r="Y18" i="85"/>
  <c r="F30" i="138"/>
  <c r="R18" i="85"/>
  <c r="Z18" i="85"/>
  <c r="G30" i="138"/>
  <c r="T74" i="105"/>
  <c r="U74" i="105"/>
  <c r="V74" i="105"/>
  <c r="AA24" i="102"/>
  <c r="AA13" i="102"/>
  <c r="AA11" i="102"/>
  <c r="K87" i="102"/>
  <c r="K22" i="102" s="1"/>
  <c r="AA87" i="102"/>
  <c r="AA22" i="102" s="1"/>
  <c r="O21" i="102"/>
  <c r="K86" i="102"/>
  <c r="K21" i="102" s="1"/>
  <c r="AA86" i="102"/>
  <c r="T13" i="102"/>
  <c r="O24" i="102"/>
  <c r="W24" i="102"/>
  <c r="R25" i="102"/>
  <c r="Z25" i="102"/>
  <c r="G16" i="82"/>
  <c r="E72" i="105"/>
  <c r="E77" i="105" s="1"/>
  <c r="AB63" i="102"/>
  <c r="S171" i="8"/>
  <c r="U8" i="102"/>
  <c r="Q14" i="102"/>
  <c r="Y14" i="102"/>
  <c r="R21" i="102"/>
  <c r="Z21" i="102"/>
  <c r="R7" i="102"/>
  <c r="U22" i="102"/>
  <c r="P23" i="102"/>
  <c r="T11" i="102"/>
  <c r="V9" i="102"/>
  <c r="O11" i="102"/>
  <c r="W11" i="102"/>
  <c r="Z22" i="102"/>
  <c r="T22" i="102"/>
  <c r="E95" i="135"/>
  <c r="X20" i="95"/>
  <c r="E50" i="105"/>
  <c r="AL91" i="105"/>
  <c r="Y86" i="135" s="1"/>
  <c r="AL97" i="105"/>
  <c r="L89" i="105"/>
  <c r="K84" i="135" s="1"/>
  <c r="K146" i="135" s="1"/>
  <c r="J84" i="135"/>
  <c r="J146" i="135" s="1"/>
  <c r="L84" i="105"/>
  <c r="K79" i="135" s="1"/>
  <c r="J79" i="135"/>
  <c r="J164" i="135" s="1"/>
  <c r="L85" i="105"/>
  <c r="K80" i="135" s="1"/>
  <c r="K184" i="135" s="1"/>
  <c r="J80" i="135"/>
  <c r="J184" i="135" s="1"/>
  <c r="L90" i="105"/>
  <c r="K85" i="135" s="1"/>
  <c r="J85" i="135"/>
  <c r="J165" i="135" s="1"/>
  <c r="L86" i="105"/>
  <c r="K81" i="135" s="1"/>
  <c r="K204" i="135" s="1"/>
  <c r="J81" i="135"/>
  <c r="J204" i="135" s="1"/>
  <c r="E127" i="135"/>
  <c r="E88" i="135"/>
  <c r="F88" i="135"/>
  <c r="F127" i="135"/>
  <c r="H127" i="135"/>
  <c r="H88" i="135"/>
  <c r="L91" i="105"/>
  <c r="K86" i="135" s="1"/>
  <c r="K185" i="135" s="1"/>
  <c r="J86" i="135"/>
  <c r="J185" i="135" s="1"/>
  <c r="E126" i="135"/>
  <c r="E82" i="135"/>
  <c r="J127" i="135"/>
  <c r="F126" i="135"/>
  <c r="F82" i="135"/>
  <c r="L92" i="105"/>
  <c r="K87" i="135" s="1"/>
  <c r="K205" i="135" s="1"/>
  <c r="J87" i="135"/>
  <c r="J205" i="135" s="1"/>
  <c r="L83" i="105"/>
  <c r="K78" i="135" s="1"/>
  <c r="K126" i="135" s="1"/>
  <c r="J78" i="135"/>
  <c r="I93" i="105"/>
  <c r="M22" i="102"/>
  <c r="N22" i="102" s="1"/>
  <c r="D3" i="120"/>
  <c r="K3" i="135"/>
  <c r="Z3" i="135" s="1"/>
  <c r="AV113" i="105"/>
  <c r="C27" i="124"/>
  <c r="D27" i="124" s="1"/>
  <c r="E27" i="124" s="1"/>
  <c r="F3" i="124" s="1"/>
  <c r="H160" i="135"/>
  <c r="C28" i="124"/>
  <c r="D28" i="124" s="1"/>
  <c r="E28" i="124" s="1"/>
  <c r="F4" i="124" s="1"/>
  <c r="H180" i="135"/>
  <c r="H161" i="135"/>
  <c r="J161" i="135"/>
  <c r="H181" i="135"/>
  <c r="D35" i="124"/>
  <c r="E35" i="124" s="1"/>
  <c r="G3" i="124" s="1"/>
  <c r="AH63" i="102"/>
  <c r="K167" i="8" s="1"/>
  <c r="R9" i="102"/>
  <c r="Z9" i="102"/>
  <c r="O23" i="102"/>
  <c r="W23" i="102"/>
  <c r="Z7" i="102"/>
  <c r="Z43" i="102"/>
  <c r="U24" i="102"/>
  <c r="T7" i="102"/>
  <c r="U9" i="102"/>
  <c r="P21" i="102"/>
  <c r="X21" i="102"/>
  <c r="M20" i="95"/>
  <c r="N20" i="95"/>
  <c r="Q20" i="95"/>
  <c r="R20" i="95"/>
  <c r="S20" i="95"/>
  <c r="L56" i="105"/>
  <c r="K14" i="135" s="1"/>
  <c r="G26" i="102"/>
  <c r="H26" i="102"/>
  <c r="T15" i="102"/>
  <c r="V22" i="102"/>
  <c r="N89" i="102"/>
  <c r="N91" i="102" s="1"/>
  <c r="V13" i="102"/>
  <c r="I26" i="102"/>
  <c r="V23" i="102"/>
  <c r="P24" i="102"/>
  <c r="Q9" i="102"/>
  <c r="Y9" i="102"/>
  <c r="R15" i="102"/>
  <c r="Z15" i="102"/>
  <c r="AF20" i="69"/>
  <c r="AH12" i="69"/>
  <c r="L74" i="105"/>
  <c r="L73" i="105"/>
  <c r="C112" i="8"/>
  <c r="K8" i="85" s="1"/>
  <c r="I31" i="105" s="1"/>
  <c r="K76" i="135"/>
  <c r="K203" i="135" s="1"/>
  <c r="P74" i="105"/>
  <c r="X74" i="105"/>
  <c r="W19" i="135" s="1"/>
  <c r="W154" i="135" s="1"/>
  <c r="Q74" i="105"/>
  <c r="R74" i="105"/>
  <c r="S74" i="105"/>
  <c r="M74" i="105"/>
  <c r="N74" i="105"/>
  <c r="O74" i="105"/>
  <c r="S73" i="105"/>
  <c r="M73" i="105"/>
  <c r="N73" i="105"/>
  <c r="O73" i="105"/>
  <c r="K73" i="135"/>
  <c r="K145" i="135" s="1"/>
  <c r="P73" i="105"/>
  <c r="X73" i="105"/>
  <c r="W18" i="135" s="1"/>
  <c r="W135" i="135" s="1"/>
  <c r="Q73" i="105"/>
  <c r="R73" i="105"/>
  <c r="L72" i="105"/>
  <c r="R72" i="105"/>
  <c r="F72" i="105"/>
  <c r="E17" i="135" s="1"/>
  <c r="S72" i="105"/>
  <c r="M72" i="105"/>
  <c r="N72" i="105"/>
  <c r="O72" i="105"/>
  <c r="K72" i="135"/>
  <c r="K125" i="135" s="1"/>
  <c r="P72" i="105"/>
  <c r="O17" i="135" s="1"/>
  <c r="AE17" i="135" s="1"/>
  <c r="X72" i="105"/>
  <c r="Q72" i="105"/>
  <c r="I10" i="8"/>
  <c r="C111" i="8"/>
  <c r="C114" i="8"/>
  <c r="C113" i="8"/>
  <c r="E9" i="8"/>
  <c r="C84" i="8"/>
  <c r="C78" i="8"/>
  <c r="K37" i="102" s="1"/>
  <c r="K10" i="102" s="1"/>
  <c r="Q8" i="92"/>
  <c r="O34" i="105" s="1"/>
  <c r="R8" i="92"/>
  <c r="P34" i="105" s="1"/>
  <c r="V85" i="8"/>
  <c r="S8" i="92"/>
  <c r="Q34" i="105" s="1"/>
  <c r="C77" i="8"/>
  <c r="K35" i="102" s="1"/>
  <c r="T8" i="92"/>
  <c r="R34" i="105" s="1"/>
  <c r="U8" i="92"/>
  <c r="S34" i="105" s="1"/>
  <c r="L3" i="135"/>
  <c r="AB3" i="135" s="1"/>
  <c r="M3" i="135"/>
  <c r="AC3" i="135" s="1"/>
  <c r="H7" i="8"/>
  <c r="Q11" i="92"/>
  <c r="O21" i="105" s="1"/>
  <c r="AB21" i="105" s="1"/>
  <c r="J8" i="8"/>
  <c r="S11" i="92"/>
  <c r="Q21" i="105" s="1"/>
  <c r="AD21" i="105" s="1"/>
  <c r="L7" i="8"/>
  <c r="U11" i="92"/>
  <c r="S21" i="105" s="1"/>
  <c r="AF21" i="105" s="1"/>
  <c r="T21" i="130"/>
  <c r="S20" i="130"/>
  <c r="T20" i="130"/>
  <c r="T18" i="130"/>
  <c r="S19" i="130"/>
  <c r="S22" i="130"/>
  <c r="T19" i="130"/>
  <c r="T22" i="130"/>
  <c r="S18" i="130"/>
  <c r="S21" i="130"/>
  <c r="H28" i="102"/>
  <c r="K16" i="95"/>
  <c r="S22" i="102"/>
  <c r="U23" i="102"/>
  <c r="V24" i="102"/>
  <c r="W20" i="95"/>
  <c r="C31" i="124"/>
  <c r="D31" i="124" s="1"/>
  <c r="E31" i="124" s="1"/>
  <c r="F7" i="124" s="1"/>
  <c r="C30" i="124"/>
  <c r="D30" i="124" s="1"/>
  <c r="E30" i="124" s="1"/>
  <c r="F6" i="124" s="1"/>
  <c r="AV127" i="105"/>
  <c r="AV115" i="105"/>
  <c r="AV114" i="105"/>
  <c r="Y55" i="105"/>
  <c r="N36" i="69"/>
  <c r="O35" i="69"/>
  <c r="AF33" i="69"/>
  <c r="W74" i="105"/>
  <c r="W73" i="105"/>
  <c r="W72" i="105"/>
  <c r="Y8" i="92"/>
  <c r="W34" i="105" s="1"/>
  <c r="Y12" i="102"/>
  <c r="Y10" i="102"/>
  <c r="P116" i="8"/>
  <c r="P226" i="8" s="1"/>
  <c r="P11" i="8"/>
  <c r="P9" i="8"/>
  <c r="P7" i="8"/>
  <c r="Y11" i="92"/>
  <c r="W21" i="105" s="1"/>
  <c r="AJ21" i="105" s="1"/>
  <c r="O111" i="61"/>
  <c r="AO149" i="102"/>
  <c r="AP149" i="102" s="1"/>
  <c r="AD63" i="102"/>
  <c r="G167" i="8" s="1"/>
  <c r="AL63" i="102"/>
  <c r="O167" i="8" s="1"/>
  <c r="AO59" i="102"/>
  <c r="AP59" i="102" s="1"/>
  <c r="AE63" i="102"/>
  <c r="H167" i="8" s="1"/>
  <c r="AG63" i="102"/>
  <c r="J167" i="8" s="1"/>
  <c r="AI63" i="102"/>
  <c r="L167" i="8" s="1"/>
  <c r="AJ63" i="102"/>
  <c r="M167" i="8" s="1"/>
  <c r="AO62" i="102"/>
  <c r="AP62" i="102" s="1"/>
  <c r="AM63" i="102"/>
  <c r="P167" i="8" s="1"/>
  <c r="AO61" i="102"/>
  <c r="AP61" i="102" s="1"/>
  <c r="AO60" i="102"/>
  <c r="AP60" i="102" s="1"/>
  <c r="G8" i="95"/>
  <c r="V93" i="105"/>
  <c r="V20" i="95"/>
  <c r="T36" i="69"/>
  <c r="J36" i="69"/>
  <c r="AB36" i="69"/>
  <c r="P36" i="69"/>
  <c r="P37" i="69" s="1"/>
  <c r="R36" i="69"/>
  <c r="AF32" i="69"/>
  <c r="K35" i="69"/>
  <c r="L36" i="69"/>
  <c r="AE35" i="69"/>
  <c r="I36" i="69"/>
  <c r="C36" i="69"/>
  <c r="F36" i="69"/>
  <c r="X8" i="92"/>
  <c r="V34" i="105" s="1"/>
  <c r="X24" i="102"/>
  <c r="X23" i="102"/>
  <c r="X6" i="102"/>
  <c r="O12" i="8"/>
  <c r="O7" i="8"/>
  <c r="X11" i="92"/>
  <c r="V21" i="105" s="1"/>
  <c r="AI21" i="105" s="1"/>
  <c r="O101" i="61"/>
  <c r="O10" i="8"/>
  <c r="O8" i="8"/>
  <c r="U11" i="95"/>
  <c r="W14" i="102"/>
  <c r="W8" i="92"/>
  <c r="U34" i="105" s="1"/>
  <c r="N10" i="8"/>
  <c r="O91" i="61"/>
  <c r="W5" i="92"/>
  <c r="W11" i="92"/>
  <c r="U21" i="105" s="1"/>
  <c r="AH21" i="105" s="1"/>
  <c r="T20" i="95"/>
  <c r="Y90" i="105"/>
  <c r="X85" i="135" s="1"/>
  <c r="X165" i="135" s="1"/>
  <c r="Y84" i="105"/>
  <c r="X79" i="135" s="1"/>
  <c r="X164" i="135" s="1"/>
  <c r="Y89" i="105"/>
  <c r="X84" i="135" s="1"/>
  <c r="X146" i="135" s="1"/>
  <c r="Y88" i="105"/>
  <c r="X83" i="135" s="1"/>
  <c r="X127" i="135" s="1"/>
  <c r="Y83" i="105"/>
  <c r="X78" i="135" s="1"/>
  <c r="X126" i="135" s="1"/>
  <c r="K75" i="135"/>
  <c r="K183" i="135" s="1"/>
  <c r="V53" i="102"/>
  <c r="V11" i="92"/>
  <c r="T21" i="105" s="1"/>
  <c r="AG21" i="105" s="1"/>
  <c r="M10" i="8"/>
  <c r="M11" i="8"/>
  <c r="O81" i="61"/>
  <c r="P2" i="135"/>
  <c r="AF2" i="135" s="1"/>
  <c r="V36" i="69"/>
  <c r="AA36" i="69" s="1"/>
  <c r="X37" i="69"/>
  <c r="O31" i="69"/>
  <c r="AF28" i="69"/>
  <c r="K31" i="69"/>
  <c r="AE31" i="69"/>
  <c r="B36" i="69"/>
  <c r="R71" i="61"/>
  <c r="N152" i="61"/>
  <c r="E11" i="8"/>
  <c r="N11" i="8"/>
  <c r="N8" i="8"/>
  <c r="E19" i="8"/>
  <c r="O6" i="102"/>
  <c r="W6" i="102"/>
  <c r="U10" i="102"/>
  <c r="X12" i="102"/>
  <c r="M9" i="8"/>
  <c r="W91" i="102"/>
  <c r="K6" i="135"/>
  <c r="P12" i="8"/>
  <c r="V6" i="102"/>
  <c r="U136" i="8"/>
  <c r="O7" i="102"/>
  <c r="W7" i="102"/>
  <c r="T24" i="102"/>
  <c r="V25" i="102"/>
  <c r="I94" i="8"/>
  <c r="Q94" i="8"/>
  <c r="K95" i="8"/>
  <c r="H8" i="8"/>
  <c r="I9" i="8"/>
  <c r="G94" i="8"/>
  <c r="O94" i="8"/>
  <c r="I73" i="8"/>
  <c r="I75" i="8" s="1"/>
  <c r="I119" i="8" s="1"/>
  <c r="I143" i="8" s="1"/>
  <c r="I95" i="8"/>
  <c r="Q95" i="8"/>
  <c r="F123" i="8"/>
  <c r="F158" i="8" s="1"/>
  <c r="H94" i="8"/>
  <c r="P94" i="8"/>
  <c r="J95" i="8"/>
  <c r="I11" i="8"/>
  <c r="G12" i="8"/>
  <c r="Q7" i="102"/>
  <c r="Y7" i="102"/>
  <c r="Q9" i="8"/>
  <c r="J9" i="8"/>
  <c r="J94" i="8"/>
  <c r="L10" i="8"/>
  <c r="L95" i="8"/>
  <c r="Q11" i="102"/>
  <c r="Y11" i="102"/>
  <c r="K68" i="8"/>
  <c r="K70" i="8" s="1"/>
  <c r="K118" i="8" s="1"/>
  <c r="T6" i="85" s="1"/>
  <c r="K94" i="8"/>
  <c r="M95" i="8"/>
  <c r="M25" i="102"/>
  <c r="N25" i="102" s="1"/>
  <c r="Q13" i="102"/>
  <c r="Y13" i="102"/>
  <c r="Q15" i="102"/>
  <c r="Y15" i="102"/>
  <c r="Y53" i="102"/>
  <c r="Y22" i="102"/>
  <c r="S23" i="102"/>
  <c r="X20" i="8"/>
  <c r="L9" i="8"/>
  <c r="L94" i="8"/>
  <c r="F95" i="8"/>
  <c r="N95" i="8"/>
  <c r="K123" i="8"/>
  <c r="K158" i="8" s="1"/>
  <c r="L11" i="8"/>
  <c r="M94" i="8"/>
  <c r="G95" i="8"/>
  <c r="O95" i="8"/>
  <c r="F11" i="8"/>
  <c r="S114" i="8"/>
  <c r="F93" i="8"/>
  <c r="N94" i="8"/>
  <c r="H10" i="8"/>
  <c r="H95" i="8"/>
  <c r="P10" i="8"/>
  <c r="P95" i="8"/>
  <c r="M12" i="8"/>
  <c r="P8" i="8"/>
  <c r="P22" i="102"/>
  <c r="X22" i="102"/>
  <c r="R23" i="102"/>
  <c r="Z23" i="102"/>
  <c r="W8" i="102"/>
  <c r="X14" i="102"/>
  <c r="P25" i="102"/>
  <c r="X25" i="102"/>
  <c r="Q24" i="102"/>
  <c r="Y24" i="102"/>
  <c r="S25" i="102"/>
  <c r="T8" i="102"/>
  <c r="W10" i="102"/>
  <c r="P7" i="102"/>
  <c r="X7" i="102"/>
  <c r="V11" i="102"/>
  <c r="Q11" i="8"/>
  <c r="I25" i="8"/>
  <c r="M21" i="102"/>
  <c r="N21" i="102" s="1"/>
  <c r="P11" i="102"/>
  <c r="X11" i="102"/>
  <c r="P13" i="102"/>
  <c r="X13" i="102"/>
  <c r="U25" i="102"/>
  <c r="J123" i="8"/>
  <c r="J158" i="8" s="1"/>
  <c r="M7" i="102"/>
  <c r="N7" i="102" s="1"/>
  <c r="V7" i="102"/>
  <c r="N53" i="102"/>
  <c r="V21" i="102"/>
  <c r="U115" i="8"/>
  <c r="U53" i="102"/>
  <c r="U91" i="102"/>
  <c r="W22" i="102"/>
  <c r="U111" i="8"/>
  <c r="N7" i="8"/>
  <c r="S7" i="102"/>
  <c r="X91" i="102"/>
  <c r="O19" i="8"/>
  <c r="Y21" i="102"/>
  <c r="S11" i="102"/>
  <c r="W43" i="8"/>
  <c r="W44" i="8"/>
  <c r="S15" i="102"/>
  <c r="S53" i="102"/>
  <c r="V81" i="102"/>
  <c r="K7" i="8"/>
  <c r="O9" i="8"/>
  <c r="R14" i="8"/>
  <c r="K20" i="105"/>
  <c r="E109" i="8"/>
  <c r="X4" i="8"/>
  <c r="E106" i="8"/>
  <c r="W102" i="8"/>
  <c r="U112" i="8"/>
  <c r="AI8" i="85"/>
  <c r="AG31" i="105" s="1"/>
  <c r="F233" i="8"/>
  <c r="N233" i="8"/>
  <c r="L234" i="8"/>
  <c r="T234" i="8"/>
  <c r="Y8" i="82"/>
  <c r="W30" i="105" s="1"/>
  <c r="Y8" i="90"/>
  <c r="W32" i="105" s="1"/>
  <c r="V8" i="92"/>
  <c r="T34" i="105" s="1"/>
  <c r="W81" i="102"/>
  <c r="T136" i="8"/>
  <c r="G233" i="8"/>
  <c r="O233" i="8"/>
  <c r="M234" i="8"/>
  <c r="V234" i="8"/>
  <c r="Z8" i="82"/>
  <c r="X30" i="105" s="1"/>
  <c r="Z8" i="90"/>
  <c r="X32" i="105" s="1"/>
  <c r="L116" i="8"/>
  <c r="L226" i="8" s="1"/>
  <c r="H233" i="8"/>
  <c r="P233" i="8"/>
  <c r="S9" i="102"/>
  <c r="N42" i="102"/>
  <c r="X81" i="102"/>
  <c r="Y81" i="102"/>
  <c r="V91" i="102"/>
  <c r="M116" i="8"/>
  <c r="M226" i="8" s="1"/>
  <c r="I233" i="8"/>
  <c r="Q233" i="8"/>
  <c r="U11" i="102"/>
  <c r="W53" i="102"/>
  <c r="O22" i="102"/>
  <c r="Q23" i="102"/>
  <c r="Y23" i="102"/>
  <c r="R24" i="102"/>
  <c r="Z24" i="102"/>
  <c r="T25" i="102"/>
  <c r="Z81" i="102"/>
  <c r="U113" i="8"/>
  <c r="N116" i="8"/>
  <c r="N226" i="8" s="1"/>
  <c r="J233" i="8"/>
  <c r="R233" i="8"/>
  <c r="U8" i="82"/>
  <c r="S30" i="105" s="1"/>
  <c r="O13" i="102"/>
  <c r="W13" i="102"/>
  <c r="P15" i="102"/>
  <c r="X15" i="102"/>
  <c r="X53" i="102"/>
  <c r="U114" i="8"/>
  <c r="O116" i="8"/>
  <c r="O226" i="8" s="1"/>
  <c r="K233" i="8"/>
  <c r="S233" i="8"/>
  <c r="V8" i="82"/>
  <c r="T30" i="105" s="1"/>
  <c r="Y91" i="102"/>
  <c r="W8" i="82"/>
  <c r="U30" i="105" s="1"/>
  <c r="U21" i="102"/>
  <c r="U81" i="102"/>
  <c r="Z91" i="102"/>
  <c r="M87" i="8"/>
  <c r="M127" i="8" s="1"/>
  <c r="M63" i="8"/>
  <c r="M65" i="8" s="1"/>
  <c r="M117" i="8" s="1"/>
  <c r="M129" i="8" s="1"/>
  <c r="M99" i="8"/>
  <c r="N100" i="8"/>
  <c r="N70" i="8"/>
  <c r="N118" i="8" s="1"/>
  <c r="W6" i="85" s="1"/>
  <c r="N88" i="8"/>
  <c r="O87" i="8"/>
  <c r="O127" i="8" s="1"/>
  <c r="O63" i="8"/>
  <c r="O65" i="8" s="1"/>
  <c r="O117" i="8" s="1"/>
  <c r="O129" i="8" s="1"/>
  <c r="O99" i="8"/>
  <c r="P100" i="8"/>
  <c r="P68" i="8"/>
  <c r="P70" i="8" s="1"/>
  <c r="P118" i="8" s="1"/>
  <c r="Y6" i="85" s="1"/>
  <c r="Y47" i="85" s="1"/>
  <c r="P88" i="8"/>
  <c r="Q90" i="8"/>
  <c r="Q121" i="8"/>
  <c r="Z59" i="91" s="1"/>
  <c r="Z64" i="91" s="1"/>
  <c r="Q102" i="8"/>
  <c r="G7" i="8"/>
  <c r="M8" i="8"/>
  <c r="P63" i="8"/>
  <c r="P65" i="8" s="1"/>
  <c r="P117" i="8" s="1"/>
  <c r="P129" i="8" s="1"/>
  <c r="P99" i="8"/>
  <c r="Q100" i="8"/>
  <c r="Q68" i="8"/>
  <c r="Q70" i="8" s="1"/>
  <c r="Q118" i="8" s="1"/>
  <c r="Z6" i="85" s="1"/>
  <c r="Z47" i="85" s="1"/>
  <c r="Q88" i="8"/>
  <c r="P91" i="8"/>
  <c r="P155" i="8" s="1"/>
  <c r="M19" i="8"/>
  <c r="U10" i="82"/>
  <c r="S17" i="105" s="1"/>
  <c r="AF17" i="105" s="1"/>
  <c r="L25" i="8"/>
  <c r="L105" i="8"/>
  <c r="U10" i="90"/>
  <c r="S19" i="105" s="1"/>
  <c r="AF19" i="105" s="1"/>
  <c r="L107" i="8"/>
  <c r="W5" i="82"/>
  <c r="Q63" i="8"/>
  <c r="Q65" i="8" s="1"/>
  <c r="Q117" i="8" s="1"/>
  <c r="Q129" i="8" s="1"/>
  <c r="Q99" i="8"/>
  <c r="Q87" i="8"/>
  <c r="Q127" i="8" s="1"/>
  <c r="L89" i="8"/>
  <c r="L140" i="8" s="1"/>
  <c r="L73" i="8"/>
  <c r="L75" i="8" s="1"/>
  <c r="L119" i="8" s="1"/>
  <c r="L143" i="8" s="1"/>
  <c r="L101" i="8"/>
  <c r="K90" i="8"/>
  <c r="Q103" i="8"/>
  <c r="Q123" i="8"/>
  <c r="Q158" i="8" s="1"/>
  <c r="Q91" i="8"/>
  <c r="Q155" i="8" s="1"/>
  <c r="N19" i="8"/>
  <c r="U10" i="105" s="1"/>
  <c r="V10" i="82"/>
  <c r="T17" i="105" s="1"/>
  <c r="AG17" i="105" s="1"/>
  <c r="M25" i="8"/>
  <c r="M105" i="8"/>
  <c r="L106" i="8"/>
  <c r="V10" i="90"/>
  <c r="T19" i="105" s="1"/>
  <c r="M107" i="8"/>
  <c r="W11" i="91"/>
  <c r="U20" i="105" s="1"/>
  <c r="AH20" i="105" s="1"/>
  <c r="N108" i="8"/>
  <c r="I7" i="8"/>
  <c r="M73" i="8"/>
  <c r="M75" i="8" s="1"/>
  <c r="M119" i="8" s="1"/>
  <c r="M143" i="8" s="1"/>
  <c r="M101" i="8"/>
  <c r="M89" i="8"/>
  <c r="M140" i="8" s="1"/>
  <c r="L102" i="8"/>
  <c r="L90" i="8"/>
  <c r="O10" i="82"/>
  <c r="W10" i="82"/>
  <c r="U17" i="105" s="1"/>
  <c r="AH17" i="105" s="1"/>
  <c r="N25" i="8"/>
  <c r="N105" i="8"/>
  <c r="M106" i="8"/>
  <c r="W10" i="90"/>
  <c r="U19" i="105" s="1"/>
  <c r="AH19" i="105" s="1"/>
  <c r="N107" i="8"/>
  <c r="Q12" i="8"/>
  <c r="K19" i="8"/>
  <c r="L88" i="8"/>
  <c r="L100" i="8"/>
  <c r="L68" i="8"/>
  <c r="N73" i="8"/>
  <c r="N75" i="8" s="1"/>
  <c r="N119" i="8" s="1"/>
  <c r="N143" i="8" s="1"/>
  <c r="N101" i="8"/>
  <c r="N89" i="8"/>
  <c r="N140" i="8" s="1"/>
  <c r="M102" i="8"/>
  <c r="M90" i="8"/>
  <c r="P19" i="8"/>
  <c r="W10" i="105" s="1"/>
  <c r="X10" i="82"/>
  <c r="V17" i="105" s="1"/>
  <c r="AI17" i="105" s="1"/>
  <c r="O25" i="8"/>
  <c r="O105" i="8"/>
  <c r="N106" i="8"/>
  <c r="X10" i="90"/>
  <c r="V19" i="105" s="1"/>
  <c r="AI19" i="105" s="1"/>
  <c r="O107" i="8"/>
  <c r="Z5" i="82"/>
  <c r="L87" i="8"/>
  <c r="L127" i="8" s="1"/>
  <c r="L63" i="8"/>
  <c r="L99" i="8"/>
  <c r="L19" i="8"/>
  <c r="S10" i="105" s="1"/>
  <c r="M88" i="8"/>
  <c r="M100" i="8"/>
  <c r="M68" i="8"/>
  <c r="M70" i="8" s="1"/>
  <c r="M118" i="8" s="1"/>
  <c r="V6" i="85" s="1"/>
  <c r="V47" i="85" s="1"/>
  <c r="O73" i="8"/>
  <c r="O75" i="8" s="1"/>
  <c r="O119" i="8" s="1"/>
  <c r="O143" i="8" s="1"/>
  <c r="O101" i="8"/>
  <c r="O89" i="8"/>
  <c r="O140" i="8" s="1"/>
  <c r="N121" i="8"/>
  <c r="W59" i="91" s="1"/>
  <c r="W64" i="91" s="1"/>
  <c r="N102" i="8"/>
  <c r="N90" i="8"/>
  <c r="L103" i="8"/>
  <c r="L123" i="8"/>
  <c r="L158" i="8" s="1"/>
  <c r="L91" i="8"/>
  <c r="L155" i="8" s="1"/>
  <c r="Q19" i="8"/>
  <c r="X10" i="105" s="1"/>
  <c r="Y10" i="82"/>
  <c r="W17" i="105" s="1"/>
  <c r="AJ17" i="105" s="1"/>
  <c r="P25" i="8"/>
  <c r="P105" i="8"/>
  <c r="O106" i="8"/>
  <c r="Y10" i="90"/>
  <c r="P107" i="8"/>
  <c r="F100" i="8"/>
  <c r="F68" i="8"/>
  <c r="F70" i="8" s="1"/>
  <c r="F135" i="8" s="1"/>
  <c r="O121" i="8"/>
  <c r="X59" i="91" s="1"/>
  <c r="X64" i="91" s="1"/>
  <c r="O102" i="8"/>
  <c r="O90" i="8"/>
  <c r="M103" i="8"/>
  <c r="M123" i="8"/>
  <c r="M158" i="8" s="1"/>
  <c r="M91" i="8"/>
  <c r="M155" i="8" s="1"/>
  <c r="Q105" i="8"/>
  <c r="P101" i="8"/>
  <c r="P89" i="8"/>
  <c r="P140" i="8" s="1"/>
  <c r="P73" i="8"/>
  <c r="P75" i="8" s="1"/>
  <c r="P119" i="8" s="1"/>
  <c r="P143" i="8" s="1"/>
  <c r="N9" i="8"/>
  <c r="O11" i="8"/>
  <c r="L12" i="8"/>
  <c r="N87" i="8"/>
  <c r="N127" i="8" s="1"/>
  <c r="N63" i="8"/>
  <c r="N65" i="8" s="1"/>
  <c r="N117" i="8" s="1"/>
  <c r="N129" i="8" s="1"/>
  <c r="N99" i="8"/>
  <c r="O100" i="8"/>
  <c r="O68" i="8"/>
  <c r="O70" i="8" s="1"/>
  <c r="O118" i="8" s="1"/>
  <c r="X6" i="85" s="1"/>
  <c r="X47" i="85" s="1"/>
  <c r="O88" i="8"/>
  <c r="Q89" i="8"/>
  <c r="Q140" i="8" s="1"/>
  <c r="Q73" i="8"/>
  <c r="Q75" i="8" s="1"/>
  <c r="Q119" i="8" s="1"/>
  <c r="Q143" i="8" s="1"/>
  <c r="Q101" i="8"/>
  <c r="H11" i="8"/>
  <c r="P90" i="8"/>
  <c r="P121" i="8"/>
  <c r="Y59" i="91" s="1"/>
  <c r="Y64" i="91" s="1"/>
  <c r="P102" i="8"/>
  <c r="N123" i="8"/>
  <c r="N158" i="8" s="1"/>
  <c r="N91" i="8"/>
  <c r="N155" i="8" s="1"/>
  <c r="N103" i="8"/>
  <c r="P14" i="102"/>
  <c r="L109" i="8"/>
  <c r="O123" i="8"/>
  <c r="O158" i="8" s="1"/>
  <c r="O103" i="8"/>
  <c r="Q107" i="8"/>
  <c r="O108" i="8"/>
  <c r="M109" i="8"/>
  <c r="P123" i="8"/>
  <c r="P158" i="8" s="1"/>
  <c r="P103" i="8"/>
  <c r="P108" i="8"/>
  <c r="N109" i="8"/>
  <c r="Q108" i="8"/>
  <c r="O109" i="8"/>
  <c r="I109" i="8"/>
  <c r="P109" i="8"/>
  <c r="Q109" i="8"/>
  <c r="R136" i="8"/>
  <c r="Z10" i="82"/>
  <c r="X17" i="105" s="1"/>
  <c r="AK17" i="105" s="1"/>
  <c r="K109" i="8"/>
  <c r="Q25" i="8"/>
  <c r="O91" i="8"/>
  <c r="O155" i="8" s="1"/>
  <c r="P106" i="8"/>
  <c r="L108" i="8"/>
  <c r="S136" i="8"/>
  <c r="AD25" i="82"/>
  <c r="AO25" i="82" s="1"/>
  <c r="Q106" i="8"/>
  <c r="M108" i="8"/>
  <c r="M11" i="102"/>
  <c r="N11" i="102" s="1"/>
  <c r="Y43" i="102"/>
  <c r="Z53" i="102"/>
  <c r="Q22" i="102"/>
  <c r="S24" i="102"/>
  <c r="AG9" i="119"/>
  <c r="M9" i="102"/>
  <c r="N9" i="102" s="1"/>
  <c r="R13" i="102"/>
  <c r="W21" i="102"/>
  <c r="O9" i="102"/>
  <c r="W9" i="102"/>
  <c r="S13" i="102"/>
  <c r="U15" i="102"/>
  <c r="U7" i="102"/>
  <c r="V8" i="102"/>
  <c r="R11" i="102"/>
  <c r="Z11" i="102"/>
  <c r="U43" i="102"/>
  <c r="T91" i="102"/>
  <c r="U13" i="102"/>
  <c r="O15" i="102"/>
  <c r="W15" i="102"/>
  <c r="V43" i="102"/>
  <c r="T53" i="102"/>
  <c r="N40" i="102"/>
  <c r="M13" i="102"/>
  <c r="N13" i="102" s="1"/>
  <c r="W43" i="102"/>
  <c r="M91" i="102"/>
  <c r="X43" i="102"/>
  <c r="AF25" i="69"/>
  <c r="T39" i="102"/>
  <c r="T81" i="102"/>
  <c r="T43" i="102"/>
  <c r="T8" i="90"/>
  <c r="R32" i="105" s="1"/>
  <c r="T37" i="102"/>
  <c r="T10" i="102" s="1"/>
  <c r="T9" i="102"/>
  <c r="W42" i="8"/>
  <c r="K116" i="8"/>
  <c r="K226" i="8" s="1"/>
  <c r="T8" i="82"/>
  <c r="R30" i="105" s="1"/>
  <c r="H27" i="69"/>
  <c r="K106" i="8"/>
  <c r="K11" i="8"/>
  <c r="K63" i="8"/>
  <c r="K65" i="8" s="1"/>
  <c r="K117" i="8" s="1"/>
  <c r="K129" i="8" s="1"/>
  <c r="K108" i="8"/>
  <c r="K8" i="8"/>
  <c r="K102" i="8"/>
  <c r="O61" i="61"/>
  <c r="K105" i="8"/>
  <c r="K107" i="8"/>
  <c r="T11" i="92"/>
  <c r="R21" i="105" s="1"/>
  <c r="AE21" i="105" s="1"/>
  <c r="K87" i="8"/>
  <c r="K127" i="8" s="1"/>
  <c r="K9" i="8"/>
  <c r="K99" i="8"/>
  <c r="T10" i="90"/>
  <c r="R19" i="105" s="1"/>
  <c r="AE19" i="105" s="1"/>
  <c r="K88" i="8"/>
  <c r="K91" i="8"/>
  <c r="K155" i="8" s="1"/>
  <c r="K103" i="8"/>
  <c r="K100" i="8"/>
  <c r="K89" i="8"/>
  <c r="K140" i="8" s="1"/>
  <c r="T10" i="82"/>
  <c r="R17" i="105" s="1"/>
  <c r="AE17" i="105" s="1"/>
  <c r="K25" i="8"/>
  <c r="K73" i="8"/>
  <c r="K75" i="8" s="1"/>
  <c r="K119" i="8" s="1"/>
  <c r="K143" i="8" s="1"/>
  <c r="K101" i="8"/>
  <c r="K10" i="8"/>
  <c r="K12" i="8"/>
  <c r="G16" i="102"/>
  <c r="H29" i="102" s="1"/>
  <c r="K26" i="69"/>
  <c r="S41" i="102"/>
  <c r="S14" i="102" s="1"/>
  <c r="S12" i="102"/>
  <c r="S81" i="102"/>
  <c r="S91" i="102"/>
  <c r="T112" i="8"/>
  <c r="S8" i="85"/>
  <c r="Q31" i="105" s="1"/>
  <c r="S71" i="102"/>
  <c r="S33" i="102"/>
  <c r="S43" i="102"/>
  <c r="J116" i="8"/>
  <c r="J226" i="8" s="1"/>
  <c r="J7" i="8"/>
  <c r="J10" i="8"/>
  <c r="J12" i="8"/>
  <c r="J106" i="8"/>
  <c r="J87" i="8"/>
  <c r="J102" i="8"/>
  <c r="W20" i="8"/>
  <c r="P4" i="135"/>
  <c r="J11" i="8"/>
  <c r="J19" i="8"/>
  <c r="J63" i="8"/>
  <c r="J65" i="8" s="1"/>
  <c r="J117" i="8" s="1"/>
  <c r="J129" i="8" s="1"/>
  <c r="J100" i="8"/>
  <c r="J105" i="8"/>
  <c r="J107" i="8"/>
  <c r="J108" i="8"/>
  <c r="J109" i="8"/>
  <c r="O51" i="61"/>
  <c r="J25" i="8"/>
  <c r="J89" i="8"/>
  <c r="J140" i="8" s="1"/>
  <c r="J90" i="8"/>
  <c r="J91" i="8"/>
  <c r="J155" i="8" s="1"/>
  <c r="J99" i="8"/>
  <c r="J68" i="8"/>
  <c r="J70" i="8" s="1"/>
  <c r="J118" i="8" s="1"/>
  <c r="S6" i="85" s="1"/>
  <c r="S47" i="85" s="1"/>
  <c r="J73" i="8"/>
  <c r="J75" i="8" s="1"/>
  <c r="J119" i="8" s="1"/>
  <c r="J143" i="8" s="1"/>
  <c r="J88" i="8"/>
  <c r="J103" i="8"/>
  <c r="J101" i="8"/>
  <c r="H18" i="95"/>
  <c r="G20" i="95"/>
  <c r="H20" i="95" s="1"/>
  <c r="R79" i="102"/>
  <c r="W45" i="8"/>
  <c r="R41" i="102"/>
  <c r="R81" i="102"/>
  <c r="R8" i="91"/>
  <c r="P33" i="105" s="1"/>
  <c r="R39" i="102"/>
  <c r="R77" i="102"/>
  <c r="R53" i="102"/>
  <c r="R8" i="90"/>
  <c r="P32" i="105" s="1"/>
  <c r="R37" i="102"/>
  <c r="R10" i="102" s="1"/>
  <c r="R22" i="102"/>
  <c r="R43" i="102"/>
  <c r="R91" i="102"/>
  <c r="V77" i="8"/>
  <c r="R35" i="102"/>
  <c r="R8" i="82"/>
  <c r="P30" i="105" s="1"/>
  <c r="I116" i="8"/>
  <c r="I226" i="8" s="1"/>
  <c r="R71" i="102"/>
  <c r="R6" i="102" s="1"/>
  <c r="I19" i="8"/>
  <c r="P10" i="105" s="1"/>
  <c r="I91" i="8"/>
  <c r="I155" i="8" s="1"/>
  <c r="I107" i="8"/>
  <c r="I123" i="8"/>
  <c r="I158" i="8" s="1"/>
  <c r="R41" i="61"/>
  <c r="R10" i="82"/>
  <c r="P17" i="105" s="1"/>
  <c r="AC17" i="105" s="1"/>
  <c r="R11" i="92"/>
  <c r="P21" i="105" s="1"/>
  <c r="AC21" i="105" s="1"/>
  <c r="I63" i="8"/>
  <c r="I65" i="8" s="1"/>
  <c r="I117" i="8" s="1"/>
  <c r="I129" i="8" s="1"/>
  <c r="I68" i="8"/>
  <c r="I70" i="8" s="1"/>
  <c r="I118" i="8" s="1"/>
  <c r="R6" i="85" s="1"/>
  <c r="R47" i="85" s="1"/>
  <c r="I87" i="8"/>
  <c r="I127" i="8" s="1"/>
  <c r="I99" i="8"/>
  <c r="I100" i="8"/>
  <c r="I101" i="8"/>
  <c r="I102" i="8"/>
  <c r="I108" i="8"/>
  <c r="T41" i="61"/>
  <c r="I88" i="8"/>
  <c r="I89" i="8"/>
  <c r="I140" i="8" s="1"/>
  <c r="I103" i="8"/>
  <c r="I105" i="8"/>
  <c r="U41" i="61"/>
  <c r="I90" i="8"/>
  <c r="I106" i="8"/>
  <c r="O41" i="61"/>
  <c r="R5" i="82"/>
  <c r="M27" i="69"/>
  <c r="S27" i="69"/>
  <c r="S37" i="69" s="1"/>
  <c r="R27" i="69"/>
  <c r="R37" i="69" s="1"/>
  <c r="I27" i="69"/>
  <c r="I37" i="69" s="1"/>
  <c r="C27" i="69"/>
  <c r="AB27" i="69"/>
  <c r="AB37" i="69" s="1"/>
  <c r="Y27" i="69"/>
  <c r="Y37" i="69" s="1"/>
  <c r="AF23" i="69"/>
  <c r="AE26" i="69"/>
  <c r="O26" i="69"/>
  <c r="G4" i="95"/>
  <c r="H4" i="95" s="1"/>
  <c r="N34" i="132"/>
  <c r="N38" i="132"/>
  <c r="N36" i="132"/>
  <c r="N39" i="132"/>
  <c r="N5" i="132"/>
  <c r="K47" i="135" s="1"/>
  <c r="Z47" i="135" s="1"/>
  <c r="N37" i="132"/>
  <c r="AP19" i="82"/>
  <c r="N29" i="132"/>
  <c r="K55" i="135" s="1"/>
  <c r="V74" i="8"/>
  <c r="AA30" i="132"/>
  <c r="AA23" i="132"/>
  <c r="D36" i="124"/>
  <c r="E36" i="124" s="1"/>
  <c r="G4" i="124" s="1"/>
  <c r="S80" i="8"/>
  <c r="S180" i="8" s="1"/>
  <c r="V79" i="8"/>
  <c r="V179" i="8" s="1"/>
  <c r="T79" i="8"/>
  <c r="T179" i="8" s="1"/>
  <c r="AA22" i="132"/>
  <c r="Q39" i="102"/>
  <c r="Q77" i="102"/>
  <c r="Q81" i="102"/>
  <c r="T78" i="8"/>
  <c r="T178" i="8" s="1"/>
  <c r="Q43" i="102"/>
  <c r="AA23" i="90"/>
  <c r="Q53" i="102"/>
  <c r="S113" i="8"/>
  <c r="Q37" i="102"/>
  <c r="Q75" i="102"/>
  <c r="Q91" i="102"/>
  <c r="AD24" i="90"/>
  <c r="Q21" i="102"/>
  <c r="Q35" i="102"/>
  <c r="Q73" i="102"/>
  <c r="AD8" i="85"/>
  <c r="AB31" i="105" s="1"/>
  <c r="Q71" i="102"/>
  <c r="H116" i="8"/>
  <c r="H226" i="8" s="1"/>
  <c r="H99" i="8"/>
  <c r="H103" i="8"/>
  <c r="Q10" i="82"/>
  <c r="O17" i="105" s="1"/>
  <c r="AB17" i="105" s="1"/>
  <c r="H140" i="8"/>
  <c r="H108" i="8"/>
  <c r="H107" i="8"/>
  <c r="H100" i="8"/>
  <c r="H105" i="8"/>
  <c r="H90" i="8"/>
  <c r="H102" i="8"/>
  <c r="H109" i="8"/>
  <c r="V5" i="8"/>
  <c r="H12" i="8"/>
  <c r="Q5" i="92" s="1"/>
  <c r="V14" i="8"/>
  <c r="H68" i="8"/>
  <c r="H70" i="8" s="1"/>
  <c r="H118" i="8" s="1"/>
  <c r="Q6" i="85" s="1"/>
  <c r="Q47" i="85" s="1"/>
  <c r="H127" i="8"/>
  <c r="H101" i="8"/>
  <c r="G31" i="61"/>
  <c r="I31" i="61" s="1"/>
  <c r="R31" i="61"/>
  <c r="Q11" i="91"/>
  <c r="O20" i="105" s="1"/>
  <c r="AB20" i="105" s="1"/>
  <c r="H9" i="8"/>
  <c r="H25" i="8"/>
  <c r="H63" i="8"/>
  <c r="H65" i="8" s="1"/>
  <c r="H117" i="8" s="1"/>
  <c r="H129" i="8" s="1"/>
  <c r="H88" i="8"/>
  <c r="Q10" i="85" s="1"/>
  <c r="H158" i="8"/>
  <c r="H19" i="8"/>
  <c r="S21" i="8"/>
  <c r="H91" i="8"/>
  <c r="H155" i="8" s="1"/>
  <c r="H106" i="8"/>
  <c r="AA21" i="91"/>
  <c r="AF21" i="69"/>
  <c r="M81" i="102"/>
  <c r="N81" i="102"/>
  <c r="M43" i="102"/>
  <c r="Y21" i="95"/>
  <c r="M80" i="130" s="1"/>
  <c r="N4" i="120"/>
  <c r="S4" i="120"/>
  <c r="W4" i="120"/>
  <c r="O4" i="120"/>
  <c r="O7" i="120" s="1"/>
  <c r="T4" i="120"/>
  <c r="P4" i="120"/>
  <c r="U4" i="120"/>
  <c r="U7" i="120" s="1"/>
  <c r="M4" i="120"/>
  <c r="R4" i="120"/>
  <c r="V4" i="120"/>
  <c r="V7" i="120" s="1"/>
  <c r="AP102" i="102"/>
  <c r="AP138" i="102"/>
  <c r="AO58" i="102"/>
  <c r="AP58" i="102" s="1"/>
  <c r="AP132" i="102"/>
  <c r="AP146" i="102"/>
  <c r="K28" i="95"/>
  <c r="D17" i="120"/>
  <c r="P81" i="102"/>
  <c r="AA28" i="132"/>
  <c r="V51" i="130" s="1"/>
  <c r="AA31" i="132"/>
  <c r="P53" i="102"/>
  <c r="R111" i="8"/>
  <c r="V111" i="8"/>
  <c r="P8" i="92"/>
  <c r="N34" i="105" s="1"/>
  <c r="S85" i="8"/>
  <c r="S186" i="8" s="1"/>
  <c r="P77" i="102"/>
  <c r="P91" i="102"/>
  <c r="AA25" i="132"/>
  <c r="P39" i="102"/>
  <c r="C37" i="124"/>
  <c r="D37" i="124" s="1"/>
  <c r="E37" i="124" s="1"/>
  <c r="G5" i="124" s="1"/>
  <c r="P43" i="102"/>
  <c r="S83" i="8"/>
  <c r="S184" i="8" s="1"/>
  <c r="P8" i="90"/>
  <c r="P37" i="102"/>
  <c r="P10" i="102" s="1"/>
  <c r="T113" i="8"/>
  <c r="P35" i="102"/>
  <c r="S112" i="8"/>
  <c r="P33" i="102"/>
  <c r="G116" i="8"/>
  <c r="G226" i="8" s="1"/>
  <c r="S76" i="8"/>
  <c r="S176" i="8" s="1"/>
  <c r="P8" i="82"/>
  <c r="G11" i="8"/>
  <c r="G19" i="8"/>
  <c r="N10" i="105" s="1"/>
  <c r="G88" i="8"/>
  <c r="G132" i="8" s="1"/>
  <c r="G109" i="8"/>
  <c r="S5" i="8"/>
  <c r="W5" i="8" s="1"/>
  <c r="S6" i="8"/>
  <c r="W6" i="8" s="1"/>
  <c r="G108" i="8"/>
  <c r="G107" i="8"/>
  <c r="V3" i="8"/>
  <c r="V4" i="8"/>
  <c r="S15" i="8"/>
  <c r="V22" i="8"/>
  <c r="S22" i="8"/>
  <c r="G25" i="8"/>
  <c r="G87" i="8"/>
  <c r="G127" i="8" s="1"/>
  <c r="G90" i="8"/>
  <c r="G99" i="8"/>
  <c r="G101" i="8"/>
  <c r="G106" i="8"/>
  <c r="C47" i="138"/>
  <c r="P11" i="91"/>
  <c r="N20" i="105" s="1"/>
  <c r="AA20" i="105" s="1"/>
  <c r="P11" i="92"/>
  <c r="N21" i="105" s="1"/>
  <c r="AA21" i="105" s="1"/>
  <c r="R2" i="8"/>
  <c r="V2" i="8"/>
  <c r="V17" i="8"/>
  <c r="S17" i="8"/>
  <c r="G63" i="8"/>
  <c r="G65" i="8" s="1"/>
  <c r="G129" i="8" s="1"/>
  <c r="G68" i="8"/>
  <c r="G70" i="8" s="1"/>
  <c r="P6" i="85" s="1"/>
  <c r="P47" i="85" s="1"/>
  <c r="G103" i="8"/>
  <c r="G105" i="8"/>
  <c r="G158" i="8"/>
  <c r="O21" i="61"/>
  <c r="P10" i="82"/>
  <c r="S2" i="8"/>
  <c r="W2" i="8" s="1"/>
  <c r="G100" i="8"/>
  <c r="G102" i="8"/>
  <c r="S14" i="8"/>
  <c r="G91" i="8"/>
  <c r="G155" i="8" s="1"/>
  <c r="S9" i="95"/>
  <c r="W9" i="95"/>
  <c r="T9" i="95"/>
  <c r="X9" i="95"/>
  <c r="R11" i="95"/>
  <c r="V11" i="95"/>
  <c r="Q22" i="93"/>
  <c r="Q33" i="93"/>
  <c r="I19" i="95"/>
  <c r="I20" i="95" s="1"/>
  <c r="Z17" i="95"/>
  <c r="V69" i="8"/>
  <c r="V64" i="8"/>
  <c r="C21" i="95"/>
  <c r="AO40" i="90"/>
  <c r="AO37" i="90"/>
  <c r="Z13" i="95"/>
  <c r="BF232" i="105"/>
  <c r="BF217" i="105"/>
  <c r="M41" i="132"/>
  <c r="M40" i="132"/>
  <c r="O16" i="132"/>
  <c r="AP9" i="92"/>
  <c r="V27" i="69"/>
  <c r="L27" i="69"/>
  <c r="H37" i="69"/>
  <c r="B27" i="69"/>
  <c r="O9" i="82"/>
  <c r="BU35" i="105"/>
  <c r="L5" i="135"/>
  <c r="S3" i="8"/>
  <c r="W3" i="8" s="1"/>
  <c r="S4" i="8"/>
  <c r="W4" i="8" s="1"/>
  <c r="R20" i="8"/>
  <c r="V20" i="8"/>
  <c r="F90" i="8"/>
  <c r="F147" i="8" s="1"/>
  <c r="F99" i="8"/>
  <c r="O5" i="85"/>
  <c r="R5" i="8"/>
  <c r="R6" i="8"/>
  <c r="V6" i="8"/>
  <c r="F7" i="8"/>
  <c r="R16" i="8"/>
  <c r="V16" i="8"/>
  <c r="R18" i="8"/>
  <c r="V18" i="8"/>
  <c r="S20" i="8"/>
  <c r="R24" i="8"/>
  <c r="V24" i="8"/>
  <c r="F25" i="8"/>
  <c r="F73" i="8"/>
  <c r="F75" i="8" s="1"/>
  <c r="F143" i="8" s="1"/>
  <c r="F89" i="8"/>
  <c r="F140" i="8" s="1"/>
  <c r="F102" i="8"/>
  <c r="F103" i="8"/>
  <c r="R11" i="61"/>
  <c r="O10" i="90"/>
  <c r="AM19" i="105" s="1"/>
  <c r="S16" i="8"/>
  <c r="S18" i="8"/>
  <c r="R23" i="8"/>
  <c r="V23" i="8"/>
  <c r="S24" i="8"/>
  <c r="F101" i="8"/>
  <c r="F105" i="8"/>
  <c r="F106" i="8"/>
  <c r="F107" i="8"/>
  <c r="F108" i="8"/>
  <c r="F109" i="8"/>
  <c r="O11" i="92"/>
  <c r="M21" i="105" s="1"/>
  <c r="Z21" i="105" s="1"/>
  <c r="R3" i="8"/>
  <c r="R4" i="8"/>
  <c r="R15" i="8"/>
  <c r="V15" i="8"/>
  <c r="R17" i="8"/>
  <c r="F19" i="8"/>
  <c r="M10" i="105" s="1"/>
  <c r="R21" i="8"/>
  <c r="V21" i="8"/>
  <c r="R22" i="8"/>
  <c r="S23" i="8"/>
  <c r="F63" i="8"/>
  <c r="F65" i="8" s="1"/>
  <c r="F129" i="8" s="1"/>
  <c r="F88" i="8"/>
  <c r="F91" i="8"/>
  <c r="F155" i="8" s="1"/>
  <c r="D38" i="124"/>
  <c r="E38" i="124" s="1"/>
  <c r="G6" i="124" s="1"/>
  <c r="T80" i="8"/>
  <c r="T180" i="8" s="1"/>
  <c r="V80" i="8"/>
  <c r="V115" i="8"/>
  <c r="V157" i="8" s="1"/>
  <c r="R80" i="8"/>
  <c r="T85" i="8"/>
  <c r="S115" i="8"/>
  <c r="O8" i="92"/>
  <c r="M34" i="105" s="1"/>
  <c r="R115" i="8"/>
  <c r="T115" i="8"/>
  <c r="R79" i="8"/>
  <c r="T84" i="8"/>
  <c r="T114" i="8"/>
  <c r="O8" i="91"/>
  <c r="M33" i="105" s="1"/>
  <c r="S79" i="8"/>
  <c r="S179" i="8" s="1"/>
  <c r="V84" i="8"/>
  <c r="V185" i="8" s="1"/>
  <c r="R84" i="8"/>
  <c r="V114" i="8"/>
  <c r="V149" i="8" s="1"/>
  <c r="O39" i="102"/>
  <c r="O12" i="102" s="1"/>
  <c r="S84" i="8"/>
  <c r="S185" i="8" s="1"/>
  <c r="O43" i="102"/>
  <c r="S81" i="8"/>
  <c r="S182" i="8" s="1"/>
  <c r="R83" i="8"/>
  <c r="O81" i="102"/>
  <c r="R82" i="8"/>
  <c r="O20" i="132"/>
  <c r="AA20" i="132" s="1"/>
  <c r="O53" i="102"/>
  <c r="X30" i="8"/>
  <c r="V78" i="8"/>
  <c r="W39" i="8"/>
  <c r="R78" i="8"/>
  <c r="T83" i="8"/>
  <c r="T184" i="8" s="1"/>
  <c r="S78" i="8"/>
  <c r="S178" i="8" s="1"/>
  <c r="V83" i="8"/>
  <c r="V184" i="8" s="1"/>
  <c r="R113" i="8"/>
  <c r="V113" i="8"/>
  <c r="V142" i="8" s="1"/>
  <c r="O91" i="102"/>
  <c r="R77" i="8"/>
  <c r="S82" i="8"/>
  <c r="S183" i="8" s="1"/>
  <c r="O8" i="85"/>
  <c r="O35" i="102"/>
  <c r="O8" i="102" s="1"/>
  <c r="S77" i="8"/>
  <c r="T82" i="8"/>
  <c r="R112" i="8"/>
  <c r="V112" i="8"/>
  <c r="T77" i="8"/>
  <c r="T177" i="8" s="1"/>
  <c r="V82" i="8"/>
  <c r="V183" i="8" s="1"/>
  <c r="T111" i="8"/>
  <c r="T81" i="8"/>
  <c r="T76" i="8"/>
  <c r="T176" i="8" s="1"/>
  <c r="V81" i="8"/>
  <c r="V182" i="8" s="1"/>
  <c r="S111" i="8"/>
  <c r="F116" i="8"/>
  <c r="F226" i="8" s="1"/>
  <c r="R81" i="8"/>
  <c r="AZ135" i="105"/>
  <c r="Y100" i="105"/>
  <c r="Y101" i="105"/>
  <c r="Y102" i="105"/>
  <c r="Y103" i="105"/>
  <c r="M93" i="105"/>
  <c r="Q93" i="105"/>
  <c r="U93" i="105"/>
  <c r="E87" i="105"/>
  <c r="P87" i="105"/>
  <c r="T87" i="105"/>
  <c r="X87" i="105"/>
  <c r="D39" i="124"/>
  <c r="E39" i="124" s="1"/>
  <c r="G7" i="124" s="1"/>
  <c r="S87" i="105"/>
  <c r="W87" i="105"/>
  <c r="AA29" i="92"/>
  <c r="AA33" i="132"/>
  <c r="V56" i="130" s="1"/>
  <c r="AA12" i="92"/>
  <c r="O32" i="132"/>
  <c r="L54" i="135" s="1"/>
  <c r="L198" i="135" s="1"/>
  <c r="AA27" i="92"/>
  <c r="AA30" i="92"/>
  <c r="AA28" i="92"/>
  <c r="E17" i="120"/>
  <c r="AA21" i="90"/>
  <c r="AO36" i="90"/>
  <c r="AO42" i="90"/>
  <c r="AN43" i="90"/>
  <c r="K74" i="135"/>
  <c r="AA22" i="90"/>
  <c r="AA21" i="132"/>
  <c r="V44" i="130" s="1"/>
  <c r="AO41" i="90"/>
  <c r="AZ40" i="105"/>
  <c r="AA19" i="90"/>
  <c r="AA20" i="90"/>
  <c r="O19" i="132"/>
  <c r="AA19" i="132" s="1"/>
  <c r="AA24" i="90"/>
  <c r="O17" i="132"/>
  <c r="AA27" i="91"/>
  <c r="AA26" i="132"/>
  <c r="V49" i="130" s="1"/>
  <c r="AA12" i="91"/>
  <c r="AA28" i="91"/>
  <c r="AA27" i="132"/>
  <c r="V50" i="130" s="1"/>
  <c r="N87" i="105"/>
  <c r="AA30" i="91"/>
  <c r="O24" i="132"/>
  <c r="L52" i="135" s="1"/>
  <c r="L178" i="135" s="1"/>
  <c r="W36" i="132"/>
  <c r="AA29" i="91"/>
  <c r="AZ41" i="105"/>
  <c r="X36" i="132"/>
  <c r="G43" i="102"/>
  <c r="C9" i="120" s="1"/>
  <c r="AA7" i="132"/>
  <c r="AA4" i="132"/>
  <c r="V27" i="130" s="1"/>
  <c r="AA5" i="132"/>
  <c r="V28" i="130" s="1"/>
  <c r="AA6" i="132"/>
  <c r="AA12" i="82"/>
  <c r="AA25" i="82"/>
  <c r="Q36" i="132"/>
  <c r="U36" i="132"/>
  <c r="Y36" i="132"/>
  <c r="AA24" i="85"/>
  <c r="G93" i="105"/>
  <c r="N93" i="105"/>
  <c r="R93" i="105"/>
  <c r="AA11" i="132"/>
  <c r="V34" i="130" s="1"/>
  <c r="AA8" i="132"/>
  <c r="V31" i="130" s="1"/>
  <c r="AZ39" i="105"/>
  <c r="AA23" i="82"/>
  <c r="AP9" i="85"/>
  <c r="AA12" i="85"/>
  <c r="P37" i="132"/>
  <c r="T37" i="132"/>
  <c r="X37" i="132"/>
  <c r="R38" i="132"/>
  <c r="V38" i="132"/>
  <c r="Z38" i="132"/>
  <c r="Q39" i="132"/>
  <c r="U39" i="132"/>
  <c r="Y39" i="132"/>
  <c r="P34" i="132"/>
  <c r="T34" i="132"/>
  <c r="X34" i="132"/>
  <c r="P35" i="132"/>
  <c r="T35" i="132"/>
  <c r="X35" i="132"/>
  <c r="AA24" i="82"/>
  <c r="Q37" i="132"/>
  <c r="U37" i="132"/>
  <c r="Y37" i="132"/>
  <c r="S38" i="132"/>
  <c r="W38" i="132"/>
  <c r="R39" i="132"/>
  <c r="V39" i="132"/>
  <c r="Z39" i="132"/>
  <c r="Q34" i="132"/>
  <c r="U34" i="132"/>
  <c r="Y34" i="132"/>
  <c r="U35" i="132"/>
  <c r="Y35" i="132"/>
  <c r="AA11" i="82"/>
  <c r="R37" i="132"/>
  <c r="V37" i="132"/>
  <c r="Z37" i="132"/>
  <c r="P38" i="132"/>
  <c r="T38" i="132"/>
  <c r="X38" i="132"/>
  <c r="S39" i="132"/>
  <c r="W39" i="132"/>
  <c r="O9" i="132"/>
  <c r="AA9" i="132" s="1"/>
  <c r="V32" i="130" s="1"/>
  <c r="R34" i="132"/>
  <c r="V34" i="132"/>
  <c r="Z34" i="132"/>
  <c r="R35" i="132"/>
  <c r="V35" i="132"/>
  <c r="Z35" i="132"/>
  <c r="S37" i="132"/>
  <c r="W37" i="132"/>
  <c r="Q38" i="132"/>
  <c r="U38" i="132"/>
  <c r="Y38" i="132"/>
  <c r="P39" i="132"/>
  <c r="T39" i="132"/>
  <c r="X39" i="132"/>
  <c r="S34" i="132"/>
  <c r="W34" i="132"/>
  <c r="S35" i="132"/>
  <c r="W35" i="132"/>
  <c r="S93" i="105"/>
  <c r="W93" i="105"/>
  <c r="AA14" i="132"/>
  <c r="V37" i="130" s="1"/>
  <c r="E93" i="105"/>
  <c r="AA15" i="132"/>
  <c r="V38" i="130" s="1"/>
  <c r="AA25" i="85"/>
  <c r="O13" i="132"/>
  <c r="L49" i="135" s="1"/>
  <c r="AB49" i="135" s="1"/>
  <c r="AA10" i="132"/>
  <c r="V33" i="130" s="1"/>
  <c r="AA26" i="85"/>
  <c r="K93" i="105"/>
  <c r="AZ38" i="105"/>
  <c r="AZ42" i="105"/>
  <c r="F87" i="105"/>
  <c r="M87" i="105"/>
  <c r="Q87" i="105"/>
  <c r="U87" i="105"/>
  <c r="F93" i="105"/>
  <c r="L88" i="105"/>
  <c r="K83" i="135" s="1"/>
  <c r="K127" i="135" s="1"/>
  <c r="P93" i="105"/>
  <c r="T93" i="105"/>
  <c r="X93" i="105"/>
  <c r="G87" i="105"/>
  <c r="R87" i="105"/>
  <c r="V87" i="105"/>
  <c r="AA12" i="90"/>
  <c r="K87" i="105"/>
  <c r="R7" i="8" l="1"/>
  <c r="O10" i="105"/>
  <c r="Q42" i="92"/>
  <c r="N100" i="135" s="1"/>
  <c r="N207" i="135" s="1"/>
  <c r="Q39" i="92"/>
  <c r="Q32" i="92"/>
  <c r="Q41" i="92"/>
  <c r="Q38" i="92"/>
  <c r="AA38" i="92" s="1"/>
  <c r="Q37" i="92"/>
  <c r="Q31" i="92"/>
  <c r="O99" i="105" s="1"/>
  <c r="N94" i="135" s="1"/>
  <c r="Q40" i="92"/>
  <c r="AA40" i="92" s="1"/>
  <c r="AM20" i="85"/>
  <c r="AK41" i="105" s="1"/>
  <c r="Z72" i="90"/>
  <c r="AM27" i="90"/>
  <c r="AM29" i="90"/>
  <c r="AM34" i="90"/>
  <c r="P8" i="102"/>
  <c r="P6" i="102"/>
  <c r="V95" i="8"/>
  <c r="Z54" i="82"/>
  <c r="AM28" i="82"/>
  <c r="AM26" i="82"/>
  <c r="AM31" i="82"/>
  <c r="R54" i="82"/>
  <c r="AE28" i="82"/>
  <c r="AE26" i="82"/>
  <c r="AE31" i="82"/>
  <c r="W54" i="82"/>
  <c r="AJ26" i="82"/>
  <c r="AJ28" i="82"/>
  <c r="AJ31" i="82"/>
  <c r="Z8" i="102"/>
  <c r="V12" i="102"/>
  <c r="V10" i="102"/>
  <c r="S10" i="102"/>
  <c r="Y8" i="102"/>
  <c r="AM17" i="105"/>
  <c r="AC7" i="91"/>
  <c r="R151" i="8"/>
  <c r="T151" i="8"/>
  <c r="S151" i="8"/>
  <c r="AH7" i="91"/>
  <c r="U151" i="8"/>
  <c r="BG202" i="105"/>
  <c r="T11" i="120"/>
  <c r="E104" i="8"/>
  <c r="AJ37" i="92"/>
  <c r="AJ39" i="92"/>
  <c r="AJ31" i="92"/>
  <c r="E9" i="105"/>
  <c r="C21" i="120"/>
  <c r="E13" i="135"/>
  <c r="D19" i="120"/>
  <c r="E14" i="135"/>
  <c r="E192" i="135" s="1"/>
  <c r="F9" i="105"/>
  <c r="D21" i="120"/>
  <c r="AA16" i="82"/>
  <c r="BK36" i="120"/>
  <c r="BG14" i="120"/>
  <c r="O10" i="102"/>
  <c r="AB37" i="92"/>
  <c r="AB31" i="92"/>
  <c r="AB39" i="92"/>
  <c r="O53" i="85"/>
  <c r="AB27" i="85"/>
  <c r="AB32" i="85"/>
  <c r="S177" i="8"/>
  <c r="M17" i="135"/>
  <c r="AC17" i="135" s="1"/>
  <c r="P5" i="82"/>
  <c r="AC96" i="135" s="1"/>
  <c r="Q50" i="135"/>
  <c r="Q158" i="135" s="1"/>
  <c r="O14" i="102"/>
  <c r="S8" i="102"/>
  <c r="V36" i="132"/>
  <c r="X8" i="102"/>
  <c r="U12" i="102"/>
  <c r="T6" i="102"/>
  <c r="V14" i="102"/>
  <c r="Z10" i="102"/>
  <c r="AA25" i="102"/>
  <c r="Q6" i="102"/>
  <c r="T12" i="102"/>
  <c r="T183" i="8"/>
  <c r="AQ60" i="135"/>
  <c r="AQ122" i="135" s="1"/>
  <c r="AQ66" i="135"/>
  <c r="AQ123" i="135" s="1"/>
  <c r="P50" i="135"/>
  <c r="P158" i="135" s="1"/>
  <c r="V35" i="105"/>
  <c r="O35" i="105"/>
  <c r="M50" i="135"/>
  <c r="M158" i="135" s="1"/>
  <c r="AA23" i="102"/>
  <c r="T185" i="8"/>
  <c r="AA18" i="132"/>
  <c r="R8" i="102"/>
  <c r="R10" i="105"/>
  <c r="AR149" i="135"/>
  <c r="N32" i="135"/>
  <c r="N25" i="135"/>
  <c r="N136" i="135" s="1"/>
  <c r="N35" i="135"/>
  <c r="N28" i="135"/>
  <c r="U27" i="135"/>
  <c r="U34" i="135"/>
  <c r="AK34" i="135" s="1"/>
  <c r="W28" i="135"/>
  <c r="W194" i="135" s="1"/>
  <c r="W35" i="135"/>
  <c r="W195" i="135" s="1"/>
  <c r="U32" i="135"/>
  <c r="U25" i="135"/>
  <c r="U136" i="135" s="1"/>
  <c r="V33" i="135"/>
  <c r="V156" i="135" s="1"/>
  <c r="V26" i="135"/>
  <c r="L33" i="135"/>
  <c r="L26" i="135"/>
  <c r="AB26" i="135" s="1"/>
  <c r="M35" i="135"/>
  <c r="M28" i="135"/>
  <c r="U33" i="135"/>
  <c r="U26" i="135"/>
  <c r="V27" i="135"/>
  <c r="V174" i="135" s="1"/>
  <c r="V34" i="135"/>
  <c r="V175" i="135" s="1"/>
  <c r="I4" i="137"/>
  <c r="F132" i="8"/>
  <c r="P28" i="135"/>
  <c r="P35" i="135"/>
  <c r="Q24" i="135"/>
  <c r="Q116" i="135" s="1"/>
  <c r="Q31" i="135"/>
  <c r="AG31" i="135" s="1"/>
  <c r="R4" i="137"/>
  <c r="O132" i="8"/>
  <c r="M33" i="135"/>
  <c r="AC33" i="135" s="1"/>
  <c r="M26" i="135"/>
  <c r="AC26" i="135" s="1"/>
  <c r="O27" i="135"/>
  <c r="AE27" i="135" s="1"/>
  <c r="O34" i="135"/>
  <c r="V35" i="135"/>
  <c r="V28" i="135"/>
  <c r="V194" i="135" s="1"/>
  <c r="L28" i="135"/>
  <c r="L35" i="135"/>
  <c r="U5" i="82"/>
  <c r="R24" i="135"/>
  <c r="R116" i="135" s="1"/>
  <c r="R31" i="135"/>
  <c r="AH31" i="135" s="1"/>
  <c r="AQ130" i="135"/>
  <c r="M135" i="8"/>
  <c r="P135" i="8"/>
  <c r="AA8" i="82"/>
  <c r="Y30" i="105" s="1"/>
  <c r="V128" i="8"/>
  <c r="L4" i="137"/>
  <c r="I132" i="8"/>
  <c r="P26" i="135"/>
  <c r="AF26" i="135" s="1"/>
  <c r="P33" i="135"/>
  <c r="Q32" i="135"/>
  <c r="Q25" i="135"/>
  <c r="Q136" i="135" s="1"/>
  <c r="T32" i="135"/>
  <c r="T25" i="135"/>
  <c r="T136" i="135" s="1"/>
  <c r="P4" i="137"/>
  <c r="M132" i="8"/>
  <c r="T4" i="137"/>
  <c r="Q132" i="8"/>
  <c r="Q4" i="137"/>
  <c r="N132" i="8"/>
  <c r="N33" i="135"/>
  <c r="AD33" i="135" s="1"/>
  <c r="N26" i="135"/>
  <c r="R32" i="135"/>
  <c r="R25" i="135"/>
  <c r="R136" i="135" s="1"/>
  <c r="R26" i="135"/>
  <c r="AH26" i="135" s="1"/>
  <c r="R33" i="135"/>
  <c r="AH33" i="135" s="1"/>
  <c r="S27" i="135"/>
  <c r="S34" i="135"/>
  <c r="O26" i="135"/>
  <c r="AE26" i="135" s="1"/>
  <c r="O33" i="135"/>
  <c r="T28" i="135"/>
  <c r="T35" i="135"/>
  <c r="O135" i="8"/>
  <c r="F150" i="8"/>
  <c r="H135" i="8"/>
  <c r="AA8" i="85"/>
  <c r="Y31" i="105" s="1"/>
  <c r="V134" i="8"/>
  <c r="AA37" i="102"/>
  <c r="V178" i="8"/>
  <c r="M4" i="137"/>
  <c r="J132" i="8"/>
  <c r="P27" i="135"/>
  <c r="P34" i="135"/>
  <c r="U25" i="105"/>
  <c r="W47" i="85"/>
  <c r="O25" i="135"/>
  <c r="O136" i="135" s="1"/>
  <c r="O32" i="135"/>
  <c r="T31" i="135"/>
  <c r="AJ31" i="135" s="1"/>
  <c r="T24" i="135"/>
  <c r="T116" i="135" s="1"/>
  <c r="S26" i="135"/>
  <c r="S33" i="135"/>
  <c r="T26" i="135"/>
  <c r="AJ26" i="135" s="1"/>
  <c r="T33" i="135"/>
  <c r="AJ33" i="135" s="1"/>
  <c r="Q34" i="135"/>
  <c r="Q27" i="135"/>
  <c r="AG27" i="135" s="1"/>
  <c r="S4" i="137"/>
  <c r="P132" i="8"/>
  <c r="L32" i="135"/>
  <c r="L25" i="135"/>
  <c r="R34" i="135"/>
  <c r="R27" i="135"/>
  <c r="AH27" i="135" s="1"/>
  <c r="P32" i="135"/>
  <c r="P25" i="135"/>
  <c r="P136" i="135" s="1"/>
  <c r="N24" i="135"/>
  <c r="N116" i="135" s="1"/>
  <c r="N31" i="135"/>
  <c r="AD31" i="135" s="1"/>
  <c r="S32" i="135"/>
  <c r="S25" i="135"/>
  <c r="S136" i="135" s="1"/>
  <c r="T27" i="135"/>
  <c r="AJ27" i="135" s="1"/>
  <c r="T34" i="135"/>
  <c r="U35" i="135"/>
  <c r="AK35" i="135" s="1"/>
  <c r="U28" i="135"/>
  <c r="AK28" i="135" s="1"/>
  <c r="W31" i="135"/>
  <c r="W24" i="135"/>
  <c r="W116" i="135" s="1"/>
  <c r="J135" i="8"/>
  <c r="AA41" i="102"/>
  <c r="V180" i="8"/>
  <c r="Y7" i="105"/>
  <c r="R11" i="8"/>
  <c r="M27" i="135"/>
  <c r="AC27" i="135" s="1"/>
  <c r="M34" i="135"/>
  <c r="AC34" i="135" s="1"/>
  <c r="K4" i="137"/>
  <c r="H132" i="8"/>
  <c r="Q35" i="135"/>
  <c r="Q28" i="135"/>
  <c r="N27" i="135"/>
  <c r="AD27" i="135" s="1"/>
  <c r="N34" i="135"/>
  <c r="AD34" i="135" s="1"/>
  <c r="V24" i="135"/>
  <c r="V116" i="135" s="1"/>
  <c r="V31" i="135"/>
  <c r="Z5" i="85"/>
  <c r="Z53" i="85" s="1"/>
  <c r="W25" i="135"/>
  <c r="W136" i="135" s="1"/>
  <c r="W32" i="135"/>
  <c r="W137" i="135" s="1"/>
  <c r="P24" i="135"/>
  <c r="P116" i="135" s="1"/>
  <c r="P31" i="135"/>
  <c r="AF31" i="135" s="1"/>
  <c r="O24" i="135"/>
  <c r="O116" i="135" s="1"/>
  <c r="O31" i="135"/>
  <c r="AE31" i="135" s="1"/>
  <c r="K135" i="8"/>
  <c r="N135" i="8"/>
  <c r="Q33" i="135"/>
  <c r="Q26" i="135"/>
  <c r="AG26" i="135" s="1"/>
  <c r="O4" i="137"/>
  <c r="L132" i="8"/>
  <c r="S28" i="135"/>
  <c r="AI28" i="135" s="1"/>
  <c r="S35" i="135"/>
  <c r="AI35" i="135" s="1"/>
  <c r="R25" i="105"/>
  <c r="T47" i="85"/>
  <c r="AA79" i="102"/>
  <c r="V186" i="8"/>
  <c r="G135" i="8"/>
  <c r="Q135" i="8"/>
  <c r="AA35" i="102"/>
  <c r="V177" i="8"/>
  <c r="M3" i="137"/>
  <c r="J127" i="8"/>
  <c r="N4" i="137"/>
  <c r="K132" i="8"/>
  <c r="R28" i="135"/>
  <c r="R35" i="135"/>
  <c r="L24" i="135"/>
  <c r="L31" i="135"/>
  <c r="AB31" i="135" s="1"/>
  <c r="S31" i="135"/>
  <c r="S24" i="135"/>
  <c r="S116" i="135" s="1"/>
  <c r="M32" i="135"/>
  <c r="M25" i="135"/>
  <c r="M136" i="135" s="1"/>
  <c r="W27" i="135"/>
  <c r="W174" i="135" s="1"/>
  <c r="W34" i="135"/>
  <c r="O5" i="91"/>
  <c r="AB39" i="91" s="1"/>
  <c r="L27" i="135"/>
  <c r="AB27" i="135" s="1"/>
  <c r="L34" i="135"/>
  <c r="AB34" i="135" s="1"/>
  <c r="U24" i="135"/>
  <c r="U116" i="135" s="1"/>
  <c r="U31" i="135"/>
  <c r="Y5" i="85"/>
  <c r="Y53" i="85" s="1"/>
  <c r="V32" i="135"/>
  <c r="V137" i="135" s="1"/>
  <c r="V25" i="135"/>
  <c r="V136" i="135" s="1"/>
  <c r="R5" i="92"/>
  <c r="AE42" i="92" s="1"/>
  <c r="AE100" i="135" s="1"/>
  <c r="O28" i="135"/>
  <c r="O35" i="135"/>
  <c r="M10" i="135"/>
  <c r="AC10" i="135" s="1"/>
  <c r="M24" i="135"/>
  <c r="M116" i="135" s="1"/>
  <c r="M31" i="135"/>
  <c r="AC31" i="135" s="1"/>
  <c r="I135" i="8"/>
  <c r="AF188" i="135"/>
  <c r="K6" i="95"/>
  <c r="Y103" i="135"/>
  <c r="K32" i="135"/>
  <c r="J32" i="135"/>
  <c r="K25" i="135"/>
  <c r="J25" i="135"/>
  <c r="AA149" i="135"/>
  <c r="K4" i="95"/>
  <c r="S159" i="135"/>
  <c r="R159" i="135"/>
  <c r="P179" i="135"/>
  <c r="J180" i="135"/>
  <c r="J69" i="135"/>
  <c r="I181" i="135"/>
  <c r="J60" i="135"/>
  <c r="J122" i="135" s="1"/>
  <c r="I122" i="135"/>
  <c r="I65" i="135"/>
  <c r="J64" i="135"/>
  <c r="I200" i="135"/>
  <c r="J62" i="135"/>
  <c r="I160" i="135"/>
  <c r="S35" i="105"/>
  <c r="J66" i="135"/>
  <c r="J123" i="135" s="1"/>
  <c r="I123" i="135"/>
  <c r="I71" i="135"/>
  <c r="J70" i="135"/>
  <c r="I201" i="135"/>
  <c r="M159" i="135"/>
  <c r="L8" i="105"/>
  <c r="E96" i="8"/>
  <c r="E148" i="8" s="1"/>
  <c r="AL8" i="105" s="1"/>
  <c r="L9" i="105"/>
  <c r="E97" i="8"/>
  <c r="E156" i="8" s="1"/>
  <c r="AL9" i="105" s="1"/>
  <c r="P60" i="141"/>
  <c r="I59" i="138"/>
  <c r="F51" i="105"/>
  <c r="F59" i="105" s="1"/>
  <c r="Y105" i="135"/>
  <c r="Z105" i="135" s="1"/>
  <c r="AA188" i="135"/>
  <c r="L18" i="95"/>
  <c r="L20" i="95" s="1"/>
  <c r="L21" i="95" s="1"/>
  <c r="N11" i="95"/>
  <c r="AC208" i="135"/>
  <c r="AN208" i="135" s="1"/>
  <c r="F4" i="93"/>
  <c r="F5" i="93" s="1"/>
  <c r="R9" i="95"/>
  <c r="AG188" i="135"/>
  <c r="AU188" i="135" s="1"/>
  <c r="P9" i="95"/>
  <c r="AE188" i="135"/>
  <c r="AS188" i="135" s="1"/>
  <c r="H4" i="93"/>
  <c r="H5" i="93" s="1"/>
  <c r="AN130" i="135"/>
  <c r="AH36" i="82"/>
  <c r="AH34" i="82"/>
  <c r="AH35" i="82"/>
  <c r="AH33" i="82"/>
  <c r="AM35" i="82"/>
  <c r="AM34" i="82"/>
  <c r="AM33" i="82"/>
  <c r="AK94" i="105"/>
  <c r="AM36" i="82"/>
  <c r="P44" i="82"/>
  <c r="R44" i="82"/>
  <c r="AE34" i="82"/>
  <c r="AE35" i="82"/>
  <c r="AE33" i="82"/>
  <c r="AE36" i="82"/>
  <c r="AJ33" i="82"/>
  <c r="AJ36" i="82"/>
  <c r="AJ34" i="82"/>
  <c r="AJ35" i="82"/>
  <c r="V57" i="135"/>
  <c r="V59" i="135" s="1"/>
  <c r="L5" i="105"/>
  <c r="E93" i="8"/>
  <c r="M57" i="135"/>
  <c r="AC47" i="135"/>
  <c r="AB38" i="85"/>
  <c r="AB33" i="85"/>
  <c r="AB29" i="85"/>
  <c r="AB37" i="85"/>
  <c r="AB90" i="135"/>
  <c r="M141" i="135"/>
  <c r="AC49" i="135"/>
  <c r="AC141" i="135" s="1"/>
  <c r="AQ141" i="135" s="1"/>
  <c r="AM37" i="85"/>
  <c r="AK95" i="105"/>
  <c r="AM38" i="85"/>
  <c r="AM33" i="85"/>
  <c r="AM29" i="85"/>
  <c r="Q141" i="135"/>
  <c r="AG49" i="135"/>
  <c r="AU49" i="135" s="1"/>
  <c r="AL37" i="85"/>
  <c r="AL38" i="85"/>
  <c r="AL33" i="85"/>
  <c r="W4" i="135"/>
  <c r="W152" i="135" s="1"/>
  <c r="AK19" i="105"/>
  <c r="Q159" i="135"/>
  <c r="AG51" i="135"/>
  <c r="AG159" i="135" s="1"/>
  <c r="O159" i="135"/>
  <c r="AE51" i="135"/>
  <c r="P152" i="135"/>
  <c r="AF4" i="135"/>
  <c r="J163" i="135"/>
  <c r="Y74" i="135"/>
  <c r="AM25" i="90"/>
  <c r="AK96" i="105" s="1"/>
  <c r="AM35" i="90"/>
  <c r="AM38" i="90"/>
  <c r="AM33" i="90"/>
  <c r="AM26" i="90"/>
  <c r="AM31" i="90"/>
  <c r="AM39" i="90"/>
  <c r="AM32" i="90"/>
  <c r="S4" i="135"/>
  <c r="AG19" i="105"/>
  <c r="AD51" i="135"/>
  <c r="AD159" i="135" s="1"/>
  <c r="L171" i="135"/>
  <c r="AB5" i="135"/>
  <c r="S5" i="135"/>
  <c r="AG20" i="105"/>
  <c r="J183" i="135"/>
  <c r="Y75" i="135"/>
  <c r="L20" i="105"/>
  <c r="K5" i="135" s="1"/>
  <c r="AL20" i="105"/>
  <c r="W5" i="135"/>
  <c r="W171" i="135" s="1"/>
  <c r="AK20" i="105"/>
  <c r="Q179" i="135"/>
  <c r="AG53" i="135"/>
  <c r="AG179" i="135" s="1"/>
  <c r="L179" i="135"/>
  <c r="AB53" i="135"/>
  <c r="AP53" i="135" s="1"/>
  <c r="AP179" i="135" s="1"/>
  <c r="N179" i="135"/>
  <c r="AD53" i="135"/>
  <c r="M179" i="135"/>
  <c r="AC53" i="135"/>
  <c r="AC179" i="135" s="1"/>
  <c r="M141" i="8"/>
  <c r="AG7" i="105" s="1"/>
  <c r="H156" i="8"/>
  <c r="AB9" i="105" s="1"/>
  <c r="J192" i="135"/>
  <c r="Y14" i="135"/>
  <c r="Y192" i="135" s="1"/>
  <c r="T199" i="135"/>
  <c r="AJ55" i="135"/>
  <c r="AJ199" i="135" s="1"/>
  <c r="P199" i="135"/>
  <c r="AF55" i="135"/>
  <c r="AF199" i="135" s="1"/>
  <c r="E133" i="8"/>
  <c r="AL6" i="105" s="1"/>
  <c r="F156" i="8"/>
  <c r="Z9" i="105" s="1"/>
  <c r="L156" i="8"/>
  <c r="AF9" i="105" s="1"/>
  <c r="K193" i="135"/>
  <c r="Z21" i="135"/>
  <c r="F141" i="8"/>
  <c r="N141" i="8"/>
  <c r="AH7" i="105" s="1"/>
  <c r="K141" i="8"/>
  <c r="AE7" i="105" s="1"/>
  <c r="Q156" i="8"/>
  <c r="AK9" i="105" s="1"/>
  <c r="P156" i="8"/>
  <c r="AJ9" i="105" s="1"/>
  <c r="J195" i="135"/>
  <c r="Y35" i="135"/>
  <c r="Y195" i="135" s="1"/>
  <c r="R199" i="135"/>
  <c r="AH55" i="135"/>
  <c r="AH199" i="135" s="1"/>
  <c r="P141" i="8"/>
  <c r="AJ7" i="105" s="1"/>
  <c r="O156" i="8"/>
  <c r="AI9" i="105" s="1"/>
  <c r="I156" i="8"/>
  <c r="AC9" i="105" s="1"/>
  <c r="Q35" i="105"/>
  <c r="O141" i="8"/>
  <c r="AI7" i="105" s="1"/>
  <c r="I141" i="8"/>
  <c r="AC7" i="105" s="1"/>
  <c r="G156" i="8"/>
  <c r="AA9" i="105" s="1"/>
  <c r="Q199" i="135"/>
  <c r="AG55" i="135"/>
  <c r="AG199" i="135" s="1"/>
  <c r="O199" i="135"/>
  <c r="AE55" i="135"/>
  <c r="AE199" i="135" s="1"/>
  <c r="J193" i="135"/>
  <c r="Y21" i="135"/>
  <c r="Y193" i="135" s="1"/>
  <c r="L199" i="135"/>
  <c r="AB55" i="135"/>
  <c r="K192" i="135"/>
  <c r="Z14" i="135"/>
  <c r="H141" i="8"/>
  <c r="AB7" i="105" s="1"/>
  <c r="G141" i="8"/>
  <c r="L141" i="8"/>
  <c r="AF7" i="105" s="1"/>
  <c r="M156" i="8"/>
  <c r="AG9" i="105" s="1"/>
  <c r="J194" i="135"/>
  <c r="Y28" i="135"/>
  <c r="Y194" i="135" s="1"/>
  <c r="Q141" i="8"/>
  <c r="AK7" i="105" s="1"/>
  <c r="Z92" i="105"/>
  <c r="AB87" i="135" s="1"/>
  <c r="AB205" i="135" s="1"/>
  <c r="AB42" i="92"/>
  <c r="J141" i="8"/>
  <c r="AD7" i="105" s="1"/>
  <c r="K194" i="135"/>
  <c r="Z28" i="135"/>
  <c r="Z194" i="135" s="1"/>
  <c r="S199" i="135"/>
  <c r="AI55" i="135"/>
  <c r="AI199" i="135" s="1"/>
  <c r="K191" i="135"/>
  <c r="Z6" i="135"/>
  <c r="Z191" i="135" s="1"/>
  <c r="AH92" i="105"/>
  <c r="AJ87" i="135" s="1"/>
  <c r="AJ42" i="92"/>
  <c r="N156" i="8"/>
  <c r="AH9" i="105" s="1"/>
  <c r="F148" i="8"/>
  <c r="Z8" i="105" s="1"/>
  <c r="K156" i="8"/>
  <c r="AE9" i="105" s="1"/>
  <c r="J156" i="8"/>
  <c r="AD9" i="105" s="1"/>
  <c r="K195" i="135"/>
  <c r="Z35" i="135"/>
  <c r="Z195" i="135" s="1"/>
  <c r="U199" i="135"/>
  <c r="AK55" i="135"/>
  <c r="AK199" i="135" s="1"/>
  <c r="M199" i="135"/>
  <c r="AC55" i="135"/>
  <c r="AC199" i="135" s="1"/>
  <c r="K199" i="135"/>
  <c r="Z55" i="135"/>
  <c r="Z199" i="135" s="1"/>
  <c r="K159" i="135"/>
  <c r="Z51" i="135"/>
  <c r="Z159" i="135" s="1"/>
  <c r="J145" i="135"/>
  <c r="Y73" i="135"/>
  <c r="K141" i="135"/>
  <c r="Z49" i="135"/>
  <c r="Z141" i="135" s="1"/>
  <c r="I133" i="8"/>
  <c r="AC6" i="105" s="1"/>
  <c r="L133" i="8"/>
  <c r="AF6" i="105" s="1"/>
  <c r="O133" i="8"/>
  <c r="AI6" i="105" s="1"/>
  <c r="G133" i="8"/>
  <c r="N133" i="8"/>
  <c r="AH6" i="105" s="1"/>
  <c r="M133" i="8"/>
  <c r="AG6" i="105" s="1"/>
  <c r="P133" i="8"/>
  <c r="AJ6" i="105" s="1"/>
  <c r="H133" i="8"/>
  <c r="AB6" i="105" s="1"/>
  <c r="K133" i="8"/>
  <c r="AE6" i="105" s="1"/>
  <c r="J133" i="8"/>
  <c r="AD6" i="105" s="1"/>
  <c r="Q133" i="8"/>
  <c r="AK6" i="105" s="1"/>
  <c r="L7" i="105"/>
  <c r="E95" i="8"/>
  <c r="E141" i="8" s="1"/>
  <c r="AL7" i="105" s="1"/>
  <c r="Q10" i="105"/>
  <c r="I60" i="141"/>
  <c r="B59" i="138"/>
  <c r="AG71" i="102"/>
  <c r="T10" i="105"/>
  <c r="AI35" i="102"/>
  <c r="W57" i="135"/>
  <c r="W59" i="135" s="1"/>
  <c r="E147" i="8"/>
  <c r="E132" i="8"/>
  <c r="AE8" i="82"/>
  <c r="AC30" i="105" s="1"/>
  <c r="U121" i="8"/>
  <c r="K179" i="135"/>
  <c r="S141" i="135"/>
  <c r="S57" i="135"/>
  <c r="S59" i="135" s="1"/>
  <c r="U38" i="8"/>
  <c r="U99" i="8"/>
  <c r="S179" i="135"/>
  <c r="U35" i="105"/>
  <c r="L87" i="105"/>
  <c r="R12" i="8"/>
  <c r="M9" i="135"/>
  <c r="AC9" i="135" s="1"/>
  <c r="U105" i="8"/>
  <c r="L60" i="141"/>
  <c r="AD27" i="69"/>
  <c r="AA3" i="135"/>
  <c r="AA133" i="135" s="1"/>
  <c r="R35" i="105"/>
  <c r="T182" i="8"/>
  <c r="N35" i="105"/>
  <c r="AF71" i="102"/>
  <c r="T35" i="105"/>
  <c r="E108" i="8"/>
  <c r="V10" i="105"/>
  <c r="AL99" i="105"/>
  <c r="Z103" i="135"/>
  <c r="N60" i="141"/>
  <c r="AL8" i="85"/>
  <c r="AJ31" i="105" s="1"/>
  <c r="J5" i="137"/>
  <c r="AE8" i="85"/>
  <c r="AC31" i="105" s="1"/>
  <c r="AG8" i="85"/>
  <c r="AE31" i="105" s="1"/>
  <c r="Z16" i="102"/>
  <c r="BK7" i="102" s="1"/>
  <c r="AM8" i="85"/>
  <c r="AK31" i="105" s="1"/>
  <c r="AK8" i="85"/>
  <c r="AI31" i="105" s="1"/>
  <c r="K8" i="90"/>
  <c r="I32" i="105" s="1"/>
  <c r="G59" i="138"/>
  <c r="BM83" i="105"/>
  <c r="S22" i="105"/>
  <c r="W35" i="105"/>
  <c r="AL95" i="105"/>
  <c r="BM84" i="105"/>
  <c r="M59" i="138"/>
  <c r="U57" i="135"/>
  <c r="U59" i="135" s="1"/>
  <c r="S97" i="8"/>
  <c r="N22" i="105"/>
  <c r="AC8" i="85"/>
  <c r="AF8" i="85"/>
  <c r="AD31" i="105" s="1"/>
  <c r="AB8" i="85"/>
  <c r="AJ8" i="85"/>
  <c r="AH31" i="105" s="1"/>
  <c r="R17" i="135"/>
  <c r="AH17" i="135" s="1"/>
  <c r="Z106" i="135"/>
  <c r="BC106" i="135"/>
  <c r="P35" i="105"/>
  <c r="AA61" i="135"/>
  <c r="AA67" i="135"/>
  <c r="AO67" i="135" s="1"/>
  <c r="AO149" i="135"/>
  <c r="AA41" i="135"/>
  <c r="AA97" i="135"/>
  <c r="AA49" i="135"/>
  <c r="M35" i="105"/>
  <c r="AG39" i="102"/>
  <c r="AJ39" i="102"/>
  <c r="AI39" i="102"/>
  <c r="V2" i="135"/>
  <c r="V19" i="135"/>
  <c r="V154" i="135" s="1"/>
  <c r="V11" i="135"/>
  <c r="V134" i="135" s="1"/>
  <c r="V138" i="135" s="1"/>
  <c r="V12" i="135"/>
  <c r="V153" i="135" s="1"/>
  <c r="V157" i="135" s="1"/>
  <c r="V18" i="135"/>
  <c r="V135" i="135" s="1"/>
  <c r="S19" i="135"/>
  <c r="AI19" i="135" s="1"/>
  <c r="S12" i="135"/>
  <c r="AI12" i="135" s="1"/>
  <c r="AI26" i="135"/>
  <c r="S11" i="135"/>
  <c r="AI11" i="135" s="1"/>
  <c r="S18" i="135"/>
  <c r="AI18" i="135" s="1"/>
  <c r="AI33" i="135"/>
  <c r="AI104" i="135"/>
  <c r="AW62" i="135"/>
  <c r="AW160" i="135" s="1"/>
  <c r="AW68" i="135"/>
  <c r="AW161" i="135" s="1"/>
  <c r="W23" i="92"/>
  <c r="AJ23" i="92" s="1"/>
  <c r="U99" i="105"/>
  <c r="T94" i="135" s="1"/>
  <c r="T206" i="135" s="1"/>
  <c r="AL20" i="90"/>
  <c r="AC19" i="90"/>
  <c r="W6" i="135"/>
  <c r="W191" i="135" s="1"/>
  <c r="E59" i="138"/>
  <c r="F59" i="138"/>
  <c r="Q20" i="105"/>
  <c r="AI159" i="135"/>
  <c r="AW51" i="135"/>
  <c r="AW159" i="135" s="1"/>
  <c r="AI121" i="135"/>
  <c r="AW47" i="135"/>
  <c r="AW121" i="135" s="1"/>
  <c r="AJ106" i="135"/>
  <c r="AX208" i="135"/>
  <c r="AX44" i="135"/>
  <c r="AX197" i="135" s="1"/>
  <c r="AX64" i="135"/>
  <c r="AX200" i="135" s="1"/>
  <c r="AX70" i="135"/>
  <c r="AX201" i="135" s="1"/>
  <c r="S133" i="135"/>
  <c r="M73" i="135"/>
  <c r="U22" i="105"/>
  <c r="T22" i="105"/>
  <c r="S2" i="135"/>
  <c r="AI2" i="135" s="1"/>
  <c r="W25" i="105"/>
  <c r="V73" i="135"/>
  <c r="V145" i="135" s="1"/>
  <c r="AF39" i="102"/>
  <c r="AL8" i="90"/>
  <c r="AJ32" i="105" s="1"/>
  <c r="S6" i="135"/>
  <c r="AI6" i="135" s="1"/>
  <c r="AJ104" i="135"/>
  <c r="AX62" i="135"/>
  <c r="AX160" i="135" s="1"/>
  <c r="AX68" i="135"/>
  <c r="AX161" i="135" s="1"/>
  <c r="AB19" i="90"/>
  <c r="S120" i="135"/>
  <c r="S56" i="135"/>
  <c r="S58" i="135" s="1"/>
  <c r="AD8" i="90"/>
  <c r="O73" i="135"/>
  <c r="P25" i="105"/>
  <c r="AY188" i="135"/>
  <c r="AK105" i="135"/>
  <c r="AY43" i="135"/>
  <c r="AY177" i="135" s="1"/>
  <c r="AY69" i="135"/>
  <c r="AY181" i="135" s="1"/>
  <c r="AY63" i="135"/>
  <c r="AY180" i="135" s="1"/>
  <c r="T25" i="105"/>
  <c r="S73" i="135"/>
  <c r="V14" i="135"/>
  <c r="V192" i="135" s="1"/>
  <c r="V196" i="135" s="1"/>
  <c r="V21" i="135"/>
  <c r="V193" i="135" s="1"/>
  <c r="V195" i="135"/>
  <c r="AK106" i="135"/>
  <c r="AY208" i="135"/>
  <c r="AY44" i="135"/>
  <c r="AY197" i="135" s="1"/>
  <c r="AY64" i="135"/>
  <c r="AY200" i="135" s="1"/>
  <c r="AY70" i="135"/>
  <c r="AY201" i="135" s="1"/>
  <c r="AM19" i="90"/>
  <c r="U121" i="135"/>
  <c r="U179" i="135"/>
  <c r="AI179" i="135"/>
  <c r="AW53" i="135"/>
  <c r="AW179" i="135" s="1"/>
  <c r="W29" i="135"/>
  <c r="W30" i="135" s="1"/>
  <c r="W155" i="135"/>
  <c r="P73" i="135"/>
  <c r="Q25" i="105"/>
  <c r="X22" i="105"/>
  <c r="W3" i="120" s="1"/>
  <c r="W2" i="135"/>
  <c r="W19" i="105"/>
  <c r="W21" i="135"/>
  <c r="W193" i="135" s="1"/>
  <c r="W14" i="135"/>
  <c r="W192" i="135" s="1"/>
  <c r="W196" i="135" s="1"/>
  <c r="M22" i="105"/>
  <c r="AW130" i="135"/>
  <c r="S9" i="135"/>
  <c r="AI9" i="135" s="1"/>
  <c r="S17" i="135"/>
  <c r="AI17" i="135" s="1"/>
  <c r="AI31" i="135"/>
  <c r="S10" i="135"/>
  <c r="AI10" i="135" s="1"/>
  <c r="AW66" i="135"/>
  <c r="AW123" i="135" s="1"/>
  <c r="AI102" i="135"/>
  <c r="AW40" i="135"/>
  <c r="AW119" i="135" s="1"/>
  <c r="AW60" i="135"/>
  <c r="AW122" i="135" s="1"/>
  <c r="V6" i="135"/>
  <c r="V191" i="135" s="1"/>
  <c r="AM20" i="90"/>
  <c r="O18" i="105"/>
  <c r="P19" i="105"/>
  <c r="L59" i="138"/>
  <c r="W20" i="105"/>
  <c r="U141" i="135"/>
  <c r="N73" i="135"/>
  <c r="O25" i="105"/>
  <c r="W5" i="85"/>
  <c r="W53" i="85" s="1"/>
  <c r="AJ103" i="135"/>
  <c r="AX67" i="135"/>
  <c r="AX149" i="135"/>
  <c r="AX41" i="135"/>
  <c r="AX139" i="135" s="1"/>
  <c r="X5" i="85"/>
  <c r="X53" i="85" s="1"/>
  <c r="AY67" i="135"/>
  <c r="AK103" i="135"/>
  <c r="AY149" i="135"/>
  <c r="AY41" i="135"/>
  <c r="AY139" i="135" s="1"/>
  <c r="V9" i="135"/>
  <c r="V113" i="135" s="1"/>
  <c r="V118" i="135" s="1"/>
  <c r="V17" i="135"/>
  <c r="V10" i="135"/>
  <c r="AM8" i="90"/>
  <c r="AK32" i="105" s="1"/>
  <c r="AX66" i="135"/>
  <c r="AX123" i="135" s="1"/>
  <c r="AJ102" i="135"/>
  <c r="AX40" i="135"/>
  <c r="AX119" i="135" s="1"/>
  <c r="AX60" i="135"/>
  <c r="AX122" i="135" s="1"/>
  <c r="AX130" i="135"/>
  <c r="AL19" i="90"/>
  <c r="K48" i="141"/>
  <c r="O19" i="105"/>
  <c r="T60" i="141"/>
  <c r="U133" i="135"/>
  <c r="AW49" i="135"/>
  <c r="AI141" i="135"/>
  <c r="AW141" i="135" s="1"/>
  <c r="V120" i="135"/>
  <c r="V56" i="135"/>
  <c r="V58" i="135" s="1"/>
  <c r="W44" i="82"/>
  <c r="W17" i="82"/>
  <c r="AJ17" i="82" s="1"/>
  <c r="AC8" i="90"/>
  <c r="AW208" i="135"/>
  <c r="S21" i="135"/>
  <c r="AI21" i="135" s="1"/>
  <c r="S14" i="135"/>
  <c r="AI14" i="135" s="1"/>
  <c r="AI106" i="135"/>
  <c r="AW44" i="135"/>
  <c r="AW197" i="135" s="1"/>
  <c r="AW70" i="135"/>
  <c r="AW201" i="135" s="1"/>
  <c r="AW64" i="135"/>
  <c r="AW200" i="135" s="1"/>
  <c r="V5" i="85"/>
  <c r="V53" i="85" s="1"/>
  <c r="AW149" i="135"/>
  <c r="AW67" i="135"/>
  <c r="AI103" i="135"/>
  <c r="AW41" i="135"/>
  <c r="AW139" i="135" s="1"/>
  <c r="AJ105" i="135"/>
  <c r="AX188" i="135"/>
  <c r="AX43" i="135"/>
  <c r="AX177" i="135" s="1"/>
  <c r="AX63" i="135"/>
  <c r="AX180" i="135" s="1"/>
  <c r="AX69" i="135"/>
  <c r="AX181" i="135" s="1"/>
  <c r="AY130" i="135"/>
  <c r="AY66" i="135"/>
  <c r="AY123" i="135" s="1"/>
  <c r="AK102" i="135"/>
  <c r="AY40" i="135"/>
  <c r="AY119" i="135" s="1"/>
  <c r="AY60" i="135"/>
  <c r="AY122" i="135" s="1"/>
  <c r="AD20" i="90"/>
  <c r="AD19" i="90"/>
  <c r="W120" i="135"/>
  <c r="W56" i="135"/>
  <c r="W58" i="135" s="1"/>
  <c r="X25" i="105"/>
  <c r="W73" i="135"/>
  <c r="W145" i="135" s="1"/>
  <c r="X35" i="105"/>
  <c r="W175" i="135"/>
  <c r="W20" i="135"/>
  <c r="W173" i="135" s="1"/>
  <c r="W13" i="135"/>
  <c r="W172" i="135" s="1"/>
  <c r="W176" i="135" s="1"/>
  <c r="AW188" i="135"/>
  <c r="AI34" i="135"/>
  <c r="S20" i="135"/>
  <c r="AI20" i="135" s="1"/>
  <c r="AI105" i="135"/>
  <c r="S13" i="135"/>
  <c r="AI13" i="135" s="1"/>
  <c r="AI27" i="135"/>
  <c r="AW43" i="135"/>
  <c r="AW177" i="135" s="1"/>
  <c r="AW63" i="135"/>
  <c r="AW180" i="135" s="1"/>
  <c r="AW69" i="135"/>
  <c r="AW181" i="135" s="1"/>
  <c r="AK104" i="135"/>
  <c r="AY68" i="135"/>
  <c r="AY161" i="135" s="1"/>
  <c r="AY62" i="135"/>
  <c r="AY160" i="135" s="1"/>
  <c r="V20" i="135"/>
  <c r="V173" i="135" s="1"/>
  <c r="V13" i="135"/>
  <c r="V172" i="135" s="1"/>
  <c r="V176" i="135" s="1"/>
  <c r="AC20" i="90"/>
  <c r="W9" i="135"/>
  <c r="W113" i="135" s="1"/>
  <c r="W118" i="135" s="1"/>
  <c r="W17" i="135"/>
  <c r="W10" i="135"/>
  <c r="U159" i="135"/>
  <c r="M37" i="69"/>
  <c r="X71" i="135"/>
  <c r="X161" i="135"/>
  <c r="X65" i="135"/>
  <c r="X180" i="135"/>
  <c r="AK20" i="90"/>
  <c r="AK19" i="90"/>
  <c r="K42" i="138"/>
  <c r="AK8" i="90"/>
  <c r="AI32" i="105" s="1"/>
  <c r="K18" i="138"/>
  <c r="N17" i="138"/>
  <c r="N18" i="138" s="1"/>
  <c r="U120" i="135"/>
  <c r="U56" i="135"/>
  <c r="U58" i="135" s="1"/>
  <c r="V25" i="105"/>
  <c r="U73" i="135"/>
  <c r="U4" i="135"/>
  <c r="U21" i="135"/>
  <c r="AK21" i="135" s="1"/>
  <c r="U14" i="135"/>
  <c r="AK14" i="135" s="1"/>
  <c r="U103" i="8"/>
  <c r="U9" i="135"/>
  <c r="AK9" i="135" s="1"/>
  <c r="U17" i="135"/>
  <c r="AK17" i="135" s="1"/>
  <c r="AK31" i="135"/>
  <c r="U10" i="135"/>
  <c r="AK10" i="135" s="1"/>
  <c r="U2" i="135"/>
  <c r="AK2" i="135" s="1"/>
  <c r="U11" i="135"/>
  <c r="AK11" i="135" s="1"/>
  <c r="U19" i="135"/>
  <c r="AK19" i="135" s="1"/>
  <c r="AK33" i="135"/>
  <c r="U12" i="135"/>
  <c r="AK12" i="135" s="1"/>
  <c r="U18" i="135"/>
  <c r="AK18" i="135" s="1"/>
  <c r="AK26" i="135"/>
  <c r="U13" i="135"/>
  <c r="AK13" i="135" s="1"/>
  <c r="AK27" i="135"/>
  <c r="U20" i="135"/>
  <c r="AK20" i="135" s="1"/>
  <c r="U6" i="135"/>
  <c r="AK6" i="135" s="1"/>
  <c r="K59" i="138"/>
  <c r="V20" i="105"/>
  <c r="AI20" i="105" s="1"/>
  <c r="Q56" i="135"/>
  <c r="Q58" i="135" s="1"/>
  <c r="AO55" i="135"/>
  <c r="AO199" i="135" s="1"/>
  <c r="AA199" i="135"/>
  <c r="AO70" i="135"/>
  <c r="AO201" i="135" s="1"/>
  <c r="AA201" i="135"/>
  <c r="AO64" i="135"/>
  <c r="AO200" i="135" s="1"/>
  <c r="AA200" i="135"/>
  <c r="X45" i="135"/>
  <c r="K57" i="135"/>
  <c r="J133" i="135"/>
  <c r="T56" i="135"/>
  <c r="T120" i="135"/>
  <c r="T121" i="135"/>
  <c r="T179" i="135"/>
  <c r="T141" i="135"/>
  <c r="T133" i="135"/>
  <c r="P56" i="135"/>
  <c r="P58" i="135" s="1"/>
  <c r="T159" i="135"/>
  <c r="AE159" i="135"/>
  <c r="R22" i="105"/>
  <c r="AJ19" i="90"/>
  <c r="AJ20" i="90"/>
  <c r="V46" i="130"/>
  <c r="X53" i="135"/>
  <c r="X179" i="135" s="1"/>
  <c r="V45" i="130"/>
  <c r="AK39" i="102"/>
  <c r="V41" i="130"/>
  <c r="AJ8" i="90"/>
  <c r="AH32" i="105" s="1"/>
  <c r="T57" i="135"/>
  <c r="X47" i="135"/>
  <c r="X121" i="135" s="1"/>
  <c r="X46" i="135"/>
  <c r="X120" i="135" s="1"/>
  <c r="U12" i="8"/>
  <c r="T2" i="135"/>
  <c r="T9" i="135"/>
  <c r="AJ9" i="135" s="1"/>
  <c r="T17" i="135"/>
  <c r="AJ17" i="135" s="1"/>
  <c r="T10" i="135"/>
  <c r="AJ10" i="135" s="1"/>
  <c r="T73" i="135"/>
  <c r="T20" i="135"/>
  <c r="AJ20" i="135" s="1"/>
  <c r="AJ34" i="135"/>
  <c r="T13" i="135"/>
  <c r="AJ13" i="135" s="1"/>
  <c r="T6" i="135"/>
  <c r="U123" i="8"/>
  <c r="T4" i="135"/>
  <c r="T5" i="135"/>
  <c r="T18" i="135"/>
  <c r="AJ18" i="135" s="1"/>
  <c r="T12" i="135"/>
  <c r="AJ12" i="135" s="1"/>
  <c r="T11" i="135"/>
  <c r="AJ11" i="135" s="1"/>
  <c r="T19" i="135"/>
  <c r="AJ19" i="135" s="1"/>
  <c r="T21" i="135"/>
  <c r="T14" i="135"/>
  <c r="AD17" i="95"/>
  <c r="AE17" i="95" s="1"/>
  <c r="R68" i="8"/>
  <c r="U17" i="102"/>
  <c r="Q57" i="135"/>
  <c r="M60" i="141"/>
  <c r="P159" i="135"/>
  <c r="M56" i="135"/>
  <c r="O57" i="135"/>
  <c r="S144" i="8"/>
  <c r="S60" i="141"/>
  <c r="T144" i="8"/>
  <c r="N56" i="135"/>
  <c r="N58" i="135" s="1"/>
  <c r="O56" i="135"/>
  <c r="K6" i="137"/>
  <c r="T5" i="91"/>
  <c r="Q20" i="135"/>
  <c r="AG20" i="135" s="1"/>
  <c r="AG34" i="135"/>
  <c r="Q13" i="135"/>
  <c r="AG13" i="135" s="1"/>
  <c r="AG105" i="135"/>
  <c r="AU43" i="135"/>
  <c r="AU177" i="135" s="1"/>
  <c r="AU69" i="135"/>
  <c r="AU181" i="135" s="1"/>
  <c r="AU63" i="135"/>
  <c r="AU180" i="135" s="1"/>
  <c r="AE77" i="102"/>
  <c r="Y6" i="91"/>
  <c r="U6" i="91"/>
  <c r="Z6" i="91"/>
  <c r="O13" i="137"/>
  <c r="U44" i="82"/>
  <c r="P17" i="135"/>
  <c r="AF17" i="135" s="1"/>
  <c r="U106" i="8"/>
  <c r="N159" i="135"/>
  <c r="AT53" i="135"/>
  <c r="AT179" i="135" s="1"/>
  <c r="AF179" i="135"/>
  <c r="L141" i="135"/>
  <c r="R6" i="91"/>
  <c r="S6" i="137"/>
  <c r="R6" i="137"/>
  <c r="T6" i="137"/>
  <c r="Z5" i="91"/>
  <c r="U5" i="91"/>
  <c r="AH34" i="135"/>
  <c r="R13" i="135"/>
  <c r="AH13" i="135" s="1"/>
  <c r="R20" i="135"/>
  <c r="AH20" i="135" s="1"/>
  <c r="AV188" i="135"/>
  <c r="AV43" i="135"/>
  <c r="AV177" i="135" s="1"/>
  <c r="AH105" i="135"/>
  <c r="AV63" i="135"/>
  <c r="AV180" i="135" s="1"/>
  <c r="AV69" i="135"/>
  <c r="AV181" i="135" s="1"/>
  <c r="S5" i="85"/>
  <c r="S53" i="85" s="1"/>
  <c r="AT149" i="135"/>
  <c r="AF103" i="135"/>
  <c r="AT67" i="135"/>
  <c r="AT41" i="135"/>
  <c r="AT139" i="135" s="1"/>
  <c r="R5" i="85"/>
  <c r="R53" i="85" s="1"/>
  <c r="AS149" i="135"/>
  <c r="AS41" i="135"/>
  <c r="AS139" i="135" s="1"/>
  <c r="AS67" i="135"/>
  <c r="AE103" i="135"/>
  <c r="BH84" i="105"/>
  <c r="R5" i="135"/>
  <c r="Y5" i="91"/>
  <c r="M133" i="135"/>
  <c r="Q17" i="135"/>
  <c r="AG17" i="135" s="1"/>
  <c r="U102" i="8"/>
  <c r="O9" i="135"/>
  <c r="AE9" i="135" s="1"/>
  <c r="AS130" i="135"/>
  <c r="AE102" i="135"/>
  <c r="AS66" i="135"/>
  <c r="AS123" i="135" s="1"/>
  <c r="AS40" i="135"/>
  <c r="AS119" i="135" s="1"/>
  <c r="AS60" i="135"/>
  <c r="AS122" i="135" s="1"/>
  <c r="O10" i="135"/>
  <c r="AE10" i="135" s="1"/>
  <c r="K56" i="135"/>
  <c r="P57" i="135"/>
  <c r="P59" i="135" s="1"/>
  <c r="AH179" i="135"/>
  <c r="AV53" i="135"/>
  <c r="AV179" i="135" s="1"/>
  <c r="AT49" i="135"/>
  <c r="AF141" i="135"/>
  <c r="AT141" i="135" s="1"/>
  <c r="O6" i="91"/>
  <c r="N13" i="135"/>
  <c r="AD13" i="135" s="1"/>
  <c r="N20" i="135"/>
  <c r="AD20" i="135" s="1"/>
  <c r="AR188" i="135"/>
  <c r="Q6" i="137"/>
  <c r="T13" i="137"/>
  <c r="Z44" i="82"/>
  <c r="L9" i="135"/>
  <c r="AB9" i="135" s="1"/>
  <c r="L10" i="135"/>
  <c r="AB10" i="135" s="1"/>
  <c r="N6" i="137"/>
  <c r="V5" i="91"/>
  <c r="L133" i="135"/>
  <c r="O14" i="135"/>
  <c r="O21" i="135"/>
  <c r="AS208" i="135"/>
  <c r="AS44" i="135"/>
  <c r="AS197" i="135" s="1"/>
  <c r="AE106" i="135"/>
  <c r="AS70" i="135"/>
  <c r="AS201" i="135" s="1"/>
  <c r="AS64" i="135"/>
  <c r="AS200" i="135" s="1"/>
  <c r="N14" i="135"/>
  <c r="N21" i="135"/>
  <c r="AR208" i="135"/>
  <c r="S6" i="91"/>
  <c r="AF34" i="135"/>
  <c r="P20" i="135"/>
  <c r="AF20" i="135" s="1"/>
  <c r="AF27" i="135"/>
  <c r="P13" i="135"/>
  <c r="AF13" i="135" s="1"/>
  <c r="AT188" i="135"/>
  <c r="AF105" i="135"/>
  <c r="AT43" i="135"/>
  <c r="AT177" i="135" s="1"/>
  <c r="AT63" i="135"/>
  <c r="AT180" i="135" s="1"/>
  <c r="AT69" i="135"/>
  <c r="AT181" i="135" s="1"/>
  <c r="P21" i="135"/>
  <c r="AT208" i="135"/>
  <c r="AF106" i="135"/>
  <c r="AT44" i="135"/>
  <c r="AT197" i="135" s="1"/>
  <c r="AT64" i="135"/>
  <c r="AT200" i="135" s="1"/>
  <c r="AT70" i="135"/>
  <c r="AT201" i="135" s="1"/>
  <c r="P14" i="135"/>
  <c r="X6" i="91"/>
  <c r="P6" i="137"/>
  <c r="T6" i="91"/>
  <c r="R27" i="105" s="1"/>
  <c r="P6" i="91"/>
  <c r="Q73" i="135"/>
  <c r="N9" i="135"/>
  <c r="AD9" i="135" s="1"/>
  <c r="AR130" i="135"/>
  <c r="N10" i="135"/>
  <c r="AD10" i="135" s="1"/>
  <c r="BG84" i="105"/>
  <c r="Q5" i="135"/>
  <c r="S5" i="82"/>
  <c r="P9" i="135"/>
  <c r="AF9" i="135" s="1"/>
  <c r="AT130" i="135"/>
  <c r="AF102" i="135"/>
  <c r="AT66" i="135"/>
  <c r="AT123" i="135" s="1"/>
  <c r="AT40" i="135"/>
  <c r="AT119" i="135" s="1"/>
  <c r="AT60" i="135"/>
  <c r="AT122" i="135" s="1"/>
  <c r="P10" i="135"/>
  <c r="AF10" i="135" s="1"/>
  <c r="L14" i="135"/>
  <c r="L21" i="135"/>
  <c r="L6" i="137"/>
  <c r="AF33" i="135"/>
  <c r="P11" i="135"/>
  <c r="AF11" i="135" s="1"/>
  <c r="P18" i="135"/>
  <c r="AF18" i="135" s="1"/>
  <c r="P12" i="135"/>
  <c r="AF12" i="135" s="1"/>
  <c r="P19" i="135"/>
  <c r="AF19" i="135" s="1"/>
  <c r="AF104" i="135"/>
  <c r="AT68" i="135"/>
  <c r="AT161" i="135" s="1"/>
  <c r="AT62" i="135"/>
  <c r="AT160" i="135" s="1"/>
  <c r="W6" i="91"/>
  <c r="U27" i="105" s="1"/>
  <c r="L13" i="135"/>
  <c r="AB13" i="135" s="1"/>
  <c r="L20" i="135"/>
  <c r="AB20" i="135" s="1"/>
  <c r="W5" i="91"/>
  <c r="J58" i="138" s="1"/>
  <c r="N17" i="135"/>
  <c r="R141" i="135"/>
  <c r="AO100" i="135"/>
  <c r="AO207" i="135" s="1"/>
  <c r="AA207" i="135"/>
  <c r="I6" i="137"/>
  <c r="Q6" i="91"/>
  <c r="T5" i="82"/>
  <c r="Q9" i="135"/>
  <c r="AG9" i="135" s="1"/>
  <c r="AG102" i="135"/>
  <c r="AU66" i="135"/>
  <c r="AU123" i="135" s="1"/>
  <c r="AU130" i="135"/>
  <c r="AU40" i="135"/>
  <c r="AU119" i="135" s="1"/>
  <c r="AU60" i="135"/>
  <c r="AU122" i="135" s="1"/>
  <c r="Q10" i="135"/>
  <c r="AG10" i="135" s="1"/>
  <c r="R21" i="135"/>
  <c r="R14" i="135"/>
  <c r="AV208" i="135"/>
  <c r="AV44" i="135"/>
  <c r="AV197" i="135" s="1"/>
  <c r="AH106" i="135"/>
  <c r="AV70" i="135"/>
  <c r="AV201" i="135" s="1"/>
  <c r="AV64" i="135"/>
  <c r="AV200" i="135" s="1"/>
  <c r="V6" i="91"/>
  <c r="L18" i="135"/>
  <c r="AB18" i="135" s="1"/>
  <c r="L12" i="135"/>
  <c r="AB12" i="135" s="1"/>
  <c r="L19" i="135"/>
  <c r="AB19" i="135" s="1"/>
  <c r="AB33" i="135"/>
  <c r="L11" i="135"/>
  <c r="AB11" i="135" s="1"/>
  <c r="M14" i="135"/>
  <c r="M21" i="135"/>
  <c r="O3" i="135"/>
  <c r="AE3" i="135" s="1"/>
  <c r="R9" i="135"/>
  <c r="AH9" i="135" s="1"/>
  <c r="AV130" i="135"/>
  <c r="AH102" i="135"/>
  <c r="AV66" i="135"/>
  <c r="AV123" i="135" s="1"/>
  <c r="AV40" i="135"/>
  <c r="AV119" i="135" s="1"/>
  <c r="AV60" i="135"/>
  <c r="AV122" i="135" s="1"/>
  <c r="R10" i="135"/>
  <c r="AH10" i="135" s="1"/>
  <c r="R56" i="135"/>
  <c r="O179" i="135"/>
  <c r="N141" i="135"/>
  <c r="AR49" i="135"/>
  <c r="AO44" i="135"/>
  <c r="AO197" i="135" s="1"/>
  <c r="BH83" i="105"/>
  <c r="R4" i="135"/>
  <c r="M13" i="135"/>
  <c r="AC13" i="135" s="1"/>
  <c r="M20" i="135"/>
  <c r="AC20" i="135" s="1"/>
  <c r="Q14" i="135"/>
  <c r="Q21" i="135"/>
  <c r="AU208" i="135"/>
  <c r="AU44" i="135"/>
  <c r="AU197" i="135" s="1"/>
  <c r="AG106" i="135"/>
  <c r="AU70" i="135"/>
  <c r="AU201" i="135" s="1"/>
  <c r="AU64" i="135"/>
  <c r="AU200" i="135" s="1"/>
  <c r="T5" i="85"/>
  <c r="T53" i="85" s="1"/>
  <c r="AU149" i="135"/>
  <c r="AU67" i="135"/>
  <c r="AU41" i="135"/>
  <c r="AU139" i="135" s="1"/>
  <c r="AG103" i="135"/>
  <c r="X5" i="91"/>
  <c r="O6" i="137"/>
  <c r="R5" i="91"/>
  <c r="AE34" i="135"/>
  <c r="O20" i="135"/>
  <c r="AE20" i="135" s="1"/>
  <c r="AS43" i="135"/>
  <c r="AS177" i="135" s="1"/>
  <c r="AE105" i="135"/>
  <c r="AS69" i="135"/>
  <c r="AS181" i="135" s="1"/>
  <c r="AS63" i="135"/>
  <c r="AS180" i="135" s="1"/>
  <c r="O13" i="135"/>
  <c r="AE13" i="135" s="1"/>
  <c r="AO188" i="135"/>
  <c r="K20" i="135"/>
  <c r="Z20" i="135" s="1"/>
  <c r="J34" i="135"/>
  <c r="Y34" i="135" s="1"/>
  <c r="J13" i="135"/>
  <c r="Y13" i="135" s="1"/>
  <c r="K34" i="135"/>
  <c r="Z34" i="135" s="1"/>
  <c r="K27" i="135"/>
  <c r="Z27" i="135" s="1"/>
  <c r="J20" i="135"/>
  <c r="Y20" i="135" s="1"/>
  <c r="J27" i="135"/>
  <c r="Y27" i="135" s="1"/>
  <c r="K13" i="135"/>
  <c r="Z13" i="135" s="1"/>
  <c r="AA43" i="135"/>
  <c r="AA99" i="135"/>
  <c r="AA63" i="135"/>
  <c r="AA69" i="135"/>
  <c r="AA53" i="135"/>
  <c r="L17" i="135"/>
  <c r="AB17" i="135" s="1"/>
  <c r="AV51" i="135"/>
  <c r="AV159" i="135" s="1"/>
  <c r="AH159" i="135"/>
  <c r="J6" i="137"/>
  <c r="M6" i="137"/>
  <c r="Q11" i="135"/>
  <c r="AG11" i="135" s="1"/>
  <c r="AG33" i="135"/>
  <c r="Q18" i="135"/>
  <c r="AG18" i="135" s="1"/>
  <c r="Q12" i="135"/>
  <c r="AG12" i="135" s="1"/>
  <c r="Q19" i="135"/>
  <c r="AG19" i="135" s="1"/>
  <c r="AG104" i="135"/>
  <c r="AU68" i="135"/>
  <c r="AU161" i="135" s="1"/>
  <c r="AU62" i="135"/>
  <c r="AU160" i="135" s="1"/>
  <c r="M18" i="135"/>
  <c r="AC18" i="135" s="1"/>
  <c r="M12" i="135"/>
  <c r="AC12" i="135" s="1"/>
  <c r="M11" i="135"/>
  <c r="AC11" i="135" s="1"/>
  <c r="M19" i="135"/>
  <c r="N19" i="135"/>
  <c r="N11" i="135"/>
  <c r="AD11" i="135" s="1"/>
  <c r="AD26" i="135"/>
  <c r="N18" i="135"/>
  <c r="AD18" i="135" s="1"/>
  <c r="N12" i="135"/>
  <c r="AD12" i="135" s="1"/>
  <c r="U5" i="85"/>
  <c r="U53" i="85" s="1"/>
  <c r="AV149" i="135"/>
  <c r="AH103" i="135"/>
  <c r="AV67" i="135"/>
  <c r="AV41" i="135"/>
  <c r="AV139" i="135" s="1"/>
  <c r="R11" i="135"/>
  <c r="AH11" i="135" s="1"/>
  <c r="R19" i="135"/>
  <c r="AH19" i="135" s="1"/>
  <c r="R18" i="135"/>
  <c r="AH18" i="135" s="1"/>
  <c r="R12" i="135"/>
  <c r="AH12" i="135" s="1"/>
  <c r="AH104" i="135"/>
  <c r="AV62" i="135"/>
  <c r="AV160" i="135" s="1"/>
  <c r="AV68" i="135"/>
  <c r="AV161" i="135" s="1"/>
  <c r="P3" i="135"/>
  <c r="AF3" i="135" s="1"/>
  <c r="BE84" i="105"/>
  <c r="O5" i="135"/>
  <c r="O19" i="135"/>
  <c r="AE19" i="135" s="1"/>
  <c r="O18" i="135"/>
  <c r="AE18" i="135" s="1"/>
  <c r="AE33" i="135"/>
  <c r="O11" i="135"/>
  <c r="AE11" i="135" s="1"/>
  <c r="O12" i="135"/>
  <c r="AE12" i="135" s="1"/>
  <c r="AE104" i="135"/>
  <c r="AS68" i="135"/>
  <c r="AS161" i="135" s="1"/>
  <c r="AS62" i="135"/>
  <c r="AS160" i="135" s="1"/>
  <c r="O141" i="135"/>
  <c r="R144" i="8"/>
  <c r="Y72" i="105"/>
  <c r="AI19" i="90"/>
  <c r="AI20" i="90"/>
  <c r="U19" i="8"/>
  <c r="U9" i="8"/>
  <c r="U100" i="8"/>
  <c r="P121" i="135"/>
  <c r="M121" i="135"/>
  <c r="O115" i="135"/>
  <c r="O121" i="135"/>
  <c r="N121" i="135"/>
  <c r="AD121" i="135"/>
  <c r="R57" i="135"/>
  <c r="R121" i="135"/>
  <c r="L47" i="135"/>
  <c r="AB47" i="135" s="1"/>
  <c r="Q121" i="135"/>
  <c r="K121" i="135"/>
  <c r="E22" i="135"/>
  <c r="E115" i="135"/>
  <c r="E118" i="135" s="1"/>
  <c r="AA86" i="135"/>
  <c r="AO86" i="135" s="1"/>
  <c r="AO185" i="135" s="1"/>
  <c r="Z86" i="135"/>
  <c r="Z185" i="135" s="1"/>
  <c r="Y28" i="95"/>
  <c r="Y44" i="95"/>
  <c r="G17" i="95"/>
  <c r="H17" i="95" s="1"/>
  <c r="U36" i="69"/>
  <c r="O36" i="69"/>
  <c r="G36" i="69"/>
  <c r="AD36" i="69"/>
  <c r="AH19" i="90"/>
  <c r="AH20" i="90"/>
  <c r="U107" i="8"/>
  <c r="K12" i="95"/>
  <c r="H8" i="95"/>
  <c r="AD18" i="95"/>
  <c r="AE18" i="95" s="1"/>
  <c r="K133" i="135"/>
  <c r="K165" i="135"/>
  <c r="K88" i="135"/>
  <c r="L50" i="135"/>
  <c r="AT51" i="135"/>
  <c r="AT159" i="135" s="1"/>
  <c r="AF159" i="135"/>
  <c r="K164" i="135"/>
  <c r="K82" i="135"/>
  <c r="M59" i="135"/>
  <c r="L51" i="135"/>
  <c r="AB51" i="135" s="1"/>
  <c r="AK97" i="105"/>
  <c r="K168" i="135"/>
  <c r="K163" i="135"/>
  <c r="K77" i="135"/>
  <c r="P112" i="135"/>
  <c r="J4" i="93"/>
  <c r="J5" i="93" s="1"/>
  <c r="AG19" i="90"/>
  <c r="AG20" i="90"/>
  <c r="AG8" i="90"/>
  <c r="AE32" i="105" s="1"/>
  <c r="AF20" i="90"/>
  <c r="AF8" i="90"/>
  <c r="AD32" i="105" s="1"/>
  <c r="AF25" i="82"/>
  <c r="C37" i="69"/>
  <c r="T167" i="8"/>
  <c r="U167" i="8"/>
  <c r="W10" i="120"/>
  <c r="AA63" i="102"/>
  <c r="AJ89" i="105"/>
  <c r="AE19" i="90"/>
  <c r="AE20" i="90"/>
  <c r="AA33" i="102"/>
  <c r="S96" i="8"/>
  <c r="U101" i="8"/>
  <c r="D47" i="138"/>
  <c r="N4" i="135"/>
  <c r="AD4" i="135" s="1"/>
  <c r="T14" i="137"/>
  <c r="X5" i="82"/>
  <c r="AK84" i="105"/>
  <c r="AA7" i="102"/>
  <c r="AA16" i="102" s="1"/>
  <c r="U7" i="8"/>
  <c r="T15" i="137"/>
  <c r="AD26" i="85"/>
  <c r="AB199" i="135"/>
  <c r="K8" i="102"/>
  <c r="Z17" i="90"/>
  <c r="AM17" i="90" s="1"/>
  <c r="Z19" i="85"/>
  <c r="I7" i="137"/>
  <c r="I71" i="141"/>
  <c r="O23" i="92"/>
  <c r="AB23" i="92" s="1"/>
  <c r="B70" i="138"/>
  <c r="L72" i="141"/>
  <c r="E71" i="138"/>
  <c r="S6" i="90"/>
  <c r="S66" i="90" s="1"/>
  <c r="S71" i="90" s="1"/>
  <c r="T5" i="90"/>
  <c r="K93" i="8"/>
  <c r="N3" i="137"/>
  <c r="T24" i="141"/>
  <c r="M23" i="138"/>
  <c r="Z6" i="90"/>
  <c r="Z66" i="90" s="1"/>
  <c r="Z71" i="90" s="1"/>
  <c r="N93" i="8"/>
  <c r="Q3" i="137"/>
  <c r="L70" i="8"/>
  <c r="L118" i="8" s="1"/>
  <c r="L135" i="8" s="1"/>
  <c r="U68" i="8"/>
  <c r="U70" i="8" s="1"/>
  <c r="U118" i="8" s="1"/>
  <c r="T68" i="8"/>
  <c r="T70" i="8" s="1"/>
  <c r="T118" i="8" s="1"/>
  <c r="Q48" i="141"/>
  <c r="J47" i="138"/>
  <c r="B23" i="138"/>
  <c r="I24" i="141"/>
  <c r="Z6" i="92"/>
  <c r="AR40" i="135"/>
  <c r="AR119" i="135" s="1"/>
  <c r="AR66" i="135"/>
  <c r="AR123" i="135" s="1"/>
  <c r="AD102" i="135"/>
  <c r="AR60" i="135"/>
  <c r="AR122" i="135" s="1"/>
  <c r="X5" i="90"/>
  <c r="K77" i="102"/>
  <c r="K12" i="102" s="1"/>
  <c r="K4" i="141"/>
  <c r="K5" i="141" s="1"/>
  <c r="T19" i="141"/>
  <c r="T4" i="141"/>
  <c r="T5" i="141" s="1"/>
  <c r="T48" i="141"/>
  <c r="M47" i="138"/>
  <c r="T25" i="8"/>
  <c r="AB106" i="135"/>
  <c r="AP208" i="135"/>
  <c r="AP44" i="135"/>
  <c r="AP197" i="135" s="1"/>
  <c r="AP70" i="135"/>
  <c r="AP201" i="135" s="1"/>
  <c r="AP64" i="135"/>
  <c r="AP200" i="135" s="1"/>
  <c r="Q4" i="141"/>
  <c r="Q5" i="141" s="1"/>
  <c r="Q19" i="141"/>
  <c r="U91" i="8"/>
  <c r="U97" i="8"/>
  <c r="U90" i="8"/>
  <c r="U96" i="8"/>
  <c r="U11" i="8"/>
  <c r="B30" i="138"/>
  <c r="B34" i="138"/>
  <c r="B36" i="138" s="1"/>
  <c r="I35" i="141"/>
  <c r="I37" i="141" s="1"/>
  <c r="I38" i="141" s="1"/>
  <c r="C71" i="138"/>
  <c r="J72" i="141"/>
  <c r="P5" i="91"/>
  <c r="AQ188" i="135"/>
  <c r="AC105" i="135"/>
  <c r="AQ43" i="135"/>
  <c r="AQ177" i="135" s="1"/>
  <c r="AQ63" i="135"/>
  <c r="AQ180" i="135" s="1"/>
  <c r="AQ69" i="135"/>
  <c r="AQ181" i="135" s="1"/>
  <c r="AD106" i="135"/>
  <c r="AR44" i="135"/>
  <c r="AR197" i="135" s="1"/>
  <c r="AR64" i="135"/>
  <c r="AR200" i="135" s="1"/>
  <c r="AR70" i="135"/>
  <c r="AR201" i="135" s="1"/>
  <c r="L24" i="141"/>
  <c r="E23" i="138"/>
  <c r="S5" i="90"/>
  <c r="N72" i="141"/>
  <c r="G71" i="138"/>
  <c r="G58" i="138"/>
  <c r="N59" i="141"/>
  <c r="Q7" i="137"/>
  <c r="T5" i="137"/>
  <c r="BK83" i="105"/>
  <c r="R48" i="141"/>
  <c r="K47" i="138"/>
  <c r="V6" i="90"/>
  <c r="V66" i="90" s="1"/>
  <c r="V71" i="90" s="1"/>
  <c r="P48" i="141"/>
  <c r="I47" i="138"/>
  <c r="Q93" i="8"/>
  <c r="T3" i="137"/>
  <c r="AB105" i="135"/>
  <c r="AP188" i="135"/>
  <c r="AP43" i="135"/>
  <c r="AP177" i="135" s="1"/>
  <c r="AP63" i="135"/>
  <c r="AP180" i="135" s="1"/>
  <c r="AP69" i="135"/>
  <c r="AP181" i="135" s="1"/>
  <c r="Q59" i="141"/>
  <c r="P72" i="141"/>
  <c r="I71" i="138"/>
  <c r="J4" i="141"/>
  <c r="J5" i="141" s="1"/>
  <c r="J19" i="141"/>
  <c r="T91" i="8"/>
  <c r="T97" i="8"/>
  <c r="T90" i="8"/>
  <c r="T96" i="8"/>
  <c r="M19" i="141"/>
  <c r="M4" i="141"/>
  <c r="M5" i="141" s="1"/>
  <c r="AA8" i="90"/>
  <c r="Y32" i="105" s="1"/>
  <c r="I5" i="137"/>
  <c r="C59" i="138"/>
  <c r="J60" i="141"/>
  <c r="N7" i="137"/>
  <c r="S24" i="141"/>
  <c r="L23" i="138"/>
  <c r="R5" i="137"/>
  <c r="L98" i="8"/>
  <c r="O24" i="141"/>
  <c r="H23" i="138"/>
  <c r="M93" i="8"/>
  <c r="P3" i="137"/>
  <c r="K34" i="138"/>
  <c r="R35" i="141"/>
  <c r="R37" i="141" s="1"/>
  <c r="R38" i="141" s="1"/>
  <c r="Y5" i="90"/>
  <c r="O5" i="90"/>
  <c r="O72" i="90" s="1"/>
  <c r="AB104" i="135"/>
  <c r="AP68" i="135"/>
  <c r="AP161" i="135" s="1"/>
  <c r="AP62" i="135"/>
  <c r="AP160" i="135" s="1"/>
  <c r="AQ208" i="135"/>
  <c r="AC106" i="135"/>
  <c r="AQ44" i="135"/>
  <c r="AQ197" i="135" s="1"/>
  <c r="AQ70" i="135"/>
  <c r="AQ201" i="135" s="1"/>
  <c r="AQ64" i="135"/>
  <c r="AQ200" i="135" s="1"/>
  <c r="R72" i="141"/>
  <c r="K71" i="138"/>
  <c r="R5" i="90"/>
  <c r="L4" i="141"/>
  <c r="L5" i="141" s="1"/>
  <c r="L19" i="141"/>
  <c r="L48" i="141"/>
  <c r="E47" i="138"/>
  <c r="P19" i="141"/>
  <c r="P4" i="141"/>
  <c r="P5" i="141" s="1"/>
  <c r="O34" i="132"/>
  <c r="AA34" i="132" s="1"/>
  <c r="L5" i="137"/>
  <c r="M7" i="137"/>
  <c r="R7" i="137"/>
  <c r="R10" i="8"/>
  <c r="P7" i="137"/>
  <c r="Q98" i="8"/>
  <c r="Q5" i="137"/>
  <c r="P93" i="8"/>
  <c r="S3" i="137"/>
  <c r="O93" i="8"/>
  <c r="R3" i="137"/>
  <c r="O23" i="141"/>
  <c r="H22" i="138"/>
  <c r="AE75" i="102"/>
  <c r="R6" i="90"/>
  <c r="R66" i="90" s="1"/>
  <c r="R71" i="90" s="1"/>
  <c r="Q72" i="141"/>
  <c r="J71" i="138"/>
  <c r="S72" i="141"/>
  <c r="L71" i="138"/>
  <c r="O72" i="141"/>
  <c r="H71" i="138"/>
  <c r="U89" i="8"/>
  <c r="U73" i="8"/>
  <c r="U75" i="8" s="1"/>
  <c r="U119" i="8" s="1"/>
  <c r="U95" i="8"/>
  <c r="U10" i="8"/>
  <c r="L23" i="141"/>
  <c r="E22" i="138"/>
  <c r="I93" i="8"/>
  <c r="L3" i="137"/>
  <c r="J104" i="8"/>
  <c r="T6" i="90"/>
  <c r="N48" i="141"/>
  <c r="G47" i="138"/>
  <c r="O7" i="137"/>
  <c r="L65" i="8"/>
  <c r="L117" i="8" s="1"/>
  <c r="L129" i="8" s="1"/>
  <c r="U63" i="8"/>
  <c r="U65" i="8" s="1"/>
  <c r="U117" i="8" s="1"/>
  <c r="T63" i="8"/>
  <c r="T65" i="8" s="1"/>
  <c r="T117" i="8" s="1"/>
  <c r="Q23" i="141"/>
  <c r="AH83" i="105"/>
  <c r="AJ78" i="135" s="1"/>
  <c r="J22" i="138"/>
  <c r="M98" i="8"/>
  <c r="O92" i="8"/>
  <c r="V16" i="105" s="1"/>
  <c r="O98" i="8"/>
  <c r="Q5" i="90"/>
  <c r="Q72" i="90" s="1"/>
  <c r="AD104" i="135"/>
  <c r="AR62" i="135"/>
  <c r="AR160" i="135" s="1"/>
  <c r="AR68" i="135"/>
  <c r="AR161" i="135" s="1"/>
  <c r="G143" i="8"/>
  <c r="U5" i="90"/>
  <c r="Q71" i="141"/>
  <c r="J70" i="138"/>
  <c r="Q17" i="137"/>
  <c r="H35" i="138"/>
  <c r="O36" i="141"/>
  <c r="Z179" i="135"/>
  <c r="T89" i="8"/>
  <c r="T95" i="8"/>
  <c r="T93" i="8"/>
  <c r="T87" i="8"/>
  <c r="I16" i="137"/>
  <c r="I59" i="141"/>
  <c r="I61" i="141" s="1"/>
  <c r="I62" i="141" s="1"/>
  <c r="O23" i="91"/>
  <c r="C23" i="138"/>
  <c r="J24" i="141"/>
  <c r="M5" i="137"/>
  <c r="Y6" i="90"/>
  <c r="Y66" i="90" s="1"/>
  <c r="S48" i="141"/>
  <c r="L47" i="138"/>
  <c r="U6" i="92"/>
  <c r="S28" i="105" s="1"/>
  <c r="X6" i="90"/>
  <c r="X66" i="90" s="1"/>
  <c r="X71" i="90" s="1"/>
  <c r="L93" i="8"/>
  <c r="O3" i="137"/>
  <c r="K98" i="8"/>
  <c r="P24" i="141"/>
  <c r="I23" i="138"/>
  <c r="S7" i="137"/>
  <c r="P5" i="85"/>
  <c r="AQ149" i="135"/>
  <c r="AC103" i="135"/>
  <c r="AQ67" i="135"/>
  <c r="AQ41" i="135"/>
  <c r="AQ139" i="135" s="1"/>
  <c r="M58" i="138"/>
  <c r="M72" i="141"/>
  <c r="F71" i="138"/>
  <c r="I17" i="137"/>
  <c r="S4" i="141"/>
  <c r="S5" i="141" s="1"/>
  <c r="S19" i="141"/>
  <c r="T88" i="8"/>
  <c r="T94" i="8"/>
  <c r="J23" i="141"/>
  <c r="U93" i="8"/>
  <c r="U87" i="8"/>
  <c r="U8" i="8"/>
  <c r="AA24" i="132"/>
  <c r="V47" i="130" s="1"/>
  <c r="I48" i="141"/>
  <c r="B47" i="138"/>
  <c r="H119" i="8"/>
  <c r="H143" i="8" s="1"/>
  <c r="L7" i="137"/>
  <c r="N24" i="141"/>
  <c r="G23" i="138"/>
  <c r="Q5" i="91"/>
  <c r="AD31" i="91" s="1"/>
  <c r="AD105" i="135"/>
  <c r="AR43" i="135"/>
  <c r="AR177" i="135" s="1"/>
  <c r="AR69" i="135"/>
  <c r="AR181" i="135" s="1"/>
  <c r="AR63" i="135"/>
  <c r="AR180" i="135" s="1"/>
  <c r="S5" i="137"/>
  <c r="R24" i="141"/>
  <c r="K23" i="138"/>
  <c r="W6" i="90"/>
  <c r="Z5" i="92"/>
  <c r="Q24" i="141"/>
  <c r="J23" i="138"/>
  <c r="P5" i="137"/>
  <c r="N98" i="8"/>
  <c r="U6" i="90"/>
  <c r="U66" i="90" s="1"/>
  <c r="U71" i="90" s="1"/>
  <c r="AP149" i="135"/>
  <c r="AB103" i="135"/>
  <c r="AP67" i="135"/>
  <c r="AP41" i="135"/>
  <c r="AP139" i="135" s="1"/>
  <c r="H58" i="138"/>
  <c r="E34" i="138"/>
  <c r="E36" i="138" s="1"/>
  <c r="E37" i="138" s="1"/>
  <c r="L35" i="141"/>
  <c r="L37" i="141" s="1"/>
  <c r="L38" i="141" s="1"/>
  <c r="W5" i="90"/>
  <c r="L34" i="138"/>
  <c r="L36" i="138" s="1"/>
  <c r="L37" i="138" s="1"/>
  <c r="S35" i="141"/>
  <c r="S37" i="141" s="1"/>
  <c r="S38" i="141" s="1"/>
  <c r="AL96" i="105"/>
  <c r="Y91" i="135" s="1"/>
  <c r="O16" i="137"/>
  <c r="L13" i="137"/>
  <c r="T72" i="141"/>
  <c r="M71" i="138"/>
  <c r="U88" i="8"/>
  <c r="U94" i="8"/>
  <c r="O4" i="141"/>
  <c r="O5" i="141" s="1"/>
  <c r="O19" i="141"/>
  <c r="K41" i="105"/>
  <c r="X16" i="120" s="1"/>
  <c r="L41" i="105"/>
  <c r="I42" i="141"/>
  <c r="B41" i="138"/>
  <c r="B42" i="138" s="1"/>
  <c r="F92" i="8"/>
  <c r="M16" i="105" s="1"/>
  <c r="F98" i="8"/>
  <c r="I72" i="141"/>
  <c r="B71" i="138"/>
  <c r="Q5" i="85"/>
  <c r="AD103" i="135"/>
  <c r="AR41" i="135"/>
  <c r="AR139" i="135" s="1"/>
  <c r="AR67" i="135"/>
  <c r="I98" i="8"/>
  <c r="J98" i="8"/>
  <c r="N5" i="137"/>
  <c r="T23" i="141"/>
  <c r="M22" i="138"/>
  <c r="P98" i="8"/>
  <c r="J59" i="138"/>
  <c r="Q60" i="141"/>
  <c r="T7" i="137"/>
  <c r="O5" i="137"/>
  <c r="O48" i="141"/>
  <c r="H47" i="138"/>
  <c r="M34" i="138"/>
  <c r="M36" i="138" s="1"/>
  <c r="M37" i="138" s="1"/>
  <c r="T35" i="141"/>
  <c r="T37" i="141" s="1"/>
  <c r="T38" i="141" s="1"/>
  <c r="V5" i="90"/>
  <c r="L58" i="138"/>
  <c r="L60" i="138" s="1"/>
  <c r="S59" i="141"/>
  <c r="S61" i="141" s="1"/>
  <c r="S62" i="141" s="1"/>
  <c r="Y23" i="91"/>
  <c r="L71" i="141"/>
  <c r="E70" i="138"/>
  <c r="BM85" i="105"/>
  <c r="Q13" i="137"/>
  <c r="U25" i="8"/>
  <c r="U110" i="8" s="1"/>
  <c r="R19" i="141"/>
  <c r="R4" i="141"/>
  <c r="R5" i="141" s="1"/>
  <c r="H59" i="138"/>
  <c r="O60" i="141"/>
  <c r="T47" i="141"/>
  <c r="M46" i="138"/>
  <c r="L17" i="137"/>
  <c r="N4" i="141"/>
  <c r="N5" i="141" s="1"/>
  <c r="N19" i="141"/>
  <c r="M48" i="141"/>
  <c r="F47" i="138"/>
  <c r="G5" i="93"/>
  <c r="E78" i="105"/>
  <c r="C8" i="120"/>
  <c r="M77" i="105"/>
  <c r="K8" i="120" s="1"/>
  <c r="D23" i="138"/>
  <c r="K24" i="141"/>
  <c r="D59" i="138"/>
  <c r="K60" i="141"/>
  <c r="D71" i="138"/>
  <c r="K72" i="141"/>
  <c r="D35" i="138"/>
  <c r="K36" i="141"/>
  <c r="H93" i="8"/>
  <c r="K3" i="137"/>
  <c r="R96" i="8"/>
  <c r="K7" i="137"/>
  <c r="BD83" i="105"/>
  <c r="H98" i="8"/>
  <c r="Q9" i="90"/>
  <c r="O13" i="105" s="1"/>
  <c r="K5" i="137"/>
  <c r="S167" i="8"/>
  <c r="R167" i="8"/>
  <c r="P5" i="90"/>
  <c r="P72" i="90" s="1"/>
  <c r="AQ68" i="135"/>
  <c r="AQ161" i="135" s="1"/>
  <c r="AQ62" i="135"/>
  <c r="AQ160" i="135" s="1"/>
  <c r="AC104" i="135"/>
  <c r="R39" i="8"/>
  <c r="O6" i="82"/>
  <c r="O48" i="82" s="1"/>
  <c r="O53" i="82" s="1"/>
  <c r="AP130" i="135"/>
  <c r="AB102" i="135"/>
  <c r="AP66" i="135"/>
  <c r="AP123" i="135" s="1"/>
  <c r="AP40" i="135"/>
  <c r="AP119" i="135" s="1"/>
  <c r="AP60" i="135"/>
  <c r="AP122" i="135" s="1"/>
  <c r="AA91" i="102"/>
  <c r="AA21" i="102"/>
  <c r="P10" i="85"/>
  <c r="J4" i="137"/>
  <c r="G98" i="8"/>
  <c r="G93" i="8"/>
  <c r="J3" i="137"/>
  <c r="R94" i="8"/>
  <c r="R97" i="8"/>
  <c r="S95" i="8"/>
  <c r="R95" i="8"/>
  <c r="J7" i="137"/>
  <c r="S94" i="8"/>
  <c r="AA32" i="132"/>
  <c r="V55" i="130" s="1"/>
  <c r="BE83" i="105"/>
  <c r="O17" i="120"/>
  <c r="BF83" i="105"/>
  <c r="BB84" i="105"/>
  <c r="L58" i="105"/>
  <c r="L59" i="105" s="1"/>
  <c r="Y73" i="105"/>
  <c r="T16" i="137"/>
  <c r="M5" i="138"/>
  <c r="M54" i="138"/>
  <c r="L5" i="138"/>
  <c r="L54" i="138"/>
  <c r="I5" i="138"/>
  <c r="I54" i="138"/>
  <c r="E5" i="138"/>
  <c r="E54" i="138"/>
  <c r="D5" i="138"/>
  <c r="D54" i="138"/>
  <c r="L16" i="137"/>
  <c r="N16" i="137"/>
  <c r="F54" i="138"/>
  <c r="F5" i="138"/>
  <c r="J54" i="138"/>
  <c r="J5" i="138"/>
  <c r="B54" i="138"/>
  <c r="S16" i="137"/>
  <c r="H5" i="138"/>
  <c r="H54" i="138"/>
  <c r="G54" i="138"/>
  <c r="G5" i="138"/>
  <c r="K54" i="138"/>
  <c r="K5" i="138"/>
  <c r="B58" i="138"/>
  <c r="C5" i="138"/>
  <c r="C54" i="138"/>
  <c r="N35" i="132"/>
  <c r="N41" i="132" s="1"/>
  <c r="R99" i="8"/>
  <c r="AA14" i="102"/>
  <c r="AA77" i="102"/>
  <c r="AA39" i="102"/>
  <c r="AA75" i="102"/>
  <c r="AA10" i="102" s="1"/>
  <c r="AA73" i="102"/>
  <c r="AA8" i="102" s="1"/>
  <c r="AA71" i="102"/>
  <c r="J6" i="135"/>
  <c r="Y6" i="135" s="1"/>
  <c r="AH86" i="105"/>
  <c r="AJ81" i="135" s="1"/>
  <c r="Z99" i="105"/>
  <c r="AB94" i="135" s="1"/>
  <c r="AK89" i="105"/>
  <c r="AH88" i="105"/>
  <c r="AJ83" i="135" s="1"/>
  <c r="AC94" i="105"/>
  <c r="AE89" i="135" s="1"/>
  <c r="N26" i="102"/>
  <c r="X10" i="120" s="1"/>
  <c r="E7" i="8"/>
  <c r="E92" i="8" s="1"/>
  <c r="G83" i="130"/>
  <c r="D4" i="120"/>
  <c r="E3" i="120"/>
  <c r="S39" i="8"/>
  <c r="S38" i="8"/>
  <c r="K8" i="91"/>
  <c r="I33" i="105" s="1"/>
  <c r="O149" i="8"/>
  <c r="G149" i="8"/>
  <c r="Q149" i="8"/>
  <c r="H149" i="8"/>
  <c r="N149" i="8"/>
  <c r="K149" i="8"/>
  <c r="I149" i="8"/>
  <c r="M149" i="8"/>
  <c r="J149" i="8"/>
  <c r="P149" i="8"/>
  <c r="L149" i="8"/>
  <c r="V38" i="8"/>
  <c r="T38" i="8"/>
  <c r="T39" i="8"/>
  <c r="V39" i="8"/>
  <c r="M26" i="102"/>
  <c r="W26" i="102"/>
  <c r="BH6" i="102" s="1"/>
  <c r="Y185" i="135"/>
  <c r="Y90" i="135"/>
  <c r="L93" i="105"/>
  <c r="Y93" i="135"/>
  <c r="E172" i="135"/>
  <c r="E176" i="135" s="1"/>
  <c r="AP40" i="90"/>
  <c r="Y92" i="135"/>
  <c r="J88" i="135"/>
  <c r="J82" i="135"/>
  <c r="J126" i="135"/>
  <c r="T77" i="105"/>
  <c r="U77" i="105"/>
  <c r="Z21" i="95"/>
  <c r="H122" i="135"/>
  <c r="M93" i="130"/>
  <c r="J93" i="130"/>
  <c r="L93" i="130" s="1"/>
  <c r="H123" i="135"/>
  <c r="L77" i="105"/>
  <c r="X8" i="120" s="1"/>
  <c r="J20" i="95"/>
  <c r="K20" i="95" s="1"/>
  <c r="AC28" i="91"/>
  <c r="AD39" i="102"/>
  <c r="AB28" i="91"/>
  <c r="AC39" i="102"/>
  <c r="AB24" i="85"/>
  <c r="AD28" i="91"/>
  <c r="AE39" i="102"/>
  <c r="AG28" i="91"/>
  <c r="AH39" i="102"/>
  <c r="P26" i="102"/>
  <c r="BA6" i="102" s="1"/>
  <c r="K36" i="69"/>
  <c r="AG35" i="102"/>
  <c r="S26" i="102"/>
  <c r="BD6" i="102" s="1"/>
  <c r="V26" i="102"/>
  <c r="BG6" i="102" s="1"/>
  <c r="O10" i="120"/>
  <c r="AH35" i="102"/>
  <c r="S10" i="120"/>
  <c r="AE35" i="102"/>
  <c r="K8" i="82"/>
  <c r="I30" i="105" s="1"/>
  <c r="T142" i="8"/>
  <c r="AK8" i="82"/>
  <c r="AI30" i="105" s="1"/>
  <c r="U39" i="8"/>
  <c r="AE71" i="102"/>
  <c r="N40" i="132"/>
  <c r="V77" i="105"/>
  <c r="AK90" i="105"/>
  <c r="X77" i="105"/>
  <c r="U17" i="82"/>
  <c r="AH17" i="82" s="1"/>
  <c r="S80" i="130"/>
  <c r="S85" i="130" s="1"/>
  <c r="S86" i="130" s="1"/>
  <c r="F77" i="105"/>
  <c r="AJ96" i="135"/>
  <c r="P77" i="105"/>
  <c r="N77" i="105"/>
  <c r="Q77" i="105"/>
  <c r="R77" i="105"/>
  <c r="S77" i="105"/>
  <c r="O77" i="105"/>
  <c r="Q5" i="82"/>
  <c r="R8" i="8"/>
  <c r="T19" i="8"/>
  <c r="R179" i="8"/>
  <c r="AE33" i="102"/>
  <c r="AM33" i="102"/>
  <c r="AJ33" i="102"/>
  <c r="AI33" i="102"/>
  <c r="AK23" i="82"/>
  <c r="AF22" i="90"/>
  <c r="AL51" i="102"/>
  <c r="AD51" i="102"/>
  <c r="AK51" i="102"/>
  <c r="AJ51" i="102"/>
  <c r="AH51" i="102"/>
  <c r="T189" i="8"/>
  <c r="AG51" i="102"/>
  <c r="AN51" i="102"/>
  <c r="AF51" i="102"/>
  <c r="AM51" i="102"/>
  <c r="AE51" i="102"/>
  <c r="AF33" i="102"/>
  <c r="V82" i="102"/>
  <c r="AM35" i="102"/>
  <c r="T188" i="8"/>
  <c r="Y82" i="102"/>
  <c r="AJ35" i="102"/>
  <c r="AN33" i="102"/>
  <c r="AN35" i="102"/>
  <c r="AG33" i="102"/>
  <c r="AF35" i="102"/>
  <c r="X26" i="102"/>
  <c r="BI6" i="102" s="1"/>
  <c r="AH90" i="102"/>
  <c r="AG90" i="102"/>
  <c r="AN90" i="102"/>
  <c r="AF90" i="102"/>
  <c r="T194" i="8"/>
  <c r="K90" i="102"/>
  <c r="K25" i="102" s="1"/>
  <c r="AM90" i="102"/>
  <c r="AE90" i="102"/>
  <c r="S194" i="8"/>
  <c r="AL90" i="102"/>
  <c r="AD90" i="102"/>
  <c r="AK90" i="102"/>
  <c r="AJ90" i="102"/>
  <c r="K88" i="102"/>
  <c r="K23" i="102" s="1"/>
  <c r="S192" i="8"/>
  <c r="T192" i="8"/>
  <c r="AG52" i="102"/>
  <c r="AN52" i="102"/>
  <c r="AF52" i="102"/>
  <c r="AM52" i="102"/>
  <c r="AE52" i="102"/>
  <c r="AL52" i="102"/>
  <c r="AD52" i="102"/>
  <c r="AK52" i="102"/>
  <c r="T190" i="8"/>
  <c r="AJ52" i="102"/>
  <c r="S190" i="8"/>
  <c r="AH52" i="102"/>
  <c r="AM89" i="102"/>
  <c r="AE89" i="102"/>
  <c r="AL89" i="102"/>
  <c r="AD89" i="102"/>
  <c r="T193" i="8"/>
  <c r="K89" i="102"/>
  <c r="K24" i="102" s="1"/>
  <c r="AK89" i="102"/>
  <c r="S193" i="8"/>
  <c r="AJ89" i="102"/>
  <c r="AH89" i="102"/>
  <c r="AG89" i="102"/>
  <c r="AN89" i="102"/>
  <c r="AF89" i="102"/>
  <c r="AH33" i="102"/>
  <c r="Y92" i="102"/>
  <c r="AA17" i="132"/>
  <c r="V40" i="130" s="1"/>
  <c r="AB20" i="90"/>
  <c r="R38" i="8"/>
  <c r="C85" i="8"/>
  <c r="C80" i="8"/>
  <c r="K41" i="102" s="1"/>
  <c r="AK30" i="91"/>
  <c r="AD30" i="91"/>
  <c r="C115" i="8"/>
  <c r="L2" i="135"/>
  <c r="O6" i="92"/>
  <c r="L6" i="135"/>
  <c r="M6" i="135"/>
  <c r="M2" i="135"/>
  <c r="P6" i="92"/>
  <c r="G92" i="8"/>
  <c r="N16" i="105" s="1"/>
  <c r="N2" i="135"/>
  <c r="Q6" i="92"/>
  <c r="O2" i="135"/>
  <c r="R6" i="92"/>
  <c r="O6" i="135"/>
  <c r="S6" i="92"/>
  <c r="S5" i="92"/>
  <c r="Q2" i="135"/>
  <c r="T5" i="92"/>
  <c r="T6" i="92"/>
  <c r="R28" i="105" s="1"/>
  <c r="Q6" i="135"/>
  <c r="S93" i="8"/>
  <c r="U5" i="92"/>
  <c r="R2" i="135"/>
  <c r="AH2" i="135" s="1"/>
  <c r="R6" i="135"/>
  <c r="P13" i="8"/>
  <c r="C87" i="8"/>
  <c r="C99" i="8"/>
  <c r="C127" i="8"/>
  <c r="B12" i="124"/>
  <c r="C106" i="8"/>
  <c r="C107" i="8"/>
  <c r="C103" i="8"/>
  <c r="C123" i="8"/>
  <c r="C91" i="8"/>
  <c r="B15" i="124"/>
  <c r="C109" i="8"/>
  <c r="K10" i="82"/>
  <c r="I17" i="105" s="1"/>
  <c r="B11" i="124"/>
  <c r="C105" i="8"/>
  <c r="C102" i="8"/>
  <c r="C121" i="8"/>
  <c r="H150" i="8" s="1"/>
  <c r="C90" i="8"/>
  <c r="C118" i="8"/>
  <c r="C88" i="8"/>
  <c r="C100" i="8"/>
  <c r="C108" i="8"/>
  <c r="B14" i="124"/>
  <c r="K11" i="91"/>
  <c r="I20" i="105" s="1"/>
  <c r="B13" i="124"/>
  <c r="K10" i="90"/>
  <c r="I19" i="105" s="1"/>
  <c r="AV83" i="105" s="1"/>
  <c r="AV86" i="105" s="1"/>
  <c r="AZ83" i="105" s="1"/>
  <c r="Y5" i="82"/>
  <c r="AL89" i="105"/>
  <c r="Y84" i="135" s="1"/>
  <c r="L16" i="105"/>
  <c r="AS3" i="105"/>
  <c r="W17" i="102"/>
  <c r="Y26" i="102"/>
  <c r="BJ6" i="102" s="1"/>
  <c r="X17" i="102"/>
  <c r="V17" i="102"/>
  <c r="AE36" i="69"/>
  <c r="Y74" i="105"/>
  <c r="W77" i="105"/>
  <c r="V53" i="130"/>
  <c r="V54" i="130"/>
  <c r="V48" i="130"/>
  <c r="V42" i="130"/>
  <c r="V62" i="130"/>
  <c r="V30" i="130"/>
  <c r="V43" i="130"/>
  <c r="V29" i="130"/>
  <c r="Y17" i="90"/>
  <c r="AL17" i="90" s="1"/>
  <c r="Y5" i="92"/>
  <c r="Y6" i="92"/>
  <c r="AO63" i="102"/>
  <c r="G13" i="95"/>
  <c r="H13" i="95" s="1"/>
  <c r="AF35" i="69"/>
  <c r="X92" i="102"/>
  <c r="X6" i="92"/>
  <c r="X5" i="92"/>
  <c r="BC3" i="105"/>
  <c r="W6" i="92"/>
  <c r="U28" i="105" s="1"/>
  <c r="AL85" i="105"/>
  <c r="Y80" i="135" s="1"/>
  <c r="BJ84" i="105"/>
  <c r="N5" i="135"/>
  <c r="M5" i="135"/>
  <c r="AP9" i="91"/>
  <c r="AA8" i="92"/>
  <c r="Y34" i="105" s="1"/>
  <c r="V5" i="92"/>
  <c r="V6" i="92"/>
  <c r="AF31" i="69"/>
  <c r="U54" i="102"/>
  <c r="Q153" i="61"/>
  <c r="O153" i="61"/>
  <c r="P10" i="120"/>
  <c r="F124" i="8"/>
  <c r="F229" i="8" s="1"/>
  <c r="F231" i="8" s="1"/>
  <c r="O6" i="85"/>
  <c r="O47" i="85" s="1"/>
  <c r="AA11" i="92"/>
  <c r="O6" i="90"/>
  <c r="O71" i="90" s="1"/>
  <c r="O73" i="90" s="1"/>
  <c r="T26" i="102"/>
  <c r="BE6" i="102" s="1"/>
  <c r="T10" i="91"/>
  <c r="R14" i="105" s="1"/>
  <c r="AA10" i="82"/>
  <c r="Y17" i="105" s="1"/>
  <c r="W8" i="8"/>
  <c r="S16" i="102"/>
  <c r="BD7" i="102" s="1"/>
  <c r="W17" i="120"/>
  <c r="U92" i="102"/>
  <c r="Z26" i="102"/>
  <c r="BK6" i="102" s="1"/>
  <c r="AA8" i="91"/>
  <c r="Y33" i="105" s="1"/>
  <c r="S8" i="8"/>
  <c r="O26" i="102"/>
  <c r="AZ6" i="102" s="1"/>
  <c r="S9" i="8"/>
  <c r="V8" i="8"/>
  <c r="I13" i="8"/>
  <c r="AE28" i="91"/>
  <c r="P16" i="102"/>
  <c r="BA7" i="102" s="1"/>
  <c r="W82" i="102"/>
  <c r="V16" i="102"/>
  <c r="BG7" i="102" s="1"/>
  <c r="G9" i="120"/>
  <c r="H9" i="120" s="1"/>
  <c r="AA11" i="85"/>
  <c r="T134" i="8"/>
  <c r="Z17" i="82"/>
  <c r="AM17" i="82" s="1"/>
  <c r="Q92" i="102"/>
  <c r="T92" i="102"/>
  <c r="U116" i="8"/>
  <c r="P12" i="102"/>
  <c r="P17" i="102" s="1"/>
  <c r="V141" i="8"/>
  <c r="AM7" i="105" s="1"/>
  <c r="V89" i="8"/>
  <c r="V140" i="8" s="1"/>
  <c r="Q13" i="8"/>
  <c r="F13" i="8"/>
  <c r="X16" i="102"/>
  <c r="BI7" i="102" s="1"/>
  <c r="V88" i="8"/>
  <c r="V132" i="8" s="1"/>
  <c r="V90" i="8"/>
  <c r="V147" i="8" s="1"/>
  <c r="AE25" i="82"/>
  <c r="W46" i="8"/>
  <c r="W47" i="8" s="1"/>
  <c r="S9" i="82"/>
  <c r="Q11" i="105" s="1"/>
  <c r="Q5" i="105" s="1"/>
  <c r="J93" i="8"/>
  <c r="N43" i="102"/>
  <c r="Z82" i="102"/>
  <c r="K92" i="8"/>
  <c r="R16" i="105" s="1"/>
  <c r="R93" i="8"/>
  <c r="R87" i="8"/>
  <c r="R10" i="120"/>
  <c r="Y16" i="102"/>
  <c r="BJ7" i="102" s="1"/>
  <c r="S68" i="8"/>
  <c r="S70" i="8" s="1"/>
  <c r="Q16" i="102"/>
  <c r="BB7" i="102" s="1"/>
  <c r="AT3" i="105"/>
  <c r="V91" i="8"/>
  <c r="V155" i="8" s="1"/>
  <c r="V87" i="8"/>
  <c r="V127" i="8" s="1"/>
  <c r="V10" i="120"/>
  <c r="V9" i="8"/>
  <c r="W16" i="102"/>
  <c r="BH7" i="102" s="1"/>
  <c r="Q8" i="102"/>
  <c r="L4" i="120"/>
  <c r="M9" i="120"/>
  <c r="N16" i="102"/>
  <c r="X9" i="120" s="1"/>
  <c r="R19" i="8"/>
  <c r="R98" i="8" s="1"/>
  <c r="AP41" i="90"/>
  <c r="G13" i="8"/>
  <c r="AC26" i="85"/>
  <c r="Q82" i="102"/>
  <c r="AY3" i="105"/>
  <c r="AH6" i="92"/>
  <c r="AF28" i="105" s="1"/>
  <c r="AJ8" i="82"/>
  <c r="AH30" i="105" s="1"/>
  <c r="AL8" i="82"/>
  <c r="AJ30" i="105" s="1"/>
  <c r="AJ35" i="105" s="1"/>
  <c r="R26" i="102"/>
  <c r="BC6" i="102" s="1"/>
  <c r="X54" i="102"/>
  <c r="U10" i="120"/>
  <c r="R14" i="102"/>
  <c r="R134" i="8"/>
  <c r="L9" i="120"/>
  <c r="BI83" i="105"/>
  <c r="AI8" i="82"/>
  <c r="AG30" i="105" s="1"/>
  <c r="U26" i="102"/>
  <c r="BF6" i="102" s="1"/>
  <c r="U128" i="8"/>
  <c r="AH8" i="82"/>
  <c r="AF30" i="105" s="1"/>
  <c r="R9" i="8"/>
  <c r="AH8" i="85"/>
  <c r="AF31" i="105" s="1"/>
  <c r="U134" i="8"/>
  <c r="W54" i="102"/>
  <c r="T10" i="120"/>
  <c r="V54" i="102"/>
  <c r="AM8" i="82"/>
  <c r="AK30" i="105" s="1"/>
  <c r="AK35" i="105" s="1"/>
  <c r="AU3" i="105"/>
  <c r="U16" i="102"/>
  <c r="BF7" i="102" s="1"/>
  <c r="AM71" i="102"/>
  <c r="AL25" i="82"/>
  <c r="AK24" i="90"/>
  <c r="AL75" i="102"/>
  <c r="AH25" i="82"/>
  <c r="AI71" i="102"/>
  <c r="U182" i="8"/>
  <c r="W10" i="92"/>
  <c r="U15" i="105" s="1"/>
  <c r="Q92" i="8"/>
  <c r="X16" i="105" s="1"/>
  <c r="BE3" i="105"/>
  <c r="U9" i="82"/>
  <c r="S11" i="105" s="1"/>
  <c r="S5" i="105" s="1"/>
  <c r="O110" i="8"/>
  <c r="Y10" i="92"/>
  <c r="W15" i="105" s="1"/>
  <c r="Y9" i="82"/>
  <c r="W11" i="105" s="1"/>
  <c r="W5" i="105" s="1"/>
  <c r="Q104" i="8"/>
  <c r="J13" i="8"/>
  <c r="R16" i="102"/>
  <c r="BC7" i="102" s="1"/>
  <c r="AJ26" i="85"/>
  <c r="AK73" i="102"/>
  <c r="AM28" i="91"/>
  <c r="AN39" i="102"/>
  <c r="AK24" i="85"/>
  <c r="AL35" i="102"/>
  <c r="Q110" i="8"/>
  <c r="X10" i="91"/>
  <c r="V14" i="105" s="1"/>
  <c r="U10" i="92"/>
  <c r="S15" i="105" s="1"/>
  <c r="X9" i="90"/>
  <c r="V13" i="105" s="1"/>
  <c r="N110" i="8"/>
  <c r="N92" i="8"/>
  <c r="U16" i="105" s="1"/>
  <c r="BB3" i="105"/>
  <c r="Z9" i="82"/>
  <c r="X11" i="105" s="1"/>
  <c r="X5" i="105" s="1"/>
  <c r="T6" i="82"/>
  <c r="T48" i="82" s="1"/>
  <c r="T53" i="82" s="1"/>
  <c r="U55" i="102"/>
  <c r="R9" i="120"/>
  <c r="AI28" i="91"/>
  <c r="AN77" i="102"/>
  <c r="AM30" i="91"/>
  <c r="AJ25" i="82"/>
  <c r="AK71" i="102"/>
  <c r="AJ23" i="82"/>
  <c r="O104" i="8"/>
  <c r="V10" i="85"/>
  <c r="T12" i="105" s="1"/>
  <c r="W9" i="90"/>
  <c r="U13" i="105" s="1"/>
  <c r="Z10" i="92"/>
  <c r="X15" i="105" s="1"/>
  <c r="Y6" i="82"/>
  <c r="Y48" i="82" s="1"/>
  <c r="Y53" i="82" s="1"/>
  <c r="P124" i="8"/>
  <c r="P229" i="8" s="1"/>
  <c r="L13" i="8"/>
  <c r="R12" i="102"/>
  <c r="X55" i="102"/>
  <c r="U9" i="120"/>
  <c r="O16" i="102"/>
  <c r="AZ7" i="102" s="1"/>
  <c r="AL39" i="102"/>
  <c r="AK28" i="91"/>
  <c r="AN73" i="102"/>
  <c r="AM26" i="85"/>
  <c r="AM75" i="102"/>
  <c r="AL24" i="90"/>
  <c r="AK75" i="102"/>
  <c r="AJ24" i="90"/>
  <c r="P104" i="8"/>
  <c r="V10" i="92"/>
  <c r="T15" i="105" s="1"/>
  <c r="U10" i="85"/>
  <c r="S12" i="105" s="1"/>
  <c r="U10" i="91"/>
  <c r="S14" i="105" s="1"/>
  <c r="O13" i="8"/>
  <c r="Z6" i="82"/>
  <c r="Z48" i="82" s="1"/>
  <c r="Z53" i="82" s="1"/>
  <c r="Z55" i="82" s="1"/>
  <c r="Q124" i="8"/>
  <c r="Q229" i="8" s="1"/>
  <c r="L110" i="8"/>
  <c r="Z10" i="85"/>
  <c r="X12" i="105" s="1"/>
  <c r="Z10" i="91"/>
  <c r="X14" i="105" s="1"/>
  <c r="AW3" i="105"/>
  <c r="I92" i="8"/>
  <c r="P16" i="105" s="1"/>
  <c r="M16" i="102"/>
  <c r="Z92" i="102"/>
  <c r="AN71" i="102"/>
  <c r="AN81" i="102" s="1"/>
  <c r="AM25" i="82"/>
  <c r="Q187" i="8"/>
  <c r="AH24" i="85"/>
  <c r="AK26" i="85"/>
  <c r="AL73" i="102"/>
  <c r="AI26" i="85"/>
  <c r="AJ73" i="102"/>
  <c r="AL33" i="102"/>
  <c r="AI75" i="102"/>
  <c r="AH24" i="90"/>
  <c r="U184" i="8"/>
  <c r="Z9" i="90"/>
  <c r="X13" i="105" s="1"/>
  <c r="P110" i="8"/>
  <c r="L92" i="8"/>
  <c r="S16" i="105" s="1"/>
  <c r="AZ3" i="105"/>
  <c r="P92" i="8"/>
  <c r="W16" i="105" s="1"/>
  <c r="BD3" i="105"/>
  <c r="L104" i="8"/>
  <c r="N13" i="8"/>
  <c r="V5" i="82"/>
  <c r="M13" i="8"/>
  <c r="X6" i="82"/>
  <c r="X48" i="82" s="1"/>
  <c r="X53" i="82" s="1"/>
  <c r="O124" i="8"/>
  <c r="O229" i="8" s="1"/>
  <c r="Q10" i="102"/>
  <c r="Y55" i="102"/>
  <c r="V9" i="120"/>
  <c r="X10" i="92"/>
  <c r="V15" i="105" s="1"/>
  <c r="AK25" i="82"/>
  <c r="AL71" i="102"/>
  <c r="X82" i="102"/>
  <c r="AI25" i="82"/>
  <c r="AJ71" i="102"/>
  <c r="W6" i="82"/>
  <c r="N124" i="8"/>
  <c r="N229" i="8" s="1"/>
  <c r="Y9" i="90"/>
  <c r="W13" i="105" s="1"/>
  <c r="BJ83" i="105"/>
  <c r="O5" i="82"/>
  <c r="U9" i="90"/>
  <c r="S13" i="105" s="1"/>
  <c r="V6" i="82"/>
  <c r="V48" i="82" s="1"/>
  <c r="V53" i="82" s="1"/>
  <c r="M124" i="8"/>
  <c r="M229" i="8" s="1"/>
  <c r="P82" i="102"/>
  <c r="K110" i="8"/>
  <c r="T17" i="102"/>
  <c r="Z55" i="102"/>
  <c r="W9" i="120"/>
  <c r="U82" i="102"/>
  <c r="AJ28" i="91"/>
  <c r="AN75" i="102"/>
  <c r="AM24" i="90"/>
  <c r="AN37" i="102"/>
  <c r="AJ75" i="102"/>
  <c r="AI24" i="90"/>
  <c r="Y10" i="91"/>
  <c r="W14" i="105" s="1"/>
  <c r="W10" i="91"/>
  <c r="U14" i="105" s="1"/>
  <c r="V10" i="91"/>
  <c r="T14" i="105" s="1"/>
  <c r="V9" i="90"/>
  <c r="T13" i="105" s="1"/>
  <c r="M110" i="8"/>
  <c r="X9" i="82"/>
  <c r="V11" i="105" s="1"/>
  <c r="V5" i="105" s="1"/>
  <c r="V9" i="82"/>
  <c r="T11" i="105" s="1"/>
  <c r="T5" i="105" s="1"/>
  <c r="Q12" i="102"/>
  <c r="K104" i="8"/>
  <c r="T16" i="102"/>
  <c r="BE7" i="102" s="1"/>
  <c r="W55" i="102"/>
  <c r="T9" i="120"/>
  <c r="V55" i="102"/>
  <c r="S9" i="120"/>
  <c r="AL26" i="85"/>
  <c r="AM73" i="102"/>
  <c r="AH28" i="91"/>
  <c r="U179" i="8"/>
  <c r="AL30" i="91"/>
  <c r="AI73" i="102"/>
  <c r="AH26" i="85"/>
  <c r="U183" i="8"/>
  <c r="AL28" i="91"/>
  <c r="AM39" i="102"/>
  <c r="X10" i="85"/>
  <c r="V12" i="105" s="1"/>
  <c r="W9" i="82"/>
  <c r="U11" i="105" s="1"/>
  <c r="U5" i="105" s="1"/>
  <c r="N104" i="8"/>
  <c r="M104" i="8"/>
  <c r="M92" i="8"/>
  <c r="T16" i="105" s="1"/>
  <c r="BA3" i="105"/>
  <c r="Y10" i="85"/>
  <c r="W12" i="105" s="1"/>
  <c r="W10" i="85"/>
  <c r="U12" i="105" s="1"/>
  <c r="T82" i="102"/>
  <c r="P9" i="120"/>
  <c r="AH75" i="102"/>
  <c r="AG24" i="90"/>
  <c r="AH73" i="102"/>
  <c r="AG26" i="85"/>
  <c r="AH71" i="102"/>
  <c r="AG25" i="82"/>
  <c r="AG8" i="82"/>
  <c r="AE30" i="105" s="1"/>
  <c r="S12" i="8"/>
  <c r="S10" i="8"/>
  <c r="T73" i="8"/>
  <c r="T75" i="8" s="1"/>
  <c r="T119" i="8" s="1"/>
  <c r="V12" i="8"/>
  <c r="V10" i="8"/>
  <c r="W9" i="8"/>
  <c r="T9" i="90"/>
  <c r="R13" i="105" s="1"/>
  <c r="K13" i="8"/>
  <c r="V105" i="8"/>
  <c r="W12" i="8"/>
  <c r="T9" i="82"/>
  <c r="R11" i="105" s="1"/>
  <c r="R5" i="105" s="1"/>
  <c r="K124" i="8"/>
  <c r="K229" i="8" s="1"/>
  <c r="T10" i="92"/>
  <c r="R15" i="105" s="1"/>
  <c r="T10" i="85"/>
  <c r="R12" i="105" s="1"/>
  <c r="K223" i="8"/>
  <c r="AF28" i="91"/>
  <c r="S92" i="102"/>
  <c r="AG75" i="102"/>
  <c r="AF24" i="90"/>
  <c r="S6" i="102"/>
  <c r="S17" i="102" s="1"/>
  <c r="AG73" i="102"/>
  <c r="AF26" i="85"/>
  <c r="O9" i="120"/>
  <c r="S82" i="102"/>
  <c r="AF8" i="82"/>
  <c r="AD30" i="105" s="1"/>
  <c r="S11" i="8"/>
  <c r="V11" i="8"/>
  <c r="J13" i="124"/>
  <c r="K13" i="124" s="1"/>
  <c r="W10" i="8"/>
  <c r="S108" i="8"/>
  <c r="S10" i="92"/>
  <c r="Q15" i="105" s="1"/>
  <c r="J124" i="8"/>
  <c r="J229" i="8" s="1"/>
  <c r="S6" i="82"/>
  <c r="S48" i="82" s="1"/>
  <c r="S53" i="82" s="1"/>
  <c r="S10" i="85"/>
  <c r="Q12" i="105" s="1"/>
  <c r="S10" i="91"/>
  <c r="Q14" i="105" s="1"/>
  <c r="J92" i="8"/>
  <c r="Q16" i="105" s="1"/>
  <c r="AX3" i="105"/>
  <c r="S9" i="90"/>
  <c r="Q13" i="105" s="1"/>
  <c r="J110" i="8"/>
  <c r="S5" i="91"/>
  <c r="W11" i="8"/>
  <c r="V19" i="8"/>
  <c r="Q11" i="120"/>
  <c r="N10" i="120"/>
  <c r="R82" i="102"/>
  <c r="R92" i="102"/>
  <c r="N9" i="120"/>
  <c r="AF75" i="102"/>
  <c r="AE24" i="90"/>
  <c r="AF73" i="102"/>
  <c r="AE26" i="85"/>
  <c r="S116" i="8"/>
  <c r="S226" i="8" s="1"/>
  <c r="S134" i="8"/>
  <c r="I104" i="8"/>
  <c r="R9" i="82"/>
  <c r="P11" i="105" s="1"/>
  <c r="P5" i="105" s="1"/>
  <c r="R9" i="90"/>
  <c r="P13" i="105" s="1"/>
  <c r="R10" i="92"/>
  <c r="P15" i="105" s="1"/>
  <c r="R10" i="85"/>
  <c r="P12" i="105" s="1"/>
  <c r="R6" i="82"/>
  <c r="R48" i="82" s="1"/>
  <c r="R53" i="82" s="1"/>
  <c r="R55" i="82" s="1"/>
  <c r="I124" i="8"/>
  <c r="I229" i="8" s="1"/>
  <c r="R17" i="82"/>
  <c r="AE17" i="82" s="1"/>
  <c r="R10" i="91"/>
  <c r="P14" i="105" s="1"/>
  <c r="I110" i="8"/>
  <c r="AF26" i="69"/>
  <c r="AA16" i="132"/>
  <c r="V39" i="130" s="1"/>
  <c r="K42" i="105"/>
  <c r="L42" i="105" s="1"/>
  <c r="O35" i="132"/>
  <c r="AP42" i="90"/>
  <c r="AA10" i="90"/>
  <c r="AP37" i="90"/>
  <c r="W41" i="132"/>
  <c r="X40" i="132"/>
  <c r="M42" i="132"/>
  <c r="R41" i="132"/>
  <c r="M43" i="132"/>
  <c r="M10" i="120"/>
  <c r="Q26" i="102"/>
  <c r="BB6" i="102" s="1"/>
  <c r="AD8" i="82"/>
  <c r="R63" i="8"/>
  <c r="R65" i="8" s="1"/>
  <c r="R117" i="8" s="1"/>
  <c r="S109" i="8"/>
  <c r="R105" i="8"/>
  <c r="S19" i="8"/>
  <c r="H110" i="8"/>
  <c r="S87" i="8"/>
  <c r="T106" i="8"/>
  <c r="S106" i="8"/>
  <c r="H13" i="8"/>
  <c r="S63" i="8"/>
  <c r="S65" i="8" s="1"/>
  <c r="S90" i="8"/>
  <c r="Q10" i="92"/>
  <c r="O15" i="105" s="1"/>
  <c r="V68" i="8"/>
  <c r="V70" i="8" s="1"/>
  <c r="W7" i="8"/>
  <c r="X16" i="8" s="1"/>
  <c r="O12" i="105"/>
  <c r="Q9" i="82"/>
  <c r="O11" i="105" s="1"/>
  <c r="O5" i="105" s="1"/>
  <c r="H104" i="8"/>
  <c r="V93" i="8"/>
  <c r="AV3" i="105"/>
  <c r="H92" i="8"/>
  <c r="O16" i="105" s="1"/>
  <c r="Q6" i="82"/>
  <c r="Q48" i="82" s="1"/>
  <c r="Q53" i="82" s="1"/>
  <c r="Q7" i="82" s="1"/>
  <c r="Q10" i="91"/>
  <c r="O14" i="105" s="1"/>
  <c r="AW185" i="105"/>
  <c r="AV162" i="105"/>
  <c r="L10" i="120"/>
  <c r="P92" i="102"/>
  <c r="AC24" i="90"/>
  <c r="V73" i="8"/>
  <c r="V119" i="8" s="1"/>
  <c r="AA66" i="90" s="1"/>
  <c r="S105" i="8"/>
  <c r="S123" i="8"/>
  <c r="C13" i="124"/>
  <c r="S99" i="8"/>
  <c r="S88" i="8"/>
  <c r="G110" i="8"/>
  <c r="T123" i="8"/>
  <c r="T105" i="8"/>
  <c r="S7" i="8"/>
  <c r="R107" i="8"/>
  <c r="P9" i="90"/>
  <c r="T99" i="8"/>
  <c r="V123" i="8"/>
  <c r="V7" i="8"/>
  <c r="G104" i="8"/>
  <c r="M4" i="135"/>
  <c r="AC4" i="135" s="1"/>
  <c r="P10" i="91"/>
  <c r="N14" i="105" s="1"/>
  <c r="V99" i="8"/>
  <c r="V63" i="8"/>
  <c r="V65" i="8" s="1"/>
  <c r="S73" i="8"/>
  <c r="R109" i="8"/>
  <c r="AA11" i="91"/>
  <c r="P6" i="82"/>
  <c r="P48" i="82" s="1"/>
  <c r="P53" i="82" s="1"/>
  <c r="G124" i="8"/>
  <c r="G229" i="8" s="1"/>
  <c r="P9" i="82"/>
  <c r="P10" i="92"/>
  <c r="N15" i="105" s="1"/>
  <c r="T8" i="8"/>
  <c r="T102" i="8"/>
  <c r="T100" i="8"/>
  <c r="T9" i="8"/>
  <c r="K19" i="95"/>
  <c r="AZ43" i="105"/>
  <c r="Q40" i="132"/>
  <c r="Q42" i="132" s="1"/>
  <c r="T40" i="132"/>
  <c r="U41" i="132"/>
  <c r="X41" i="132"/>
  <c r="S41" i="132"/>
  <c r="V37" i="69"/>
  <c r="C22" i="124"/>
  <c r="D22" i="124" s="1"/>
  <c r="E22" i="124" s="1"/>
  <c r="E6" i="124" s="1"/>
  <c r="L37" i="69"/>
  <c r="C20" i="124"/>
  <c r="D20" i="124" s="1"/>
  <c r="E20" i="124" s="1"/>
  <c r="E4" i="124" s="1"/>
  <c r="B37" i="69"/>
  <c r="K18" i="95"/>
  <c r="V100" i="8"/>
  <c r="C14" i="124"/>
  <c r="V108" i="8"/>
  <c r="S101" i="8"/>
  <c r="S89" i="8"/>
  <c r="L4" i="135"/>
  <c r="AB4" i="135" s="1"/>
  <c r="V109" i="8"/>
  <c r="C15" i="124"/>
  <c r="R91" i="8"/>
  <c r="R103" i="8"/>
  <c r="F104" i="8"/>
  <c r="S107" i="8"/>
  <c r="S102" i="8"/>
  <c r="T103" i="8"/>
  <c r="T12" i="8"/>
  <c r="R100" i="8"/>
  <c r="R88" i="8"/>
  <c r="R108" i="8"/>
  <c r="R73" i="8"/>
  <c r="R75" i="8" s="1"/>
  <c r="R119" i="8" s="1"/>
  <c r="V101" i="8"/>
  <c r="W16" i="8"/>
  <c r="O10" i="91"/>
  <c r="M14" i="105" s="1"/>
  <c r="T11" i="8"/>
  <c r="T108" i="8"/>
  <c r="V107" i="8"/>
  <c r="O10" i="92"/>
  <c r="M15" i="105" s="1"/>
  <c r="V106" i="8"/>
  <c r="C12" i="124"/>
  <c r="R121" i="8"/>
  <c r="R102" i="8"/>
  <c r="R90" i="8"/>
  <c r="O9" i="90"/>
  <c r="R123" i="8"/>
  <c r="S25" i="8"/>
  <c r="R101" i="8"/>
  <c r="R89" i="8"/>
  <c r="C11" i="124"/>
  <c r="V25" i="8"/>
  <c r="V121" i="8"/>
  <c r="AA59" i="91" s="1"/>
  <c r="AA64" i="91" s="1"/>
  <c r="AA7" i="91" s="1"/>
  <c r="V122" i="8" s="1"/>
  <c r="O10" i="85"/>
  <c r="R70" i="8"/>
  <c r="R118" i="8" s="1"/>
  <c r="R106" i="8"/>
  <c r="T10" i="8"/>
  <c r="T101" i="8"/>
  <c r="F110" i="8"/>
  <c r="S103" i="8"/>
  <c r="S91" i="8"/>
  <c r="T121" i="8"/>
  <c r="R25" i="8"/>
  <c r="V103" i="8"/>
  <c r="S121" i="8"/>
  <c r="T109" i="8"/>
  <c r="S100" i="8"/>
  <c r="T107" i="8"/>
  <c r="V102" i="8"/>
  <c r="K9" i="120"/>
  <c r="O38" i="132"/>
  <c r="AA38" i="132" s="1"/>
  <c r="R116" i="8"/>
  <c r="R226" i="8" s="1"/>
  <c r="AC77" i="102"/>
  <c r="AB30" i="91"/>
  <c r="T116" i="8"/>
  <c r="T226" i="8" s="1"/>
  <c r="O17" i="102"/>
  <c r="K10" i="120"/>
  <c r="O92" i="102"/>
  <c r="V116" i="8"/>
  <c r="V226" i="8" s="1"/>
  <c r="R184" i="8"/>
  <c r="AB24" i="90"/>
  <c r="AB22" i="90"/>
  <c r="R178" i="8"/>
  <c r="AB8" i="90"/>
  <c r="R142" i="8"/>
  <c r="S142" i="8"/>
  <c r="AB26" i="85"/>
  <c r="S128" i="8"/>
  <c r="R128" i="8"/>
  <c r="T128" i="8"/>
  <c r="R182" i="8"/>
  <c r="M9" i="95"/>
  <c r="Q27" i="93"/>
  <c r="M11" i="95"/>
  <c r="Q36" i="93"/>
  <c r="Y41" i="132"/>
  <c r="M91" i="130" s="1"/>
  <c r="Y40" i="132"/>
  <c r="M90" i="130" s="1"/>
  <c r="R40" i="132"/>
  <c r="AL92" i="105"/>
  <c r="Y87" i="135" s="1"/>
  <c r="Y205" i="135" s="1"/>
  <c r="AL86" i="105"/>
  <c r="Y81" i="135" s="1"/>
  <c r="Y204" i="135" s="1"/>
  <c r="V40" i="132"/>
  <c r="K44" i="105"/>
  <c r="L44" i="105" s="1"/>
  <c r="R17" i="120"/>
  <c r="AL84" i="105"/>
  <c r="Y79" i="135" s="1"/>
  <c r="U40" i="132"/>
  <c r="W40" i="132"/>
  <c r="V41" i="132"/>
  <c r="M17" i="120"/>
  <c r="AL90" i="105"/>
  <c r="Y85" i="135" s="1"/>
  <c r="P41" i="132"/>
  <c r="P43" i="132" s="1"/>
  <c r="O39" i="132"/>
  <c r="AA39" i="132" s="1"/>
  <c r="Z41" i="132"/>
  <c r="S40" i="132"/>
  <c r="T41" i="132"/>
  <c r="P40" i="132"/>
  <c r="P42" i="132" s="1"/>
  <c r="Z40" i="132"/>
  <c r="N16" i="120"/>
  <c r="V16" i="120"/>
  <c r="U16" i="120"/>
  <c r="T16" i="120"/>
  <c r="R16" i="120"/>
  <c r="O16" i="120"/>
  <c r="W16" i="120"/>
  <c r="M16" i="120"/>
  <c r="O37" i="132"/>
  <c r="AA37" i="132" s="1"/>
  <c r="AA13" i="132"/>
  <c r="X49" i="135" s="1"/>
  <c r="X141" i="135" s="1"/>
  <c r="L16" i="120"/>
  <c r="S16" i="120"/>
  <c r="AA18" i="85"/>
  <c r="N206" i="135" l="1"/>
  <c r="N95" i="135"/>
  <c r="O86" i="105"/>
  <c r="AA37" i="92"/>
  <c r="Y86" i="105" s="1"/>
  <c r="AA39" i="92"/>
  <c r="Y92" i="105" s="1"/>
  <c r="O92" i="105"/>
  <c r="AF20" i="85"/>
  <c r="AD41" i="105" s="1"/>
  <c r="S72" i="90"/>
  <c r="AF27" i="90"/>
  <c r="AF29" i="90"/>
  <c r="AF34" i="90"/>
  <c r="AG20" i="85"/>
  <c r="AE41" i="105" s="1"/>
  <c r="T72" i="90"/>
  <c r="AG29" i="90"/>
  <c r="AG27" i="90"/>
  <c r="AG34" i="90"/>
  <c r="AL20" i="85"/>
  <c r="AJ41" i="105" s="1"/>
  <c r="Y72" i="90"/>
  <c r="AL27" i="90"/>
  <c r="AL29" i="90"/>
  <c r="AL34" i="90"/>
  <c r="AB19" i="105"/>
  <c r="O22" i="105"/>
  <c r="AB32" i="105"/>
  <c r="AO8" i="90"/>
  <c r="AJ20" i="85"/>
  <c r="AH41" i="105" s="1"/>
  <c r="W72" i="90"/>
  <c r="AJ27" i="90"/>
  <c r="AJ29" i="90"/>
  <c r="AJ34" i="90"/>
  <c r="Z73" i="90"/>
  <c r="Q120" i="8"/>
  <c r="Q144" i="8" s="1"/>
  <c r="AM7" i="90" s="1"/>
  <c r="AK20" i="85"/>
  <c r="AI41" i="105" s="1"/>
  <c r="X72" i="90"/>
  <c r="AK27" i="90"/>
  <c r="AK29" i="90"/>
  <c r="AK34" i="90"/>
  <c r="AI20" i="85"/>
  <c r="AG41" i="105" s="1"/>
  <c r="V72" i="90"/>
  <c r="AI27" i="90"/>
  <c r="AI29" i="90"/>
  <c r="AI34" i="90"/>
  <c r="AH20" i="85"/>
  <c r="AF41" i="105" s="1"/>
  <c r="U72" i="90"/>
  <c r="U73" i="90" s="1"/>
  <c r="AH29" i="90"/>
  <c r="AH27" i="90"/>
  <c r="AH34" i="90"/>
  <c r="AE20" i="85"/>
  <c r="AC41" i="105" s="1"/>
  <c r="R72" i="90"/>
  <c r="AA72" i="90" s="1"/>
  <c r="AE27" i="90"/>
  <c r="AE29" i="90"/>
  <c r="AE34" i="90"/>
  <c r="AO19" i="90"/>
  <c r="AA71" i="90"/>
  <c r="V120" i="8" s="1"/>
  <c r="V144" i="8" s="1"/>
  <c r="I120" i="8"/>
  <c r="I144" i="8" s="1"/>
  <c r="AE7" i="90" s="1"/>
  <c r="X73" i="90"/>
  <c r="O120" i="8"/>
  <c r="O144" i="8" s="1"/>
  <c r="AK7" i="90" s="1"/>
  <c r="S73" i="90"/>
  <c r="J120" i="8"/>
  <c r="J144" i="8" s="1"/>
  <c r="AF7" i="90" s="1"/>
  <c r="L120" i="8"/>
  <c r="L144" i="8" s="1"/>
  <c r="V73" i="90"/>
  <c r="M120" i="8"/>
  <c r="M144" i="8" s="1"/>
  <c r="AI7" i="90" s="1"/>
  <c r="AB30" i="105"/>
  <c r="AO8" i="82"/>
  <c r="Y55" i="82"/>
  <c r="T54" i="82"/>
  <c r="T55" i="82" s="1"/>
  <c r="AG28" i="82"/>
  <c r="AG26" i="82"/>
  <c r="AG31" i="82"/>
  <c r="AE94" i="105" s="1"/>
  <c r="AG89" i="135" s="1"/>
  <c r="AU89" i="135" s="1"/>
  <c r="AU128" i="135" s="1"/>
  <c r="U54" i="82"/>
  <c r="AH26" i="82"/>
  <c r="AH28" i="82"/>
  <c r="AF88" i="105" s="1"/>
  <c r="AH83" i="135" s="1"/>
  <c r="AV83" i="135" s="1"/>
  <c r="AV127" i="135" s="1"/>
  <c r="AH31" i="82"/>
  <c r="AF94" i="105" s="1"/>
  <c r="AH89" i="135" s="1"/>
  <c r="AH128" i="135" s="1"/>
  <c r="Y54" i="82"/>
  <c r="AL28" i="82"/>
  <c r="AL26" i="82"/>
  <c r="AL31" i="82"/>
  <c r="V55" i="82"/>
  <c r="S55" i="82"/>
  <c r="X55" i="82"/>
  <c r="AF28" i="82"/>
  <c r="AF26" i="82"/>
  <c r="AF31" i="82"/>
  <c r="V54" i="82"/>
  <c r="AI26" i="82"/>
  <c r="AI28" i="82"/>
  <c r="AI31" i="82"/>
  <c r="AG94" i="105" s="1"/>
  <c r="AI89" i="135" s="1"/>
  <c r="X54" i="82"/>
  <c r="AK28" i="82"/>
  <c r="AK26" i="82"/>
  <c r="AI83" i="105" s="1"/>
  <c r="AK78" i="135" s="1"/>
  <c r="AK126" i="135" s="1"/>
  <c r="AK31" i="82"/>
  <c r="AA26" i="102"/>
  <c r="AR51" i="135"/>
  <c r="AR159" i="135" s="1"/>
  <c r="Q53" i="85"/>
  <c r="AD27" i="85"/>
  <c r="AD32" i="85"/>
  <c r="AB95" i="105" s="1"/>
  <c r="AD90" i="135" s="1"/>
  <c r="Q54" i="82"/>
  <c r="Q55" i="82" s="1"/>
  <c r="AA55" i="82" s="1"/>
  <c r="AD26" i="82"/>
  <c r="AD28" i="82"/>
  <c r="AD31" i="82"/>
  <c r="AO31" i="91"/>
  <c r="AD20" i="85"/>
  <c r="AD29" i="90"/>
  <c r="AD27" i="90"/>
  <c r="AD34" i="90"/>
  <c r="H124" i="8"/>
  <c r="H229" i="8" s="1"/>
  <c r="AO39" i="102"/>
  <c r="M114" i="135"/>
  <c r="Q4" i="93"/>
  <c r="Q5" i="93" s="1"/>
  <c r="AQ53" i="135"/>
  <c r="AQ179" i="135" s="1"/>
  <c r="C22" i="138"/>
  <c r="J13" i="137"/>
  <c r="AA7" i="92"/>
  <c r="R23" i="92"/>
  <c r="AE23" i="92" s="1"/>
  <c r="AQ55" i="135"/>
  <c r="AQ199" i="135" s="1"/>
  <c r="M115" i="135"/>
  <c r="P115" i="135"/>
  <c r="AE207" i="135"/>
  <c r="AS100" i="135"/>
  <c r="AS207" i="135" s="1"/>
  <c r="AK31" i="92"/>
  <c r="AK37" i="92"/>
  <c r="AK39" i="92"/>
  <c r="AL37" i="92"/>
  <c r="AL31" i="92"/>
  <c r="AL39" i="92"/>
  <c r="AF39" i="92"/>
  <c r="AF31" i="92"/>
  <c r="AF37" i="92"/>
  <c r="AE37" i="92"/>
  <c r="AC86" i="105" s="1"/>
  <c r="AE81" i="135" s="1"/>
  <c r="AE204" i="135" s="1"/>
  <c r="AE39" i="92"/>
  <c r="AC92" i="105" s="1"/>
  <c r="AE87" i="135" s="1"/>
  <c r="AE205" i="135" s="1"/>
  <c r="AE31" i="92"/>
  <c r="AD31" i="92"/>
  <c r="AD37" i="92"/>
  <c r="AO37" i="92" s="1"/>
  <c r="AD39" i="92"/>
  <c r="AM37" i="92"/>
  <c r="AM31" i="92"/>
  <c r="AM39" i="92"/>
  <c r="AK92" i="105" s="1"/>
  <c r="AH39" i="92"/>
  <c r="AF92" i="105" s="1"/>
  <c r="AH87" i="135" s="1"/>
  <c r="AH205" i="135" s="1"/>
  <c r="AH37" i="92"/>
  <c r="AH31" i="92"/>
  <c r="AG39" i="92"/>
  <c r="AG31" i="92"/>
  <c r="AG37" i="92"/>
  <c r="AI39" i="92"/>
  <c r="AI37" i="92"/>
  <c r="AI31" i="92"/>
  <c r="AC39" i="92"/>
  <c r="AC31" i="92"/>
  <c r="AC37" i="92"/>
  <c r="AC20" i="85"/>
  <c r="AC27" i="90"/>
  <c r="AC79" i="135" s="1"/>
  <c r="AC164" i="135" s="1"/>
  <c r="AC29" i="90"/>
  <c r="AC85" i="135" s="1"/>
  <c r="AC34" i="90"/>
  <c r="P53" i="85"/>
  <c r="AA53" i="85" s="1"/>
  <c r="AC27" i="85"/>
  <c r="AC32" i="85"/>
  <c r="P54" i="82"/>
  <c r="P55" i="82" s="1"/>
  <c r="AC83" i="135"/>
  <c r="AC127" i="135" s="1"/>
  <c r="AC78" i="135"/>
  <c r="AQ78" i="135" s="1"/>
  <c r="AQ126" i="135" s="1"/>
  <c r="AC89" i="135"/>
  <c r="AC42" i="91"/>
  <c r="AC40" i="91"/>
  <c r="AC31" i="91"/>
  <c r="O65" i="91"/>
  <c r="O54" i="82"/>
  <c r="O55" i="82" s="1"/>
  <c r="AB40" i="91"/>
  <c r="Z85" i="105" s="1"/>
  <c r="AB80" i="135" s="1"/>
  <c r="AB31" i="91"/>
  <c r="Z98" i="105" s="1"/>
  <c r="AB93" i="135" s="1"/>
  <c r="AP93" i="135" s="1"/>
  <c r="AP186" i="135" s="1"/>
  <c r="AB42" i="91"/>
  <c r="AB29" i="90"/>
  <c r="AB85" i="135" s="1"/>
  <c r="AB27" i="90"/>
  <c r="AB79" i="135" s="1"/>
  <c r="AB34" i="90"/>
  <c r="N35" i="138"/>
  <c r="AJ95" i="105"/>
  <c r="AL29" i="85"/>
  <c r="Q16" i="137"/>
  <c r="M60" i="138"/>
  <c r="K22" i="138"/>
  <c r="N61" i="141"/>
  <c r="N62" i="141" s="1"/>
  <c r="T17" i="82"/>
  <c r="AG17" i="82" s="1"/>
  <c r="Q35" i="141"/>
  <c r="Q37" i="141" s="1"/>
  <c r="Q38" i="141" s="1"/>
  <c r="V158" i="8"/>
  <c r="L124" i="8"/>
  <c r="L229" i="8" s="1"/>
  <c r="G22" i="138"/>
  <c r="J34" i="138"/>
  <c r="J36" i="138" s="1"/>
  <c r="J37" i="138" s="1"/>
  <c r="V75" i="8"/>
  <c r="U6" i="82"/>
  <c r="U48" i="82" s="1"/>
  <c r="U53" i="82" s="1"/>
  <c r="U55" i="82" s="1"/>
  <c r="U104" i="8"/>
  <c r="N23" i="141"/>
  <c r="AB34" i="91"/>
  <c r="X42" i="105"/>
  <c r="X17" i="82"/>
  <c r="AK17" i="82" s="1"/>
  <c r="N13" i="137"/>
  <c r="X24" i="135"/>
  <c r="X116" i="135" s="1"/>
  <c r="X31" i="135"/>
  <c r="X117" i="135" s="1"/>
  <c r="Q137" i="135"/>
  <c r="AG32" i="135"/>
  <c r="AF56" i="135"/>
  <c r="AT57" i="135" s="1"/>
  <c r="R16" i="137"/>
  <c r="X34" i="91"/>
  <c r="AK34" i="91" s="1"/>
  <c r="X36" i="91"/>
  <c r="V150" i="8"/>
  <c r="L136" i="135"/>
  <c r="AB25" i="135"/>
  <c r="S137" i="135"/>
  <c r="AI32" i="135"/>
  <c r="L137" i="135"/>
  <c r="AB32" i="135"/>
  <c r="O137" i="135"/>
  <c r="AE32" i="135"/>
  <c r="N17" i="120"/>
  <c r="R26" i="105"/>
  <c r="T66" i="90"/>
  <c r="T71" i="90" s="1"/>
  <c r="W34" i="91"/>
  <c r="W36" i="91"/>
  <c r="V143" i="8"/>
  <c r="M117" i="135"/>
  <c r="U36" i="91"/>
  <c r="U34" i="91"/>
  <c r="M137" i="135"/>
  <c r="AC32" i="135"/>
  <c r="U24" i="105"/>
  <c r="W48" i="82"/>
  <c r="W53" i="82" s="1"/>
  <c r="W55" i="82" s="1"/>
  <c r="X32" i="135"/>
  <c r="X137" i="135" s="1"/>
  <c r="X25" i="135"/>
  <c r="X136" i="135" s="1"/>
  <c r="Z34" i="91"/>
  <c r="Z36" i="91"/>
  <c r="R137" i="135"/>
  <c r="AH32" i="135"/>
  <c r="S34" i="91"/>
  <c r="AF34" i="91" s="1"/>
  <c r="S36" i="91"/>
  <c r="X26" i="135"/>
  <c r="X155" i="135" s="1"/>
  <c r="X33" i="135"/>
  <c r="X156" i="135" s="1"/>
  <c r="Y71" i="90"/>
  <c r="AL66" i="90"/>
  <c r="S17" i="82"/>
  <c r="AF17" i="82" s="1"/>
  <c r="S54" i="82"/>
  <c r="V34" i="91"/>
  <c r="V36" i="91"/>
  <c r="Y36" i="91"/>
  <c r="Y34" i="91"/>
  <c r="AL34" i="91" s="1"/>
  <c r="X28" i="135"/>
  <c r="X194" i="135" s="1"/>
  <c r="X35" i="135"/>
  <c r="X195" i="135" s="1"/>
  <c r="P137" i="135"/>
  <c r="AF32" i="135"/>
  <c r="U26" i="105"/>
  <c r="W66" i="90"/>
  <c r="W71" i="90" s="1"/>
  <c r="AD34" i="91"/>
  <c r="AO34" i="91" s="1"/>
  <c r="R34" i="91"/>
  <c r="R36" i="91"/>
  <c r="T34" i="91"/>
  <c r="T36" i="91"/>
  <c r="U137" i="135"/>
  <c r="AK32" i="135"/>
  <c r="N137" i="135"/>
  <c r="AD32" i="135"/>
  <c r="L116" i="135"/>
  <c r="AB24" i="135"/>
  <c r="X27" i="135"/>
  <c r="X174" i="135" s="1"/>
  <c r="X34" i="135"/>
  <c r="X175" i="135" s="1"/>
  <c r="T137" i="135"/>
  <c r="AJ32" i="135"/>
  <c r="AE12" i="102"/>
  <c r="J136" i="135"/>
  <c r="Y25" i="135"/>
  <c r="K136" i="135"/>
  <c r="Z25" i="135"/>
  <c r="Z136" i="135" s="1"/>
  <c r="J137" i="135"/>
  <c r="Y32" i="135"/>
  <c r="K137" i="135"/>
  <c r="Z32" i="135"/>
  <c r="Z137" i="135" s="1"/>
  <c r="AG6" i="102"/>
  <c r="AA6" i="102"/>
  <c r="M113" i="135"/>
  <c r="J201" i="135"/>
  <c r="K70" i="135"/>
  <c r="K201" i="135" s="1"/>
  <c r="BI63" i="135"/>
  <c r="J200" i="135"/>
  <c r="K64" i="135"/>
  <c r="K200" i="135" s="1"/>
  <c r="J71" i="135"/>
  <c r="K66" i="135"/>
  <c r="J65" i="135"/>
  <c r="K60" i="135"/>
  <c r="K62" i="135"/>
  <c r="K160" i="135" s="1"/>
  <c r="J160" i="135"/>
  <c r="K69" i="135"/>
  <c r="K181" i="135" s="1"/>
  <c r="J181" i="135"/>
  <c r="AI56" i="135"/>
  <c r="AW57" i="135" s="1"/>
  <c r="BC105" i="135"/>
  <c r="AW55" i="135"/>
  <c r="AW199" i="135" s="1"/>
  <c r="AY55" i="135"/>
  <c r="AY199" i="135" s="1"/>
  <c r="AN188" i="135"/>
  <c r="BB188" i="135" s="1"/>
  <c r="P65" i="91"/>
  <c r="P66" i="91" s="1"/>
  <c r="AC34" i="91"/>
  <c r="T65" i="91"/>
  <c r="AG34" i="91"/>
  <c r="V57" i="130"/>
  <c r="W65" i="91"/>
  <c r="AJ34" i="91"/>
  <c r="P23" i="91"/>
  <c r="AC23" i="91" s="1"/>
  <c r="S65" i="91"/>
  <c r="U65" i="91"/>
  <c r="AH34" i="91"/>
  <c r="X65" i="91"/>
  <c r="R65" i="91"/>
  <c r="AE34" i="91"/>
  <c r="Z65" i="91"/>
  <c r="AM34" i="91"/>
  <c r="X23" i="91"/>
  <c r="V65" i="91"/>
  <c r="AI34" i="91"/>
  <c r="Y65" i="91"/>
  <c r="G60" i="138"/>
  <c r="G61" i="138" s="1"/>
  <c r="D58" i="138"/>
  <c r="D60" i="138" s="1"/>
  <c r="D61" i="138" s="1"/>
  <c r="Q65" i="91"/>
  <c r="Q66" i="91" s="1"/>
  <c r="AA66" i="91" s="1"/>
  <c r="AP63" i="102"/>
  <c r="V167" i="8"/>
  <c r="AL35" i="82"/>
  <c r="AJ88" i="105"/>
  <c r="AL33" i="82"/>
  <c r="AL36" i="82"/>
  <c r="AL34" i="82"/>
  <c r="N112" i="135"/>
  <c r="AD2" i="135"/>
  <c r="AB96" i="135"/>
  <c r="M112" i="135"/>
  <c r="AC2" i="135"/>
  <c r="T44" i="82"/>
  <c r="AG34" i="82"/>
  <c r="AE88" i="105"/>
  <c r="AG83" i="135" s="1"/>
  <c r="AU83" i="135" s="1"/>
  <c r="AU127" i="135" s="1"/>
  <c r="AG35" i="82"/>
  <c r="AG96" i="135" s="1"/>
  <c r="AG36" i="82"/>
  <c r="AG33" i="82"/>
  <c r="N115" i="135"/>
  <c r="AD17" i="135"/>
  <c r="AD115" i="135" s="1"/>
  <c r="O112" i="135"/>
  <c r="AE2" i="135"/>
  <c r="AI33" i="82"/>
  <c r="AI36" i="82"/>
  <c r="AI34" i="82"/>
  <c r="AI35" i="82"/>
  <c r="Q112" i="135"/>
  <c r="AG2" i="135"/>
  <c r="X44" i="82"/>
  <c r="AK35" i="82"/>
  <c r="AK96" i="135" s="1"/>
  <c r="AK129" i="135" s="1"/>
  <c r="AK33" i="82"/>
  <c r="AI94" i="105"/>
  <c r="AK89" i="135" s="1"/>
  <c r="AY89" i="135" s="1"/>
  <c r="AY128" i="135" s="1"/>
  <c r="AK36" i="82"/>
  <c r="AK34" i="82"/>
  <c r="AI88" i="105"/>
  <c r="AK83" i="135" s="1"/>
  <c r="AY83" i="135" s="1"/>
  <c r="AY127" i="135" s="1"/>
  <c r="S44" i="82"/>
  <c r="AF34" i="82"/>
  <c r="AD88" i="105"/>
  <c r="AF83" i="135" s="1"/>
  <c r="AF127" i="135" s="1"/>
  <c r="AF35" i="82"/>
  <c r="AF33" i="82"/>
  <c r="AD94" i="105"/>
  <c r="AF89" i="135" s="1"/>
  <c r="AF128" i="135" s="1"/>
  <c r="AF36" i="82"/>
  <c r="L112" i="135"/>
  <c r="AB2" i="135"/>
  <c r="T112" i="135"/>
  <c r="AJ2" i="135"/>
  <c r="AD35" i="82"/>
  <c r="AD96" i="135" s="1"/>
  <c r="AD129" i="135" s="1"/>
  <c r="AD33" i="82"/>
  <c r="AD36" i="82"/>
  <c r="AD34" i="82"/>
  <c r="R115" i="135"/>
  <c r="N145" i="135"/>
  <c r="AD73" i="135"/>
  <c r="AH38" i="85"/>
  <c r="AH33" i="85"/>
  <c r="AH29" i="85"/>
  <c r="AH37" i="85"/>
  <c r="AH97" i="135" s="1"/>
  <c r="AF95" i="105"/>
  <c r="AH90" i="135" s="1"/>
  <c r="AK37" i="85"/>
  <c r="AK97" i="135" s="1"/>
  <c r="AK148" i="135" s="1"/>
  <c r="AI95" i="105"/>
  <c r="AK90" i="135" s="1"/>
  <c r="AY90" i="135" s="1"/>
  <c r="AI89" i="105"/>
  <c r="AK84" i="135" s="1"/>
  <c r="AK38" i="85"/>
  <c r="AK33" i="85"/>
  <c r="AK29" i="85"/>
  <c r="S145" i="135"/>
  <c r="AI73" i="135"/>
  <c r="O145" i="135"/>
  <c r="AE73" i="135"/>
  <c r="AG89" i="105"/>
  <c r="AI84" i="135" s="1"/>
  <c r="AI38" i="85"/>
  <c r="AI33" i="85"/>
  <c r="AI29" i="85"/>
  <c r="AI37" i="85"/>
  <c r="AI97" i="135" s="1"/>
  <c r="AG95" i="105"/>
  <c r="AI90" i="135" s="1"/>
  <c r="M35" i="141"/>
  <c r="M37" i="141" s="1"/>
  <c r="M38" i="141" s="1"/>
  <c r="AF29" i="85"/>
  <c r="AF37" i="85"/>
  <c r="AD95" i="105"/>
  <c r="AF90" i="135" s="1"/>
  <c r="AD89" i="105"/>
  <c r="AF84" i="135" s="1"/>
  <c r="AF38" i="85"/>
  <c r="AF33" i="85"/>
  <c r="P145" i="135"/>
  <c r="AF73" i="135"/>
  <c r="N35" i="141"/>
  <c r="N37" i="141" s="1"/>
  <c r="N38" i="141" s="1"/>
  <c r="AG29" i="85"/>
  <c r="AG37" i="85"/>
  <c r="AE95" i="105"/>
  <c r="AG90" i="135" s="1"/>
  <c r="AG38" i="85"/>
  <c r="AG33" i="85"/>
  <c r="Q145" i="135"/>
  <c r="AG73" i="135"/>
  <c r="AQ49" i="135"/>
  <c r="T145" i="135"/>
  <c r="AJ73" i="135"/>
  <c r="K35" i="141"/>
  <c r="AD37" i="85"/>
  <c r="AD38" i="85"/>
  <c r="AD33" i="85"/>
  <c r="AD29" i="85"/>
  <c r="U145" i="135"/>
  <c r="AK73" i="135"/>
  <c r="AB18" i="105"/>
  <c r="AC84" i="135"/>
  <c r="AC29" i="85"/>
  <c r="AC37" i="85"/>
  <c r="AC38" i="85"/>
  <c r="AC33" i="85"/>
  <c r="AE37" i="85"/>
  <c r="AE97" i="135" s="1"/>
  <c r="AC95" i="105"/>
  <c r="AE90" i="135" s="1"/>
  <c r="AE147" i="135" s="1"/>
  <c r="AS147" i="135" s="1"/>
  <c r="AC89" i="105"/>
  <c r="AE84" i="135" s="1"/>
  <c r="AE38" i="85"/>
  <c r="AE33" i="85"/>
  <c r="AE29" i="85"/>
  <c r="AJ37" i="85"/>
  <c r="AH95" i="105"/>
  <c r="AJ90" i="135" s="1"/>
  <c r="AJ38" i="85"/>
  <c r="AJ33" i="85"/>
  <c r="AJ29" i="85"/>
  <c r="M145" i="135"/>
  <c r="AC73" i="135"/>
  <c r="AJ26" i="90"/>
  <c r="AJ31" i="90"/>
  <c r="AJ39" i="90"/>
  <c r="AJ32" i="90"/>
  <c r="AJ25" i="90"/>
  <c r="AJ35" i="90"/>
  <c r="AJ38" i="90"/>
  <c r="AJ33" i="90"/>
  <c r="R58" i="90"/>
  <c r="AS222" i="135" s="1"/>
  <c r="AS223" i="135" s="1"/>
  <c r="AE25" i="90"/>
  <c r="AE35" i="90"/>
  <c r="AE38" i="90"/>
  <c r="AE33" i="90"/>
  <c r="AE26" i="90"/>
  <c r="AE31" i="90"/>
  <c r="AE39" i="90"/>
  <c r="AE32" i="90"/>
  <c r="Q58" i="90"/>
  <c r="AR222" i="135" s="1"/>
  <c r="AR220" i="135" s="1"/>
  <c r="AD38" i="90"/>
  <c r="AD33" i="90"/>
  <c r="AD26" i="90"/>
  <c r="AB97" i="105" s="1"/>
  <c r="AD92" i="135" s="1"/>
  <c r="AR92" i="135" s="1"/>
  <c r="AD31" i="90"/>
  <c r="AD39" i="90"/>
  <c r="AD98" i="135" s="1"/>
  <c r="AD32" i="90"/>
  <c r="AD25" i="90"/>
  <c r="AD35" i="90"/>
  <c r="AD19" i="135"/>
  <c r="AD154" i="135" s="1"/>
  <c r="U152" i="135"/>
  <c r="AK4" i="135"/>
  <c r="O4" i="135"/>
  <c r="AC19" i="105"/>
  <c r="T152" i="135"/>
  <c r="AJ4" i="135"/>
  <c r="S152" i="135"/>
  <c r="AI4" i="135"/>
  <c r="U58" i="90"/>
  <c r="AV222" i="135" s="1"/>
  <c r="AV223" i="135" s="1"/>
  <c r="AH32" i="90"/>
  <c r="AH25" i="90"/>
  <c r="AH35" i="90"/>
  <c r="AH38" i="90"/>
  <c r="AH33" i="90"/>
  <c r="AH26" i="90"/>
  <c r="AH31" i="90"/>
  <c r="AH39" i="90"/>
  <c r="AG32" i="90"/>
  <c r="AG25" i="90"/>
  <c r="AG35" i="90"/>
  <c r="AG38" i="90"/>
  <c r="AG33" i="90"/>
  <c r="AG26" i="90"/>
  <c r="AG31" i="90"/>
  <c r="AG39" i="90"/>
  <c r="R152" i="135"/>
  <c r="AH4" i="135"/>
  <c r="AB32" i="90"/>
  <c r="AB39" i="90"/>
  <c r="AB31" i="90"/>
  <c r="AB38" i="90"/>
  <c r="AB26" i="90"/>
  <c r="Z97" i="105" s="1"/>
  <c r="AB92" i="135" s="1"/>
  <c r="AB35" i="90"/>
  <c r="AB25" i="90"/>
  <c r="AB91" i="135" s="1"/>
  <c r="AP91" i="135" s="1"/>
  <c r="AB33" i="90"/>
  <c r="AC19" i="135"/>
  <c r="AC154" i="135" s="1"/>
  <c r="V4" i="135"/>
  <c r="V152" i="135" s="1"/>
  <c r="AJ19" i="105"/>
  <c r="P58" i="90"/>
  <c r="AQ222" i="135" s="1"/>
  <c r="AQ220" i="135" s="1"/>
  <c r="AC33" i="90"/>
  <c r="AC26" i="90"/>
  <c r="AA97" i="105" s="1"/>
  <c r="AC92" i="135" s="1"/>
  <c r="AC31" i="90"/>
  <c r="AC39" i="90"/>
  <c r="AC32" i="90"/>
  <c r="AC25" i="90"/>
  <c r="AC35" i="90"/>
  <c r="AC38" i="90"/>
  <c r="AK33" i="90"/>
  <c r="AK26" i="90"/>
  <c r="AK31" i="90"/>
  <c r="AK39" i="90"/>
  <c r="AI84" i="105"/>
  <c r="AK79" i="135" s="1"/>
  <c r="AK164" i="135" s="1"/>
  <c r="AK32" i="90"/>
  <c r="AK25" i="90"/>
  <c r="AK35" i="90"/>
  <c r="AI90" i="105"/>
  <c r="AK85" i="135" s="1"/>
  <c r="AK165" i="135" s="1"/>
  <c r="AK38" i="90"/>
  <c r="V58" i="90"/>
  <c r="AW222" i="135" s="1"/>
  <c r="AW220" i="135" s="1"/>
  <c r="AI31" i="90"/>
  <c r="AI39" i="90"/>
  <c r="AI32" i="90"/>
  <c r="AI25" i="90"/>
  <c r="AI35" i="90"/>
  <c r="AI38" i="90"/>
  <c r="AI33" i="90"/>
  <c r="AI26" i="90"/>
  <c r="AJ90" i="105"/>
  <c r="AL38" i="90"/>
  <c r="AL33" i="90"/>
  <c r="AL26" i="90"/>
  <c r="AJ97" i="105" s="1"/>
  <c r="AL31" i="90"/>
  <c r="AL39" i="90"/>
  <c r="AL32" i="90"/>
  <c r="AL25" i="90"/>
  <c r="AL35" i="90"/>
  <c r="AF32" i="90"/>
  <c r="AF25" i="90"/>
  <c r="AF35" i="90"/>
  <c r="AF38" i="90"/>
  <c r="AF33" i="90"/>
  <c r="AF26" i="90"/>
  <c r="AF31" i="90"/>
  <c r="AF39" i="90"/>
  <c r="AD84" i="105"/>
  <c r="AF79" i="135" s="1"/>
  <c r="K58" i="138"/>
  <c r="AK40" i="91"/>
  <c r="AI85" i="105" s="1"/>
  <c r="AK80" i="135" s="1"/>
  <c r="AY80" i="135" s="1"/>
  <c r="AY184" i="135" s="1"/>
  <c r="AK39" i="91"/>
  <c r="AK99" i="135" s="1"/>
  <c r="AY99" i="135" s="1"/>
  <c r="AY187" i="135" s="1"/>
  <c r="AK42" i="91"/>
  <c r="AI98" i="105"/>
  <c r="AK93" i="135" s="1"/>
  <c r="AK186" i="135" s="1"/>
  <c r="V5" i="135"/>
  <c r="V171" i="135" s="1"/>
  <c r="AJ20" i="105"/>
  <c r="K171" i="135"/>
  <c r="Z5" i="135"/>
  <c r="P16" i="137"/>
  <c r="AI39" i="91"/>
  <c r="AI42" i="91"/>
  <c r="AG98" i="105"/>
  <c r="AI93" i="135" s="1"/>
  <c r="AI186" i="135" s="1"/>
  <c r="AI40" i="91"/>
  <c r="AG85" i="105" s="1"/>
  <c r="AI80" i="135" s="1"/>
  <c r="M171" i="135"/>
  <c r="AC5" i="135"/>
  <c r="AD40" i="91"/>
  <c r="AB85" i="105" s="1"/>
  <c r="AD80" i="135" s="1"/>
  <c r="AD184" i="135" s="1"/>
  <c r="AD39" i="91"/>
  <c r="AD42" i="91"/>
  <c r="AB91" i="105" s="1"/>
  <c r="AD86" i="135" s="1"/>
  <c r="AB98" i="105"/>
  <c r="AD93" i="135" s="1"/>
  <c r="AR93" i="135" s="1"/>
  <c r="AR186" i="135" s="1"/>
  <c r="T171" i="135"/>
  <c r="AJ5" i="135"/>
  <c r="Q22" i="105"/>
  <c r="O3" i="120" s="1"/>
  <c r="AD20" i="105"/>
  <c r="N171" i="135"/>
  <c r="AD5" i="135"/>
  <c r="W43" i="105"/>
  <c r="AL23" i="91"/>
  <c r="V43" i="105"/>
  <c r="AK23" i="91"/>
  <c r="J59" i="141"/>
  <c r="AC39" i="91"/>
  <c r="AA98" i="105"/>
  <c r="AC93" i="135" s="1"/>
  <c r="AQ93" i="135" s="1"/>
  <c r="AQ186" i="135" s="1"/>
  <c r="R23" i="91"/>
  <c r="AE23" i="91" s="1"/>
  <c r="AE40" i="91"/>
  <c r="AC85" i="105" s="1"/>
  <c r="AE80" i="135" s="1"/>
  <c r="AE39" i="91"/>
  <c r="AE99" i="135" s="1"/>
  <c r="AC98" i="105"/>
  <c r="AE93" i="135" s="1"/>
  <c r="AS93" i="135" s="1"/>
  <c r="AS186" i="135" s="1"/>
  <c r="AE42" i="91"/>
  <c r="AC91" i="105" s="1"/>
  <c r="AE86" i="135" s="1"/>
  <c r="AE185" i="135" s="1"/>
  <c r="O59" i="141"/>
  <c r="AH42" i="91"/>
  <c r="AF91" i="105" s="1"/>
  <c r="AH86" i="135" s="1"/>
  <c r="AV86" i="135" s="1"/>
  <c r="AV185" i="135" s="1"/>
  <c r="AF98" i="105"/>
  <c r="AH93" i="135" s="1"/>
  <c r="AV93" i="135" s="1"/>
  <c r="AV186" i="135" s="1"/>
  <c r="AH40" i="91"/>
  <c r="AF85" i="105" s="1"/>
  <c r="AH80" i="135" s="1"/>
  <c r="AV80" i="135" s="1"/>
  <c r="AV184" i="135" s="1"/>
  <c r="AH39" i="91"/>
  <c r="O171" i="135"/>
  <c r="AE5" i="135"/>
  <c r="AL40" i="91"/>
  <c r="AJ85" i="105" s="1"/>
  <c r="AL39" i="91"/>
  <c r="AL42" i="91"/>
  <c r="AJ91" i="105" s="1"/>
  <c r="AJ98" i="105"/>
  <c r="S171" i="135"/>
  <c r="AI5" i="135"/>
  <c r="M43" i="105"/>
  <c r="AB23" i="91"/>
  <c r="AJ39" i="91"/>
  <c r="AJ99" i="135" s="1"/>
  <c r="AJ42" i="91"/>
  <c r="AH91" i="105" s="1"/>
  <c r="AJ86" i="135" s="1"/>
  <c r="AX86" i="135" s="1"/>
  <c r="AX185" i="135" s="1"/>
  <c r="AH98" i="105"/>
  <c r="AJ93" i="135" s="1"/>
  <c r="AJ186" i="135" s="1"/>
  <c r="AJ40" i="91"/>
  <c r="AH85" i="105" s="1"/>
  <c r="AJ80" i="135" s="1"/>
  <c r="AX80" i="135" s="1"/>
  <c r="AX184" i="135" s="1"/>
  <c r="R171" i="135"/>
  <c r="AH5" i="135"/>
  <c r="Z23" i="91"/>
  <c r="AM40" i="91"/>
  <c r="AK98" i="105"/>
  <c r="AM39" i="91"/>
  <c r="AM42" i="91"/>
  <c r="AK91" i="105" s="1"/>
  <c r="AD98" i="105"/>
  <c r="AF40" i="91"/>
  <c r="AF42" i="91"/>
  <c r="AF39" i="91"/>
  <c r="Q171" i="135"/>
  <c r="AG5" i="135"/>
  <c r="AG42" i="91"/>
  <c r="AE98" i="105"/>
  <c r="AG93" i="135" s="1"/>
  <c r="AG186" i="135" s="1"/>
  <c r="AG40" i="91"/>
  <c r="AE85" i="105" s="1"/>
  <c r="AG80" i="135" s="1"/>
  <c r="AG39" i="91"/>
  <c r="AT55" i="135"/>
  <c r="AT199" i="135" s="1"/>
  <c r="M44" i="105"/>
  <c r="I11" i="138"/>
  <c r="P57" i="137" s="1"/>
  <c r="G11" i="138"/>
  <c r="N57" i="137" s="1"/>
  <c r="O191" i="135"/>
  <c r="AE6" i="135"/>
  <c r="AE191" i="135" s="1"/>
  <c r="Q194" i="135"/>
  <c r="AG28" i="135"/>
  <c r="AG194" i="135" s="1"/>
  <c r="L192" i="135"/>
  <c r="AB14" i="135"/>
  <c r="AB192" i="135" s="1"/>
  <c r="P192" i="135"/>
  <c r="AF14" i="135"/>
  <c r="AF192" i="135" s="1"/>
  <c r="P193" i="135"/>
  <c r="AF21" i="135"/>
  <c r="AF193" i="135" s="1"/>
  <c r="N194" i="135"/>
  <c r="AD28" i="135"/>
  <c r="AD194" i="135" s="1"/>
  <c r="O193" i="135"/>
  <c r="AE21" i="135"/>
  <c r="AE193" i="135" s="1"/>
  <c r="T194" i="135"/>
  <c r="AJ28" i="135"/>
  <c r="AJ194" i="135" s="1"/>
  <c r="Q193" i="135"/>
  <c r="AG21" i="135"/>
  <c r="AG193" i="135" s="1"/>
  <c r="T192" i="135"/>
  <c r="AJ14" i="135"/>
  <c r="AJ192" i="135" s="1"/>
  <c r="Q192" i="135"/>
  <c r="AG14" i="135"/>
  <c r="AG192" i="135" s="1"/>
  <c r="L194" i="135"/>
  <c r="AB28" i="135"/>
  <c r="AB194" i="135" s="1"/>
  <c r="O192" i="135"/>
  <c r="AE14" i="135"/>
  <c r="AE192" i="135" s="1"/>
  <c r="T195" i="135"/>
  <c r="AJ35" i="135"/>
  <c r="AJ195" i="135" s="1"/>
  <c r="AK42" i="92"/>
  <c r="AL42" i="92"/>
  <c r="AE92" i="105"/>
  <c r="AG87" i="135" s="1"/>
  <c r="AG205" i="135" s="1"/>
  <c r="AG42" i="92"/>
  <c r="AG100" i="135" s="1"/>
  <c r="AU100" i="135" s="1"/>
  <c r="AU207" i="135" s="1"/>
  <c r="M191" i="135"/>
  <c r="AC6" i="135"/>
  <c r="AM42" i="92"/>
  <c r="AK86" i="105"/>
  <c r="Q195" i="135"/>
  <c r="AG35" i="135"/>
  <c r="AG195" i="135" s="1"/>
  <c r="M193" i="135"/>
  <c r="AC21" i="135"/>
  <c r="R194" i="135"/>
  <c r="AH28" i="135"/>
  <c r="AH194" i="135" s="1"/>
  <c r="O195" i="135"/>
  <c r="AE35" i="135"/>
  <c r="AE195" i="135" s="1"/>
  <c r="T193" i="135"/>
  <c r="AJ21" i="135"/>
  <c r="AJ193" i="135" s="1"/>
  <c r="L191" i="135"/>
  <c r="AB6" i="135"/>
  <c r="M192" i="135"/>
  <c r="AC14" i="135"/>
  <c r="AC192" i="135" s="1"/>
  <c r="R192" i="135"/>
  <c r="AH14" i="135"/>
  <c r="AH192" i="135" s="1"/>
  <c r="O194" i="135"/>
  <c r="AE28" i="135"/>
  <c r="AE194" i="135" s="1"/>
  <c r="R191" i="135"/>
  <c r="AH6" i="135"/>
  <c r="AH191" i="135" s="1"/>
  <c r="AF42" i="92"/>
  <c r="M195" i="135"/>
  <c r="AC35" i="135"/>
  <c r="AC195" i="135" s="1"/>
  <c r="R193" i="135"/>
  <c r="AH21" i="135"/>
  <c r="AH193" i="135" s="1"/>
  <c r="N193" i="135"/>
  <c r="AD21" i="135"/>
  <c r="AD193" i="135" s="1"/>
  <c r="T191" i="135"/>
  <c r="AJ6" i="135"/>
  <c r="AJ191" i="135" s="1"/>
  <c r="Q191" i="135"/>
  <c r="AG6" i="135"/>
  <c r="AG191" i="135" s="1"/>
  <c r="L195" i="135"/>
  <c r="AB35" i="135"/>
  <c r="AB195" i="135" s="1"/>
  <c r="AD42" i="92"/>
  <c r="M194" i="135"/>
  <c r="AC28" i="135"/>
  <c r="AC194" i="135" s="1"/>
  <c r="R195" i="135"/>
  <c r="AH35" i="135"/>
  <c r="AH195" i="135" s="1"/>
  <c r="P195" i="135"/>
  <c r="AF35" i="135"/>
  <c r="AF195" i="135" s="1"/>
  <c r="N195" i="135"/>
  <c r="AD35" i="135"/>
  <c r="AD195" i="135" s="1"/>
  <c r="AI42" i="92"/>
  <c r="AH42" i="92"/>
  <c r="AC42" i="92"/>
  <c r="AV55" i="135"/>
  <c r="AV199" i="135" s="1"/>
  <c r="L193" i="135"/>
  <c r="AB21" i="135"/>
  <c r="AB193" i="135" s="1"/>
  <c r="P194" i="135"/>
  <c r="AF28" i="135"/>
  <c r="AF194" i="135" s="1"/>
  <c r="N192" i="135"/>
  <c r="AD14" i="135"/>
  <c r="AD192" i="135" s="1"/>
  <c r="E162" i="8"/>
  <c r="E139" i="8"/>
  <c r="AN10" i="85"/>
  <c r="AA5" i="95" s="1"/>
  <c r="E154" i="8"/>
  <c r="AN10" i="91"/>
  <c r="AA8" i="95" s="1"/>
  <c r="L10" i="105"/>
  <c r="E98" i="8"/>
  <c r="N139" i="8"/>
  <c r="H60" i="138"/>
  <c r="H61" i="138" s="1"/>
  <c r="M13" i="137"/>
  <c r="F34" i="138"/>
  <c r="F36" i="138" s="1"/>
  <c r="F37" i="138" s="1"/>
  <c r="T59" i="141"/>
  <c r="BL84" i="105"/>
  <c r="G223" i="8"/>
  <c r="G225" i="8" s="1"/>
  <c r="J60" i="138"/>
  <c r="R59" i="141"/>
  <c r="R61" i="141" s="1"/>
  <c r="R62" i="141" s="1"/>
  <c r="AB179" i="135"/>
  <c r="F22" i="138"/>
  <c r="F24" i="138" s="1"/>
  <c r="F25" i="138" s="1"/>
  <c r="V23" i="91"/>
  <c r="P154" i="135"/>
  <c r="M23" i="141"/>
  <c r="M25" i="141" s="1"/>
  <c r="M26" i="141" s="1"/>
  <c r="R13" i="137"/>
  <c r="AU51" i="135"/>
  <c r="AU159" i="135" s="1"/>
  <c r="C11" i="138"/>
  <c r="J57" i="137" s="1"/>
  <c r="BF84" i="105"/>
  <c r="AB17" i="90"/>
  <c r="V45" i="105"/>
  <c r="X45" i="105"/>
  <c r="W13" i="120" s="1"/>
  <c r="AO3" i="135"/>
  <c r="AO133" i="135" s="1"/>
  <c r="Y4" i="8"/>
  <c r="B5" i="138"/>
  <c r="I51" i="137" s="1"/>
  <c r="D34" i="138"/>
  <c r="AO24" i="90"/>
  <c r="U23" i="91"/>
  <c r="L59" i="141"/>
  <c r="L61" i="141" s="1"/>
  <c r="L62" i="141" s="1"/>
  <c r="R10" i="141"/>
  <c r="O35" i="141"/>
  <c r="E58" i="138"/>
  <c r="E60" i="138" s="1"/>
  <c r="AD141" i="135"/>
  <c r="AR141" i="135" s="1"/>
  <c r="H34" i="138"/>
  <c r="P22" i="105"/>
  <c r="N3" i="120" s="1"/>
  <c r="Q17" i="102"/>
  <c r="AJ84" i="105"/>
  <c r="Z56" i="135"/>
  <c r="Z58" i="135" s="1"/>
  <c r="O58" i="90"/>
  <c r="AP222" i="135" s="1"/>
  <c r="AP220" i="135" s="1"/>
  <c r="AF89" i="105"/>
  <c r="AH84" i="135" s="1"/>
  <c r="AH146" i="135" s="1"/>
  <c r="AV146" i="135" s="1"/>
  <c r="R23" i="141"/>
  <c r="R25" i="141" s="1"/>
  <c r="R26" i="141" s="1"/>
  <c r="O150" i="8"/>
  <c r="N150" i="8"/>
  <c r="AA141" i="135"/>
  <c r="AO49" i="135"/>
  <c r="AO141" i="135" s="1"/>
  <c r="AI6" i="85"/>
  <c r="AG25" i="105" s="1"/>
  <c r="L150" i="8"/>
  <c r="AO97" i="135"/>
  <c r="AO148" i="135" s="1"/>
  <c r="AA148" i="135"/>
  <c r="AJ107" i="135"/>
  <c r="AX107" i="135" s="1"/>
  <c r="J150" i="8"/>
  <c r="AN21" i="105"/>
  <c r="AO41" i="135"/>
  <c r="AO139" i="135" s="1"/>
  <c r="AA139" i="135"/>
  <c r="K150" i="8"/>
  <c r="AK6" i="85"/>
  <c r="I150" i="8"/>
  <c r="AM6" i="85"/>
  <c r="AK25" i="105" s="1"/>
  <c r="G150" i="8"/>
  <c r="AB6" i="85"/>
  <c r="M150" i="8"/>
  <c r="Q150" i="8"/>
  <c r="AU53" i="135"/>
  <c r="AU179" i="135" s="1"/>
  <c r="P150" i="8"/>
  <c r="N3" i="135"/>
  <c r="AD3" i="135" s="1"/>
  <c r="AG6" i="85"/>
  <c r="AE25" i="105" s="1"/>
  <c r="AX78" i="135"/>
  <c r="AX126" i="135" s="1"/>
  <c r="AJ126" i="135"/>
  <c r="O74" i="135"/>
  <c r="P26" i="105"/>
  <c r="U191" i="135"/>
  <c r="AY17" i="135"/>
  <c r="AY115" i="135" s="1"/>
  <c r="AK115" i="135"/>
  <c r="S194" i="135"/>
  <c r="AY49" i="135"/>
  <c r="AK141" i="135"/>
  <c r="AY141" i="135" s="1"/>
  <c r="AK56" i="135"/>
  <c r="AY57" i="135" s="1"/>
  <c r="AY47" i="135"/>
  <c r="AY121" i="135" s="1"/>
  <c r="AK121" i="135"/>
  <c r="S191" i="135"/>
  <c r="S7" i="135"/>
  <c r="S112" i="135"/>
  <c r="F223" i="8"/>
  <c r="F225" i="8" s="1"/>
  <c r="R72" i="135"/>
  <c r="AH72" i="135" s="1"/>
  <c r="S24" i="105"/>
  <c r="Q72" i="135"/>
  <c r="R24" i="105"/>
  <c r="AH8" i="91"/>
  <c r="AF33" i="105" s="1"/>
  <c r="AX87" i="135"/>
  <c r="AX205" i="135" s="1"/>
  <c r="AJ205" i="135"/>
  <c r="AX83" i="135"/>
  <c r="AX127" i="135" s="1"/>
  <c r="AJ127" i="135"/>
  <c r="M10" i="141"/>
  <c r="R74" i="135"/>
  <c r="S26" i="105"/>
  <c r="T26" i="105"/>
  <c r="S74" i="135"/>
  <c r="X17" i="90"/>
  <c r="X26" i="105"/>
  <c r="W74" i="135"/>
  <c r="W163" i="135" s="1"/>
  <c r="U156" i="135"/>
  <c r="U113" i="135"/>
  <c r="S175" i="135"/>
  <c r="S192" i="135"/>
  <c r="S15" i="135"/>
  <c r="S16" i="135" s="1"/>
  <c r="S114" i="135"/>
  <c r="AI133" i="135"/>
  <c r="AW3" i="135"/>
  <c r="S156" i="135"/>
  <c r="V29" i="135"/>
  <c r="V30" i="135" s="1"/>
  <c r="V155" i="135"/>
  <c r="T28" i="105"/>
  <c r="S76" i="135"/>
  <c r="AG8" i="91"/>
  <c r="AE33" i="105" s="1"/>
  <c r="U153" i="135"/>
  <c r="S173" i="135"/>
  <c r="AI23" i="82"/>
  <c r="T24" i="105"/>
  <c r="S72" i="135"/>
  <c r="AI72" i="135" s="1"/>
  <c r="W24" i="105"/>
  <c r="V72" i="135"/>
  <c r="AI99" i="135"/>
  <c r="W28" i="105"/>
  <c r="V76" i="135"/>
  <c r="V203" i="135" s="1"/>
  <c r="O76" i="135"/>
  <c r="P28" i="105"/>
  <c r="M76" i="135"/>
  <c r="L72" i="135"/>
  <c r="W17" i="90"/>
  <c r="AJ17" i="90" s="1"/>
  <c r="W58" i="90"/>
  <c r="AX222" i="135" s="1"/>
  <c r="K11" i="138"/>
  <c r="R57" i="137" s="1"/>
  <c r="AR223" i="135"/>
  <c r="N47" i="138"/>
  <c r="S17" i="90"/>
  <c r="S58" i="90"/>
  <c r="AT222" i="135" s="1"/>
  <c r="P5" i="135"/>
  <c r="N75" i="135"/>
  <c r="O27" i="105"/>
  <c r="W23" i="91"/>
  <c r="AJ23" i="91" s="1"/>
  <c r="X27" i="105"/>
  <c r="W75" i="135"/>
  <c r="W183" i="135" s="1"/>
  <c r="U173" i="135"/>
  <c r="U154" i="135"/>
  <c r="N41" i="138"/>
  <c r="N42" i="138" s="1"/>
  <c r="AY51" i="135"/>
  <c r="AY159" i="135" s="1"/>
  <c r="AK159" i="135"/>
  <c r="S195" i="135"/>
  <c r="S117" i="135"/>
  <c r="S36" i="135"/>
  <c r="S37" i="135" s="1"/>
  <c r="S135" i="135"/>
  <c r="U134" i="135"/>
  <c r="D13" i="124"/>
  <c r="E13" i="124" s="1"/>
  <c r="D5" i="124" s="1"/>
  <c r="N72" i="135"/>
  <c r="O24" i="105"/>
  <c r="I22" i="105"/>
  <c r="I23" i="105" s="1"/>
  <c r="AL8" i="91"/>
  <c r="AJ33" i="105" s="1"/>
  <c r="AM8" i="91"/>
  <c r="AK33" i="105" s="1"/>
  <c r="T49" i="141"/>
  <c r="T50" i="141" s="1"/>
  <c r="P59" i="141"/>
  <c r="P61" i="141" s="1"/>
  <c r="P62" i="141" s="1"/>
  <c r="T61" i="141"/>
  <c r="T62" i="141" s="1"/>
  <c r="M75" i="135"/>
  <c r="L75" i="135"/>
  <c r="W27" i="105"/>
  <c r="V75" i="135"/>
  <c r="V183" i="135" s="1"/>
  <c r="U174" i="135"/>
  <c r="U195" i="135"/>
  <c r="W15" i="135"/>
  <c r="W16" i="135" s="1"/>
  <c r="W114" i="135"/>
  <c r="AY3" i="135"/>
  <c r="AK133" i="135"/>
  <c r="V15" i="135"/>
  <c r="V16" i="135" s="1"/>
  <c r="V114" i="135"/>
  <c r="S113" i="135"/>
  <c r="BL83" i="105"/>
  <c r="BO83" i="105" s="1"/>
  <c r="AP19" i="90"/>
  <c r="T100" i="135"/>
  <c r="T207" i="135" s="1"/>
  <c r="AJ100" i="135"/>
  <c r="S29" i="135"/>
  <c r="S30" i="135" s="1"/>
  <c r="S155" i="135"/>
  <c r="AK99" i="105"/>
  <c r="R75" i="135"/>
  <c r="S27" i="105"/>
  <c r="U175" i="135"/>
  <c r="S193" i="135"/>
  <c r="S115" i="135"/>
  <c r="S22" i="135"/>
  <c r="S23" i="135" s="1"/>
  <c r="S134" i="135"/>
  <c r="AW45" i="135"/>
  <c r="AW65" i="135"/>
  <c r="AW71" i="135"/>
  <c r="X24" i="105"/>
  <c r="W72" i="135"/>
  <c r="L73" i="135"/>
  <c r="N76" i="135"/>
  <c r="O28" i="105"/>
  <c r="AF8" i="91"/>
  <c r="AD33" i="105" s="1"/>
  <c r="AC8" i="91"/>
  <c r="AA33" i="105" s="1"/>
  <c r="AJ204" i="135"/>
  <c r="AX81" i="135"/>
  <c r="AX204" i="135" s="1"/>
  <c r="I58" i="138"/>
  <c r="I60" i="138" s="1"/>
  <c r="I61" i="138" s="1"/>
  <c r="P75" i="135"/>
  <c r="Q27" i="105"/>
  <c r="O75" i="135"/>
  <c r="P27" i="105"/>
  <c r="U172" i="135"/>
  <c r="U194" i="135"/>
  <c r="W36" i="135"/>
  <c r="W37" i="135" s="1"/>
  <c r="W117" i="135"/>
  <c r="S174" i="135"/>
  <c r="V36" i="135"/>
  <c r="V37" i="135" s="1"/>
  <c r="V117" i="135"/>
  <c r="W112" i="135"/>
  <c r="W7" i="135"/>
  <c r="S153" i="135"/>
  <c r="M72" i="135"/>
  <c r="O72" i="135"/>
  <c r="P24" i="105"/>
  <c r="AD8" i="91"/>
  <c r="AB33" i="105" s="1"/>
  <c r="N71" i="138"/>
  <c r="P74" i="135"/>
  <c r="AF74" i="135" s="1"/>
  <c r="Q26" i="105"/>
  <c r="V17" i="120"/>
  <c r="V44" i="82"/>
  <c r="V17" i="82"/>
  <c r="AI17" i="82" s="1"/>
  <c r="AY45" i="135"/>
  <c r="AY65" i="135"/>
  <c r="AY71" i="135"/>
  <c r="AO20" i="90"/>
  <c r="AP20" i="90" s="1"/>
  <c r="AY84" i="135"/>
  <c r="AK146" i="135"/>
  <c r="AY146" i="135" s="1"/>
  <c r="AI8" i="91"/>
  <c r="AG33" i="105" s="1"/>
  <c r="Z23" i="92"/>
  <c r="AM23" i="92" s="1"/>
  <c r="P10" i="141"/>
  <c r="P35" i="141"/>
  <c r="P37" i="141" s="1"/>
  <c r="P38" i="141" s="1"/>
  <c r="U6" i="85"/>
  <c r="U47" i="85" s="1"/>
  <c r="T27" i="105"/>
  <c r="S75" i="135"/>
  <c r="AY26" i="135"/>
  <c r="AY155" i="135" s="1"/>
  <c r="AK155" i="135"/>
  <c r="AY10" i="135"/>
  <c r="AY114" i="135" s="1"/>
  <c r="AK114" i="135"/>
  <c r="U192" i="135"/>
  <c r="W22" i="135"/>
  <c r="W23" i="135" s="1"/>
  <c r="W115" i="135"/>
  <c r="S172" i="135"/>
  <c r="AK107" i="135"/>
  <c r="AY107" i="135" s="1"/>
  <c r="V22" i="135"/>
  <c r="V23" i="135" s="1"/>
  <c r="V115" i="135"/>
  <c r="AH89" i="105"/>
  <c r="AJ84" i="135" s="1"/>
  <c r="AJ97" i="135"/>
  <c r="AY53" i="135"/>
  <c r="AY179" i="135" s="1"/>
  <c r="AK179" i="135"/>
  <c r="S154" i="135"/>
  <c r="V112" i="135"/>
  <c r="AX96" i="135"/>
  <c r="AX129" i="135" s="1"/>
  <c r="AJ129" i="135"/>
  <c r="P72" i="135"/>
  <c r="Q24" i="105"/>
  <c r="AX45" i="135"/>
  <c r="AX65" i="135"/>
  <c r="AX71" i="135"/>
  <c r="L74" i="135"/>
  <c r="AB74" i="135" s="1"/>
  <c r="P76" i="135"/>
  <c r="Q28" i="105"/>
  <c r="L76" i="135"/>
  <c r="AE8" i="91"/>
  <c r="AC33" i="105" s="1"/>
  <c r="W26" i="105"/>
  <c r="V74" i="135"/>
  <c r="V163" i="135" s="1"/>
  <c r="I34" i="138"/>
  <c r="I36" i="138" s="1"/>
  <c r="I37" i="138" s="1"/>
  <c r="X28" i="105"/>
  <c r="W76" i="135"/>
  <c r="W203" i="135" s="1"/>
  <c r="T17" i="90"/>
  <c r="AG17" i="90" s="1"/>
  <c r="T58" i="90"/>
  <c r="AU222" i="135" s="1"/>
  <c r="L154" i="135"/>
  <c r="N59" i="138"/>
  <c r="U135" i="135"/>
  <c r="AY31" i="135"/>
  <c r="AY117" i="135" s="1"/>
  <c r="AK117" i="135"/>
  <c r="U193" i="135"/>
  <c r="AI107" i="135"/>
  <c r="AW107" i="135" s="1"/>
  <c r="W22" i="105"/>
  <c r="M82" i="130" s="1"/>
  <c r="AK8" i="91"/>
  <c r="AI33" i="105" s="1"/>
  <c r="Y35" i="105"/>
  <c r="BB43" i="135"/>
  <c r="BB177" i="135" s="1"/>
  <c r="BB69" i="135"/>
  <c r="BB181" i="135" s="1"/>
  <c r="BB63" i="135"/>
  <c r="BB180" i="135" s="1"/>
  <c r="U36" i="135"/>
  <c r="U37" i="135" s="1"/>
  <c r="U117" i="135"/>
  <c r="K5" i="85"/>
  <c r="BB149" i="135"/>
  <c r="BB67" i="135"/>
  <c r="BB41" i="135"/>
  <c r="BB139" i="135" s="1"/>
  <c r="AA9" i="90"/>
  <c r="Y13" i="105" s="1"/>
  <c r="U22" i="135"/>
  <c r="U23" i="135" s="1"/>
  <c r="U115" i="135"/>
  <c r="BB62" i="135"/>
  <c r="BB160" i="135" s="1"/>
  <c r="BB68" i="135"/>
  <c r="BB161" i="135" s="1"/>
  <c r="Y18" i="105"/>
  <c r="X3" i="135" s="1"/>
  <c r="X133" i="135" s="1"/>
  <c r="K36" i="138"/>
  <c r="K37" i="138" s="1"/>
  <c r="Y20" i="105"/>
  <c r="X5" i="135" s="1"/>
  <c r="X171" i="135" s="1"/>
  <c r="BB208" i="135"/>
  <c r="BB44" i="135"/>
  <c r="BB197" i="135" s="1"/>
  <c r="BB64" i="135"/>
  <c r="BB200" i="135" s="1"/>
  <c r="BB70" i="135"/>
  <c r="BB201" i="135" s="1"/>
  <c r="BB66" i="135"/>
  <c r="BB123" i="135" s="1"/>
  <c r="BB40" i="135"/>
  <c r="BB119" i="135" s="1"/>
  <c r="BB60" i="135"/>
  <c r="BB122" i="135" s="1"/>
  <c r="BB130" i="135"/>
  <c r="Y21" i="105"/>
  <c r="X6" i="135" s="1"/>
  <c r="X191" i="135" s="1"/>
  <c r="U112" i="135"/>
  <c r="V28" i="105"/>
  <c r="U76" i="135"/>
  <c r="V24" i="105"/>
  <c r="U72" i="135"/>
  <c r="AK72" i="135" s="1"/>
  <c r="K60" i="138"/>
  <c r="K61" i="138" s="1"/>
  <c r="U5" i="135"/>
  <c r="BK84" i="105"/>
  <c r="U29" i="135"/>
  <c r="U30" i="135" s="1"/>
  <c r="U155" i="135"/>
  <c r="V22" i="105"/>
  <c r="U3" i="120" s="1"/>
  <c r="V26" i="105"/>
  <c r="U74" i="135"/>
  <c r="V27" i="105"/>
  <c r="U75" i="135"/>
  <c r="U15" i="135"/>
  <c r="U16" i="135" s="1"/>
  <c r="U114" i="135"/>
  <c r="N23" i="138"/>
  <c r="AH94" i="105"/>
  <c r="AJ89" i="135" s="1"/>
  <c r="AN104" i="135"/>
  <c r="BB104" i="135" s="1"/>
  <c r="AN105" i="135"/>
  <c r="BB105" i="135" s="1"/>
  <c r="J191" i="135"/>
  <c r="N154" i="135"/>
  <c r="Q59" i="135"/>
  <c r="T58" i="135"/>
  <c r="K58" i="135"/>
  <c r="O58" i="135"/>
  <c r="O59" i="135"/>
  <c r="M58" i="135"/>
  <c r="K59" i="135"/>
  <c r="T59" i="135"/>
  <c r="R58" i="135"/>
  <c r="AN106" i="135"/>
  <c r="BB106" i="135" s="1"/>
  <c r="AP55" i="135"/>
  <c r="AP199" i="135" s="1"/>
  <c r="AN102" i="135"/>
  <c r="BB102" i="135" s="1"/>
  <c r="AN103" i="135"/>
  <c r="BB103" i="135" s="1"/>
  <c r="AN49" i="135"/>
  <c r="BB49" i="135" s="1"/>
  <c r="AN53" i="135"/>
  <c r="BB53" i="135" s="1"/>
  <c r="BB179" i="135" s="1"/>
  <c r="O154" i="135"/>
  <c r="L22" i="135"/>
  <c r="Z121" i="135"/>
  <c r="AS51" i="135"/>
  <c r="AS159" i="135" s="1"/>
  <c r="AA185" i="135"/>
  <c r="P22" i="135"/>
  <c r="L115" i="135"/>
  <c r="AE56" i="135"/>
  <c r="AS57" i="135" s="1"/>
  <c r="N22" i="135"/>
  <c r="Q22" i="135"/>
  <c r="AG141" i="135"/>
  <c r="AU141" i="135" s="1"/>
  <c r="M154" i="135"/>
  <c r="Q154" i="135"/>
  <c r="T134" i="135"/>
  <c r="T117" i="135"/>
  <c r="AX51" i="135"/>
  <c r="AX159" i="135" s="1"/>
  <c r="AJ159" i="135"/>
  <c r="O22" i="135"/>
  <c r="T153" i="135"/>
  <c r="T172" i="135"/>
  <c r="T113" i="135"/>
  <c r="T135" i="135"/>
  <c r="T175" i="135"/>
  <c r="AX53" i="135"/>
  <c r="AX179" i="135" s="1"/>
  <c r="AJ179" i="135"/>
  <c r="T173" i="135"/>
  <c r="AX55" i="135"/>
  <c r="AX199" i="135" s="1"/>
  <c r="T174" i="135"/>
  <c r="AX47" i="135"/>
  <c r="AX121" i="135" s="1"/>
  <c r="AJ56" i="135"/>
  <c r="AJ121" i="135"/>
  <c r="R22" i="135"/>
  <c r="R23" i="135" s="1"/>
  <c r="T154" i="135"/>
  <c r="AX3" i="135"/>
  <c r="AJ133" i="135"/>
  <c r="T156" i="135"/>
  <c r="T114" i="135"/>
  <c r="T155" i="135"/>
  <c r="T115" i="135"/>
  <c r="AX49" i="135"/>
  <c r="AJ141" i="135"/>
  <c r="AX141" i="135" s="1"/>
  <c r="AH99" i="105"/>
  <c r="AJ94" i="135" s="1"/>
  <c r="Y19" i="105"/>
  <c r="V20" i="130" s="1"/>
  <c r="X54" i="135"/>
  <c r="X198" i="135" s="1"/>
  <c r="X50" i="135"/>
  <c r="X158" i="135" s="1"/>
  <c r="X51" i="135"/>
  <c r="X159" i="135" s="1"/>
  <c r="X52" i="135"/>
  <c r="X178" i="135" s="1"/>
  <c r="AJ8" i="91"/>
  <c r="AH33" i="105" s="1"/>
  <c r="T74" i="135"/>
  <c r="T75" i="135"/>
  <c r="X17" i="135"/>
  <c r="X115" i="135" s="1"/>
  <c r="X9" i="135"/>
  <c r="X113" i="135" s="1"/>
  <c r="T76" i="135"/>
  <c r="T7" i="135"/>
  <c r="V151" i="8"/>
  <c r="X21" i="135"/>
  <c r="X193" i="135" s="1"/>
  <c r="T15" i="135"/>
  <c r="X20" i="135"/>
  <c r="X173" i="135" s="1"/>
  <c r="T22" i="135"/>
  <c r="T36" i="135"/>
  <c r="X19" i="135"/>
  <c r="X154" i="135" s="1"/>
  <c r="X18" i="135"/>
  <c r="X135" i="135" s="1"/>
  <c r="X11" i="135"/>
  <c r="X134" i="135" s="1"/>
  <c r="T72" i="135"/>
  <c r="T29" i="135"/>
  <c r="M24" i="138"/>
  <c r="M25" i="138" s="1"/>
  <c r="J10" i="141"/>
  <c r="M22" i="135"/>
  <c r="G34" i="138"/>
  <c r="G36" i="138" s="1"/>
  <c r="G37" i="138" s="1"/>
  <c r="M45" i="105"/>
  <c r="K13" i="120" s="1"/>
  <c r="Q115" i="135"/>
  <c r="J16" i="137"/>
  <c r="C58" i="138"/>
  <c r="C60" i="138" s="1"/>
  <c r="C61" i="138" s="1"/>
  <c r="AR47" i="135"/>
  <c r="AR121" i="135" s="1"/>
  <c r="L11" i="138"/>
  <c r="S57" i="137" s="1"/>
  <c r="AE73" i="102"/>
  <c r="AC99" i="135"/>
  <c r="AA5" i="85"/>
  <c r="R183" i="8"/>
  <c r="I8" i="137"/>
  <c r="I9" i="137" s="1"/>
  <c r="P45" i="105"/>
  <c r="N45" i="105"/>
  <c r="AK77" i="102"/>
  <c r="AK12" i="102" s="1"/>
  <c r="O156" i="135"/>
  <c r="R134" i="135"/>
  <c r="N153" i="135"/>
  <c r="M134" i="135"/>
  <c r="Q153" i="135"/>
  <c r="AO53" i="135"/>
  <c r="AO179" i="135" s="1"/>
  <c r="AA179" i="135"/>
  <c r="Z174" i="135"/>
  <c r="K174" i="135"/>
  <c r="M29" i="135"/>
  <c r="M174" i="135"/>
  <c r="R117" i="135"/>
  <c r="R36" i="135"/>
  <c r="L135" i="135"/>
  <c r="L175" i="135"/>
  <c r="P174" i="135"/>
  <c r="U45" i="105"/>
  <c r="T13" i="120" s="1"/>
  <c r="Q172" i="135"/>
  <c r="T45" i="105"/>
  <c r="Y44" i="82"/>
  <c r="AS87" i="135"/>
  <c r="AS205" i="135" s="1"/>
  <c r="AH96" i="135"/>
  <c r="AF96" i="135"/>
  <c r="AU55" i="135"/>
  <c r="AU199" i="135" s="1"/>
  <c r="O135" i="135"/>
  <c r="N135" i="135"/>
  <c r="M153" i="135"/>
  <c r="Q135" i="135"/>
  <c r="AO69" i="135"/>
  <c r="AO181" i="135" s="1"/>
  <c r="AA181" i="135"/>
  <c r="Z175" i="135"/>
  <c r="K175" i="135"/>
  <c r="M172" i="135"/>
  <c r="AA35" i="135"/>
  <c r="AA195" i="135" s="1"/>
  <c r="R114" i="135"/>
  <c r="R15" i="135"/>
  <c r="R113" i="135"/>
  <c r="L172" i="135"/>
  <c r="AF107" i="135"/>
  <c r="AT107" i="135" s="1"/>
  <c r="N114" i="135"/>
  <c r="N15" i="135"/>
  <c r="P173" i="135"/>
  <c r="L15" i="135"/>
  <c r="L114" i="135"/>
  <c r="O36" i="135"/>
  <c r="O117" i="135"/>
  <c r="AA28" i="135"/>
  <c r="AA194" i="135" s="1"/>
  <c r="Q175" i="135"/>
  <c r="AT45" i="135"/>
  <c r="AT71" i="135"/>
  <c r="AT65" i="135"/>
  <c r="AS45" i="135"/>
  <c r="AS65" i="135"/>
  <c r="AS71" i="135"/>
  <c r="Q3" i="135"/>
  <c r="AG3" i="135" s="1"/>
  <c r="AH99" i="135"/>
  <c r="AJ77" i="102"/>
  <c r="AJ12" i="102" s="1"/>
  <c r="P6" i="90"/>
  <c r="P66" i="90" s="1"/>
  <c r="P71" i="90" s="1"/>
  <c r="P73" i="90" s="1"/>
  <c r="N29" i="135"/>
  <c r="N155" i="135"/>
  <c r="AQ18" i="135"/>
  <c r="M135" i="135"/>
  <c r="Q156" i="135"/>
  <c r="AO63" i="135"/>
  <c r="AO180" i="135" s="1"/>
  <c r="AA180" i="135"/>
  <c r="J172" i="135"/>
  <c r="L174" i="135"/>
  <c r="P153" i="135"/>
  <c r="AC114" i="135"/>
  <c r="AQ10" i="135"/>
  <c r="AQ114" i="135" s="1"/>
  <c r="P175" i="135"/>
  <c r="L113" i="135"/>
  <c r="N175" i="135"/>
  <c r="Q173" i="135"/>
  <c r="AU45" i="135"/>
  <c r="AU65" i="135"/>
  <c r="AU71" i="135"/>
  <c r="R3" i="135"/>
  <c r="AH3" i="135" s="1"/>
  <c r="Q76" i="135"/>
  <c r="N6" i="135"/>
  <c r="AM77" i="102"/>
  <c r="AM12" i="102" s="1"/>
  <c r="AL77" i="102"/>
  <c r="AL12" i="102" s="1"/>
  <c r="R185" i="8"/>
  <c r="K23" i="141"/>
  <c r="K25" i="141" s="1"/>
  <c r="K26" i="141" s="1"/>
  <c r="Q44" i="82"/>
  <c r="AH186" i="135"/>
  <c r="O155" i="135"/>
  <c r="R153" i="135"/>
  <c r="N134" i="135"/>
  <c r="M156" i="135"/>
  <c r="Q134" i="135"/>
  <c r="AO99" i="135"/>
  <c r="AO187" i="135" s="1"/>
  <c r="AA187" i="135"/>
  <c r="J175" i="135"/>
  <c r="AE89" i="105"/>
  <c r="AG84" i="135" s="1"/>
  <c r="O133" i="135"/>
  <c r="L134" i="135"/>
  <c r="AG107" i="135"/>
  <c r="AU107" i="135" s="1"/>
  <c r="P135" i="135"/>
  <c r="P117" i="135"/>
  <c r="AR9" i="135"/>
  <c r="N113" i="135"/>
  <c r="Q75" i="135"/>
  <c r="L36" i="135"/>
  <c r="L117" i="135"/>
  <c r="N174" i="135"/>
  <c r="O114" i="135"/>
  <c r="O15" i="135"/>
  <c r="O113" i="135"/>
  <c r="R173" i="135"/>
  <c r="Q174" i="135"/>
  <c r="S45" i="105"/>
  <c r="R45" i="105"/>
  <c r="T23" i="92"/>
  <c r="AG23" i="92" s="1"/>
  <c r="AI77" i="102"/>
  <c r="AI12" i="102" s="1"/>
  <c r="R76" i="135"/>
  <c r="AA21" i="135"/>
  <c r="AA193" i="135" s="1"/>
  <c r="R135" i="135"/>
  <c r="Q29" i="135"/>
  <c r="Q155" i="135"/>
  <c r="AO43" i="135"/>
  <c r="AO177" i="135" s="1"/>
  <c r="AA177" i="135"/>
  <c r="O173" i="135"/>
  <c r="L156" i="135"/>
  <c r="AV49" i="135"/>
  <c r="AH141" i="135"/>
  <c r="AV141" i="135" s="1"/>
  <c r="P134" i="135"/>
  <c r="M15" i="135"/>
  <c r="N36" i="135"/>
  <c r="N117" i="135"/>
  <c r="AD173" i="135"/>
  <c r="N173" i="135"/>
  <c r="R172" i="135"/>
  <c r="AG77" i="102"/>
  <c r="R156" i="135"/>
  <c r="N156" i="135"/>
  <c r="O174" i="135"/>
  <c r="AC117" i="135"/>
  <c r="AQ31" i="135"/>
  <c r="AQ117" i="135" s="1"/>
  <c r="AH107" i="135"/>
  <c r="AV107" i="135" s="1"/>
  <c r="L29" i="135"/>
  <c r="L155" i="135"/>
  <c r="Q36" i="135"/>
  <c r="Q117" i="135"/>
  <c r="P36" i="135"/>
  <c r="P156" i="135"/>
  <c r="AA14" i="135"/>
  <c r="AA192" i="135" s="1"/>
  <c r="P114" i="135"/>
  <c r="P15" i="135"/>
  <c r="P113" i="135"/>
  <c r="N172" i="135"/>
  <c r="AS55" i="135"/>
  <c r="AS199" i="135" s="1"/>
  <c r="R175" i="135"/>
  <c r="T23" i="91"/>
  <c r="AE96" i="135"/>
  <c r="AV45" i="135"/>
  <c r="AV71" i="135"/>
  <c r="AV65" i="135"/>
  <c r="Q45" i="105"/>
  <c r="AH77" i="102"/>
  <c r="AH12" i="102" s="1"/>
  <c r="O153" i="135"/>
  <c r="P133" i="135"/>
  <c r="R154" i="135"/>
  <c r="M155" i="135"/>
  <c r="J174" i="135"/>
  <c r="O172" i="135"/>
  <c r="O175" i="135"/>
  <c r="M175" i="135"/>
  <c r="AE179" i="135"/>
  <c r="AS53" i="135"/>
  <c r="AS179" i="135" s="1"/>
  <c r="Q114" i="135"/>
  <c r="Q15" i="135"/>
  <c r="Q113" i="135"/>
  <c r="P29" i="135"/>
  <c r="P155" i="135"/>
  <c r="AR53" i="135"/>
  <c r="AR179" i="135" s="1"/>
  <c r="AD179" i="135"/>
  <c r="O29" i="135"/>
  <c r="R174" i="135"/>
  <c r="I18" i="137"/>
  <c r="I19" i="137" s="1"/>
  <c r="O44" i="82"/>
  <c r="W45" i="105"/>
  <c r="P6" i="135"/>
  <c r="K71" i="141"/>
  <c r="K73" i="141" s="1"/>
  <c r="K74" i="141" s="1"/>
  <c r="O45" i="105"/>
  <c r="AD186" i="135"/>
  <c r="U19" i="85"/>
  <c r="AE141" i="135"/>
  <c r="AS141" i="135" s="1"/>
  <c r="AS49" i="135"/>
  <c r="O134" i="135"/>
  <c r="R155" i="135"/>
  <c r="R29" i="135"/>
  <c r="J173" i="135"/>
  <c r="AC173" i="135"/>
  <c r="M173" i="135"/>
  <c r="M36" i="135"/>
  <c r="L153" i="135"/>
  <c r="L173" i="135"/>
  <c r="P172" i="135"/>
  <c r="AE107" i="135"/>
  <c r="AS107" i="135" s="1"/>
  <c r="U92" i="8"/>
  <c r="U149" i="8"/>
  <c r="AI8" i="90"/>
  <c r="AG32" i="105" s="1"/>
  <c r="U13" i="8"/>
  <c r="U98" i="8"/>
  <c r="K5" i="92"/>
  <c r="K5" i="91"/>
  <c r="K36" i="91" s="1"/>
  <c r="K5" i="90"/>
  <c r="AH127" i="135"/>
  <c r="AE128" i="135"/>
  <c r="AS89" i="135"/>
  <c r="AS128" i="135" s="1"/>
  <c r="AG121" i="135"/>
  <c r="AU47" i="135"/>
  <c r="AU121" i="135" s="1"/>
  <c r="R59" i="135"/>
  <c r="AH115" i="135"/>
  <c r="AV17" i="135"/>
  <c r="AV115" i="135" s="1"/>
  <c r="AE121" i="135"/>
  <c r="AS47" i="135"/>
  <c r="AS121" i="135" s="1"/>
  <c r="AF121" i="135"/>
  <c r="AT47" i="135"/>
  <c r="AT121" i="135" s="1"/>
  <c r="O7" i="135"/>
  <c r="AU17" i="135"/>
  <c r="AU115" i="135" s="1"/>
  <c r="AG115" i="135"/>
  <c r="E23" i="135"/>
  <c r="L121" i="135"/>
  <c r="AN47" i="135"/>
  <c r="BB47" i="135" s="1"/>
  <c r="BB121" i="135" s="1"/>
  <c r="AE115" i="135"/>
  <c r="AS17" i="135"/>
  <c r="AS115" i="135" s="1"/>
  <c r="R112" i="135"/>
  <c r="AV89" i="135"/>
  <c r="AV128" i="135" s="1"/>
  <c r="AG56" i="135"/>
  <c r="AU57" i="135" s="1"/>
  <c r="AF115" i="135"/>
  <c r="AT17" i="135"/>
  <c r="AT115" i="135" s="1"/>
  <c r="AH121" i="135"/>
  <c r="AH56" i="135"/>
  <c r="AV47" i="135"/>
  <c r="AV121" i="135" s="1"/>
  <c r="AA81" i="135"/>
  <c r="Z81" i="135"/>
  <c r="Z204" i="135" s="1"/>
  <c r="AA87" i="135"/>
  <c r="Z87" i="135"/>
  <c r="Z205" i="135" s="1"/>
  <c r="Z192" i="135"/>
  <c r="Z193" i="135"/>
  <c r="AA80" i="135"/>
  <c r="AO80" i="135" s="1"/>
  <c r="Z80" i="135"/>
  <c r="AA93" i="135"/>
  <c r="AO93" i="135" s="1"/>
  <c r="Z93" i="135"/>
  <c r="K172" i="135"/>
  <c r="Z173" i="135"/>
  <c r="K173" i="135"/>
  <c r="Z79" i="135"/>
  <c r="Z85" i="135"/>
  <c r="Z165" i="135" s="1"/>
  <c r="Z91" i="135"/>
  <c r="Z166" i="135" s="1"/>
  <c r="AA84" i="135"/>
  <c r="AO84" i="135" s="1"/>
  <c r="AO146" i="135" s="1"/>
  <c r="Z84" i="135"/>
  <c r="AA90" i="135"/>
  <c r="AO90" i="135" s="1"/>
  <c r="AO147" i="135" s="1"/>
  <c r="Z90" i="135"/>
  <c r="AD37" i="69"/>
  <c r="AH8" i="90"/>
  <c r="AF32" i="105" s="1"/>
  <c r="H24" i="138"/>
  <c r="H25" i="138" s="1"/>
  <c r="M152" i="135"/>
  <c r="M7" i="135"/>
  <c r="L152" i="135"/>
  <c r="L7" i="135"/>
  <c r="U17" i="90"/>
  <c r="AF84" i="105"/>
  <c r="AH79" i="135" s="1"/>
  <c r="J47" i="141"/>
  <c r="J49" i="141" s="1"/>
  <c r="J50" i="141" s="1"/>
  <c r="N152" i="135"/>
  <c r="L57" i="135"/>
  <c r="L159" i="135"/>
  <c r="AN51" i="135"/>
  <c r="BB51" i="135" s="1"/>
  <c r="BB159" i="135" s="1"/>
  <c r="AG154" i="135"/>
  <c r="AU19" i="135"/>
  <c r="M48" i="138"/>
  <c r="M49" i="138" s="1"/>
  <c r="AB96" i="105"/>
  <c r="AD91" i="135" s="1"/>
  <c r="AD166" i="135" s="1"/>
  <c r="AR166" i="135" s="1"/>
  <c r="AF97" i="105"/>
  <c r="AH92" i="135" s="1"/>
  <c r="AE154" i="135"/>
  <c r="AS19" i="135"/>
  <c r="AT19" i="135"/>
  <c r="AF154" i="135"/>
  <c r="L158" i="135"/>
  <c r="BG83" i="105"/>
  <c r="Q4" i="135"/>
  <c r="AG4" i="135" s="1"/>
  <c r="V17" i="90"/>
  <c r="AG97" i="105"/>
  <c r="AI92" i="135" s="1"/>
  <c r="Z92" i="135"/>
  <c r="Z167" i="135" s="1"/>
  <c r="AH90" i="105"/>
  <c r="AJ85" i="135" s="1"/>
  <c r="AH97" i="105"/>
  <c r="AJ92" i="135" s="1"/>
  <c r="Q74" i="135"/>
  <c r="AG74" i="135" s="1"/>
  <c r="AC90" i="105"/>
  <c r="AE85" i="135" s="1"/>
  <c r="R17" i="90"/>
  <c r="AG23" i="82"/>
  <c r="AE97" i="105"/>
  <c r="AG92" i="135" s="1"/>
  <c r="AD97" i="105"/>
  <c r="AF92" i="135" s="1"/>
  <c r="AF36" i="69"/>
  <c r="G21" i="95"/>
  <c r="H21" i="95" s="1"/>
  <c r="AM25" i="102"/>
  <c r="Z101" i="135"/>
  <c r="Z148" i="135"/>
  <c r="B37" i="138"/>
  <c r="AC99" i="105"/>
  <c r="AE94" i="135" s="1"/>
  <c r="AE8" i="90"/>
  <c r="AC32" i="105" s="1"/>
  <c r="E24" i="138"/>
  <c r="E25" i="138" s="1"/>
  <c r="X4" i="120"/>
  <c r="X7" i="120" s="1"/>
  <c r="L79" i="105"/>
  <c r="Q19" i="85"/>
  <c r="K47" i="141"/>
  <c r="K49" i="141" s="1"/>
  <c r="K50" i="141" s="1"/>
  <c r="AB90" i="105"/>
  <c r="AD85" i="135" s="1"/>
  <c r="AD90" i="105"/>
  <c r="AF85" i="135" s="1"/>
  <c r="K15" i="137"/>
  <c r="K14" i="137"/>
  <c r="U17" i="120"/>
  <c r="Q17" i="90"/>
  <c r="AD17" i="90" s="1"/>
  <c r="AO17" i="90" s="1"/>
  <c r="D46" i="138"/>
  <c r="D48" i="138" s="1"/>
  <c r="D49" i="138" s="1"/>
  <c r="Q6" i="90"/>
  <c r="J11" i="138"/>
  <c r="Q57" i="137" s="1"/>
  <c r="H36" i="138"/>
  <c r="H37" i="138" s="1"/>
  <c r="B11" i="138"/>
  <c r="I57" i="137" s="1"/>
  <c r="O61" i="141"/>
  <c r="O62" i="141" s="1"/>
  <c r="Q10" i="141"/>
  <c r="U124" i="8"/>
  <c r="J61" i="141"/>
  <c r="J62" i="141" s="1"/>
  <c r="T110" i="8"/>
  <c r="J61" i="138"/>
  <c r="R3" i="120"/>
  <c r="P8" i="137"/>
  <c r="P9" i="137" s="1"/>
  <c r="AD24" i="102"/>
  <c r="P19" i="85"/>
  <c r="J14" i="137"/>
  <c r="M8" i="137"/>
  <c r="M9" i="137" s="1"/>
  <c r="I10" i="141"/>
  <c r="E11" i="138"/>
  <c r="L57" i="137" s="1"/>
  <c r="Y166" i="135"/>
  <c r="I6" i="138"/>
  <c r="P51" i="137"/>
  <c r="P52" i="137" s="1"/>
  <c r="AG84" i="105"/>
  <c r="AI79" i="135" s="1"/>
  <c r="K59" i="141"/>
  <c r="K61" i="141" s="1"/>
  <c r="K62" i="141" s="1"/>
  <c r="Q23" i="91"/>
  <c r="L25" i="141"/>
  <c r="L26" i="141" s="1"/>
  <c r="S8" i="137"/>
  <c r="S9" i="137" s="1"/>
  <c r="Z45" i="135"/>
  <c r="Z177" i="135"/>
  <c r="AK59" i="90"/>
  <c r="AL59" i="90" s="1"/>
  <c r="AK10" i="85"/>
  <c r="AI12" i="105" s="1"/>
  <c r="P23" i="141"/>
  <c r="I22" i="138"/>
  <c r="P13" i="137"/>
  <c r="P71" i="141"/>
  <c r="P73" i="141" s="1"/>
  <c r="P74" i="141" s="1"/>
  <c r="I70" i="138"/>
  <c r="I72" i="138" s="1"/>
  <c r="I73" i="138" s="1"/>
  <c r="P18" i="137"/>
  <c r="P19" i="137" s="1"/>
  <c r="P17" i="137"/>
  <c r="BC84" i="105"/>
  <c r="BK85" i="105"/>
  <c r="BL85" i="105"/>
  <c r="BO85" i="105" s="1"/>
  <c r="V61" i="130"/>
  <c r="AK37" i="102"/>
  <c r="AK10" i="102" s="1"/>
  <c r="AB97" i="135"/>
  <c r="AG90" i="105"/>
  <c r="AI85" i="135" s="1"/>
  <c r="L61" i="138"/>
  <c r="C24" i="138"/>
  <c r="C25" i="138" s="1"/>
  <c r="J15" i="137"/>
  <c r="E72" i="138"/>
  <c r="E73" i="138" s="1"/>
  <c r="I4" i="141"/>
  <c r="I43" i="141"/>
  <c r="G24" i="138"/>
  <c r="G25" i="138" s="1"/>
  <c r="O8" i="137"/>
  <c r="O9" i="137" s="1"/>
  <c r="O37" i="141"/>
  <c r="O38" i="141" s="1"/>
  <c r="T8" i="137"/>
  <c r="T9" i="137" s="1"/>
  <c r="R47" i="141"/>
  <c r="R49" i="141" s="1"/>
  <c r="R50" i="141" s="1"/>
  <c r="AI96" i="105"/>
  <c r="AK91" i="135" s="1"/>
  <c r="K46" i="138"/>
  <c r="AK98" i="135"/>
  <c r="X19" i="85"/>
  <c r="AI97" i="105"/>
  <c r="AK92" i="135" s="1"/>
  <c r="R14" i="137"/>
  <c r="R15" i="137"/>
  <c r="Z22" i="69"/>
  <c r="AA22" i="69" s="1"/>
  <c r="AA19" i="69"/>
  <c r="G6" i="138"/>
  <c r="N51" i="137"/>
  <c r="N52" i="137" s="1"/>
  <c r="Q47" i="141"/>
  <c r="Q49" i="141" s="1"/>
  <c r="Q50" i="141" s="1"/>
  <c r="AH96" i="105"/>
  <c r="AJ91" i="135" s="1"/>
  <c r="J46" i="138"/>
  <c r="J10" i="138" s="1"/>
  <c r="Q56" i="137" s="1"/>
  <c r="Q15" i="137"/>
  <c r="AJ98" i="135"/>
  <c r="Q14" i="137"/>
  <c r="W19" i="85"/>
  <c r="N47" i="141"/>
  <c r="N49" i="141" s="1"/>
  <c r="N50" i="141" s="1"/>
  <c r="G46" i="138"/>
  <c r="T19" i="85"/>
  <c r="N14" i="137"/>
  <c r="N15" i="137"/>
  <c r="BC85" i="105"/>
  <c r="AA5" i="90"/>
  <c r="AA19" i="85" s="1"/>
  <c r="AG10" i="85"/>
  <c r="AE12" i="105" s="1"/>
  <c r="AH30" i="91"/>
  <c r="O223" i="8"/>
  <c r="O225" i="8" s="1"/>
  <c r="S71" i="141"/>
  <c r="S73" i="141" s="1"/>
  <c r="S74" i="141" s="1"/>
  <c r="L70" i="138"/>
  <c r="L72" i="138" s="1"/>
  <c r="L73" i="138" s="1"/>
  <c r="S18" i="137"/>
  <c r="S19" i="137" s="1"/>
  <c r="S17" i="137"/>
  <c r="K10" i="92"/>
  <c r="I15" i="105" s="1"/>
  <c r="J71" i="141"/>
  <c r="J73" i="141" s="1"/>
  <c r="J74" i="141" s="1"/>
  <c r="AC23" i="92"/>
  <c r="J18" i="137"/>
  <c r="J19" i="137" s="1"/>
  <c r="AG37" i="102"/>
  <c r="AG10" i="102" s="1"/>
  <c r="AH37" i="102"/>
  <c r="AH10" i="102" s="1"/>
  <c r="AH84" i="105"/>
  <c r="AJ79" i="135" s="1"/>
  <c r="J6" i="138"/>
  <c r="Q51" i="137"/>
  <c r="Q52" i="137" s="1"/>
  <c r="E6" i="138"/>
  <c r="L51" i="137"/>
  <c r="L52" i="137" s="1"/>
  <c r="L6" i="138"/>
  <c r="S51" i="137"/>
  <c r="S52" i="137" s="1"/>
  <c r="C46" i="138"/>
  <c r="C48" i="138" s="1"/>
  <c r="C49" i="138" s="1"/>
  <c r="D11" i="138"/>
  <c r="K57" i="137" s="1"/>
  <c r="L73" i="141"/>
  <c r="L74" i="141" s="1"/>
  <c r="T71" i="141"/>
  <c r="T73" i="141" s="1"/>
  <c r="T74" i="141" s="1"/>
  <c r="M70" i="138"/>
  <c r="M10" i="138" s="1"/>
  <c r="T17" i="137"/>
  <c r="T18" i="137"/>
  <c r="T19" i="137" s="1"/>
  <c r="C34" i="138"/>
  <c r="C36" i="138" s="1"/>
  <c r="C37" i="138" s="1"/>
  <c r="J35" i="141"/>
  <c r="J37" i="141" s="1"/>
  <c r="J38" i="141" s="1"/>
  <c r="AC90" i="135"/>
  <c r="K24" i="138"/>
  <c r="K25" i="138" s="1"/>
  <c r="S10" i="141"/>
  <c r="M47" i="141"/>
  <c r="M49" i="141" s="1"/>
  <c r="M50" i="141" s="1"/>
  <c r="AD96" i="105"/>
  <c r="AF91" i="135" s="1"/>
  <c r="F46" i="138"/>
  <c r="F48" i="138" s="1"/>
  <c r="F49" i="138" s="1"/>
  <c r="M14" i="137"/>
  <c r="S19" i="85"/>
  <c r="M15" i="137"/>
  <c r="AQ96" i="135"/>
  <c r="AQ129" i="135" s="1"/>
  <c r="AC129" i="135"/>
  <c r="M11" i="138"/>
  <c r="T57" i="137" s="1"/>
  <c r="B72" i="138"/>
  <c r="B73" i="138" s="1"/>
  <c r="P47" i="141"/>
  <c r="P49" i="141" s="1"/>
  <c r="P50" i="141" s="1"/>
  <c r="AG96" i="105"/>
  <c r="AI91" i="135" s="1"/>
  <c r="I46" i="138"/>
  <c r="I48" i="138" s="1"/>
  <c r="I49" i="138" s="1"/>
  <c r="P15" i="137"/>
  <c r="AI98" i="135"/>
  <c r="P14" i="137"/>
  <c r="V19" i="85"/>
  <c r="O47" i="141"/>
  <c r="O49" i="141" s="1"/>
  <c r="O50" i="141" s="1"/>
  <c r="AF96" i="105"/>
  <c r="AH91" i="135" s="1"/>
  <c r="H46" i="138"/>
  <c r="O14" i="137"/>
  <c r="O15" i="137"/>
  <c r="AB98" i="135"/>
  <c r="AF6" i="102"/>
  <c r="M59" i="141"/>
  <c r="M61" i="141" s="1"/>
  <c r="M62" i="141" s="1"/>
  <c r="S23" i="91"/>
  <c r="AF23" i="91" s="1"/>
  <c r="BJ85" i="105"/>
  <c r="N71" i="141"/>
  <c r="N73" i="141" s="1"/>
  <c r="N74" i="141" s="1"/>
  <c r="G70" i="138"/>
  <c r="G72" i="138" s="1"/>
  <c r="G73" i="138" s="1"/>
  <c r="N18" i="137"/>
  <c r="N19" i="137" s="1"/>
  <c r="N17" i="137"/>
  <c r="AE37" i="102"/>
  <c r="AE10" i="102" s="1"/>
  <c r="AM22" i="90"/>
  <c r="U42" i="105"/>
  <c r="C6" i="138"/>
  <c r="J51" i="137"/>
  <c r="J52" i="137" s="1"/>
  <c r="K37" i="141"/>
  <c r="K38" i="141" s="1"/>
  <c r="J24" i="138"/>
  <c r="J25" i="138" s="1"/>
  <c r="L8" i="137"/>
  <c r="L9" i="137" s="1"/>
  <c r="I47" i="141"/>
  <c r="I49" i="141" s="1"/>
  <c r="B46" i="138"/>
  <c r="B48" i="138" s="1"/>
  <c r="B49" i="138" s="1"/>
  <c r="I15" i="137"/>
  <c r="I14" i="137"/>
  <c r="O19" i="85"/>
  <c r="O10" i="141"/>
  <c r="T10" i="141"/>
  <c r="J25" i="141"/>
  <c r="J26" i="141" s="1"/>
  <c r="AI37" i="102"/>
  <c r="AI10" i="102" s="1"/>
  <c r="L47" i="141"/>
  <c r="L49" i="141" s="1"/>
  <c r="L50" i="141" s="1"/>
  <c r="AC96" i="105"/>
  <c r="AE91" i="135" s="1"/>
  <c r="E46" i="138"/>
  <c r="L15" i="137"/>
  <c r="R19" i="85"/>
  <c r="AC97" i="105"/>
  <c r="AE92" i="135" s="1"/>
  <c r="L14" i="137"/>
  <c r="BI85" i="105"/>
  <c r="T186" i="8"/>
  <c r="T187" i="8" s="1"/>
  <c r="T169" i="8" s="1"/>
  <c r="K79" i="102"/>
  <c r="K14" i="102" s="1"/>
  <c r="AC84" i="105"/>
  <c r="AE79" i="135" s="1"/>
  <c r="K16" i="137"/>
  <c r="H6" i="138"/>
  <c r="O51" i="137"/>
  <c r="O52" i="137" s="1"/>
  <c r="M6" i="138"/>
  <c r="T51" i="137"/>
  <c r="T52" i="137" s="1"/>
  <c r="D36" i="138"/>
  <c r="D37" i="138" s="1"/>
  <c r="T25" i="141"/>
  <c r="T26" i="141" s="1"/>
  <c r="N25" i="141"/>
  <c r="N26" i="141" s="1"/>
  <c r="J72" i="138"/>
  <c r="J73" i="138" s="1"/>
  <c r="L10" i="141"/>
  <c r="AC56" i="135"/>
  <c r="AC121" i="135"/>
  <c r="AQ47" i="135"/>
  <c r="AQ121" i="135" s="1"/>
  <c r="AD107" i="135"/>
  <c r="AR107" i="135" s="1"/>
  <c r="N8" i="137"/>
  <c r="N9" i="137" s="1"/>
  <c r="Q18" i="137"/>
  <c r="Q19" i="137" s="1"/>
  <c r="S23" i="141"/>
  <c r="AJ83" i="105"/>
  <c r="L22" i="138"/>
  <c r="S13" i="137"/>
  <c r="AR45" i="135"/>
  <c r="AR65" i="135"/>
  <c r="AR71" i="135"/>
  <c r="AB99" i="135"/>
  <c r="I23" i="141"/>
  <c r="AM10" i="85"/>
  <c r="AK12" i="105" s="1"/>
  <c r="AH10" i="85"/>
  <c r="AF12" i="105" s="1"/>
  <c r="O71" i="141"/>
  <c r="O73" i="141" s="1"/>
  <c r="O74" i="141" s="1"/>
  <c r="H70" i="138"/>
  <c r="H72" i="138" s="1"/>
  <c r="H73" i="138" s="1"/>
  <c r="O18" i="137"/>
  <c r="O19" i="137" s="1"/>
  <c r="O17" i="137"/>
  <c r="BG85" i="105"/>
  <c r="BE85" i="105"/>
  <c r="K6" i="138"/>
  <c r="R51" i="137"/>
  <c r="R52" i="137" s="1"/>
  <c r="L18" i="137"/>
  <c r="L19" i="137" s="1"/>
  <c r="Q73" i="141"/>
  <c r="Q74" i="141" s="1"/>
  <c r="O25" i="141"/>
  <c r="O26" i="141" s="1"/>
  <c r="S47" i="141"/>
  <c r="S49" i="141" s="1"/>
  <c r="S50" i="141" s="1"/>
  <c r="AJ96" i="105"/>
  <c r="L46" i="138"/>
  <c r="L48" i="138" s="1"/>
  <c r="L49" i="138" s="1"/>
  <c r="S15" i="137"/>
  <c r="Y19" i="85"/>
  <c r="S14" i="137"/>
  <c r="Q61" i="141"/>
  <c r="Q62" i="141" s="1"/>
  <c r="I73" i="141"/>
  <c r="I74" i="141" s="1"/>
  <c r="BH85" i="105"/>
  <c r="AJ37" i="102"/>
  <c r="AJ10" i="102" s="1"/>
  <c r="AB100" i="135"/>
  <c r="R71" i="141"/>
  <c r="R73" i="141" s="1"/>
  <c r="R74" i="141" s="1"/>
  <c r="K70" i="138"/>
  <c r="R17" i="137"/>
  <c r="R18" i="137"/>
  <c r="R19" i="137" s="1"/>
  <c r="AL22" i="90"/>
  <c r="K23" i="92"/>
  <c r="I44" i="105" s="1"/>
  <c r="AC10" i="85"/>
  <c r="AP90" i="135"/>
  <c r="AB147" i="135"/>
  <c r="M71" i="141"/>
  <c r="M73" i="141" s="1"/>
  <c r="M74" i="141" s="1"/>
  <c r="F70" i="138"/>
  <c r="F72" i="138" s="1"/>
  <c r="F73" i="138" s="1"/>
  <c r="M17" i="137"/>
  <c r="M18" i="137"/>
  <c r="M19" i="137" s="1"/>
  <c r="AK22" i="90"/>
  <c r="AE84" i="105"/>
  <c r="AG79" i="135" s="1"/>
  <c r="F6" i="138"/>
  <c r="M51" i="137"/>
  <c r="M52" i="137" s="1"/>
  <c r="F11" i="138"/>
  <c r="M57" i="137" s="1"/>
  <c r="H11" i="138"/>
  <c r="O57" i="137" s="1"/>
  <c r="N10" i="141"/>
  <c r="Q25" i="141"/>
  <c r="Q26" i="141" s="1"/>
  <c r="R8" i="137"/>
  <c r="R9" i="137" s="1"/>
  <c r="AQ51" i="135"/>
  <c r="AQ159" i="135" s="1"/>
  <c r="AC159" i="135"/>
  <c r="Q8" i="137"/>
  <c r="Q9" i="137" s="1"/>
  <c r="M79" i="105"/>
  <c r="AP17" i="135"/>
  <c r="U8" i="120"/>
  <c r="V79" i="105"/>
  <c r="AQ19" i="135"/>
  <c r="AQ154" i="135" s="1"/>
  <c r="N8" i="120"/>
  <c r="P79" i="105"/>
  <c r="AQ9" i="135"/>
  <c r="AC113" i="135"/>
  <c r="M8" i="120"/>
  <c r="O79" i="105"/>
  <c r="W8" i="120"/>
  <c r="X79" i="105"/>
  <c r="R8" i="120"/>
  <c r="S79" i="105"/>
  <c r="AC115" i="135"/>
  <c r="AQ17" i="135"/>
  <c r="AQ115" i="135" s="1"/>
  <c r="V8" i="120"/>
  <c r="W79" i="105"/>
  <c r="F78" i="105"/>
  <c r="D8" i="120"/>
  <c r="T8" i="120"/>
  <c r="U79" i="105"/>
  <c r="P8" i="120"/>
  <c r="R79" i="105"/>
  <c r="S8" i="120"/>
  <c r="T79" i="105"/>
  <c r="R40" i="105"/>
  <c r="P15" i="120" s="1"/>
  <c r="O8" i="120"/>
  <c r="Q79" i="105"/>
  <c r="K10" i="141"/>
  <c r="AE25" i="102"/>
  <c r="T149" i="8"/>
  <c r="D6" i="138"/>
  <c r="K51" i="137"/>
  <c r="K52" i="137" s="1"/>
  <c r="U3" i="137"/>
  <c r="AA9" i="82"/>
  <c r="Y11" i="105" s="1"/>
  <c r="Y5" i="105" s="1"/>
  <c r="U6" i="137"/>
  <c r="AA10" i="91"/>
  <c r="Y14" i="105" s="1"/>
  <c r="U4" i="137"/>
  <c r="AA10" i="85"/>
  <c r="Y12" i="105" s="1"/>
  <c r="BD85" i="105"/>
  <c r="AA10" i="92"/>
  <c r="Y15" i="105" s="1"/>
  <c r="D22" i="138"/>
  <c r="D24" i="138" s="1"/>
  <c r="K13" i="137"/>
  <c r="BD84" i="105"/>
  <c r="K8" i="137"/>
  <c r="K9" i="137" s="1"/>
  <c r="K18" i="137"/>
  <c r="K19" i="137" s="1"/>
  <c r="D70" i="138"/>
  <c r="D72" i="138" s="1"/>
  <c r="D73" i="138" s="1"/>
  <c r="K17" i="137"/>
  <c r="U5" i="137"/>
  <c r="AQ45" i="135"/>
  <c r="AQ71" i="135"/>
  <c r="AQ65" i="135"/>
  <c r="AC107" i="135"/>
  <c r="AQ107" i="135" s="1"/>
  <c r="AP94" i="135"/>
  <c r="AP206" i="135" s="1"/>
  <c r="AB206" i="135"/>
  <c r="BC83" i="105"/>
  <c r="BN83" i="105" s="1"/>
  <c r="L8" i="120"/>
  <c r="N79" i="105"/>
  <c r="B22" i="138"/>
  <c r="B24" i="138" s="1"/>
  <c r="B25" i="138" s="1"/>
  <c r="I13" i="137"/>
  <c r="AE19" i="69"/>
  <c r="AP45" i="135"/>
  <c r="AP71" i="135"/>
  <c r="AP65" i="135"/>
  <c r="AB107" i="135"/>
  <c r="AA12" i="102"/>
  <c r="R176" i="8"/>
  <c r="C70" i="138"/>
  <c r="J17" i="137"/>
  <c r="U7" i="137"/>
  <c r="J8" i="137"/>
  <c r="J9" i="137" s="1"/>
  <c r="S92" i="8"/>
  <c r="S223" i="8" s="1"/>
  <c r="S98" i="8"/>
  <c r="T92" i="8"/>
  <c r="T223" i="8" s="1"/>
  <c r="T225" i="8" s="1"/>
  <c r="T98" i="8"/>
  <c r="AB154" i="135"/>
  <c r="AP19" i="135"/>
  <c r="AP154" i="135" s="1"/>
  <c r="H2" i="135"/>
  <c r="Z133" i="135"/>
  <c r="BF85" i="105"/>
  <c r="AP87" i="135"/>
  <c r="AP205" i="135" s="1"/>
  <c r="BB83" i="105"/>
  <c r="H4" i="135"/>
  <c r="H5" i="135"/>
  <c r="AB115" i="135"/>
  <c r="BB85" i="105"/>
  <c r="AB135" i="135"/>
  <c r="X40" i="105"/>
  <c r="W15" i="120" s="1"/>
  <c r="B60" i="138"/>
  <c r="B61" i="138" s="1"/>
  <c r="U19" i="69"/>
  <c r="T22" i="69"/>
  <c r="U22" i="69" s="1"/>
  <c r="M61" i="138"/>
  <c r="F58" i="138"/>
  <c r="M16" i="137"/>
  <c r="E61" i="138"/>
  <c r="J22" i="69"/>
  <c r="K19" i="69"/>
  <c r="N22" i="69"/>
  <c r="O19" i="69"/>
  <c r="AF24" i="85"/>
  <c r="AE86" i="105"/>
  <c r="AG81" i="135" s="1"/>
  <c r="AG204" i="135" s="1"/>
  <c r="Q23" i="92"/>
  <c r="AD23" i="92" s="1"/>
  <c r="AO23" i="92" s="1"/>
  <c r="U23" i="92"/>
  <c r="AF86" i="105"/>
  <c r="AH81" i="135" s="1"/>
  <c r="AH204" i="135" s="1"/>
  <c r="P44" i="105"/>
  <c r="AL44" i="105"/>
  <c r="X23" i="92"/>
  <c r="J5" i="135"/>
  <c r="V23" i="92"/>
  <c r="AI23" i="92" s="1"/>
  <c r="AG92" i="105"/>
  <c r="AI87" i="135" s="1"/>
  <c r="Y23" i="92"/>
  <c r="AL23" i="92" s="1"/>
  <c r="AJ99" i="105"/>
  <c r="U44" i="105"/>
  <c r="S23" i="92"/>
  <c r="AL23" i="82"/>
  <c r="U142" i="8"/>
  <c r="S149" i="8"/>
  <c r="AG22" i="90"/>
  <c r="AE23" i="82"/>
  <c r="AG30" i="91"/>
  <c r="AC22" i="90"/>
  <c r="AB88" i="105"/>
  <c r="AD83" i="135" s="1"/>
  <c r="AD127" i="135" s="1"/>
  <c r="U40" i="105"/>
  <c r="T15" i="120" s="1"/>
  <c r="Y146" i="135"/>
  <c r="AA146" i="135" s="1"/>
  <c r="K26" i="102"/>
  <c r="G12" i="120"/>
  <c r="H12" i="120" s="1"/>
  <c r="D7" i="120"/>
  <c r="Y167" i="135"/>
  <c r="AG24" i="85"/>
  <c r="AD23" i="82"/>
  <c r="AO23" i="82" s="1"/>
  <c r="AI22" i="90"/>
  <c r="AE6" i="102"/>
  <c r="AB8" i="91"/>
  <c r="R149" i="8"/>
  <c r="AF10" i="85"/>
  <c r="AD12" i="105" s="1"/>
  <c r="Q181" i="8"/>
  <c r="Q165" i="8" s="1"/>
  <c r="Q168" i="8" s="1"/>
  <c r="AM23" i="82"/>
  <c r="AH22" i="90"/>
  <c r="AI10" i="85"/>
  <c r="AG12" i="105" s="1"/>
  <c r="AI30" i="91"/>
  <c r="AD24" i="85"/>
  <c r="D12" i="124"/>
  <c r="E12" i="124" s="1"/>
  <c r="D4" i="124" s="1"/>
  <c r="C4" i="124" s="1"/>
  <c r="AK25" i="102"/>
  <c r="Y184" i="135"/>
  <c r="Y147" i="135"/>
  <c r="AA147" i="135" s="1"/>
  <c r="AJ94" i="105"/>
  <c r="Y165" i="135"/>
  <c r="Y186" i="135"/>
  <c r="Y164" i="135"/>
  <c r="Q17" i="82"/>
  <c r="AD17" i="82" s="1"/>
  <c r="AO17" i="82" s="1"/>
  <c r="AD83" i="105"/>
  <c r="AF78" i="135" s="1"/>
  <c r="E15" i="135"/>
  <c r="E196" i="135" s="1"/>
  <c r="Y94" i="135"/>
  <c r="P17" i="120"/>
  <c r="AW192" i="105"/>
  <c r="G11" i="120"/>
  <c r="H11" i="120" s="1"/>
  <c r="M92" i="130"/>
  <c r="J92" i="130"/>
  <c r="L92" i="130" s="1"/>
  <c r="P147" i="8"/>
  <c r="P154" i="8" s="1"/>
  <c r="AL9" i="82"/>
  <c r="P3" i="120"/>
  <c r="D11" i="124"/>
  <c r="E11" i="124" s="1"/>
  <c r="D3" i="124" s="1"/>
  <c r="AH23" i="82"/>
  <c r="AI24" i="85"/>
  <c r="AE22" i="90"/>
  <c r="AF37" i="102"/>
  <c r="AF10" i="102" s="1"/>
  <c r="AJ24" i="85"/>
  <c r="AK35" i="102"/>
  <c r="AC6" i="92"/>
  <c r="AF23" i="82"/>
  <c r="V181" i="8"/>
  <c r="V165" i="8" s="1"/>
  <c r="AH25" i="102"/>
  <c r="U176" i="8"/>
  <c r="AD25" i="102"/>
  <c r="AJ25" i="102"/>
  <c r="AM24" i="102"/>
  <c r="Y77" i="105"/>
  <c r="AK85" i="105"/>
  <c r="U43" i="105"/>
  <c r="S40" i="105"/>
  <c r="R15" i="120" s="1"/>
  <c r="AK83" i="105"/>
  <c r="G84" i="130"/>
  <c r="G85" i="130" s="1"/>
  <c r="G89" i="130" s="1"/>
  <c r="Y17" i="82"/>
  <c r="AL17" i="82" s="1"/>
  <c r="D14" i="124"/>
  <c r="E14" i="124" s="1"/>
  <c r="D6" i="124" s="1"/>
  <c r="C6" i="124" s="1"/>
  <c r="R13" i="8"/>
  <c r="J29" i="124"/>
  <c r="K29" i="124" s="1"/>
  <c r="L29" i="124" s="1"/>
  <c r="M5" i="124" s="1"/>
  <c r="U177" i="8"/>
  <c r="U178" i="8"/>
  <c r="P181" i="8"/>
  <c r="J30" i="124"/>
  <c r="K30" i="124" s="1"/>
  <c r="L30" i="124" s="1"/>
  <c r="M6" i="124" s="1"/>
  <c r="AL37" i="102"/>
  <c r="AL10" i="102" s="1"/>
  <c r="U185" i="8"/>
  <c r="AF30" i="91"/>
  <c r="AC24" i="85"/>
  <c r="R177" i="8"/>
  <c r="AF25" i="102"/>
  <c r="V195" i="8"/>
  <c r="V170" i="8" s="1"/>
  <c r="S191" i="8"/>
  <c r="S166" i="8" s="1"/>
  <c r="AJ24" i="102"/>
  <c r="AG50" i="102"/>
  <c r="J191" i="8"/>
  <c r="J166" i="8" s="1"/>
  <c r="AJ22" i="90"/>
  <c r="AL24" i="85"/>
  <c r="AM37" i="102"/>
  <c r="AM10" i="102" s="1"/>
  <c r="AI89" i="102"/>
  <c r="U193" i="8"/>
  <c r="F195" i="8"/>
  <c r="R192" i="8"/>
  <c r="J195" i="8"/>
  <c r="J170" i="8" s="1"/>
  <c r="AG88" i="102"/>
  <c r="C240" i="8"/>
  <c r="T191" i="8"/>
  <c r="T166" i="8" s="1"/>
  <c r="AI50" i="102"/>
  <c r="U188" i="8"/>
  <c r="L191" i="8"/>
  <c r="AG24" i="102"/>
  <c r="AK24" i="102"/>
  <c r="C239" i="8"/>
  <c r="AK88" i="102"/>
  <c r="AK91" i="102" s="1"/>
  <c r="N195" i="8"/>
  <c r="N170" i="8" s="1"/>
  <c r="AH88" i="102"/>
  <c r="AH91" i="102" s="1"/>
  <c r="K195" i="8"/>
  <c r="K170" i="8" s="1"/>
  <c r="AD22" i="90"/>
  <c r="G191" i="8"/>
  <c r="AE50" i="102"/>
  <c r="H191" i="8"/>
  <c r="H166" i="8" s="1"/>
  <c r="AC52" i="102"/>
  <c r="AO52" i="102" s="1"/>
  <c r="R190" i="8"/>
  <c r="AN25" i="102"/>
  <c r="AD91" i="102"/>
  <c r="G195" i="8"/>
  <c r="G170" i="8" s="1"/>
  <c r="AI88" i="102"/>
  <c r="U192" i="8"/>
  <c r="L195" i="8"/>
  <c r="AC90" i="102"/>
  <c r="AO90" i="102" s="1"/>
  <c r="R194" i="8"/>
  <c r="AE24" i="85"/>
  <c r="AF8" i="102"/>
  <c r="M191" i="8"/>
  <c r="M166" i="8" s="1"/>
  <c r="AJ50" i="102"/>
  <c r="P191" i="8"/>
  <c r="P166" i="8" s="1"/>
  <c r="AM50" i="102"/>
  <c r="AH24" i="102"/>
  <c r="AL24" i="102"/>
  <c r="P195" i="8"/>
  <c r="P170" i="8" s="1"/>
  <c r="AM88" i="102"/>
  <c r="AM91" i="102" s="1"/>
  <c r="AG25" i="102"/>
  <c r="AL88" i="102"/>
  <c r="AL91" i="102" s="1"/>
  <c r="O195" i="8"/>
  <c r="O170" i="8" s="1"/>
  <c r="S195" i="8"/>
  <c r="S170" i="8" s="1"/>
  <c r="C234" i="8"/>
  <c r="AF50" i="102"/>
  <c r="I191" i="8"/>
  <c r="I166" i="8" s="1"/>
  <c r="AE24" i="102"/>
  <c r="AI51" i="102"/>
  <c r="U189" i="8"/>
  <c r="AC89" i="102"/>
  <c r="AO89" i="102" s="1"/>
  <c r="R193" i="8"/>
  <c r="AE88" i="102"/>
  <c r="AE91" i="102" s="1"/>
  <c r="H195" i="8"/>
  <c r="H170" i="8" s="1"/>
  <c r="C238" i="8"/>
  <c r="N191" i="8"/>
  <c r="N166" i="8" s="1"/>
  <c r="AK50" i="102"/>
  <c r="Q191" i="8"/>
  <c r="Q166" i="8" s="1"/>
  <c r="AN50" i="102"/>
  <c r="C235" i="8"/>
  <c r="U190" i="8"/>
  <c r="AI52" i="102"/>
  <c r="AJ88" i="102"/>
  <c r="AJ91" i="102" s="1"/>
  <c r="M195" i="8"/>
  <c r="M170" i="8" s="1"/>
  <c r="AF24" i="102"/>
  <c r="AM24" i="85"/>
  <c r="AL25" i="102"/>
  <c r="AF88" i="102"/>
  <c r="AF91" i="102" s="1"/>
  <c r="I195" i="8"/>
  <c r="I170" i="8" s="1"/>
  <c r="K91" i="102"/>
  <c r="R188" i="8"/>
  <c r="F191" i="8"/>
  <c r="K53" i="102"/>
  <c r="AN24" i="102"/>
  <c r="C236" i="8"/>
  <c r="T195" i="8"/>
  <c r="T170" i="8" s="1"/>
  <c r="Q195" i="8"/>
  <c r="Q170" i="8" s="1"/>
  <c r="AN88" i="102"/>
  <c r="AN91" i="102" s="1"/>
  <c r="X15" i="95" s="1"/>
  <c r="U194" i="8"/>
  <c r="AI90" i="102"/>
  <c r="V191" i="8"/>
  <c r="V166" i="8" s="1"/>
  <c r="O191" i="8"/>
  <c r="O166" i="8" s="1"/>
  <c r="AL50" i="102"/>
  <c r="K191" i="8"/>
  <c r="K166" i="8" s="1"/>
  <c r="AH50" i="102"/>
  <c r="AC51" i="102"/>
  <c r="R189" i="8"/>
  <c r="AJ30" i="91"/>
  <c r="C116" i="8"/>
  <c r="K8" i="92"/>
  <c r="I34" i="105" s="1"/>
  <c r="I35" i="105" s="1"/>
  <c r="S181" i="8"/>
  <c r="S165" i="8" s="1"/>
  <c r="T181" i="8"/>
  <c r="T165" i="8" s="1"/>
  <c r="T168" i="8" s="1"/>
  <c r="AC30" i="91"/>
  <c r="AD77" i="102"/>
  <c r="AD12" i="102" s="1"/>
  <c r="AE30" i="91"/>
  <c r="AF77" i="102"/>
  <c r="AF12" i="102" s="1"/>
  <c r="V187" i="8"/>
  <c r="V169" i="8" s="1"/>
  <c r="S187" i="8"/>
  <c r="S169" i="8" s="1"/>
  <c r="AB84" i="135"/>
  <c r="Z86" i="105"/>
  <c r="AB81" i="135" s="1"/>
  <c r="AB204" i="135" s="1"/>
  <c r="AB89" i="105"/>
  <c r="AD84" i="135" s="1"/>
  <c r="AB84" i="105"/>
  <c r="AD79" i="135" s="1"/>
  <c r="X24" i="120"/>
  <c r="AC83" i="105"/>
  <c r="AE78" i="135" s="1"/>
  <c r="P40" i="105"/>
  <c r="N15" i="120" s="1"/>
  <c r="AE83" i="105"/>
  <c r="AG78" i="135" s="1"/>
  <c r="AF90" i="105"/>
  <c r="AH85" i="135" s="1"/>
  <c r="AF83" i="105"/>
  <c r="AH78" i="135" s="1"/>
  <c r="AC6" i="85"/>
  <c r="AE6" i="85"/>
  <c r="AC25" i="105" s="1"/>
  <c r="AD6" i="85"/>
  <c r="AL6" i="85"/>
  <c r="AJ25" i="105" s="1"/>
  <c r="AF6" i="85"/>
  <c r="AD25" i="105" s="1"/>
  <c r="AJ6" i="85"/>
  <c r="AH25" i="105" s="1"/>
  <c r="AH6" i="85"/>
  <c r="AF25" i="105" s="1"/>
  <c r="AJ6" i="91"/>
  <c r="AH27" i="105" s="1"/>
  <c r="D15" i="124"/>
  <c r="E15" i="124" s="1"/>
  <c r="D7" i="124" s="1"/>
  <c r="AF9" i="82"/>
  <c r="AI9" i="82"/>
  <c r="Q131" i="8"/>
  <c r="AE9" i="82"/>
  <c r="AJ9" i="82"/>
  <c r="AG9" i="82"/>
  <c r="AK9" i="82"/>
  <c r="AH9" i="82"/>
  <c r="AD9" i="82"/>
  <c r="AO9" i="82" s="1"/>
  <c r="M147" i="8"/>
  <c r="K6" i="91"/>
  <c r="I27" i="105" s="1"/>
  <c r="AC6" i="91"/>
  <c r="Q147" i="8"/>
  <c r="K10" i="85"/>
  <c r="I12" i="105" s="1"/>
  <c r="K10" i="91"/>
  <c r="I14" i="105" s="1"/>
  <c r="K6" i="85"/>
  <c r="N147" i="8"/>
  <c r="O147" i="8"/>
  <c r="K5" i="82"/>
  <c r="C117" i="8"/>
  <c r="J147" i="8"/>
  <c r="G147" i="8"/>
  <c r="AA5" i="92"/>
  <c r="C110" i="8"/>
  <c r="W113" i="8" s="1"/>
  <c r="W114" i="8" s="1"/>
  <c r="I147" i="8"/>
  <c r="C89" i="8"/>
  <c r="C101" i="8"/>
  <c r="C104" i="8" s="1"/>
  <c r="C119" i="8"/>
  <c r="K9" i="82"/>
  <c r="L147" i="8"/>
  <c r="K147" i="8"/>
  <c r="H147" i="8"/>
  <c r="K6" i="92"/>
  <c r="K162" i="8"/>
  <c r="J162" i="8"/>
  <c r="W42" i="105"/>
  <c r="AD6" i="92"/>
  <c r="AE6" i="92"/>
  <c r="AC28" i="105" s="1"/>
  <c r="AM6" i="92"/>
  <c r="AC12" i="102"/>
  <c r="M84" i="130"/>
  <c r="M85" i="130" s="1"/>
  <c r="V36" i="130"/>
  <c r="V60" i="130" s="1"/>
  <c r="S118" i="8"/>
  <c r="AL6" i="92"/>
  <c r="AJ28" i="105" s="1"/>
  <c r="V92" i="8"/>
  <c r="Y16" i="105" s="1"/>
  <c r="AK100" i="135"/>
  <c r="AK6" i="92"/>
  <c r="AI28" i="105" s="1"/>
  <c r="AC88" i="105"/>
  <c r="AE83" i="135" s="1"/>
  <c r="AK88" i="105"/>
  <c r="W19" i="8"/>
  <c r="X23" i="8" s="1"/>
  <c r="AJ6" i="92"/>
  <c r="AH28" i="105" s="1"/>
  <c r="V110" i="8"/>
  <c r="S3" i="120"/>
  <c r="S17" i="120"/>
  <c r="Z91" i="105"/>
  <c r="AB86" i="135" s="1"/>
  <c r="P43" i="105"/>
  <c r="AI91" i="105"/>
  <c r="AK86" i="135" s="1"/>
  <c r="AE91" i="105"/>
  <c r="AG86" i="135" s="1"/>
  <c r="AA91" i="105"/>
  <c r="AC86" i="135" s="1"/>
  <c r="AA85" i="105"/>
  <c r="AC80" i="135" s="1"/>
  <c r="V22" i="130"/>
  <c r="AG91" i="105"/>
  <c r="AI86" i="135" s="1"/>
  <c r="AI6" i="92"/>
  <c r="AG28" i="105" s="1"/>
  <c r="AA6" i="92"/>
  <c r="Y28" i="105" s="1"/>
  <c r="AI100" i="135"/>
  <c r="V18" i="130"/>
  <c r="V19" i="130"/>
  <c r="R17" i="102"/>
  <c r="P16" i="120"/>
  <c r="W13" i="8"/>
  <c r="W21" i="8" s="1"/>
  <c r="AN7" i="105"/>
  <c r="U158" i="8"/>
  <c r="AA5" i="82"/>
  <c r="S13" i="8"/>
  <c r="Y14" i="8" s="1"/>
  <c r="AN10" i="102"/>
  <c r="AN8" i="102"/>
  <c r="R92" i="8"/>
  <c r="R223" i="8" s="1"/>
  <c r="AH8" i="102"/>
  <c r="Q10" i="120"/>
  <c r="AG12" i="102"/>
  <c r="AL8" i="102"/>
  <c r="AN12" i="102"/>
  <c r="AJ8" i="102"/>
  <c r="L223" i="8"/>
  <c r="AL10" i="85"/>
  <c r="AJ12" i="105" s="1"/>
  <c r="P139" i="8"/>
  <c r="AI8" i="102"/>
  <c r="Q231" i="8"/>
  <c r="AM8" i="102"/>
  <c r="P231" i="8"/>
  <c r="N231" i="8"/>
  <c r="O231" i="8"/>
  <c r="N223" i="8"/>
  <c r="Q169" i="8"/>
  <c r="Q172" i="8" s="1"/>
  <c r="AK6" i="102"/>
  <c r="Q223" i="8"/>
  <c r="M223" i="8"/>
  <c r="AK10" i="92"/>
  <c r="AI15" i="105" s="1"/>
  <c r="O162" i="8"/>
  <c r="AJ10" i="92"/>
  <c r="AH15" i="105" s="1"/>
  <c r="N162" i="8"/>
  <c r="P223" i="8"/>
  <c r="AL6" i="102"/>
  <c r="AN6" i="102"/>
  <c r="AN16" i="102" s="1"/>
  <c r="AN43" i="102"/>
  <c r="L231" i="8"/>
  <c r="M231" i="8"/>
  <c r="T17" i="120"/>
  <c r="T3" i="120"/>
  <c r="AI96" i="135"/>
  <c r="AM10" i="92"/>
  <c r="AK15" i="105" s="1"/>
  <c r="Q162" i="8"/>
  <c r="AH10" i="92"/>
  <c r="AF15" i="105" s="1"/>
  <c r="L162" i="8"/>
  <c r="AL10" i="92"/>
  <c r="AJ15" i="105" s="1"/>
  <c r="P162" i="8"/>
  <c r="AM6" i="102"/>
  <c r="AM16" i="102" s="1"/>
  <c r="AJ10" i="85"/>
  <c r="AH12" i="105" s="1"/>
  <c r="AJ6" i="102"/>
  <c r="AI6" i="102"/>
  <c r="K9" i="95"/>
  <c r="S117" i="8"/>
  <c r="AH6" i="102"/>
  <c r="V13" i="8"/>
  <c r="K225" i="8"/>
  <c r="K231" i="8"/>
  <c r="AG10" i="92"/>
  <c r="AE15" i="105" s="1"/>
  <c r="P13" i="124"/>
  <c r="L13" i="124"/>
  <c r="K5" i="124" s="1"/>
  <c r="J5" i="124" s="1"/>
  <c r="AG8" i="102"/>
  <c r="X18" i="8"/>
  <c r="J223" i="8"/>
  <c r="J231" i="8"/>
  <c r="AA5" i="91"/>
  <c r="AF99" i="135"/>
  <c r="AF10" i="92"/>
  <c r="AD15" i="105" s="1"/>
  <c r="Q9" i="120"/>
  <c r="I223" i="8"/>
  <c r="AE10" i="85"/>
  <c r="AC12" i="105" s="1"/>
  <c r="AE10" i="92"/>
  <c r="AC15" i="105" s="1"/>
  <c r="I162" i="8"/>
  <c r="Y130" i="8"/>
  <c r="I231" i="8"/>
  <c r="V117" i="8"/>
  <c r="R104" i="8"/>
  <c r="S110" i="8"/>
  <c r="S104" i="8"/>
  <c r="V118" i="8"/>
  <c r="V104" i="8"/>
  <c r="H162" i="8"/>
  <c r="AD10" i="92"/>
  <c r="AD10" i="85"/>
  <c r="H231" i="8"/>
  <c r="H223" i="8"/>
  <c r="R124" i="8"/>
  <c r="R229" i="8" s="1"/>
  <c r="R231" i="8" s="1"/>
  <c r="AA6" i="90"/>
  <c r="Y26" i="105" s="1"/>
  <c r="R110" i="8"/>
  <c r="T124" i="8"/>
  <c r="T229" i="8" s="1"/>
  <c r="T231" i="8" s="1"/>
  <c r="T104" i="8"/>
  <c r="AC10" i="92"/>
  <c r="AA15" i="105" s="1"/>
  <c r="T13" i="8"/>
  <c r="G231" i="8"/>
  <c r="S75" i="8"/>
  <c r="S119" i="8"/>
  <c r="L17" i="120"/>
  <c r="L3" i="120"/>
  <c r="C23" i="124"/>
  <c r="D23" i="124" s="1"/>
  <c r="E23" i="124" s="1"/>
  <c r="E7" i="124" s="1"/>
  <c r="C21" i="124"/>
  <c r="D21" i="124" s="1"/>
  <c r="E21" i="124" s="1"/>
  <c r="E5" i="124" s="1"/>
  <c r="C19" i="124"/>
  <c r="D19" i="124" s="1"/>
  <c r="E19" i="124" s="1"/>
  <c r="E3" i="124" s="1"/>
  <c r="R132" i="8"/>
  <c r="AB10" i="85"/>
  <c r="AA6" i="91"/>
  <c r="Y27" i="105" s="1"/>
  <c r="S155" i="8"/>
  <c r="AB10" i="92"/>
  <c r="R155" i="8"/>
  <c r="X130" i="8"/>
  <c r="F162" i="8"/>
  <c r="K17" i="120"/>
  <c r="K11" i="95"/>
  <c r="K43" i="105"/>
  <c r="L43" i="105" s="1"/>
  <c r="O41" i="132"/>
  <c r="O43" i="132" s="1"/>
  <c r="L15" i="120"/>
  <c r="AB25" i="105" l="1"/>
  <c r="AO6" i="85"/>
  <c r="AB12" i="105"/>
  <c r="AO10" i="85"/>
  <c r="N87" i="135"/>
  <c r="O93" i="105"/>
  <c r="X87" i="135"/>
  <c r="Y93" i="105"/>
  <c r="AB15" i="105"/>
  <c r="AO10" i="92"/>
  <c r="X81" i="135"/>
  <c r="Y87" i="105"/>
  <c r="N81" i="135"/>
  <c r="O87" i="105"/>
  <c r="AB41" i="105"/>
  <c r="AO20" i="85"/>
  <c r="R73" i="90"/>
  <c r="AB28" i="105"/>
  <c r="AH7" i="90"/>
  <c r="U144" i="8"/>
  <c r="Y73" i="90"/>
  <c r="P120" i="8"/>
  <c r="P144" i="8" s="1"/>
  <c r="AL7" i="90" s="1"/>
  <c r="W73" i="90"/>
  <c r="N120" i="8"/>
  <c r="N144" i="8" s="1"/>
  <c r="AJ7" i="90" s="1"/>
  <c r="T73" i="90"/>
  <c r="K120" i="8"/>
  <c r="K144" i="8" s="1"/>
  <c r="AG7" i="90" s="1"/>
  <c r="I45" i="105"/>
  <c r="G13" i="120" s="1"/>
  <c r="H13" i="120" s="1"/>
  <c r="Q40" i="105"/>
  <c r="O15" i="120" s="1"/>
  <c r="M118" i="135"/>
  <c r="BN84" i="105"/>
  <c r="AO51" i="102"/>
  <c r="AC24" i="102"/>
  <c r="AO24" i="102" s="1"/>
  <c r="AP24" i="102" s="1"/>
  <c r="AO12" i="102"/>
  <c r="AO77" i="102"/>
  <c r="C5" i="124"/>
  <c r="AQ83" i="135"/>
  <c r="AQ127" i="135" s="1"/>
  <c r="AC126" i="135"/>
  <c r="BN85" i="105"/>
  <c r="X44" i="105"/>
  <c r="AT89" i="135"/>
  <c r="AT128" i="135" s="1"/>
  <c r="AH185" i="135"/>
  <c r="AS81" i="135"/>
  <c r="AS204" i="135" s="1"/>
  <c r="AH184" i="135"/>
  <c r="AP21" i="135"/>
  <c r="AP193" i="135" s="1"/>
  <c r="AK184" i="135"/>
  <c r="R29" i="105"/>
  <c r="U29" i="105"/>
  <c r="AB186" i="135"/>
  <c r="AG127" i="135"/>
  <c r="AU93" i="135"/>
  <c r="AU186" i="135" s="1"/>
  <c r="AB166" i="135"/>
  <c r="AX93" i="135"/>
  <c r="AX186" i="135" s="1"/>
  <c r="AC128" i="135"/>
  <c r="AQ89" i="135"/>
  <c r="AQ128" i="135" s="1"/>
  <c r="X36" i="135"/>
  <c r="X37" i="135" s="1"/>
  <c r="B6" i="138"/>
  <c r="V40" i="105"/>
  <c r="U15" i="120" s="1"/>
  <c r="AA54" i="82"/>
  <c r="R42" i="105"/>
  <c r="AS220" i="135"/>
  <c r="N5" i="138"/>
  <c r="N6" i="138" s="1"/>
  <c r="V7" i="135"/>
  <c r="V8" i="135" s="1"/>
  <c r="V39" i="135" s="1"/>
  <c r="AP92" i="135"/>
  <c r="AB167" i="135"/>
  <c r="AP167" i="135" s="1"/>
  <c r="Q17" i="120"/>
  <c r="AI146" i="135"/>
  <c r="AW146" i="135" s="1"/>
  <c r="AW84" i="135"/>
  <c r="AF137" i="135"/>
  <c r="AT32" i="135"/>
  <c r="AT137" i="135" s="1"/>
  <c r="AB137" i="135"/>
  <c r="AP32" i="135"/>
  <c r="AP137" i="135" s="1"/>
  <c r="AN32" i="135"/>
  <c r="AY32" i="135"/>
  <c r="AY137" i="135" s="1"/>
  <c r="AK137" i="135"/>
  <c r="AQ32" i="135"/>
  <c r="AQ137" i="135" s="1"/>
  <c r="AC137" i="135"/>
  <c r="AA47" i="85"/>
  <c r="AA52" i="85" s="1"/>
  <c r="V135" i="8"/>
  <c r="AI137" i="135"/>
  <c r="AW32" i="135"/>
  <c r="AW137" i="135" s="1"/>
  <c r="O26" i="105"/>
  <c r="O29" i="105" s="1"/>
  <c r="Q66" i="90"/>
  <c r="Q71" i="90" s="1"/>
  <c r="AN24" i="135"/>
  <c r="AB116" i="135"/>
  <c r="AN25" i="135"/>
  <c r="AB136" i="135"/>
  <c r="AU32" i="135"/>
  <c r="AU137" i="135" s="1"/>
  <c r="AG137" i="135"/>
  <c r="AA48" i="82"/>
  <c r="AA53" i="82" s="1"/>
  <c r="V129" i="8"/>
  <c r="AX32" i="135"/>
  <c r="AX137" i="135" s="1"/>
  <c r="AJ137" i="135"/>
  <c r="AE137" i="135"/>
  <c r="AS32" i="135"/>
  <c r="AS137" i="135" s="1"/>
  <c r="AR32" i="135"/>
  <c r="AR137" i="135" s="1"/>
  <c r="AD137" i="135"/>
  <c r="AV32" i="135"/>
  <c r="AV137" i="135" s="1"/>
  <c r="AH137" i="135"/>
  <c r="AA10" i="95"/>
  <c r="AA32" i="135"/>
  <c r="Y137" i="135"/>
  <c r="AA25" i="135"/>
  <c r="Y136" i="135"/>
  <c r="R125" i="135"/>
  <c r="AY85" i="135"/>
  <c r="AY165" i="135" s="1"/>
  <c r="AY96" i="135"/>
  <c r="AY129" i="135" s="1"/>
  <c r="AS90" i="135"/>
  <c r="AT83" i="135"/>
  <c r="AT127" i="135" s="1"/>
  <c r="AS86" i="135"/>
  <c r="AS185" i="135" s="1"/>
  <c r="AR19" i="135"/>
  <c r="AR154" i="135" s="1"/>
  <c r="AW223" i="135"/>
  <c r="AG128" i="135"/>
  <c r="AR80" i="135"/>
  <c r="AR184" i="135" s="1"/>
  <c r="AY79" i="135"/>
  <c r="AY164" i="135" s="1"/>
  <c r="AV84" i="135"/>
  <c r="AJ185" i="135"/>
  <c r="AY93" i="135"/>
  <c r="AY186" i="135" s="1"/>
  <c r="L163" i="135"/>
  <c r="K65" i="135"/>
  <c r="K122" i="135"/>
  <c r="K71" i="135"/>
  <c r="K123" i="135"/>
  <c r="AE186" i="135"/>
  <c r="AY97" i="135"/>
  <c r="AY148" i="135" s="1"/>
  <c r="AV220" i="135"/>
  <c r="AP223" i="135"/>
  <c r="AQ223" i="135"/>
  <c r="P163" i="135"/>
  <c r="K23" i="91"/>
  <c r="I43" i="105" s="1"/>
  <c r="K34" i="91"/>
  <c r="AW93" i="135"/>
  <c r="AW186" i="135" s="1"/>
  <c r="N43" i="105"/>
  <c r="AJ184" i="135"/>
  <c r="AK187" i="135"/>
  <c r="AA65" i="91"/>
  <c r="M125" i="135"/>
  <c r="AC72" i="135"/>
  <c r="L125" i="135"/>
  <c r="AB72" i="135"/>
  <c r="T125" i="135"/>
  <c r="AJ72" i="135"/>
  <c r="P77" i="135"/>
  <c r="N125" i="135"/>
  <c r="AD72" i="135"/>
  <c r="P125" i="135"/>
  <c r="AF72" i="135"/>
  <c r="Q125" i="135"/>
  <c r="AG72" i="135"/>
  <c r="AY78" i="135"/>
  <c r="AY126" i="135" s="1"/>
  <c r="O125" i="135"/>
  <c r="AE72" i="135"/>
  <c r="AC146" i="135"/>
  <c r="AQ146" i="135" s="1"/>
  <c r="AQ84" i="135"/>
  <c r="AK147" i="135"/>
  <c r="AY147" i="135" s="1"/>
  <c r="L145" i="135"/>
  <c r="AB73" i="135"/>
  <c r="O152" i="135"/>
  <c r="AE4" i="135"/>
  <c r="R163" i="135"/>
  <c r="AH74" i="135"/>
  <c r="O163" i="135"/>
  <c r="AE74" i="135"/>
  <c r="U163" i="135"/>
  <c r="AK74" i="135"/>
  <c r="AH87" i="105"/>
  <c r="T163" i="135"/>
  <c r="AJ74" i="135"/>
  <c r="S163" i="135"/>
  <c r="AI74" i="135"/>
  <c r="K19" i="85"/>
  <c r="K17" i="90"/>
  <c r="I42" i="105" s="1"/>
  <c r="AK104" i="105"/>
  <c r="R183" i="135"/>
  <c r="AH75" i="135"/>
  <c r="P183" i="135"/>
  <c r="AF75" i="135"/>
  <c r="M183" i="135"/>
  <c r="AC75" i="135"/>
  <c r="T183" i="135"/>
  <c r="AJ75" i="135"/>
  <c r="S43" i="105"/>
  <c r="AH23" i="91"/>
  <c r="AF43" i="105" s="1"/>
  <c r="X43" i="105"/>
  <c r="AM23" i="91"/>
  <c r="AK43" i="105" s="1"/>
  <c r="Q183" i="135"/>
  <c r="AG75" i="135"/>
  <c r="S183" i="135"/>
  <c r="AI75" i="135"/>
  <c r="T43" i="105"/>
  <c r="AI23" i="91"/>
  <c r="AG43" i="105" s="1"/>
  <c r="J171" i="135"/>
  <c r="Y5" i="135"/>
  <c r="AA5" i="135" s="1"/>
  <c r="AO5" i="135" s="1"/>
  <c r="O43" i="105"/>
  <c r="AD23" i="91"/>
  <c r="AO23" i="91" s="1"/>
  <c r="N183" i="135"/>
  <c r="AD75" i="135"/>
  <c r="R43" i="105"/>
  <c r="AG23" i="91"/>
  <c r="AE43" i="105" s="1"/>
  <c r="U183" i="135"/>
  <c r="AK75" i="135"/>
  <c r="U171" i="135"/>
  <c r="AK5" i="135"/>
  <c r="AK171" i="135" s="1"/>
  <c r="O183" i="135"/>
  <c r="AE75" i="135"/>
  <c r="L183" i="135"/>
  <c r="AB75" i="135"/>
  <c r="P171" i="135"/>
  <c r="AF5" i="135"/>
  <c r="R44" i="105"/>
  <c r="AG207" i="135"/>
  <c r="V44" i="105"/>
  <c r="AK23" i="92"/>
  <c r="O42" i="105"/>
  <c r="M203" i="135"/>
  <c r="AC76" i="135"/>
  <c r="AC203" i="135" s="1"/>
  <c r="Q44" i="105"/>
  <c r="AF23" i="92"/>
  <c r="Q42" i="105"/>
  <c r="AF17" i="90"/>
  <c r="S42" i="105"/>
  <c r="AH17" i="90"/>
  <c r="O203" i="135"/>
  <c r="AE76" i="135"/>
  <c r="AE203" i="135" s="1"/>
  <c r="AE209" i="135" s="1"/>
  <c r="S203" i="135"/>
  <c r="AI76" i="135"/>
  <c r="AI203" i="135" s="1"/>
  <c r="AI209" i="135" s="1"/>
  <c r="AC17" i="90"/>
  <c r="T9" i="141"/>
  <c r="T11" i="141" s="1"/>
  <c r="T12" i="141" s="1"/>
  <c r="N191" i="135"/>
  <c r="AD6" i="135"/>
  <c r="AD191" i="135" s="1"/>
  <c r="U203" i="135"/>
  <c r="AK76" i="135"/>
  <c r="T42" i="105"/>
  <c r="AI17" i="90"/>
  <c r="P191" i="135"/>
  <c r="AF6" i="135"/>
  <c r="AF191" i="135" s="1"/>
  <c r="R203" i="135"/>
  <c r="AH76" i="135"/>
  <c r="AH203" i="135" s="1"/>
  <c r="AH209" i="135" s="1"/>
  <c r="Q203" i="135"/>
  <c r="AG76" i="135"/>
  <c r="AG203" i="135" s="1"/>
  <c r="AG209" i="135" s="1"/>
  <c r="L203" i="135"/>
  <c r="AB76" i="135"/>
  <c r="V42" i="105"/>
  <c r="AK17" i="90"/>
  <c r="P42" i="105"/>
  <c r="AE17" i="90"/>
  <c r="S44" i="105"/>
  <c r="AH23" i="92"/>
  <c r="P203" i="135"/>
  <c r="AF76" i="135"/>
  <c r="AF203" i="135" s="1"/>
  <c r="AF209" i="135" s="1"/>
  <c r="N203" i="135"/>
  <c r="AD76" i="135"/>
  <c r="AD203" i="135" s="1"/>
  <c r="T203" i="135"/>
  <c r="AJ76" i="135"/>
  <c r="AJ203" i="135" s="1"/>
  <c r="AJ209" i="135" s="1"/>
  <c r="AK127" i="135"/>
  <c r="L139" i="8"/>
  <c r="U139" i="8" s="1"/>
  <c r="AK93" i="105"/>
  <c r="Q139" i="8"/>
  <c r="AQ79" i="135"/>
  <c r="AQ164" i="135" s="1"/>
  <c r="AR20" i="135"/>
  <c r="AR173" i="135" s="1"/>
  <c r="V21" i="130"/>
  <c r="N9" i="141"/>
  <c r="AK128" i="135"/>
  <c r="O139" i="8"/>
  <c r="AM9" i="82"/>
  <c r="AK11" i="105" s="1"/>
  <c r="AK16" i="105" s="1"/>
  <c r="AC43" i="105"/>
  <c r="R227" i="8"/>
  <c r="AO39" i="92"/>
  <c r="AP39" i="92" s="1"/>
  <c r="K9" i="141"/>
  <c r="O77" i="135"/>
  <c r="AO37" i="85"/>
  <c r="AP37" i="85" s="1"/>
  <c r="AI43" i="105"/>
  <c r="AH93" i="105"/>
  <c r="AA43" i="105"/>
  <c r="AO32" i="85"/>
  <c r="AP32" i="85" s="1"/>
  <c r="U138" i="135"/>
  <c r="AO38" i="85"/>
  <c r="AP38" i="85" s="1"/>
  <c r="AK36" i="135"/>
  <c r="AK37" i="135" s="1"/>
  <c r="L77" i="135"/>
  <c r="AO27" i="85"/>
  <c r="AP27" i="85" s="1"/>
  <c r="AN90" i="135"/>
  <c r="BB90" i="135" s="1"/>
  <c r="S138" i="135"/>
  <c r="S176" i="135"/>
  <c r="U132" i="8"/>
  <c r="T29" i="105"/>
  <c r="AE22" i="105"/>
  <c r="AI22" i="105"/>
  <c r="P29" i="105"/>
  <c r="U176" i="135"/>
  <c r="U196" i="135"/>
  <c r="T227" i="8"/>
  <c r="G162" i="8"/>
  <c r="S162" i="8" s="1"/>
  <c r="U157" i="135"/>
  <c r="AJ88" i="135"/>
  <c r="AX88" i="135" s="1"/>
  <c r="N133" i="135"/>
  <c r="AO31" i="82"/>
  <c r="Y22" i="105"/>
  <c r="J82" i="130" s="1"/>
  <c r="AK101" i="135"/>
  <c r="AY101" i="135" s="1"/>
  <c r="AL28" i="105"/>
  <c r="S172" i="8"/>
  <c r="AO22" i="90"/>
  <c r="AK22" i="135"/>
  <c r="AY22" i="135" s="1"/>
  <c r="X29" i="105"/>
  <c r="Z15" i="105"/>
  <c r="AI129" i="135"/>
  <c r="AI101" i="135"/>
  <c r="AW96" i="135"/>
  <c r="AW129" i="135" s="1"/>
  <c r="AJ5" i="105"/>
  <c r="AJ10" i="105" s="1"/>
  <c r="AJ11" i="105"/>
  <c r="AJ16" i="105" s="1"/>
  <c r="AY100" i="135"/>
  <c r="AY207" i="135" s="1"/>
  <c r="AK207" i="135"/>
  <c r="AC5" i="105"/>
  <c r="AC10" i="105" s="1"/>
  <c r="AC11" i="105"/>
  <c r="AI25" i="105"/>
  <c r="AK41" i="85"/>
  <c r="AW89" i="135"/>
  <c r="AW128" i="135" s="1"/>
  <c r="AI128" i="135"/>
  <c r="AI167" i="135"/>
  <c r="AW167" i="135" s="1"/>
  <c r="AW92" i="135"/>
  <c r="AN179" i="135"/>
  <c r="M74" i="135"/>
  <c r="AC74" i="135" s="1"/>
  <c r="AI174" i="135"/>
  <c r="AW27" i="135"/>
  <c r="AW174" i="135" s="1"/>
  <c r="AY34" i="135"/>
  <c r="AY175" i="135" s="1"/>
  <c r="AK175" i="135"/>
  <c r="AF22" i="105"/>
  <c r="W29" i="105"/>
  <c r="AY12" i="135"/>
  <c r="AY153" i="135" s="1"/>
  <c r="AK153" i="135"/>
  <c r="AI114" i="135"/>
  <c r="AW10" i="135"/>
  <c r="AW114" i="135" s="1"/>
  <c r="AI15" i="135"/>
  <c r="AI191" i="135"/>
  <c r="AW6" i="135"/>
  <c r="AW191" i="135" s="1"/>
  <c r="AI207" i="135"/>
  <c r="AW100" i="135"/>
  <c r="AW207" i="135" s="1"/>
  <c r="AK28" i="105"/>
  <c r="H76" i="135"/>
  <c r="I28" i="105"/>
  <c r="G28" i="105"/>
  <c r="G29" i="105" s="1"/>
  <c r="Z33" i="105"/>
  <c r="AI168" i="135"/>
  <c r="AW98" i="135"/>
  <c r="AW168" i="135" s="1"/>
  <c r="AX79" i="135"/>
  <c r="AX164" i="135" s="1"/>
  <c r="AJ164" i="135"/>
  <c r="AX98" i="135"/>
  <c r="AX168" i="135" s="1"/>
  <c r="AJ168" i="135"/>
  <c r="AY91" i="135"/>
  <c r="AK166" i="135"/>
  <c r="AY166" i="135" s="1"/>
  <c r="AI164" i="135"/>
  <c r="AW79" i="135"/>
  <c r="AW164" i="135" s="1"/>
  <c r="AY21" i="135"/>
  <c r="AY193" i="135" s="1"/>
  <c r="AK193" i="135"/>
  <c r="W125" i="135"/>
  <c r="W77" i="135"/>
  <c r="AX100" i="135"/>
  <c r="AX207" i="135" s="1"/>
  <c r="AJ207" i="135"/>
  <c r="AY27" i="135"/>
  <c r="AY174" i="135" s="1"/>
  <c r="AK174" i="135"/>
  <c r="AK22" i="105"/>
  <c r="AI135" i="135"/>
  <c r="AW135" i="135" s="1"/>
  <c r="AW18" i="135"/>
  <c r="AT223" i="135"/>
  <c r="AT220" i="135"/>
  <c r="S125" i="135"/>
  <c r="S77" i="135"/>
  <c r="S118" i="135"/>
  <c r="AY9" i="135"/>
  <c r="AY113" i="135" s="1"/>
  <c r="AY118" i="135" s="1"/>
  <c r="AK113" i="135"/>
  <c r="AK118" i="135" s="1"/>
  <c r="AI194" i="135"/>
  <c r="AW28" i="135"/>
  <c r="AW194" i="135" s="1"/>
  <c r="AB11" i="105"/>
  <c r="AB5" i="105"/>
  <c r="AB10" i="105" s="1"/>
  <c r="AY2" i="135"/>
  <c r="AY112" i="135" s="1"/>
  <c r="AK112" i="135"/>
  <c r="AX91" i="135"/>
  <c r="AJ166" i="135"/>
  <c r="AX166" i="135" s="1"/>
  <c r="AI165" i="135"/>
  <c r="AW85" i="135"/>
  <c r="AW165" i="135" s="1"/>
  <c r="N58" i="138"/>
  <c r="N60" i="138" s="1"/>
  <c r="N61" i="138" s="1"/>
  <c r="U118" i="135"/>
  <c r="AU223" i="135"/>
  <c r="AU220" i="135"/>
  <c r="AW12" i="135"/>
  <c r="AW153" i="135" s="1"/>
  <c r="AI153" i="135"/>
  <c r="AY133" i="135"/>
  <c r="AD22" i="105"/>
  <c r="AN20" i="105"/>
  <c r="AI184" i="135"/>
  <c r="AW80" i="135"/>
  <c r="AW184" i="135" s="1"/>
  <c r="AG11" i="105"/>
  <c r="AG5" i="105"/>
  <c r="AG10" i="105" s="1"/>
  <c r="AX92" i="135"/>
  <c r="AJ167" i="135"/>
  <c r="AX167" i="135" s="1"/>
  <c r="AJ101" i="135"/>
  <c r="AI172" i="135"/>
  <c r="AW13" i="135"/>
  <c r="AW172" i="135" s="1"/>
  <c r="S157" i="135"/>
  <c r="AI115" i="135"/>
  <c r="AI22" i="135"/>
  <c r="AW22" i="135" s="1"/>
  <c r="AW17" i="135"/>
  <c r="AW115" i="135" s="1"/>
  <c r="AI147" i="135"/>
  <c r="AW147" i="135" s="1"/>
  <c r="AW90" i="135"/>
  <c r="Z22" i="105"/>
  <c r="AX220" i="135"/>
  <c r="AX223" i="135"/>
  <c r="AI192" i="135"/>
  <c r="AW14" i="135"/>
  <c r="AW192" i="135" s="1"/>
  <c r="AY33" i="135"/>
  <c r="AY156" i="135" s="1"/>
  <c r="AK156" i="135"/>
  <c r="AF11" i="105"/>
  <c r="AF5" i="105"/>
  <c r="AF10" i="105" s="1"/>
  <c r="AD11" i="105"/>
  <c r="AD5" i="105"/>
  <c r="AD10" i="105" s="1"/>
  <c r="AY4" i="135"/>
  <c r="AY152" i="135" s="1"/>
  <c r="AK152" i="135"/>
  <c r="AY92" i="135"/>
  <c r="AK167" i="135"/>
  <c r="AY167" i="135" s="1"/>
  <c r="AX90" i="135"/>
  <c r="AJ147" i="135"/>
  <c r="AX147" i="135" s="1"/>
  <c r="R73" i="135"/>
  <c r="S25" i="105"/>
  <c r="S29" i="105" s="1"/>
  <c r="W8" i="135"/>
  <c r="W39" i="135" s="1"/>
  <c r="W38" i="135"/>
  <c r="AY28" i="135"/>
  <c r="AY194" i="135" s="1"/>
  <c r="AK194" i="135"/>
  <c r="AN194" i="135" s="1"/>
  <c r="AW11" i="135"/>
  <c r="AI134" i="135"/>
  <c r="AG22" i="105"/>
  <c r="AH22" i="105"/>
  <c r="AI117" i="135"/>
  <c r="AW31" i="135"/>
  <c r="AW117" i="135" s="1"/>
  <c r="AI36" i="135"/>
  <c r="AX99" i="135"/>
  <c r="AX187" i="135" s="1"/>
  <c r="AJ187" i="135"/>
  <c r="AI156" i="135"/>
  <c r="AW33" i="135"/>
  <c r="AW156" i="135" s="1"/>
  <c r="S196" i="135"/>
  <c r="AN96" i="135"/>
  <c r="BB96" i="135" s="1"/>
  <c r="BB129" i="135" s="1"/>
  <c r="AI166" i="135"/>
  <c r="AW166" i="135" s="1"/>
  <c r="AW91" i="135"/>
  <c r="X138" i="135"/>
  <c r="N34" i="138"/>
  <c r="N36" i="138" s="1"/>
  <c r="N37" i="138" s="1"/>
  <c r="AX97" i="135"/>
  <c r="AX148" i="135" s="1"/>
  <c r="AJ148" i="135"/>
  <c r="AK29" i="135"/>
  <c r="AB22" i="105"/>
  <c r="AK15" i="135"/>
  <c r="AY11" i="135"/>
  <c r="AK134" i="135"/>
  <c r="AY19" i="135"/>
  <c r="AY154" i="135" s="1"/>
  <c r="AK154" i="135"/>
  <c r="AI173" i="135"/>
  <c r="AW20" i="135"/>
  <c r="AW173" i="135" s="1"/>
  <c r="AI148" i="135"/>
  <c r="AW97" i="135"/>
  <c r="AW148" i="135" s="1"/>
  <c r="AI185" i="135"/>
  <c r="AW86" i="135"/>
  <c r="AW185" i="135" s="1"/>
  <c r="AE11" i="105"/>
  <c r="AE5" i="105"/>
  <c r="AE10" i="105" s="1"/>
  <c r="AI205" i="135"/>
  <c r="AW87" i="135"/>
  <c r="AW205" i="135" s="1"/>
  <c r="AY98" i="135"/>
  <c r="AY168" i="135" s="1"/>
  <c r="AK168" i="135"/>
  <c r="AX85" i="135"/>
  <c r="AX165" i="135" s="1"/>
  <c r="AJ165" i="135"/>
  <c r="AY18" i="135"/>
  <c r="AK135" i="135"/>
  <c r="AY135" i="135" s="1"/>
  <c r="Q29" i="105"/>
  <c r="AX84" i="135"/>
  <c r="AJ146" i="135"/>
  <c r="AX146" i="135" s="1"/>
  <c r="AI193" i="135"/>
  <c r="AW21" i="135"/>
  <c r="AW193" i="135" s="1"/>
  <c r="AI29" i="135"/>
  <c r="AI155" i="135"/>
  <c r="AW26" i="135"/>
  <c r="AW155" i="135" s="1"/>
  <c r="AI113" i="135"/>
  <c r="AW9" i="135"/>
  <c r="AW113" i="135" s="1"/>
  <c r="AJ22" i="105"/>
  <c r="AA22" i="105"/>
  <c r="AI187" i="135"/>
  <c r="AW99" i="135"/>
  <c r="AW187" i="135" s="1"/>
  <c r="AI175" i="135"/>
  <c r="AW34" i="135"/>
  <c r="AW175" i="135" s="1"/>
  <c r="AY6" i="135"/>
  <c r="AY191" i="135" s="1"/>
  <c r="AK191" i="135"/>
  <c r="AJ82" i="135"/>
  <c r="AX82" i="135" s="1"/>
  <c r="AY86" i="135"/>
  <c r="AY185" i="135" s="1"/>
  <c r="AK185" i="135"/>
  <c r="I11" i="105"/>
  <c r="I5" i="105" s="1"/>
  <c r="C93" i="8" s="1"/>
  <c r="H73" i="135"/>
  <c r="I25" i="105"/>
  <c r="AH11" i="105"/>
  <c r="AH5" i="105"/>
  <c r="AH10" i="105" s="1"/>
  <c r="AX94" i="135"/>
  <c r="AX206" i="135" s="1"/>
  <c r="AJ206" i="135"/>
  <c r="AW19" i="135"/>
  <c r="AW154" i="135" s="1"/>
  <c r="AI154" i="135"/>
  <c r="AY14" i="135"/>
  <c r="AY192" i="135" s="1"/>
  <c r="AK192" i="135"/>
  <c r="N22" i="138"/>
  <c r="N24" i="138" s="1"/>
  <c r="N25" i="138" s="1"/>
  <c r="AY13" i="135"/>
  <c r="AY172" i="135" s="1"/>
  <c r="AK172" i="135"/>
  <c r="AY35" i="135"/>
  <c r="AY195" i="135" s="1"/>
  <c r="AK195" i="135"/>
  <c r="AC22" i="105"/>
  <c r="AI195" i="135"/>
  <c r="AW35" i="135"/>
  <c r="AW195" i="135" s="1"/>
  <c r="AY20" i="135"/>
  <c r="AY173" i="135" s="1"/>
  <c r="AK173" i="135"/>
  <c r="V125" i="135"/>
  <c r="V77" i="135"/>
  <c r="AW133" i="135"/>
  <c r="S8" i="135"/>
  <c r="S39" i="135" s="1"/>
  <c r="S38" i="135"/>
  <c r="AI99" i="105"/>
  <c r="AP31" i="92"/>
  <c r="AI5" i="105"/>
  <c r="AI10" i="105" s="1"/>
  <c r="AI11" i="105"/>
  <c r="U7" i="135"/>
  <c r="W111" i="8"/>
  <c r="BB45" i="135"/>
  <c r="BB71" i="135"/>
  <c r="BB65" i="135"/>
  <c r="V29" i="105"/>
  <c r="U125" i="135"/>
  <c r="U77" i="135"/>
  <c r="K48" i="138"/>
  <c r="K49" i="138" s="1"/>
  <c r="N46" i="138"/>
  <c r="N48" i="138" s="1"/>
  <c r="N49" i="138" s="1"/>
  <c r="K72" i="138"/>
  <c r="K73" i="138" s="1"/>
  <c r="N70" i="138"/>
  <c r="N72" i="138" s="1"/>
  <c r="N73" i="138" s="1"/>
  <c r="AX89" i="135"/>
  <c r="AX128" i="135" s="1"/>
  <c r="AJ95" i="135"/>
  <c r="AJ128" i="135"/>
  <c r="AQ21" i="135"/>
  <c r="AQ193" i="135" s="1"/>
  <c r="AC193" i="135"/>
  <c r="AA6" i="135"/>
  <c r="Y191" i="135"/>
  <c r="AP147" i="135"/>
  <c r="AP166" i="135"/>
  <c r="AN107" i="135"/>
  <c r="BB107" i="135" s="1"/>
  <c r="AP107" i="135"/>
  <c r="Q23" i="135"/>
  <c r="L23" i="135"/>
  <c r="AN92" i="135"/>
  <c r="BB92" i="135" s="1"/>
  <c r="AO87" i="135"/>
  <c r="AO205" i="135" s="1"/>
  <c r="AA205" i="135"/>
  <c r="N23" i="135"/>
  <c r="M23" i="135"/>
  <c r="AO81" i="135"/>
  <c r="AO204" i="135" s="1"/>
  <c r="AA204" i="135"/>
  <c r="AN19" i="135"/>
  <c r="BB19" i="135" s="1"/>
  <c r="BB154" i="135" s="1"/>
  <c r="AN12" i="135"/>
  <c r="BB12" i="135" s="1"/>
  <c r="BB153" i="135" s="1"/>
  <c r="O23" i="135"/>
  <c r="P23" i="135"/>
  <c r="AN17" i="135"/>
  <c r="BB17" i="135" s="1"/>
  <c r="BB115" i="135" s="1"/>
  <c r="AN84" i="135"/>
  <c r="BB84" i="135" s="1"/>
  <c r="AN21" i="135"/>
  <c r="BB21" i="135" s="1"/>
  <c r="BB193" i="135" s="1"/>
  <c r="AN79" i="135"/>
  <c r="BB79" i="135" s="1"/>
  <c r="BB164" i="135" s="1"/>
  <c r="AN31" i="135"/>
  <c r="BB31" i="135" s="1"/>
  <c r="BB117" i="135" s="1"/>
  <c r="AB173" i="135"/>
  <c r="AN20" i="135"/>
  <c r="BB20" i="135" s="1"/>
  <c r="BB173" i="135" s="1"/>
  <c r="AN26" i="135"/>
  <c r="AN27" i="135"/>
  <c r="BB27" i="135" s="1"/>
  <c r="BB174" i="135" s="1"/>
  <c r="AN13" i="135"/>
  <c r="BB13" i="135" s="1"/>
  <c r="BB172" i="135" s="1"/>
  <c r="AN34" i="135"/>
  <c r="BB34" i="135" s="1"/>
  <c r="BB175" i="135" s="1"/>
  <c r="AN11" i="135"/>
  <c r="BB11" i="135" s="1"/>
  <c r="AN14" i="135"/>
  <c r="BB14" i="135" s="1"/>
  <c r="BB192" i="135" s="1"/>
  <c r="AN10" i="135"/>
  <c r="BB10" i="135" s="1"/>
  <c r="BB114" i="135" s="1"/>
  <c r="AP18" i="135"/>
  <c r="AN18" i="135"/>
  <c r="BB18" i="135" s="1"/>
  <c r="AN28" i="135"/>
  <c r="BB28" i="135" s="1"/>
  <c r="BB194" i="135" s="1"/>
  <c r="AN33" i="135"/>
  <c r="BB33" i="135" s="1"/>
  <c r="BB156" i="135" s="1"/>
  <c r="AN35" i="135"/>
  <c r="BB35" i="135" s="1"/>
  <c r="BB195" i="135" s="1"/>
  <c r="AP9" i="135"/>
  <c r="AP113" i="135" s="1"/>
  <c r="AN9" i="135"/>
  <c r="BB9" i="135" s="1"/>
  <c r="BB113" i="135" s="1"/>
  <c r="AR17" i="135"/>
  <c r="AR115" i="135" s="1"/>
  <c r="AD113" i="135"/>
  <c r="AD22" i="135"/>
  <c r="O157" i="135"/>
  <c r="AE22" i="135"/>
  <c r="AC186" i="135"/>
  <c r="AB22" i="135"/>
  <c r="L196" i="135"/>
  <c r="AP20" i="135"/>
  <c r="AP173" i="135" s="1"/>
  <c r="AF22" i="135"/>
  <c r="M157" i="135"/>
  <c r="P157" i="135"/>
  <c r="Q138" i="135"/>
  <c r="AG22" i="135"/>
  <c r="AC135" i="135"/>
  <c r="AQ135" i="135" s="1"/>
  <c r="L138" i="135"/>
  <c r="AB113" i="135"/>
  <c r="L157" i="135"/>
  <c r="AA184" i="135"/>
  <c r="T196" i="135"/>
  <c r="AI152" i="135"/>
  <c r="AW2" i="135"/>
  <c r="AW112" i="135" s="1"/>
  <c r="AX10" i="135"/>
  <c r="AX114" i="135" s="1"/>
  <c r="AJ114" i="135"/>
  <c r="AX20" i="135"/>
  <c r="AX173" i="135" s="1"/>
  <c r="AJ173" i="135"/>
  <c r="AX18" i="135"/>
  <c r="AJ135" i="135"/>
  <c r="AX135" i="135" s="1"/>
  <c r="AJ36" i="135"/>
  <c r="AX31" i="135"/>
  <c r="AX117" i="135" s="1"/>
  <c r="AJ117" i="135"/>
  <c r="AH22" i="135"/>
  <c r="AV22" i="135" s="1"/>
  <c r="L118" i="135"/>
  <c r="AX12" i="135"/>
  <c r="AX153" i="135" s="1"/>
  <c r="AJ153" i="135"/>
  <c r="O118" i="135"/>
  <c r="AX33" i="135"/>
  <c r="AX156" i="135" s="1"/>
  <c r="AJ156" i="135"/>
  <c r="AX57" i="135"/>
  <c r="AX21" i="135"/>
  <c r="AX193" i="135" s="1"/>
  <c r="AX35" i="135"/>
  <c r="AX195" i="135" s="1"/>
  <c r="T157" i="135"/>
  <c r="AX6" i="135"/>
  <c r="AX191" i="135" s="1"/>
  <c r="N157" i="135"/>
  <c r="AX14" i="135"/>
  <c r="AX192" i="135" s="1"/>
  <c r="AI171" i="135"/>
  <c r="AX17" i="135"/>
  <c r="AX115" i="135" s="1"/>
  <c r="AJ22" i="135"/>
  <c r="AJ115" i="135"/>
  <c r="AX133" i="135"/>
  <c r="AX27" i="135"/>
  <c r="AX174" i="135" s="1"/>
  <c r="AJ174" i="135"/>
  <c r="AX9" i="135"/>
  <c r="AJ113" i="135"/>
  <c r="AJ15" i="135"/>
  <c r="AX11" i="135"/>
  <c r="AJ134" i="135"/>
  <c r="N138" i="135"/>
  <c r="T176" i="135"/>
  <c r="T118" i="135"/>
  <c r="T138" i="135"/>
  <c r="AJ29" i="135"/>
  <c r="AX26" i="135"/>
  <c r="AX155" i="135" s="1"/>
  <c r="AJ155" i="135"/>
  <c r="AX19" i="135"/>
  <c r="AX154" i="135" s="1"/>
  <c r="AJ154" i="135"/>
  <c r="AX34" i="135"/>
  <c r="AX175" i="135" s="1"/>
  <c r="AJ175" i="135"/>
  <c r="AX28" i="135"/>
  <c r="AX194" i="135" s="1"/>
  <c r="P138" i="135"/>
  <c r="AX13" i="135"/>
  <c r="AX172" i="135" s="1"/>
  <c r="AJ172" i="135"/>
  <c r="AE96" i="105"/>
  <c r="AG91" i="135" s="1"/>
  <c r="AU91" i="135" s="1"/>
  <c r="AO25" i="90"/>
  <c r="AP25" i="90" s="1"/>
  <c r="X4" i="135"/>
  <c r="X152" i="135" s="1"/>
  <c r="X29" i="135"/>
  <c r="X30" i="135" s="1"/>
  <c r="AH42" i="105"/>
  <c r="AK8" i="102"/>
  <c r="AA6" i="82"/>
  <c r="Y24" i="105" s="1"/>
  <c r="T16" i="135"/>
  <c r="X76" i="135"/>
  <c r="X203" i="135" s="1"/>
  <c r="T30" i="135"/>
  <c r="T37" i="135"/>
  <c r="X74" i="135"/>
  <c r="X163" i="135" s="1"/>
  <c r="T23" i="135"/>
  <c r="X22" i="135"/>
  <c r="T77" i="135"/>
  <c r="X75" i="135"/>
  <c r="X183" i="135" s="1"/>
  <c r="X2" i="135"/>
  <c r="X112" i="135" s="1"/>
  <c r="T8" i="135"/>
  <c r="T38" i="135"/>
  <c r="J80" i="130"/>
  <c r="L80" i="130" s="1"/>
  <c r="O38" i="135"/>
  <c r="AC98" i="135"/>
  <c r="AQ98" i="135" s="1"/>
  <c r="AQ168" i="135" s="1"/>
  <c r="S132" i="8"/>
  <c r="AC36" i="135"/>
  <c r="AQ36" i="135" s="1"/>
  <c r="AC15" i="135"/>
  <c r="T132" i="8"/>
  <c r="Q196" i="8"/>
  <c r="Q198" i="8" s="1"/>
  <c r="AQ20" i="135"/>
  <c r="AQ173" i="135" s="1"/>
  <c r="N176" i="135"/>
  <c r="N118" i="135"/>
  <c r="AI6" i="91"/>
  <c r="AG27" i="105" s="1"/>
  <c r="R176" i="135"/>
  <c r="AA186" i="135"/>
  <c r="O196" i="135"/>
  <c r="R196" i="135"/>
  <c r="AO29" i="85"/>
  <c r="AP29" i="85" s="1"/>
  <c r="Q118" i="135"/>
  <c r="P118" i="135"/>
  <c r="Q157" i="135"/>
  <c r="AC22" i="135"/>
  <c r="Q9" i="141"/>
  <c r="Q11" i="141" s="1"/>
  <c r="Q12" i="141" s="1"/>
  <c r="O138" i="135"/>
  <c r="R118" i="135"/>
  <c r="AE8" i="102"/>
  <c r="AB6" i="91"/>
  <c r="AO29" i="90"/>
  <c r="AP29" i="90" s="1"/>
  <c r="AE184" i="135"/>
  <c r="AS80" i="135"/>
  <c r="AS184" i="135" s="1"/>
  <c r="AF100" i="135"/>
  <c r="AE146" i="135"/>
  <c r="AS146" i="135" s="1"/>
  <c r="AS84" i="135"/>
  <c r="AR86" i="135"/>
  <c r="AR185" i="135" s="1"/>
  <c r="AD185" i="135"/>
  <c r="AL10" i="91"/>
  <c r="AJ14" i="105" s="1"/>
  <c r="AG6" i="91"/>
  <c r="AE27" i="105" s="1"/>
  <c r="AB153" i="135"/>
  <c r="AP12" i="135"/>
  <c r="AP153" i="135" s="1"/>
  <c r="AE172" i="135"/>
  <c r="AS13" i="135"/>
  <c r="AS172" i="135" s="1"/>
  <c r="AF146" i="135"/>
  <c r="AT146" i="135" s="1"/>
  <c r="AT84" i="135"/>
  <c r="P16" i="135"/>
  <c r="L30" i="135"/>
  <c r="AU35" i="135"/>
  <c r="AU195" i="135" s="1"/>
  <c r="AH148" i="135"/>
  <c r="AV97" i="135"/>
  <c r="AV148" i="135" s="1"/>
  <c r="AT11" i="135"/>
  <c r="AF134" i="135"/>
  <c r="Q196" i="135"/>
  <c r="AB117" i="135"/>
  <c r="AB36" i="135"/>
  <c r="AP31" i="135"/>
  <c r="AP117" i="135" s="1"/>
  <c r="AV14" i="135"/>
  <c r="AV192" i="135" s="1"/>
  <c r="AU33" i="135"/>
  <c r="AU156" i="135" s="1"/>
  <c r="AG156" i="135"/>
  <c r="AU34" i="135"/>
  <c r="AU175" i="135" s="1"/>
  <c r="AG175" i="135"/>
  <c r="AS31" i="135"/>
  <c r="AS117" i="135" s="1"/>
  <c r="AE36" i="135"/>
  <c r="AE117" i="135"/>
  <c r="AR35" i="135"/>
  <c r="AR195" i="135" s="1"/>
  <c r="AS35" i="135"/>
  <c r="AS195" i="135" s="1"/>
  <c r="P196" i="135"/>
  <c r="R37" i="135"/>
  <c r="AV11" i="135"/>
  <c r="AH134" i="135"/>
  <c r="AE10" i="91"/>
  <c r="AC14" i="105" s="1"/>
  <c r="AV85" i="135"/>
  <c r="AV165" i="135" s="1"/>
  <c r="AH165" i="135"/>
  <c r="AF6" i="91"/>
  <c r="AD27" i="105" s="1"/>
  <c r="AV87" i="135"/>
  <c r="AV205" i="135" s="1"/>
  <c r="AH88" i="135"/>
  <c r="AV88" i="135" s="1"/>
  <c r="AV26" i="135"/>
  <c r="AV155" i="135" s="1"/>
  <c r="AH29" i="135"/>
  <c r="AH155" i="135"/>
  <c r="AF29" i="135"/>
  <c r="AF155" i="135"/>
  <c r="AT26" i="135"/>
  <c r="AT155" i="135" s="1"/>
  <c r="AD172" i="135"/>
  <c r="AR13" i="135"/>
  <c r="AR172" i="135" s="1"/>
  <c r="AB29" i="135"/>
  <c r="AB155" i="135"/>
  <c r="AP26" i="135"/>
  <c r="AP155" i="135" s="1"/>
  <c r="AD117" i="135"/>
  <c r="AD36" i="135"/>
  <c r="AR31" i="135"/>
  <c r="AR117" i="135" s="1"/>
  <c r="AV18" i="135"/>
  <c r="AH135" i="135"/>
  <c r="AV135" i="135" s="1"/>
  <c r="AR28" i="135"/>
  <c r="AR194" i="135" s="1"/>
  <c r="AT18" i="135"/>
  <c r="AF135" i="135"/>
  <c r="AT135" i="135" s="1"/>
  <c r="AU21" i="135"/>
  <c r="AU193" i="135" s="1"/>
  <c r="AU11" i="135"/>
  <c r="AG134" i="135"/>
  <c r="AE29" i="135"/>
  <c r="AE155" i="135"/>
  <c r="AS26" i="135"/>
  <c r="AS155" i="135" s="1"/>
  <c r="P176" i="135"/>
  <c r="AQ35" i="135"/>
  <c r="AQ195" i="135" s="1"/>
  <c r="AO35" i="135"/>
  <c r="AO195" i="135" s="1"/>
  <c r="AU18" i="135"/>
  <c r="AG135" i="135"/>
  <c r="AU135" i="135" s="1"/>
  <c r="AK10" i="91"/>
  <c r="AI14" i="105" s="1"/>
  <c r="R158" i="8"/>
  <c r="AJ10" i="91"/>
  <c r="AH14" i="105" s="1"/>
  <c r="AM10" i="91"/>
  <c r="AK14" i="105" s="1"/>
  <c r="AM6" i="91"/>
  <c r="AK27" i="105" s="1"/>
  <c r="AK6" i="91"/>
  <c r="AI27" i="105" s="1"/>
  <c r="AV81" i="135"/>
  <c r="AV204" i="135" s="1"/>
  <c r="AA41" i="92"/>
  <c r="AD167" i="135"/>
  <c r="AR167" i="135" s="1"/>
  <c r="AH164" i="135"/>
  <c r="AV79" i="135"/>
  <c r="AV164" i="135" s="1"/>
  <c r="O8" i="135"/>
  <c r="AF172" i="135"/>
  <c r="AT13" i="135"/>
  <c r="AT172" i="135" s="1"/>
  <c r="P7" i="135"/>
  <c r="P30" i="135"/>
  <c r="AA27" i="135"/>
  <c r="Y174" i="135"/>
  <c r="AE153" i="135"/>
  <c r="AS12" i="135"/>
  <c r="AS153" i="135" s="1"/>
  <c r="AE129" i="135"/>
  <c r="AS96" i="135"/>
  <c r="AS129" i="135" s="1"/>
  <c r="AS27" i="135"/>
  <c r="AS174" i="135" s="1"/>
  <c r="AE174" i="135"/>
  <c r="AE173" i="135"/>
  <c r="AS20" i="135"/>
  <c r="AS173" i="135" s="1"/>
  <c r="AE113" i="135"/>
  <c r="AS9" i="135"/>
  <c r="L37" i="135"/>
  <c r="AG97" i="135"/>
  <c r="AU28" i="135"/>
  <c r="AU194" i="135" s="1"/>
  <c r="AH187" i="135"/>
  <c r="AV99" i="135"/>
  <c r="AV187" i="135" s="1"/>
  <c r="AO28" i="135"/>
  <c r="AO194" i="135" s="1"/>
  <c r="O37" i="135"/>
  <c r="AT20" i="135"/>
  <c r="AT173" i="135" s="1"/>
  <c r="AF173" i="135"/>
  <c r="M176" i="135"/>
  <c r="AR21" i="135"/>
  <c r="AR193" i="135" s="1"/>
  <c r="AB175" i="135"/>
  <c r="AP34" i="135"/>
  <c r="AP175" i="135" s="1"/>
  <c r="AU12" i="135"/>
  <c r="AU153" i="135" s="1"/>
  <c r="AG153" i="135"/>
  <c r="AE156" i="135"/>
  <c r="AS33" i="135"/>
  <c r="AS156" i="135" s="1"/>
  <c r="AU6" i="135"/>
  <c r="AU191" i="135" s="1"/>
  <c r="H154" i="8"/>
  <c r="AG41" i="85"/>
  <c r="AU87" i="135"/>
  <c r="AU205" i="135" s="1"/>
  <c r="AE6" i="91"/>
  <c r="AC27" i="105" s="1"/>
  <c r="AO33" i="85"/>
  <c r="AP33" i="85" s="1"/>
  <c r="M100" i="135"/>
  <c r="AE206" i="135"/>
  <c r="AS94" i="135"/>
  <c r="AS206" i="135" s="1"/>
  <c r="M37" i="135"/>
  <c r="AS11" i="135"/>
  <c r="AE134" i="135"/>
  <c r="AV27" i="135"/>
  <c r="AV174" i="135" s="1"/>
  <c r="AH174" i="135"/>
  <c r="AS28" i="135"/>
  <c r="AS194" i="135" s="1"/>
  <c r="AS21" i="135"/>
  <c r="AS193" i="135" s="1"/>
  <c r="AO14" i="135"/>
  <c r="AO192" i="135" s="1"/>
  <c r="N37" i="135"/>
  <c r="AO21" i="135"/>
  <c r="AO193" i="135" s="1"/>
  <c r="O16" i="135"/>
  <c r="AV21" i="135"/>
  <c r="AV193" i="135" s="1"/>
  <c r="AG147" i="135"/>
  <c r="AU147" i="135" s="1"/>
  <c r="AU90" i="135"/>
  <c r="AC156" i="135"/>
  <c r="AQ33" i="135"/>
  <c r="AQ156" i="135" s="1"/>
  <c r="AR14" i="135"/>
  <c r="AR192" i="135" s="1"/>
  <c r="AQ28" i="135"/>
  <c r="AQ194" i="135" s="1"/>
  <c r="J176" i="135"/>
  <c r="AC172" i="135"/>
  <c r="AQ13" i="135"/>
  <c r="AQ172" i="135" s="1"/>
  <c r="AC153" i="135"/>
  <c r="AQ12" i="135"/>
  <c r="AQ153" i="135" s="1"/>
  <c r="Q176" i="135"/>
  <c r="AC174" i="135"/>
  <c r="AQ27" i="135"/>
  <c r="AQ174" i="135" s="1"/>
  <c r="M138" i="135"/>
  <c r="AG10" i="91"/>
  <c r="AE14" i="105" s="1"/>
  <c r="AC10" i="91"/>
  <c r="AA14" i="105" s="1"/>
  <c r="Z171" i="135"/>
  <c r="AH104" i="105"/>
  <c r="AT35" i="135"/>
  <c r="AT195" i="135" s="1"/>
  <c r="AA20" i="135"/>
  <c r="Y173" i="135"/>
  <c r="O30" i="135"/>
  <c r="AC175" i="135"/>
  <c r="AQ34" i="135"/>
  <c r="AQ175" i="135" s="1"/>
  <c r="AC29" i="135"/>
  <c r="AC155" i="135"/>
  <c r="AQ26" i="135"/>
  <c r="AQ155" i="135" s="1"/>
  <c r="AG99" i="135"/>
  <c r="AF147" i="135"/>
  <c r="AT147" i="135" s="1"/>
  <c r="AT90" i="135"/>
  <c r="AG36" i="135"/>
  <c r="AG117" i="135"/>
  <c r="AU31" i="135"/>
  <c r="AU117" i="135" s="1"/>
  <c r="AD156" i="135"/>
  <c r="AR33" i="135"/>
  <c r="AR156" i="135" s="1"/>
  <c r="AS6" i="135"/>
  <c r="AS191" i="135" s="1"/>
  <c r="AV35" i="135"/>
  <c r="AV195" i="135" s="1"/>
  <c r="AS10" i="135"/>
  <c r="AS114" i="135" s="1"/>
  <c r="AE114" i="135"/>
  <c r="AE15" i="135"/>
  <c r="AF36" i="135"/>
  <c r="AF117" i="135"/>
  <c r="AT31" i="135"/>
  <c r="AT117" i="135" s="1"/>
  <c r="AG173" i="135"/>
  <c r="AU20" i="135"/>
  <c r="AU173" i="135" s="1"/>
  <c r="N196" i="135"/>
  <c r="AA13" i="135"/>
  <c r="Y172" i="135"/>
  <c r="AD155" i="135"/>
  <c r="AD29" i="135"/>
  <c r="AR26" i="135"/>
  <c r="AR155" i="135" s="1"/>
  <c r="AT21" i="135"/>
  <c r="AT193" i="135" s="1"/>
  <c r="L176" i="135"/>
  <c r="AV9" i="135"/>
  <c r="AH113" i="135"/>
  <c r="AF129" i="135"/>
  <c r="AT96" i="135"/>
  <c r="AT129" i="135" s="1"/>
  <c r="AI41" i="85"/>
  <c r="AG172" i="135"/>
  <c r="AU13" i="135"/>
  <c r="AU172" i="135" s="1"/>
  <c r="AF174" i="135"/>
  <c r="AT27" i="135"/>
  <c r="AT174" i="135" s="1"/>
  <c r="M30" i="135"/>
  <c r="AQ11" i="135"/>
  <c r="AC134" i="135"/>
  <c r="AQ134" i="135" s="1"/>
  <c r="AV6" i="135"/>
  <c r="AV191" i="135" s="1"/>
  <c r="AU80" i="135"/>
  <c r="AU184" i="135" s="1"/>
  <c r="AG184" i="135"/>
  <c r="AF10" i="91"/>
  <c r="AD14" i="105" s="1"/>
  <c r="AH100" i="135"/>
  <c r="AU81" i="135"/>
  <c r="AU204" i="135" s="1"/>
  <c r="AL6" i="91"/>
  <c r="AJ27" i="105" s="1"/>
  <c r="J139" i="8"/>
  <c r="O24" i="91"/>
  <c r="AU9" i="135"/>
  <c r="AG113" i="135"/>
  <c r="AE187" i="135"/>
  <c r="AS99" i="135"/>
  <c r="AS187" i="135" s="1"/>
  <c r="AF97" i="135"/>
  <c r="AF156" i="135"/>
  <c r="AT33" i="135"/>
  <c r="AT156" i="135" s="1"/>
  <c r="AP28" i="135"/>
  <c r="AP194" i="135" s="1"/>
  <c r="R100" i="135"/>
  <c r="AG174" i="135"/>
  <c r="AU27" i="135"/>
  <c r="AU174" i="135" s="1"/>
  <c r="AP11" i="135"/>
  <c r="AB134" i="135"/>
  <c r="AU84" i="135"/>
  <c r="AG146" i="135"/>
  <c r="AU146" i="135" s="1"/>
  <c r="AA34" i="135"/>
  <c r="Y175" i="135"/>
  <c r="AR11" i="135"/>
  <c r="AD134" i="135"/>
  <c r="R133" i="135"/>
  <c r="AT12" i="135"/>
  <c r="AT153" i="135" s="1"/>
  <c r="AF153" i="135"/>
  <c r="N30" i="135"/>
  <c r="Q133" i="135"/>
  <c r="L16" i="135"/>
  <c r="N16" i="135"/>
  <c r="AB172" i="135"/>
  <c r="AP13" i="135"/>
  <c r="AP172" i="135" s="1"/>
  <c r="R16" i="135"/>
  <c r="AR18" i="135"/>
  <c r="AD135" i="135"/>
  <c r="AR135" i="135" s="1"/>
  <c r="AQ14" i="135"/>
  <c r="AQ192" i="135" s="1"/>
  <c r="AF187" i="135"/>
  <c r="AT99" i="135"/>
  <c r="AT187" i="135" s="1"/>
  <c r="AI10" i="91"/>
  <c r="AG14" i="105" s="1"/>
  <c r="AB10" i="91"/>
  <c r="AH10" i="91"/>
  <c r="AF14" i="105" s="1"/>
  <c r="AD6" i="91"/>
  <c r="AV91" i="135"/>
  <c r="AH166" i="135"/>
  <c r="AV166" i="135" s="1"/>
  <c r="AV92" i="135"/>
  <c r="AH167" i="135"/>
  <c r="AV167" i="135" s="1"/>
  <c r="N7" i="135"/>
  <c r="AH147" i="135"/>
  <c r="AV147" i="135" s="1"/>
  <c r="AV90" i="135"/>
  <c r="Q16" i="135"/>
  <c r="AE175" i="135"/>
  <c r="AS34" i="135"/>
  <c r="AS175" i="135" s="1"/>
  <c r="AH154" i="135"/>
  <c r="AV19" i="135"/>
  <c r="AV154" i="135" s="1"/>
  <c r="AF113" i="135"/>
  <c r="AT9" i="135"/>
  <c r="P37" i="135"/>
  <c r="Q37" i="135"/>
  <c r="AH156" i="135"/>
  <c r="AV33" i="135"/>
  <c r="AV156" i="135" s="1"/>
  <c r="AH172" i="135"/>
  <c r="AV13" i="135"/>
  <c r="AV172" i="135" s="1"/>
  <c r="M16" i="135"/>
  <c r="AB156" i="135"/>
  <c r="AP33" i="135"/>
  <c r="AP156" i="135" s="1"/>
  <c r="AU26" i="135"/>
  <c r="AU155" i="135" s="1"/>
  <c r="AG155" i="135"/>
  <c r="AG29" i="135"/>
  <c r="AE133" i="135"/>
  <c r="AS3" i="135"/>
  <c r="R157" i="135"/>
  <c r="AT34" i="135"/>
  <c r="AT175" i="135" s="1"/>
  <c r="AF175" i="135"/>
  <c r="AP10" i="135"/>
  <c r="AP114" i="135" s="1"/>
  <c r="AB114" i="135"/>
  <c r="AB15" i="135"/>
  <c r="AT28" i="135"/>
  <c r="AT194" i="135" s="1"/>
  <c r="M196" i="135"/>
  <c r="AD153" i="135"/>
  <c r="AR12" i="135"/>
  <c r="AR153" i="135" s="1"/>
  <c r="AG185" i="135"/>
  <c r="AU86" i="135"/>
  <c r="AU185" i="135" s="1"/>
  <c r="AH6" i="91"/>
  <c r="AF27" i="105" s="1"/>
  <c r="AM98" i="105"/>
  <c r="AN98" i="105" s="1"/>
  <c r="AF93" i="135"/>
  <c r="AN93" i="135" s="1"/>
  <c r="BB93" i="135" s="1"/>
  <c r="BB186" i="135" s="1"/>
  <c r="AH98" i="135"/>
  <c r="R7" i="135"/>
  <c r="AS14" i="135"/>
  <c r="AS192" i="135" s="1"/>
  <c r="R30" i="135"/>
  <c r="AG114" i="135"/>
  <c r="AG15" i="135"/>
  <c r="AU10" i="135"/>
  <c r="AU114" i="135" s="1"/>
  <c r="O176" i="135"/>
  <c r="AF133" i="135"/>
  <c r="AT3" i="135"/>
  <c r="AV34" i="135"/>
  <c r="AV175" i="135" s="1"/>
  <c r="AH175" i="135"/>
  <c r="AF15" i="135"/>
  <c r="AF114" i="135"/>
  <c r="AT10" i="135"/>
  <c r="AT114" i="135" s="1"/>
  <c r="AU14" i="135"/>
  <c r="AU192" i="135" s="1"/>
  <c r="Q30" i="135"/>
  <c r="AV20" i="135"/>
  <c r="AV173" i="135" s="1"/>
  <c r="AH173" i="135"/>
  <c r="AD174" i="135"/>
  <c r="AR27" i="135"/>
  <c r="AR174" i="135" s="1"/>
  <c r="AP35" i="135"/>
  <c r="AP195" i="135" s="1"/>
  <c r="AH153" i="135"/>
  <c r="AV12" i="135"/>
  <c r="AV153" i="135" s="1"/>
  <c r="AD175" i="135"/>
  <c r="AR34" i="135"/>
  <c r="AR175" i="135" s="1"/>
  <c r="AP14" i="135"/>
  <c r="AP192" i="135" s="1"/>
  <c r="AB174" i="135"/>
  <c r="AP27" i="135"/>
  <c r="AP174" i="135" s="1"/>
  <c r="AG129" i="135"/>
  <c r="AU96" i="135"/>
  <c r="AU129" i="135" s="1"/>
  <c r="AD114" i="135"/>
  <c r="AD15" i="135"/>
  <c r="AR10" i="135"/>
  <c r="AR114" i="135" s="1"/>
  <c r="AV28" i="135"/>
  <c r="AV194" i="135" s="1"/>
  <c r="AH114" i="135"/>
  <c r="AV10" i="135"/>
  <c r="AV114" i="135" s="1"/>
  <c r="AH15" i="135"/>
  <c r="AS18" i="135"/>
  <c r="AE135" i="135"/>
  <c r="AS135" i="135" s="1"/>
  <c r="AH129" i="135"/>
  <c r="AV96" i="135"/>
  <c r="AV129" i="135" s="1"/>
  <c r="AT14" i="135"/>
  <c r="AT192" i="135" s="1"/>
  <c r="AH117" i="135"/>
  <c r="AV31" i="135"/>
  <c r="AV117" i="135" s="1"/>
  <c r="AH36" i="135"/>
  <c r="R138" i="135"/>
  <c r="AG99" i="105"/>
  <c r="AI94" i="135" s="1"/>
  <c r="AA44" i="82"/>
  <c r="U8" i="137"/>
  <c r="U9" i="137" s="1"/>
  <c r="AF126" i="135"/>
  <c r="AT78" i="135"/>
  <c r="AT126" i="135" s="1"/>
  <c r="E16" i="135"/>
  <c r="E39" i="135" s="1"/>
  <c r="AV57" i="135"/>
  <c r="AE127" i="135"/>
  <c r="AS83" i="135"/>
  <c r="AS127" i="135" s="1"/>
  <c r="AG126" i="135"/>
  <c r="AU78" i="135"/>
  <c r="AU126" i="135" s="1"/>
  <c r="AE126" i="135"/>
  <c r="AS78" i="135"/>
  <c r="AS126" i="135" s="1"/>
  <c r="AH82" i="135"/>
  <c r="AH126" i="135"/>
  <c r="AV78" i="135"/>
  <c r="AV126" i="135" s="1"/>
  <c r="K176" i="135"/>
  <c r="AA94" i="135"/>
  <c r="AO94" i="135" s="1"/>
  <c r="Z94" i="135"/>
  <c r="Z172" i="135"/>
  <c r="Z176" i="135" s="1"/>
  <c r="Z186" i="135"/>
  <c r="AO186" i="135"/>
  <c r="Z184" i="135"/>
  <c r="AO184" i="135"/>
  <c r="Z164" i="135"/>
  <c r="Z147" i="135"/>
  <c r="Z146" i="135"/>
  <c r="AF99" i="105"/>
  <c r="AH41" i="85"/>
  <c r="AR85" i="135"/>
  <c r="AR165" i="135" s="1"/>
  <c r="AD165" i="135"/>
  <c r="AG98" i="135"/>
  <c r="Q163" i="135"/>
  <c r="Q77" i="135"/>
  <c r="AU79" i="135"/>
  <c r="AU164" i="135" s="1"/>
  <c r="AG164" i="135"/>
  <c r="AG82" i="135"/>
  <c r="AF167" i="135"/>
  <c r="AT167" i="135" s="1"/>
  <c r="AT92" i="135"/>
  <c r="AE98" i="135"/>
  <c r="AF166" i="135"/>
  <c r="AT166" i="135" s="1"/>
  <c r="AT91" i="135"/>
  <c r="AR91" i="135"/>
  <c r="AT154" i="135"/>
  <c r="AF165" i="135"/>
  <c r="AT85" i="135"/>
  <c r="AT165" i="135" s="1"/>
  <c r="AR79" i="135"/>
  <c r="AR164" i="135" s="1"/>
  <c r="AD164" i="135"/>
  <c r="Q152" i="135"/>
  <c r="Q7" i="135"/>
  <c r="AS154" i="135"/>
  <c r="L59" i="135"/>
  <c r="L38" i="135"/>
  <c r="L8" i="135"/>
  <c r="AO27" i="90"/>
  <c r="AP27" i="90" s="1"/>
  <c r="AO31" i="90"/>
  <c r="AP31" i="90" s="1"/>
  <c r="AE166" i="135"/>
  <c r="AS166" i="135" s="1"/>
  <c r="AS91" i="135"/>
  <c r="AR98" i="135"/>
  <c r="AR168" i="135" s="1"/>
  <c r="AD168" i="135"/>
  <c r="AF164" i="135"/>
  <c r="AT79" i="135"/>
  <c r="AT164" i="135" s="1"/>
  <c r="AQ4" i="135"/>
  <c r="AD152" i="135"/>
  <c r="M38" i="135"/>
  <c r="M8" i="135"/>
  <c r="AE164" i="135"/>
  <c r="AS79" i="135"/>
  <c r="AS164" i="135" s="1"/>
  <c r="AE82" i="135"/>
  <c r="J9" i="141"/>
  <c r="J11" i="141" s="1"/>
  <c r="J12" i="141" s="1"/>
  <c r="N74" i="135"/>
  <c r="AD74" i="135" s="1"/>
  <c r="AF98" i="135"/>
  <c r="AG167" i="135"/>
  <c r="AU167" i="135" s="1"/>
  <c r="AU92" i="135"/>
  <c r="AE165" i="135"/>
  <c r="AS85" i="135"/>
  <c r="AS165" i="135" s="1"/>
  <c r="AE88" i="135"/>
  <c r="B10" i="138"/>
  <c r="B12" i="138" s="1"/>
  <c r="B13" i="138" s="1"/>
  <c r="AU154" i="135"/>
  <c r="AF112" i="135"/>
  <c r="AE99" i="105"/>
  <c r="AE90" i="105"/>
  <c r="AG85" i="135" s="1"/>
  <c r="AN85" i="135" s="1"/>
  <c r="BB85" i="135" s="1"/>
  <c r="BB165" i="135" s="1"/>
  <c r="AO34" i="90"/>
  <c r="AP34" i="90" s="1"/>
  <c r="AD112" i="135"/>
  <c r="AG91" i="102"/>
  <c r="AD99" i="105"/>
  <c r="AE167" i="135"/>
  <c r="AS92" i="135"/>
  <c r="AE95" i="135"/>
  <c r="AE148" i="135"/>
  <c r="AS97" i="135"/>
  <c r="AS148" i="135" s="1"/>
  <c r="AQ57" i="135"/>
  <c r="AR113" i="135"/>
  <c r="AR90" i="135"/>
  <c r="AD147" i="135"/>
  <c r="AR147" i="135" s="1"/>
  <c r="AR84" i="135"/>
  <c r="AD146" i="135"/>
  <c r="AR146" i="135" s="1"/>
  <c r="AJ104" i="105"/>
  <c r="AR3" i="135"/>
  <c r="AD133" i="135"/>
  <c r="M3" i="120"/>
  <c r="J12" i="138"/>
  <c r="J13" i="138" s="1"/>
  <c r="Q58" i="137"/>
  <c r="Q59" i="137" s="1"/>
  <c r="Q60" i="137" s="1"/>
  <c r="AC87" i="105"/>
  <c r="T172" i="8"/>
  <c r="T173" i="8" s="1"/>
  <c r="U14" i="137"/>
  <c r="C3" i="124"/>
  <c r="AO35" i="90"/>
  <c r="AP35" i="90" s="1"/>
  <c r="R9" i="141"/>
  <c r="R11" i="141" s="1"/>
  <c r="R12" i="141" s="1"/>
  <c r="AM97" i="105"/>
  <c r="AN97" i="105" s="1"/>
  <c r="AO38" i="90"/>
  <c r="AP38" i="90" s="1"/>
  <c r="AO33" i="90"/>
  <c r="AO32" i="90"/>
  <c r="AP32" i="90" s="1"/>
  <c r="AO26" i="90"/>
  <c r="AP26" i="90" s="1"/>
  <c r="AO39" i="90"/>
  <c r="AC104" i="105"/>
  <c r="O9" i="141"/>
  <c r="O11" i="141" s="1"/>
  <c r="O12" i="141" s="1"/>
  <c r="AC44" i="105"/>
  <c r="AA44" i="105"/>
  <c r="AK44" i="105"/>
  <c r="AE44" i="105"/>
  <c r="L10" i="138"/>
  <c r="M72" i="138"/>
  <c r="M73" i="138" s="1"/>
  <c r="N11" i="138"/>
  <c r="U57" i="137" s="1"/>
  <c r="AQ99" i="135"/>
  <c r="AQ187" i="135" s="1"/>
  <c r="AC187" i="135"/>
  <c r="AB159" i="135"/>
  <c r="AN159" i="135" s="1"/>
  <c r="AP51" i="135"/>
  <c r="AP159" i="135" s="1"/>
  <c r="Z44" i="105"/>
  <c r="H48" i="138"/>
  <c r="H49" i="138" s="1"/>
  <c r="H10" i="138"/>
  <c r="AC147" i="135"/>
  <c r="AQ147" i="135" s="1"/>
  <c r="AQ90" i="135"/>
  <c r="AC133" i="135"/>
  <c r="AQ133" i="135" s="1"/>
  <c r="AQ3" i="135"/>
  <c r="AC184" i="135"/>
  <c r="AQ80" i="135"/>
  <c r="AQ184" i="135" s="1"/>
  <c r="K187" i="8"/>
  <c r="K169" i="8" s="1"/>
  <c r="K172" i="8" s="1"/>
  <c r="AP100" i="135"/>
  <c r="AP207" i="135" s="1"/>
  <c r="AB207" i="135"/>
  <c r="I25" i="141"/>
  <c r="I26" i="141" s="1"/>
  <c r="I9" i="141"/>
  <c r="I11" i="141" s="1"/>
  <c r="O24" i="92"/>
  <c r="I50" i="141"/>
  <c r="AR83" i="135"/>
  <c r="AR127" i="135" s="1"/>
  <c r="P187" i="8"/>
  <c r="P197" i="8" s="1"/>
  <c r="J187" i="8"/>
  <c r="J197" i="8" s="1"/>
  <c r="U10" i="141"/>
  <c r="AR96" i="135"/>
  <c r="AR129" i="135" s="1"/>
  <c r="S9" i="141"/>
  <c r="S11" i="141" s="1"/>
  <c r="S12" i="141" s="1"/>
  <c r="S25" i="141"/>
  <c r="S26" i="141" s="1"/>
  <c r="AP47" i="135"/>
  <c r="AP121" i="135" s="1"/>
  <c r="AB121" i="135"/>
  <c r="AN121" i="135" s="1"/>
  <c r="AB56" i="135"/>
  <c r="AC97" i="135"/>
  <c r="Z27" i="69"/>
  <c r="AA27" i="69" s="1"/>
  <c r="I5" i="141"/>
  <c r="U4" i="141"/>
  <c r="U5" i="141" s="1"/>
  <c r="M187" i="8"/>
  <c r="M169" i="8" s="1"/>
  <c r="M172" i="8" s="1"/>
  <c r="AB141" i="135"/>
  <c r="AP49" i="135"/>
  <c r="E48" i="138"/>
  <c r="E49" i="138" s="1"/>
  <c r="E10" i="138"/>
  <c r="M9" i="141"/>
  <c r="M11" i="141" s="1"/>
  <c r="M12" i="141" s="1"/>
  <c r="G48" i="138"/>
  <c r="G49" i="138" s="1"/>
  <c r="G10" i="138"/>
  <c r="J48" i="138"/>
  <c r="J49" i="138" s="1"/>
  <c r="AD97" i="135"/>
  <c r="AP97" i="135"/>
  <c r="AP148" i="135" s="1"/>
  <c r="AB148" i="135"/>
  <c r="I24" i="138"/>
  <c r="I25" i="138" s="1"/>
  <c r="I10" i="138"/>
  <c r="L9" i="141"/>
  <c r="L11" i="141" s="1"/>
  <c r="L12" i="141" s="1"/>
  <c r="AD100" i="135"/>
  <c r="AC100" i="135"/>
  <c r="L187" i="8"/>
  <c r="L169" i="8" s="1"/>
  <c r="AM95" i="105"/>
  <c r="AN95" i="105" s="1"/>
  <c r="AA42" i="92"/>
  <c r="O187" i="8"/>
  <c r="O169" i="8" s="1"/>
  <c r="O172" i="8" s="1"/>
  <c r="I187" i="8"/>
  <c r="I169" i="8" s="1"/>
  <c r="I172" i="8" s="1"/>
  <c r="O181" i="8"/>
  <c r="O165" i="8" s="1"/>
  <c r="O168" i="8" s="1"/>
  <c r="AB187" i="135"/>
  <c r="AP99" i="135"/>
  <c r="AP187" i="135" s="1"/>
  <c r="N11" i="141"/>
  <c r="N12" i="141" s="1"/>
  <c r="M12" i="138"/>
  <c r="M13" i="138" s="1"/>
  <c r="T56" i="137"/>
  <c r="T58" i="137" s="1"/>
  <c r="T59" i="137" s="1"/>
  <c r="T60" i="137" s="1"/>
  <c r="L24" i="138"/>
  <c r="L25" i="138" s="1"/>
  <c r="N187" i="8"/>
  <c r="N169" i="8" s="1"/>
  <c r="N172" i="8" s="1"/>
  <c r="K10" i="138"/>
  <c r="AB168" i="135"/>
  <c r="AP98" i="135"/>
  <c r="AP168" i="135" s="1"/>
  <c r="AC191" i="135"/>
  <c r="P9" i="141"/>
  <c r="P11" i="141" s="1"/>
  <c r="P12" i="141" s="1"/>
  <c r="P25" i="141"/>
  <c r="P26" i="141" s="1"/>
  <c r="AD99" i="135"/>
  <c r="AQ86" i="135"/>
  <c r="AQ185" i="135" s="1"/>
  <c r="AC185" i="135"/>
  <c r="AB94" i="105"/>
  <c r="AD89" i="135" s="1"/>
  <c r="AD128" i="135" s="1"/>
  <c r="AB99" i="105"/>
  <c r="AC118" i="135"/>
  <c r="AQ113" i="135"/>
  <c r="AQ118" i="135" s="1"/>
  <c r="H139" i="8"/>
  <c r="K11" i="141"/>
  <c r="K12" i="141" s="1"/>
  <c r="H187" i="8"/>
  <c r="H169" i="8" s="1"/>
  <c r="H172" i="8" s="1"/>
  <c r="D25" i="138"/>
  <c r="D10" i="138"/>
  <c r="AQ92" i="135"/>
  <c r="AC167" i="135"/>
  <c r="AQ167" i="135" s="1"/>
  <c r="AC152" i="135"/>
  <c r="AQ85" i="135"/>
  <c r="AQ165" i="135" s="1"/>
  <c r="AC165" i="135"/>
  <c r="AM96" i="105"/>
  <c r="AN96" i="105" s="1"/>
  <c r="AC91" i="135"/>
  <c r="AA99" i="105"/>
  <c r="AA104" i="105" s="1"/>
  <c r="X27" i="120"/>
  <c r="X28" i="120" s="1"/>
  <c r="Q8" i="120"/>
  <c r="AP96" i="135"/>
  <c r="AP129" i="135" s="1"/>
  <c r="AB129" i="135"/>
  <c r="AB101" i="135"/>
  <c r="G19" i="69"/>
  <c r="O18" i="82" s="1"/>
  <c r="F22" i="69"/>
  <c r="G22" i="69" s="1"/>
  <c r="Y22" i="8"/>
  <c r="V172" i="8"/>
  <c r="G187" i="8"/>
  <c r="G169" i="8" s="1"/>
  <c r="G172" i="8" s="1"/>
  <c r="U17" i="137"/>
  <c r="C72" i="138"/>
  <c r="C73" i="138" s="1"/>
  <c r="C10" i="138"/>
  <c r="F187" i="8"/>
  <c r="F169" i="8" s="1"/>
  <c r="H7" i="135"/>
  <c r="H152" i="135"/>
  <c r="AP81" i="135"/>
  <c r="AP204" i="135" s="1"/>
  <c r="AB165" i="135"/>
  <c r="AP85" i="135"/>
  <c r="AP165" i="135" s="1"/>
  <c r="AP80" i="135"/>
  <c r="AP184" i="135" s="1"/>
  <c r="AB184" i="135"/>
  <c r="AP84" i="135"/>
  <c r="AB146" i="135"/>
  <c r="AP115" i="135"/>
  <c r="H171" i="135"/>
  <c r="AP135" i="135"/>
  <c r="AP3" i="135"/>
  <c r="AB133" i="135"/>
  <c r="AP86" i="135"/>
  <c r="AP185" i="135" s="1"/>
  <c r="AB185" i="135"/>
  <c r="AB164" i="135"/>
  <c r="AP79" i="135"/>
  <c r="AP164" i="135" s="1"/>
  <c r="AB42" i="105"/>
  <c r="H112" i="135"/>
  <c r="Y203" i="135"/>
  <c r="AJ42" i="105"/>
  <c r="Z43" i="105"/>
  <c r="O40" i="105"/>
  <c r="M15" i="120" s="1"/>
  <c r="U16" i="137"/>
  <c r="AE42" i="105"/>
  <c r="F10" i="138"/>
  <c r="F60" i="138"/>
  <c r="F61" i="138" s="1"/>
  <c r="T27" i="69"/>
  <c r="U27" i="69" s="1"/>
  <c r="I52" i="137"/>
  <c r="AH11" i="69"/>
  <c r="AF19" i="69"/>
  <c r="V3" i="120"/>
  <c r="O18" i="90"/>
  <c r="N27" i="69"/>
  <c r="O22" i="69"/>
  <c r="J27" i="69"/>
  <c r="K22" i="69"/>
  <c r="V168" i="8"/>
  <c r="S168" i="8"/>
  <c r="M139" i="8"/>
  <c r="O44" i="105"/>
  <c r="H75" i="135"/>
  <c r="H145" i="135"/>
  <c r="AP37" i="92"/>
  <c r="G16" i="120"/>
  <c r="H16" i="120" s="1"/>
  <c r="R135" i="8"/>
  <c r="AP89" i="102"/>
  <c r="T197" i="8"/>
  <c r="V197" i="8"/>
  <c r="P196" i="8"/>
  <c r="P198" i="8" s="1"/>
  <c r="Y206" i="135"/>
  <c r="E38" i="135"/>
  <c r="T8" i="95"/>
  <c r="U8" i="95"/>
  <c r="AE87" i="105"/>
  <c r="AJ41" i="85"/>
  <c r="AL41" i="85"/>
  <c r="W5" i="95" s="1"/>
  <c r="AM41" i="85"/>
  <c r="X5" i="95" s="1"/>
  <c r="AD41" i="85"/>
  <c r="AE41" i="85"/>
  <c r="P5" i="95" s="1"/>
  <c r="AF41" i="85"/>
  <c r="Q5" i="95" s="1"/>
  <c r="G3" i="120"/>
  <c r="H3" i="120" s="1"/>
  <c r="J28" i="124"/>
  <c r="K28" i="124" s="1"/>
  <c r="L28" i="124" s="1"/>
  <c r="M4" i="124" s="1"/>
  <c r="AC93" i="105"/>
  <c r="N13" i="120"/>
  <c r="AM84" i="105"/>
  <c r="AN84" i="105" s="1"/>
  <c r="AM89" i="105"/>
  <c r="AN89" i="105" s="1"/>
  <c r="N154" i="8"/>
  <c r="H181" i="8"/>
  <c r="H165" i="8" s="1"/>
  <c r="H168" i="8" s="1"/>
  <c r="AE41" i="102"/>
  <c r="AI91" i="102"/>
  <c r="L154" i="8"/>
  <c r="V125" i="8"/>
  <c r="W125" i="8" s="1"/>
  <c r="W123" i="8" s="1"/>
  <c r="AD10" i="91"/>
  <c r="Q197" i="8"/>
  <c r="M181" i="8"/>
  <c r="M165" i="8" s="1"/>
  <c r="M168" i="8" s="1"/>
  <c r="AJ41" i="102"/>
  <c r="AJ43" i="102" s="1"/>
  <c r="N181" i="8"/>
  <c r="N165" i="8" s="1"/>
  <c r="N168" i="8" s="1"/>
  <c r="AK41" i="102"/>
  <c r="AK43" i="102" s="1"/>
  <c r="F181" i="8"/>
  <c r="F196" i="8" s="1"/>
  <c r="AC41" i="102"/>
  <c r="I181" i="8"/>
  <c r="AF41" i="102"/>
  <c r="AF43" i="102" s="1"/>
  <c r="J181" i="8"/>
  <c r="AG41" i="102"/>
  <c r="K181" i="8"/>
  <c r="AH41" i="102"/>
  <c r="AH43" i="102" s="1"/>
  <c r="G181" i="8"/>
  <c r="G165" i="8" s="1"/>
  <c r="AD41" i="102"/>
  <c r="L181" i="8"/>
  <c r="AI41" i="102"/>
  <c r="J84" i="130"/>
  <c r="L84" i="130" s="1"/>
  <c r="W40" i="105"/>
  <c r="V14" i="120" s="1"/>
  <c r="P165" i="8"/>
  <c r="P168" i="8" s="1"/>
  <c r="C241" i="8"/>
  <c r="J26" i="102"/>
  <c r="U135" i="8"/>
  <c r="AA32" i="92"/>
  <c r="Q154" i="8"/>
  <c r="I139" i="8"/>
  <c r="AK87" i="105"/>
  <c r="M13" i="120"/>
  <c r="O154" i="8"/>
  <c r="G139" i="8"/>
  <c r="U155" i="8"/>
  <c r="U147" i="8"/>
  <c r="R147" i="8"/>
  <c r="M154" i="8"/>
  <c r="K154" i="8"/>
  <c r="Y129" i="8"/>
  <c r="AB43" i="105"/>
  <c r="T158" i="8"/>
  <c r="S127" i="8"/>
  <c r="I154" i="8"/>
  <c r="T127" i="8"/>
  <c r="X127" i="8"/>
  <c r="AB83" i="105"/>
  <c r="AD78" i="135" s="1"/>
  <c r="AD126" i="135" s="1"/>
  <c r="C7" i="124"/>
  <c r="S227" i="8"/>
  <c r="V227" i="8"/>
  <c r="S197" i="8"/>
  <c r="S196" i="8"/>
  <c r="G10" i="120"/>
  <c r="H10" i="120" s="1"/>
  <c r="AB25" i="102"/>
  <c r="AB91" i="102"/>
  <c r="AH53" i="102"/>
  <c r="AH23" i="102"/>
  <c r="AH26" i="102" s="1"/>
  <c r="AD53" i="102"/>
  <c r="AD26" i="102"/>
  <c r="AI53" i="102"/>
  <c r="AI23" i="102"/>
  <c r="AL53" i="102"/>
  <c r="AL23" i="102"/>
  <c r="AL26" i="102" s="1"/>
  <c r="AN53" i="102"/>
  <c r="X14" i="95" s="1"/>
  <c r="X17" i="95" s="1"/>
  <c r="AN23" i="102"/>
  <c r="AN26" i="102" s="1"/>
  <c r="AI25" i="102"/>
  <c r="AC25" i="102"/>
  <c r="AO25" i="102" s="1"/>
  <c r="AC91" i="102"/>
  <c r="T196" i="8"/>
  <c r="AK53" i="102"/>
  <c r="AK23" i="102"/>
  <c r="AK26" i="102" s="1"/>
  <c r="AF23" i="102"/>
  <c r="AF26" i="102" s="1"/>
  <c r="AF53" i="102"/>
  <c r="AM53" i="102"/>
  <c r="AM23" i="102"/>
  <c r="AM26" i="102" s="1"/>
  <c r="L170" i="8"/>
  <c r="U170" i="8" s="1"/>
  <c r="U195" i="8"/>
  <c r="F170" i="8"/>
  <c r="R170" i="8" s="1"/>
  <c r="R195" i="8"/>
  <c r="F166" i="8"/>
  <c r="R191" i="8"/>
  <c r="AB23" i="102"/>
  <c r="AB53" i="102"/>
  <c r="AG53" i="102"/>
  <c r="AG23" i="102"/>
  <c r="AJ53" i="102"/>
  <c r="AJ23" i="102"/>
  <c r="AJ26" i="102" s="1"/>
  <c r="AE23" i="102"/>
  <c r="AE26" i="102" s="1"/>
  <c r="AE53" i="102"/>
  <c r="AI24" i="102"/>
  <c r="AP51" i="102"/>
  <c r="AC53" i="102"/>
  <c r="C237" i="8"/>
  <c r="G166" i="8"/>
  <c r="U191" i="8"/>
  <c r="L166" i="8"/>
  <c r="U166" i="8" s="1"/>
  <c r="I197" i="8"/>
  <c r="V196" i="8"/>
  <c r="AH79" i="102"/>
  <c r="AH81" i="102" s="1"/>
  <c r="R15" i="95" s="1"/>
  <c r="AG30" i="92"/>
  <c r="AM41" i="102"/>
  <c r="AL28" i="92"/>
  <c r="AD28" i="92"/>
  <c r="AE8" i="92"/>
  <c r="I238" i="8"/>
  <c r="U157" i="8"/>
  <c r="L238" i="8"/>
  <c r="AH8" i="92"/>
  <c r="AF34" i="105" s="1"/>
  <c r="AF35" i="105" s="1"/>
  <c r="AL30" i="92"/>
  <c r="AM79" i="102"/>
  <c r="AM81" i="102" s="1"/>
  <c r="W15" i="95" s="1"/>
  <c r="AF30" i="92"/>
  <c r="AG79" i="102"/>
  <c r="AI28" i="92"/>
  <c r="AJ28" i="92"/>
  <c r="G238" i="8"/>
  <c r="AC8" i="92"/>
  <c r="AI8" i="92"/>
  <c r="AG34" i="105" s="1"/>
  <c r="AG35" i="105" s="1"/>
  <c r="M238" i="8"/>
  <c r="AD79" i="102"/>
  <c r="AD81" i="102" s="1"/>
  <c r="N15" i="95" s="1"/>
  <c r="AC30" i="92"/>
  <c r="AI30" i="92"/>
  <c r="AJ79" i="102"/>
  <c r="AJ81" i="102" s="1"/>
  <c r="T15" i="95" s="1"/>
  <c r="AB28" i="92"/>
  <c r="R180" i="8"/>
  <c r="AE28" i="92"/>
  <c r="AG8" i="92"/>
  <c r="AE34" i="105" s="1"/>
  <c r="AE35" i="105" s="1"/>
  <c r="K238" i="8"/>
  <c r="AH30" i="92"/>
  <c r="AI79" i="102"/>
  <c r="U186" i="8"/>
  <c r="AN79" i="102"/>
  <c r="AM30" i="92"/>
  <c r="AF28" i="92"/>
  <c r="AN41" i="102"/>
  <c r="AM28" i="92"/>
  <c r="O238" i="8"/>
  <c r="AK8" i="92"/>
  <c r="AI34" i="105" s="1"/>
  <c r="AI35" i="105" s="1"/>
  <c r="J238" i="8"/>
  <c r="AF8" i="92"/>
  <c r="AD34" i="105" s="1"/>
  <c r="AD35" i="105" s="1"/>
  <c r="AK30" i="92"/>
  <c r="AL79" i="102"/>
  <c r="AL81" i="102" s="1"/>
  <c r="V15" i="95" s="1"/>
  <c r="AG28" i="92"/>
  <c r="AB8" i="92"/>
  <c r="R157" i="8"/>
  <c r="S157" i="8"/>
  <c r="F238" i="8"/>
  <c r="T157" i="8"/>
  <c r="Q238" i="8"/>
  <c r="AM8" i="92"/>
  <c r="AK34" i="105" s="1"/>
  <c r="AK79" i="102"/>
  <c r="AJ30" i="92"/>
  <c r="AF79" i="102"/>
  <c r="AF81" i="102" s="1"/>
  <c r="P15" i="95" s="1"/>
  <c r="AE30" i="92"/>
  <c r="AC28" i="92"/>
  <c r="N238" i="8"/>
  <c r="AJ8" i="92"/>
  <c r="R186" i="8"/>
  <c r="AB30" i="92"/>
  <c r="AC79" i="102"/>
  <c r="AO79" i="102" s="1"/>
  <c r="AH28" i="92"/>
  <c r="U180" i="8"/>
  <c r="AL8" i="92"/>
  <c r="AJ34" i="105" s="1"/>
  <c r="P238" i="8"/>
  <c r="AE79" i="102"/>
  <c r="AE81" i="102" s="1"/>
  <c r="O15" i="95" s="1"/>
  <c r="AD30" i="92"/>
  <c r="AL41" i="102"/>
  <c r="AK28" i="92"/>
  <c r="H238" i="8"/>
  <c r="AD8" i="92"/>
  <c r="P227" i="8"/>
  <c r="Q227" i="8"/>
  <c r="M227" i="8"/>
  <c r="J227" i="8"/>
  <c r="I227" i="8"/>
  <c r="N227" i="8"/>
  <c r="L227" i="8"/>
  <c r="G227" i="8"/>
  <c r="H227" i="8"/>
  <c r="F227" i="8"/>
  <c r="O227" i="8"/>
  <c r="K227" i="8"/>
  <c r="AA86" i="105"/>
  <c r="N44" i="105"/>
  <c r="AA92" i="105"/>
  <c r="AB92" i="105"/>
  <c r="Y24" i="120"/>
  <c r="AB86" i="105"/>
  <c r="AD81" i="135" s="1"/>
  <c r="AD204" i="135" s="1"/>
  <c r="AD86" i="105"/>
  <c r="AF81" i="135" s="1"/>
  <c r="AF204" i="135" s="1"/>
  <c r="AD92" i="105"/>
  <c r="AF87" i="135" s="1"/>
  <c r="AF205" i="135" s="1"/>
  <c r="AF87" i="105"/>
  <c r="R13" i="120"/>
  <c r="AF93" i="105"/>
  <c r="AA31" i="92"/>
  <c r="Y99" i="105" s="1"/>
  <c r="X94" i="135" s="1"/>
  <c r="U150" i="8"/>
  <c r="X129" i="8"/>
  <c r="T155" i="8"/>
  <c r="T147" i="8"/>
  <c r="G154" i="8"/>
  <c r="Y127" i="8"/>
  <c r="S147" i="8"/>
  <c r="R150" i="8"/>
  <c r="J154" i="8"/>
  <c r="M162" i="8"/>
  <c r="F154" i="8"/>
  <c r="S150" i="8"/>
  <c r="AI10" i="92"/>
  <c r="AG15" i="105" s="1"/>
  <c r="T150" i="8"/>
  <c r="M89" i="130"/>
  <c r="T135" i="8"/>
  <c r="S158" i="8"/>
  <c r="S135" i="8"/>
  <c r="K139" i="8"/>
  <c r="U127" i="8"/>
  <c r="K9" i="90"/>
  <c r="I13" i="105" s="1"/>
  <c r="AB9" i="90"/>
  <c r="AL14" i="105"/>
  <c r="AG6" i="92"/>
  <c r="AE28" i="105" s="1"/>
  <c r="U21" i="130"/>
  <c r="U18" i="130"/>
  <c r="AL25" i="105"/>
  <c r="U20" i="130"/>
  <c r="G17" i="120"/>
  <c r="H17" i="120" s="1"/>
  <c r="AR3" i="105"/>
  <c r="W23" i="8"/>
  <c r="U19" i="130"/>
  <c r="AL27" i="105"/>
  <c r="AL15" i="105"/>
  <c r="AH43" i="105"/>
  <c r="AF6" i="92"/>
  <c r="AD28" i="105" s="1"/>
  <c r="K6" i="90"/>
  <c r="U22" i="130"/>
  <c r="AJ43" i="105"/>
  <c r="AL12" i="105"/>
  <c r="R127" i="8"/>
  <c r="K6" i="82"/>
  <c r="C124" i="8"/>
  <c r="P131" i="8"/>
  <c r="AJ92" i="105"/>
  <c r="AJ93" i="105" s="1"/>
  <c r="W44" i="105"/>
  <c r="AG16" i="119"/>
  <c r="AJ86" i="105"/>
  <c r="AJ87" i="105" s="1"/>
  <c r="AC40" i="105"/>
  <c r="J27" i="124"/>
  <c r="K27" i="124" s="1"/>
  <c r="L27" i="124" s="1"/>
  <c r="M3" i="124" s="1"/>
  <c r="P13" i="120"/>
  <c r="L13" i="120"/>
  <c r="J31" i="124"/>
  <c r="AI92" i="105"/>
  <c r="AI86" i="105"/>
  <c r="U13" i="120"/>
  <c r="AO42" i="92"/>
  <c r="AD85" i="105"/>
  <c r="AF80" i="135" s="1"/>
  <c r="AN80" i="135" s="1"/>
  <c r="BB80" i="135" s="1"/>
  <c r="BB184" i="135" s="1"/>
  <c r="AG88" i="105"/>
  <c r="T44" i="105"/>
  <c r="AG86" i="105"/>
  <c r="AI81" i="135" s="1"/>
  <c r="R225" i="8"/>
  <c r="AO28" i="82"/>
  <c r="Z130" i="8"/>
  <c r="AO33" i="82"/>
  <c r="S124" i="8"/>
  <c r="S229" i="8" s="1"/>
  <c r="S231" i="8" s="1"/>
  <c r="T40" i="105"/>
  <c r="Q225" i="8"/>
  <c r="AO39" i="91"/>
  <c r="AO34" i="82"/>
  <c r="M225" i="8"/>
  <c r="L225" i="8"/>
  <c r="AO35" i="82"/>
  <c r="N225" i="8"/>
  <c r="AO26" i="82"/>
  <c r="AB78" i="135"/>
  <c r="Q173" i="8"/>
  <c r="AG83" i="105"/>
  <c r="AI78" i="135" s="1"/>
  <c r="P225" i="8"/>
  <c r="AO36" i="82"/>
  <c r="L172" i="8"/>
  <c r="J11" i="124"/>
  <c r="K11" i="124" s="1"/>
  <c r="P11" i="124" s="1"/>
  <c r="S225" i="8"/>
  <c r="AO40" i="91"/>
  <c r="V223" i="8"/>
  <c r="V225" i="8" s="1"/>
  <c r="AD44" i="105"/>
  <c r="AD91" i="105"/>
  <c r="AF86" i="135" s="1"/>
  <c r="AN86" i="135" s="1"/>
  <c r="BB86" i="135" s="1"/>
  <c r="BB185" i="135" s="1"/>
  <c r="AO42" i="91"/>
  <c r="AP42" i="91" s="1"/>
  <c r="J225" i="8"/>
  <c r="Q43" i="105"/>
  <c r="O13" i="120" s="1"/>
  <c r="I225" i="8"/>
  <c r="V124" i="8"/>
  <c r="V229" i="8" s="1"/>
  <c r="AA6" i="85"/>
  <c r="Y25" i="105" s="1"/>
  <c r="H225" i="8"/>
  <c r="K3" i="120"/>
  <c r="AL43" i="105"/>
  <c r="AB14" i="105" l="1"/>
  <c r="AO10" i="91"/>
  <c r="X205" i="135"/>
  <c r="X88" i="135"/>
  <c r="AB27" i="105"/>
  <c r="AO6" i="91"/>
  <c r="N204" i="135"/>
  <c r="N82" i="135"/>
  <c r="N205" i="135"/>
  <c r="N88" i="135"/>
  <c r="AD46" i="91"/>
  <c r="X204" i="135"/>
  <c r="X82" i="135"/>
  <c r="Q73" i="90"/>
  <c r="AA73" i="90" s="1"/>
  <c r="H120" i="8"/>
  <c r="H144" i="8" s="1"/>
  <c r="AD7" i="90" s="1"/>
  <c r="AO7" i="90" s="1"/>
  <c r="Q7" i="90"/>
  <c r="AP40" i="91"/>
  <c r="AO46" i="91"/>
  <c r="AA46" i="91" s="1"/>
  <c r="Q13" i="120"/>
  <c r="AO41" i="102"/>
  <c r="S173" i="8"/>
  <c r="R162" i="8"/>
  <c r="T162" i="8"/>
  <c r="Y45" i="92"/>
  <c r="AH34" i="105"/>
  <c r="AH35" i="105" s="1"/>
  <c r="M10" i="95"/>
  <c r="K16" i="120"/>
  <c r="Q16" i="120" s="1"/>
  <c r="AB20" i="85"/>
  <c r="M8" i="95"/>
  <c r="J8" i="95" s="1"/>
  <c r="U51" i="137"/>
  <c r="U52" i="137" s="1"/>
  <c r="V38" i="135"/>
  <c r="R230" i="8"/>
  <c r="BB32" i="135"/>
  <c r="BB137" i="135" s="1"/>
  <c r="AN137" i="135"/>
  <c r="BB25" i="135"/>
  <c r="BB136" i="135" s="1"/>
  <c r="AN136" i="135"/>
  <c r="AN116" i="135"/>
  <c r="BB24" i="135"/>
  <c r="BB116" i="135" s="1"/>
  <c r="Y209" i="135"/>
  <c r="AO25" i="135"/>
  <c r="AO136" i="135" s="1"/>
  <c r="AA136" i="135"/>
  <c r="AO32" i="135"/>
  <c r="AO137" i="135" s="1"/>
  <c r="AA137" i="135"/>
  <c r="AY5" i="135"/>
  <c r="AY171" i="135" s="1"/>
  <c r="BB26" i="135"/>
  <c r="BB155" i="135" s="1"/>
  <c r="Z45" i="92"/>
  <c r="X10" i="95"/>
  <c r="AK7" i="135"/>
  <c r="AY7" i="135" s="1"/>
  <c r="P8" i="95"/>
  <c r="O46" i="91"/>
  <c r="AN91" i="135"/>
  <c r="BB91" i="135" s="1"/>
  <c r="R145" i="135"/>
  <c r="AH73" i="135"/>
  <c r="AH145" i="135" s="1"/>
  <c r="AH150" i="135" s="1"/>
  <c r="AO41" i="85"/>
  <c r="AA41" i="85" s="1"/>
  <c r="AM90" i="105"/>
  <c r="AN90" i="105" s="1"/>
  <c r="AK5" i="105"/>
  <c r="AK10" i="105" s="1"/>
  <c r="AE93" i="105"/>
  <c r="T230" i="8"/>
  <c r="O196" i="8"/>
  <c r="W8" i="95"/>
  <c r="F197" i="8"/>
  <c r="P169" i="8"/>
  <c r="P172" i="8" s="1"/>
  <c r="P173" i="8" s="1"/>
  <c r="AY36" i="135"/>
  <c r="AY37" i="135" s="1"/>
  <c r="AN129" i="135"/>
  <c r="O173" i="8"/>
  <c r="R77" i="135"/>
  <c r="AN164" i="135"/>
  <c r="AX73" i="135"/>
  <c r="AX145" i="135" s="1"/>
  <c r="AX150" i="135" s="1"/>
  <c r="AM22" i="105"/>
  <c r="AK176" i="135"/>
  <c r="AK182" i="135" s="1"/>
  <c r="AN115" i="135"/>
  <c r="AN154" i="135"/>
  <c r="AN195" i="135"/>
  <c r="AN192" i="135"/>
  <c r="AN100" i="135"/>
  <c r="BB100" i="135" s="1"/>
  <c r="BB207" i="135" s="1"/>
  <c r="L224" i="8"/>
  <c r="AK196" i="135"/>
  <c r="AK202" i="135" s="1"/>
  <c r="AN193" i="135"/>
  <c r="AL26" i="105"/>
  <c r="AN73" i="135"/>
  <c r="BB73" i="135" s="1"/>
  <c r="BB145" i="135" s="1"/>
  <c r="BB150" i="135" s="1"/>
  <c r="AB34" i="105"/>
  <c r="AB35" i="105" s="1"/>
  <c r="AY15" i="135"/>
  <c r="AY16" i="135" s="1"/>
  <c r="AK38" i="135"/>
  <c r="AY38" i="135" s="1"/>
  <c r="AK16" i="135"/>
  <c r="AI176" i="135"/>
  <c r="AI182" i="135" s="1"/>
  <c r="AW157" i="135"/>
  <c r="AW118" i="135"/>
  <c r="AI93" i="105"/>
  <c r="AK87" i="135"/>
  <c r="AC34" i="105"/>
  <c r="AC35" i="105" s="1"/>
  <c r="L197" i="8"/>
  <c r="AY75" i="135"/>
  <c r="AY183" i="135" s="1"/>
  <c r="AY189" i="135" s="1"/>
  <c r="AK183" i="135"/>
  <c r="AK189" i="135" s="1"/>
  <c r="AN4" i="135"/>
  <c r="BB4" i="135" s="1"/>
  <c r="BB152" i="135" s="1"/>
  <c r="AP6" i="91"/>
  <c r="AY73" i="135"/>
  <c r="AY145" i="135" s="1"/>
  <c r="AY150" i="135" s="1"/>
  <c r="AK145" i="135"/>
  <c r="AK150" i="135" s="1"/>
  <c r="AW134" i="135"/>
  <c r="AI138" i="135"/>
  <c r="T101" i="135"/>
  <c r="AX101" i="135"/>
  <c r="AI118" i="135"/>
  <c r="Z34" i="105"/>
  <c r="AN156" i="135"/>
  <c r="AI104" i="105"/>
  <c r="AK94" i="135"/>
  <c r="AI204" i="135"/>
  <c r="AW81" i="135"/>
  <c r="AW204" i="135" s="1"/>
  <c r="H72" i="135"/>
  <c r="H125" i="135" s="1"/>
  <c r="I24" i="105"/>
  <c r="H74" i="135"/>
  <c r="I26" i="105"/>
  <c r="AG104" i="105"/>
  <c r="AN174" i="135"/>
  <c r="AY176" i="135"/>
  <c r="AK30" i="135"/>
  <c r="AY29" i="135"/>
  <c r="AY30" i="135" s="1"/>
  <c r="AN12" i="105"/>
  <c r="AI37" i="135"/>
  <c r="AW36" i="135"/>
  <c r="AW37" i="135" s="1"/>
  <c r="AK124" i="135"/>
  <c r="AK157" i="135"/>
  <c r="AK162" i="135" s="1"/>
  <c r="AP23" i="92"/>
  <c r="AY157" i="135"/>
  <c r="S101" i="135"/>
  <c r="AW101" i="135"/>
  <c r="AI206" i="135"/>
  <c r="AW94" i="135"/>
  <c r="AW206" i="135" s="1"/>
  <c r="AI30" i="135"/>
  <c r="AW29" i="135"/>
  <c r="AW30" i="135" s="1"/>
  <c r="M163" i="135"/>
  <c r="M77" i="135"/>
  <c r="AI95" i="135"/>
  <c r="AI87" i="105"/>
  <c r="AK81" i="135"/>
  <c r="AA34" i="105"/>
  <c r="AA35" i="105" s="1"/>
  <c r="AA10" i="105"/>
  <c r="G197" i="8"/>
  <c r="Z14" i="105"/>
  <c r="AY134" i="135"/>
  <c r="AK138" i="135"/>
  <c r="AN28" i="105"/>
  <c r="AY196" i="135"/>
  <c r="AN15" i="105"/>
  <c r="AG93" i="105"/>
  <c r="AI83" i="135"/>
  <c r="F172" i="8"/>
  <c r="R172" i="8" s="1"/>
  <c r="AI126" i="135"/>
  <c r="AI82" i="135"/>
  <c r="AW82" i="135" s="1"/>
  <c r="AW78" i="135"/>
  <c r="AW126" i="135" s="1"/>
  <c r="AL5" i="105"/>
  <c r="AL10" i="105" s="1"/>
  <c r="AL11" i="105"/>
  <c r="O197" i="8"/>
  <c r="AN25" i="105"/>
  <c r="AP6" i="92"/>
  <c r="Z35" i="105"/>
  <c r="AW176" i="135"/>
  <c r="AI157" i="135"/>
  <c r="AI162" i="135" s="1"/>
  <c r="H203" i="135"/>
  <c r="AI196" i="135"/>
  <c r="AW15" i="135"/>
  <c r="AI16" i="135"/>
  <c r="AI38" i="135"/>
  <c r="AW38" i="135" s="1"/>
  <c r="AP10" i="92"/>
  <c r="X95" i="135"/>
  <c r="X206" i="135"/>
  <c r="AI42" i="105"/>
  <c r="Y29" i="105"/>
  <c r="BB157" i="135"/>
  <c r="U8" i="135"/>
  <c r="U39" i="135" s="1"/>
  <c r="U38" i="135"/>
  <c r="T95" i="135"/>
  <c r="AX95" i="135"/>
  <c r="AK81" i="102"/>
  <c r="U15" i="95" s="1"/>
  <c r="AP141" i="135"/>
  <c r="AN141" i="135"/>
  <c r="BB141" i="135" s="1"/>
  <c r="BB196" i="135"/>
  <c r="AN147" i="135"/>
  <c r="BB147" i="135" s="1"/>
  <c r="AN78" i="135"/>
  <c r="BB78" i="135" s="1"/>
  <c r="BB126" i="135" s="1"/>
  <c r="AN6" i="135"/>
  <c r="BB6" i="135" s="1"/>
  <c r="BB191" i="135" s="1"/>
  <c r="AB191" i="135"/>
  <c r="AN191" i="135" s="1"/>
  <c r="AN99" i="135"/>
  <c r="BB99" i="135" s="1"/>
  <c r="BB187" i="135" s="1"/>
  <c r="AN172" i="135"/>
  <c r="AP134" i="135"/>
  <c r="AN134" i="135"/>
  <c r="BB134" i="135" s="1"/>
  <c r="AN175" i="135"/>
  <c r="AN167" i="135"/>
  <c r="BB167" i="135" s="1"/>
  <c r="AN155" i="135"/>
  <c r="AN135" i="135"/>
  <c r="BB135" i="135" s="1"/>
  <c r="AN153" i="135"/>
  <c r="AP146" i="135"/>
  <c r="AN146" i="135"/>
  <c r="BB146" i="135" s="1"/>
  <c r="AN117" i="135"/>
  <c r="BB176" i="135"/>
  <c r="AO6" i="135"/>
  <c r="AO191" i="135" s="1"/>
  <c r="AA191" i="135"/>
  <c r="AB118" i="135"/>
  <c r="AN114" i="135"/>
  <c r="AN113" i="135"/>
  <c r="BB118" i="135"/>
  <c r="AN173" i="135"/>
  <c r="AS22" i="135"/>
  <c r="AR22" i="135"/>
  <c r="R8" i="135"/>
  <c r="R39" i="135" s="1"/>
  <c r="AT22" i="135"/>
  <c r="AN76" i="135"/>
  <c r="BB76" i="135" s="1"/>
  <c r="BB203" i="135" s="1"/>
  <c r="BB209" i="135" s="1"/>
  <c r="AB203" i="135"/>
  <c r="AB209" i="135" s="1"/>
  <c r="AQ22" i="135"/>
  <c r="AQ15" i="135"/>
  <c r="AQ16" i="135" s="1"/>
  <c r="AC196" i="135"/>
  <c r="H8" i="135"/>
  <c r="H39" i="135" s="1"/>
  <c r="AC37" i="135"/>
  <c r="N38" i="135"/>
  <c r="AN97" i="135"/>
  <c r="BB97" i="135" s="1"/>
  <c r="BB148" i="135" s="1"/>
  <c r="AN3" i="135"/>
  <c r="BB3" i="135" s="1"/>
  <c r="AU22" i="135"/>
  <c r="AP5" i="135"/>
  <c r="AP171" i="135" s="1"/>
  <c r="AN5" i="135"/>
  <c r="BB5" i="135" s="1"/>
  <c r="BB171" i="135" s="1"/>
  <c r="AN36" i="135"/>
  <c r="BB36" i="135" s="1"/>
  <c r="AB112" i="135"/>
  <c r="AN2" i="135"/>
  <c r="BB2" i="135" s="1"/>
  <c r="BB112" i="135" s="1"/>
  <c r="AN15" i="135"/>
  <c r="BB15" i="135" s="1"/>
  <c r="L101" i="135"/>
  <c r="AN29" i="135"/>
  <c r="BB29" i="135" s="1"/>
  <c r="AP22" i="135"/>
  <c r="AN22" i="135"/>
  <c r="BB22" i="135" s="1"/>
  <c r="AN98" i="135"/>
  <c r="BB98" i="135" s="1"/>
  <c r="BB168" i="135" s="1"/>
  <c r="AW4" i="135"/>
  <c r="AW152" i="135" s="1"/>
  <c r="AF38" i="135"/>
  <c r="AT38" i="135" s="1"/>
  <c r="AD118" i="135"/>
  <c r="AD124" i="135" s="1"/>
  <c r="AB157" i="135"/>
  <c r="X7" i="135"/>
  <c r="X8" i="135" s="1"/>
  <c r="AE157" i="135"/>
  <c r="AC168" i="135"/>
  <c r="AE38" i="135"/>
  <c r="AS38" i="135" s="1"/>
  <c r="AC138" i="135"/>
  <c r="AQ138" i="135" s="1"/>
  <c r="M39" i="135"/>
  <c r="AH101" i="135"/>
  <c r="R101" i="135" s="1"/>
  <c r="N8" i="135"/>
  <c r="N39" i="135" s="1"/>
  <c r="L39" i="135"/>
  <c r="AP157" i="135"/>
  <c r="O39" i="135"/>
  <c r="AI112" i="135"/>
  <c r="AG118" i="135"/>
  <c r="AA206" i="135"/>
  <c r="AB138" i="135"/>
  <c r="AJ176" i="135"/>
  <c r="AB176" i="135"/>
  <c r="AW5" i="135"/>
  <c r="AW171" i="135" s="1"/>
  <c r="AB38" i="135"/>
  <c r="AB171" i="135"/>
  <c r="AC38" i="135"/>
  <c r="AQ38" i="135" s="1"/>
  <c r="AI7" i="135"/>
  <c r="AG166" i="135"/>
  <c r="AU166" i="135" s="1"/>
  <c r="AJ118" i="135"/>
  <c r="AE196" i="135"/>
  <c r="AR118" i="135"/>
  <c r="AF157" i="135"/>
  <c r="Y176" i="135"/>
  <c r="AE118" i="135"/>
  <c r="AX176" i="135"/>
  <c r="AH38" i="135"/>
  <c r="AV38" i="135" s="1"/>
  <c r="AG157" i="135"/>
  <c r="AC16" i="135"/>
  <c r="AX113" i="135"/>
  <c r="AX118" i="135" s="1"/>
  <c r="AX5" i="135"/>
  <c r="AX171" i="135" s="1"/>
  <c r="AJ171" i="135"/>
  <c r="AX157" i="135"/>
  <c r="AW76" i="135"/>
  <c r="AW203" i="135" s="1"/>
  <c r="AW209" i="135" s="1"/>
  <c r="AQ157" i="135"/>
  <c r="AX134" i="135"/>
  <c r="AJ138" i="135"/>
  <c r="AX76" i="135"/>
  <c r="AX203" i="135" s="1"/>
  <c r="AX209" i="135" s="1"/>
  <c r="AJ37" i="135"/>
  <c r="AX36" i="135"/>
  <c r="AJ7" i="135"/>
  <c r="AX2" i="135"/>
  <c r="AX112" i="135" s="1"/>
  <c r="AJ112" i="135"/>
  <c r="AJ196" i="135"/>
  <c r="AX15" i="135"/>
  <c r="AJ16" i="135"/>
  <c r="AJ38" i="135"/>
  <c r="AX38" i="135" s="1"/>
  <c r="AJ157" i="135"/>
  <c r="AX4" i="135"/>
  <c r="AX152" i="135" s="1"/>
  <c r="AJ152" i="135"/>
  <c r="AF118" i="135"/>
  <c r="AF124" i="135" s="1"/>
  <c r="AJ30" i="135"/>
  <c r="AX29" i="135"/>
  <c r="AX196" i="135" s="1"/>
  <c r="AX22" i="135"/>
  <c r="X100" i="135"/>
  <c r="AG38" i="135"/>
  <c r="AU38" i="135" s="1"/>
  <c r="Q3" i="120"/>
  <c r="AH44" i="105"/>
  <c r="U169" i="8"/>
  <c r="N173" i="8"/>
  <c r="N197" i="8"/>
  <c r="X23" i="135"/>
  <c r="T39" i="135"/>
  <c r="X73" i="135"/>
  <c r="X145" i="135" s="1"/>
  <c r="X72" i="135"/>
  <c r="X125" i="135" s="1"/>
  <c r="Q8" i="95"/>
  <c r="AQ176" i="135"/>
  <c r="S8" i="95"/>
  <c r="AV176" i="135"/>
  <c r="AR176" i="135"/>
  <c r="AD176" i="135"/>
  <c r="AB196" i="135"/>
  <c r="AH118" i="135"/>
  <c r="AR157" i="135"/>
  <c r="AG196" i="135"/>
  <c r="AV157" i="135"/>
  <c r="AP176" i="135"/>
  <c r="AG176" i="135"/>
  <c r="AC176" i="135"/>
  <c r="AF185" i="135"/>
  <c r="AN185" i="135" s="1"/>
  <c r="AT86" i="135"/>
  <c r="AT185" i="135" s="1"/>
  <c r="AT81" i="135"/>
  <c r="AT204" i="135" s="1"/>
  <c r="AA76" i="135"/>
  <c r="Z203" i="135"/>
  <c r="AH157" i="135"/>
  <c r="AT15" i="135"/>
  <c r="AF16" i="135"/>
  <c r="AD157" i="135"/>
  <c r="AD162" i="135" s="1"/>
  <c r="AO34" i="135"/>
  <c r="AO175" i="135" s="1"/>
  <c r="AA175" i="135"/>
  <c r="AU113" i="135"/>
  <c r="AU118" i="135" s="1"/>
  <c r="AV100" i="135"/>
  <c r="AV207" i="135" s="1"/>
  <c r="AH207" i="135"/>
  <c r="AU176" i="135"/>
  <c r="AC30" i="135"/>
  <c r="AQ29" i="135"/>
  <c r="AQ196" i="135" s="1"/>
  <c r="AG171" i="135"/>
  <c r="AU5" i="135"/>
  <c r="AU171" i="135" s="1"/>
  <c r="AC157" i="135"/>
  <c r="AC162" i="135" s="1"/>
  <c r="AE138" i="135"/>
  <c r="AS138" i="135" s="1"/>
  <c r="AS134" i="135"/>
  <c r="AD196" i="135"/>
  <c r="AE176" i="135"/>
  <c r="AO27" i="135"/>
  <c r="AO174" i="135" s="1"/>
  <c r="AA174" i="135"/>
  <c r="AH30" i="135"/>
  <c r="AV29" i="135"/>
  <c r="AD104" i="105"/>
  <c r="AF94" i="135"/>
  <c r="AF104" i="105"/>
  <c r="AH94" i="135"/>
  <c r="AF196" i="135"/>
  <c r="AU36" i="135"/>
  <c r="AG37" i="135"/>
  <c r="AH171" i="135"/>
  <c r="AV5" i="135"/>
  <c r="AV171" i="135" s="1"/>
  <c r="AF145" i="135"/>
  <c r="AF150" i="135" s="1"/>
  <c r="AT73" i="135"/>
  <c r="AT145" i="135" s="1"/>
  <c r="AT150" i="135" s="1"/>
  <c r="AS76" i="135"/>
  <c r="AS203" i="135" s="1"/>
  <c r="AS209" i="135" s="1"/>
  <c r="AE30" i="135"/>
  <c r="AS29" i="135"/>
  <c r="AB30" i="135"/>
  <c r="AP29" i="135"/>
  <c r="AR81" i="135"/>
  <c r="AR204" i="135" s="1"/>
  <c r="AR76" i="135"/>
  <c r="AR203" i="135" s="1"/>
  <c r="AF88" i="135"/>
  <c r="AT88" i="135" s="1"/>
  <c r="R207" i="135"/>
  <c r="AF148" i="135"/>
  <c r="AT97" i="135"/>
  <c r="AT148" i="135" s="1"/>
  <c r="AE145" i="135"/>
  <c r="AE150" i="135" s="1"/>
  <c r="AS73" i="135"/>
  <c r="AS145" i="135" s="1"/>
  <c r="AS150" i="135" s="1"/>
  <c r="AF176" i="135"/>
  <c r="AV4" i="135"/>
  <c r="AV152" i="135" s="1"/>
  <c r="AH152" i="135"/>
  <c r="AV76" i="135"/>
  <c r="AV203" i="135" s="1"/>
  <c r="AV209" i="135" s="1"/>
  <c r="AG138" i="135"/>
  <c r="AU138" i="135" s="1"/>
  <c r="AU134" i="135"/>
  <c r="AF138" i="135"/>
  <c r="AT138" i="135" s="1"/>
  <c r="AT134" i="135"/>
  <c r="R38" i="135"/>
  <c r="AV3" i="135"/>
  <c r="AH133" i="135"/>
  <c r="AD30" i="135"/>
  <c r="AR29" i="135"/>
  <c r="AG145" i="135"/>
  <c r="AG150" i="135" s="1"/>
  <c r="AU73" i="135"/>
  <c r="AU145" i="135" s="1"/>
  <c r="AU150" i="135" s="1"/>
  <c r="AT176" i="135"/>
  <c r="AS113" i="135"/>
  <c r="AS118" i="135" s="1"/>
  <c r="P38" i="135"/>
  <c r="P8" i="135"/>
  <c r="P39" i="135" s="1"/>
  <c r="AU76" i="135"/>
  <c r="AU203" i="135" s="1"/>
  <c r="AU209" i="135" s="1"/>
  <c r="AH138" i="135"/>
  <c r="AV138" i="135" s="1"/>
  <c r="AV134" i="135"/>
  <c r="AC101" i="135"/>
  <c r="AT133" i="135"/>
  <c r="AF186" i="135"/>
  <c r="AN186" i="135" s="1"/>
  <c r="AT93" i="135"/>
  <c r="AT186" i="135" s="1"/>
  <c r="AP15" i="135"/>
  <c r="AP196" i="135" s="1"/>
  <c r="AB16" i="135"/>
  <c r="AS133" i="135"/>
  <c r="AU99" i="135"/>
  <c r="AU187" i="135" s="1"/>
  <c r="AG187" i="135"/>
  <c r="AT6" i="135"/>
  <c r="AT191" i="135" s="1"/>
  <c r="AT76" i="135"/>
  <c r="AT203" i="135" s="1"/>
  <c r="AT209" i="135" s="1"/>
  <c r="AR5" i="135"/>
  <c r="AR171" i="135" s="1"/>
  <c r="AD171" i="135"/>
  <c r="AE104" i="105"/>
  <c r="AG94" i="135"/>
  <c r="AH37" i="135"/>
  <c r="AV36" i="135"/>
  <c r="AR15" i="135"/>
  <c r="AR196" i="135" s="1"/>
  <c r="AD16" i="135"/>
  <c r="AT113" i="135"/>
  <c r="AT118" i="135" s="1"/>
  <c r="AG133" i="135"/>
  <c r="AU3" i="135"/>
  <c r="AR134" i="135"/>
  <c r="AD138" i="135"/>
  <c r="AR138" i="135" s="1"/>
  <c r="AT36" i="135"/>
  <c r="AF37" i="135"/>
  <c r="AR6" i="135"/>
  <c r="AR191" i="135" s="1"/>
  <c r="AR36" i="135"/>
  <c r="AD37" i="135"/>
  <c r="AH196" i="135"/>
  <c r="AF207" i="135"/>
  <c r="AT100" i="135"/>
  <c r="AT207" i="135" s="1"/>
  <c r="AF184" i="135"/>
  <c r="AN184" i="135" s="1"/>
  <c r="AT80" i="135"/>
  <c r="AT184" i="135" s="1"/>
  <c r="AA73" i="135"/>
  <c r="AO73" i="135" s="1"/>
  <c r="AO145" i="135" s="1"/>
  <c r="AO150" i="135" s="1"/>
  <c r="Z73" i="135"/>
  <c r="Z145" i="135" s="1"/>
  <c r="Z150" i="135" s="1"/>
  <c r="AR99" i="135"/>
  <c r="AR187" i="135" s="1"/>
  <c r="AD187" i="135"/>
  <c r="AF82" i="135"/>
  <c r="AT82" i="135" s="1"/>
  <c r="AG30" i="135"/>
  <c r="AU29" i="135"/>
  <c r="AH176" i="135"/>
  <c r="AQ37" i="135"/>
  <c r="AV113" i="135"/>
  <c r="AV118" i="135" s="1"/>
  <c r="AO13" i="135"/>
  <c r="AO172" i="135" s="1"/>
  <c r="AA172" i="135"/>
  <c r="AS15" i="135"/>
  <c r="AS196" i="135" s="1"/>
  <c r="AE16" i="135"/>
  <c r="AO20" i="135"/>
  <c r="AO173" i="135" s="1"/>
  <c r="AA173" i="135"/>
  <c r="AE171" i="135"/>
  <c r="AS5" i="135"/>
  <c r="AS171" i="135" s="1"/>
  <c r="M207" i="135"/>
  <c r="AU97" i="135"/>
  <c r="AU148" i="135" s="1"/>
  <c r="AG148" i="135"/>
  <c r="AF30" i="135"/>
  <c r="AT29" i="135"/>
  <c r="AT196" i="135" s="1"/>
  <c r="AS36" i="135"/>
  <c r="AE37" i="135"/>
  <c r="AT87" i="135"/>
  <c r="AT205" i="135" s="1"/>
  <c r="AR100" i="135"/>
  <c r="AR207" i="135" s="1"/>
  <c r="AD207" i="135"/>
  <c r="AD38" i="135"/>
  <c r="AR38" i="135" s="1"/>
  <c r="AV15" i="135"/>
  <c r="AV196" i="135" s="1"/>
  <c r="AH16" i="135"/>
  <c r="AU15" i="135"/>
  <c r="AU196" i="135" s="1"/>
  <c r="AG16" i="135"/>
  <c r="AV98" i="135"/>
  <c r="AV168" i="135" s="1"/>
  <c r="AH168" i="135"/>
  <c r="AT5" i="135"/>
  <c r="AT171" i="135" s="1"/>
  <c r="AF171" i="135"/>
  <c r="AB37" i="135"/>
  <c r="AP36" i="135"/>
  <c r="AS176" i="135"/>
  <c r="AG42" i="105"/>
  <c r="U187" i="8"/>
  <c r="M173" i="8"/>
  <c r="M197" i="8"/>
  <c r="U154" i="8"/>
  <c r="U181" i="8"/>
  <c r="AH7" i="135"/>
  <c r="AV2" i="135"/>
  <c r="AV112" i="135" s="1"/>
  <c r="AH112" i="135"/>
  <c r="AV82" i="135"/>
  <c r="Z206" i="135"/>
  <c r="AO206" i="135"/>
  <c r="Z182" i="135"/>
  <c r="AF44" i="105"/>
  <c r="AI81" i="102"/>
  <c r="S15" i="95" s="1"/>
  <c r="AI43" i="102"/>
  <c r="S14" i="95" s="1"/>
  <c r="AF42" i="105"/>
  <c r="AE152" i="135"/>
  <c r="AS4" i="135"/>
  <c r="AS152" i="135" s="1"/>
  <c r="AE168" i="135"/>
  <c r="AS98" i="135"/>
  <c r="AS168" i="135" s="1"/>
  <c r="AS157" i="135"/>
  <c r="I56" i="137"/>
  <c r="I58" i="137" s="1"/>
  <c r="I59" i="137" s="1"/>
  <c r="I60" i="137" s="1"/>
  <c r="AG165" i="135"/>
  <c r="AN165" i="135" s="1"/>
  <c r="AU85" i="135"/>
  <c r="AU165" i="135" s="1"/>
  <c r="AG88" i="135"/>
  <c r="AF168" i="135"/>
  <c r="AT98" i="135"/>
  <c r="AT168" i="135" s="1"/>
  <c r="AF101" i="135"/>
  <c r="P101" i="135" s="1"/>
  <c r="Q8" i="135"/>
  <c r="Q39" i="135" s="1"/>
  <c r="Q38" i="135"/>
  <c r="AU157" i="135"/>
  <c r="AF152" i="135"/>
  <c r="AT4" i="135"/>
  <c r="AT152" i="135" s="1"/>
  <c r="AT157" i="135"/>
  <c r="AP33" i="90"/>
  <c r="N77" i="135"/>
  <c r="N163" i="135"/>
  <c r="AG152" i="135"/>
  <c r="AU4" i="135"/>
  <c r="AU152" i="135" s="1"/>
  <c r="AU82" i="135"/>
  <c r="AG168" i="135"/>
  <c r="AU98" i="135"/>
  <c r="AU168" i="135" s="1"/>
  <c r="AG101" i="135"/>
  <c r="Q101" i="135" s="1"/>
  <c r="AS88" i="135"/>
  <c r="AE101" i="135"/>
  <c r="AR4" i="135"/>
  <c r="AR152" i="135" s="1"/>
  <c r="AS82" i="135"/>
  <c r="AF7" i="135"/>
  <c r="AT2" i="135"/>
  <c r="AU2" i="135"/>
  <c r="AG112" i="135"/>
  <c r="AG7" i="135"/>
  <c r="K197" i="8"/>
  <c r="AR2" i="135"/>
  <c r="AP39" i="90"/>
  <c r="AE112" i="135"/>
  <c r="AS2" i="135"/>
  <c r="AE7" i="135"/>
  <c r="AG81" i="102"/>
  <c r="Q15" i="95" s="1"/>
  <c r="AG43" i="102"/>
  <c r="Q14" i="95" s="1"/>
  <c r="AG26" i="102"/>
  <c r="J169" i="8"/>
  <c r="J172" i="8" s="1"/>
  <c r="AP42" i="92"/>
  <c r="AD42" i="105"/>
  <c r="AS95" i="135"/>
  <c r="AS167" i="135"/>
  <c r="AN14" i="102"/>
  <c r="AR73" i="135"/>
  <c r="AR145" i="135" s="1"/>
  <c r="AD145" i="135"/>
  <c r="AR97" i="135"/>
  <c r="AR148" i="135" s="1"/>
  <c r="AD148" i="135"/>
  <c r="AR133" i="135"/>
  <c r="AC42" i="105"/>
  <c r="P14" i="95"/>
  <c r="P17" i="95" s="1"/>
  <c r="Z129" i="8"/>
  <c r="U9" i="141"/>
  <c r="U11" i="141" s="1"/>
  <c r="AH14" i="102"/>
  <c r="AH16" i="102" s="1"/>
  <c r="AA93" i="105"/>
  <c r="AC87" i="135"/>
  <c r="O5" i="95"/>
  <c r="Q41" i="85"/>
  <c r="AM99" i="105"/>
  <c r="AN99" i="105" s="1"/>
  <c r="AC94" i="135"/>
  <c r="AI14" i="102"/>
  <c r="AF14" i="102"/>
  <c r="AF16" i="102" s="1"/>
  <c r="AP2" i="135"/>
  <c r="AQ97" i="135"/>
  <c r="AQ148" i="135" s="1"/>
  <c r="AC148" i="135"/>
  <c r="AM6" i="90"/>
  <c r="AA87" i="105"/>
  <c r="AC81" i="135"/>
  <c r="G12" i="138"/>
  <c r="G13" i="138" s="1"/>
  <c r="N56" i="137"/>
  <c r="N58" i="137" s="1"/>
  <c r="N59" i="137" s="1"/>
  <c r="N60" i="137" s="1"/>
  <c r="AL43" i="102"/>
  <c r="V14" i="95" s="1"/>
  <c r="V17" i="95" s="1"/>
  <c r="AL14" i="102"/>
  <c r="AL16" i="102" s="1"/>
  <c r="AC43" i="102"/>
  <c r="AC14" i="102"/>
  <c r="AO14" i="102" s="1"/>
  <c r="F12" i="138"/>
  <c r="F13" i="138" s="1"/>
  <c r="M56" i="137"/>
  <c r="M58" i="137" s="1"/>
  <c r="M59" i="137" s="1"/>
  <c r="M60" i="137" s="1"/>
  <c r="AQ5" i="135"/>
  <c r="AQ171" i="135" s="1"/>
  <c r="AC171" i="135"/>
  <c r="AC207" i="135"/>
  <c r="AQ100" i="135"/>
  <c r="AQ207" i="135" s="1"/>
  <c r="I12" i="138"/>
  <c r="I13" i="138" s="1"/>
  <c r="P56" i="137"/>
  <c r="P58" i="137" s="1"/>
  <c r="P59" i="137" s="1"/>
  <c r="P60" i="137" s="1"/>
  <c r="AD101" i="135"/>
  <c r="N101" i="135" s="1"/>
  <c r="I12" i="141"/>
  <c r="F239" i="8"/>
  <c r="AR78" i="135"/>
  <c r="AR126" i="135" s="1"/>
  <c r="AD82" i="135"/>
  <c r="H12" i="138"/>
  <c r="H13" i="138" s="1"/>
  <c r="O56" i="137"/>
  <c r="O58" i="137" s="1"/>
  <c r="O59" i="137" s="1"/>
  <c r="O60" i="137" s="1"/>
  <c r="AK14" i="102"/>
  <c r="AB104" i="105"/>
  <c r="AD94" i="135"/>
  <c r="K12" i="138"/>
  <c r="K13" i="138" s="1"/>
  <c r="R56" i="137"/>
  <c r="R58" i="137" s="1"/>
  <c r="R59" i="137" s="1"/>
  <c r="R60" i="137" s="1"/>
  <c r="AP57" i="135"/>
  <c r="AE6" i="90"/>
  <c r="AC26" i="105" s="1"/>
  <c r="AM43" i="102"/>
  <c r="W14" i="95" s="1"/>
  <c r="W17" i="95" s="1"/>
  <c r="AM14" i="102"/>
  <c r="N5" i="95"/>
  <c r="P41" i="85"/>
  <c r="AQ73" i="135"/>
  <c r="AQ145" i="135" s="1"/>
  <c r="AQ150" i="135" s="1"/>
  <c r="AC145" i="135"/>
  <c r="Z37" i="69"/>
  <c r="AA37" i="69" s="1"/>
  <c r="AD7" i="135"/>
  <c r="AB93" i="105"/>
  <c r="AD87" i="135"/>
  <c r="AD205" i="135" s="1"/>
  <c r="AG14" i="102"/>
  <c r="AJ14" i="102"/>
  <c r="AJ16" i="102" s="1"/>
  <c r="AR89" i="135"/>
  <c r="AR128" i="135" s="1"/>
  <c r="AQ6" i="135"/>
  <c r="AQ191" i="135" s="1"/>
  <c r="AQ76" i="135"/>
  <c r="AQ203" i="135" s="1"/>
  <c r="E12" i="138"/>
  <c r="E13" i="138" s="1"/>
  <c r="L56" i="137"/>
  <c r="L58" i="137" s="1"/>
  <c r="L59" i="137" s="1"/>
  <c r="L60" i="137" s="1"/>
  <c r="L12" i="138"/>
  <c r="L13" i="138" s="1"/>
  <c r="S56" i="137"/>
  <c r="S58" i="137" s="1"/>
  <c r="S59" i="137" s="1"/>
  <c r="S60" i="137" s="1"/>
  <c r="AB44" i="105"/>
  <c r="R187" i="8"/>
  <c r="H197" i="8"/>
  <c r="H173" i="8"/>
  <c r="R169" i="8"/>
  <c r="AE14" i="102"/>
  <c r="AE16" i="102" s="1"/>
  <c r="AE43" i="102"/>
  <c r="O14" i="95" s="1"/>
  <c r="V173" i="8"/>
  <c r="D12" i="138"/>
  <c r="D13" i="138" s="1"/>
  <c r="K56" i="137"/>
  <c r="K58" i="137" s="1"/>
  <c r="K59" i="137" s="1"/>
  <c r="K60" i="137" s="1"/>
  <c r="AQ2" i="135"/>
  <c r="AC112" i="135"/>
  <c r="AC124" i="135" s="1"/>
  <c r="AC7" i="135"/>
  <c r="H38" i="135"/>
  <c r="AQ91" i="135"/>
  <c r="AC166" i="135"/>
  <c r="AQ152" i="135"/>
  <c r="C12" i="138"/>
  <c r="C13" i="138" s="1"/>
  <c r="J56" i="137"/>
  <c r="J58" i="137" s="1"/>
  <c r="J59" i="137" s="1"/>
  <c r="J60" i="137" s="1"/>
  <c r="Y28" i="120"/>
  <c r="Y27" i="120" s="1"/>
  <c r="F27" i="69"/>
  <c r="AP101" i="135"/>
  <c r="AE22" i="69"/>
  <c r="AF22" i="69" s="1"/>
  <c r="AB89" i="135"/>
  <c r="AN89" i="135" s="1"/>
  <c r="BB89" i="135" s="1"/>
  <c r="BB128" i="135" s="1"/>
  <c r="AM94" i="105"/>
  <c r="AD14" i="102"/>
  <c r="AD16" i="102" s="1"/>
  <c r="G168" i="8"/>
  <c r="G173" i="8" s="1"/>
  <c r="AD43" i="102"/>
  <c r="AC81" i="102"/>
  <c r="AO171" i="135"/>
  <c r="AP4" i="135"/>
  <c r="AP152" i="135" s="1"/>
  <c r="AB152" i="135"/>
  <c r="AB145" i="135"/>
  <c r="AB150" i="135" s="1"/>
  <c r="AP73" i="135"/>
  <c r="AP145" i="135" s="1"/>
  <c r="AP76" i="135"/>
  <c r="AP203" i="135" s="1"/>
  <c r="AP209" i="135" s="1"/>
  <c r="Z93" i="105"/>
  <c r="AB83" i="135"/>
  <c r="AB126" i="135"/>
  <c r="AP78" i="135"/>
  <c r="AP126" i="135" s="1"/>
  <c r="AB82" i="135"/>
  <c r="AP6" i="135"/>
  <c r="AP191" i="135" s="1"/>
  <c r="AP118" i="135"/>
  <c r="AP133" i="135"/>
  <c r="AB7" i="135"/>
  <c r="AA171" i="135"/>
  <c r="T37" i="69"/>
  <c r="N10" i="138"/>
  <c r="J37" i="69"/>
  <c r="K27" i="69"/>
  <c r="AG13" i="69"/>
  <c r="AH13" i="69"/>
  <c r="N37" i="69"/>
  <c r="K37" i="69" s="1"/>
  <c r="AA20" i="85" s="1"/>
  <c r="O27" i="69"/>
  <c r="V198" i="8"/>
  <c r="T198" i="8"/>
  <c r="F198" i="8"/>
  <c r="H196" i="8"/>
  <c r="H183" i="135"/>
  <c r="AK42" i="105"/>
  <c r="AL42" i="105"/>
  <c r="Y145" i="135"/>
  <c r="Y150" i="135" s="1"/>
  <c r="M196" i="8"/>
  <c r="M198" i="8" s="1"/>
  <c r="G196" i="8"/>
  <c r="G198" i="8" s="1"/>
  <c r="Z41" i="85"/>
  <c r="AP31" i="91"/>
  <c r="N196" i="8"/>
  <c r="N198" i="8" s="1"/>
  <c r="V13" i="120"/>
  <c r="AD87" i="105"/>
  <c r="Z127" i="8"/>
  <c r="AB87" i="105"/>
  <c r="AG87" i="105"/>
  <c r="AB26" i="102"/>
  <c r="K165" i="8"/>
  <c r="K168" i="8" s="1"/>
  <c r="K173" i="8" s="1"/>
  <c r="K196" i="8"/>
  <c r="K198" i="8" s="1"/>
  <c r="J196" i="8"/>
  <c r="J198" i="8" s="1"/>
  <c r="J165" i="8"/>
  <c r="J168" i="8" s="1"/>
  <c r="L165" i="8"/>
  <c r="L196" i="8"/>
  <c r="L198" i="8" s="1"/>
  <c r="I196" i="8"/>
  <c r="I198" i="8" s="1"/>
  <c r="I165" i="8"/>
  <c r="I168" i="8" s="1"/>
  <c r="I173" i="8" s="1"/>
  <c r="R181" i="8"/>
  <c r="F165" i="8"/>
  <c r="AM85" i="105"/>
  <c r="AN85" i="105" s="1"/>
  <c r="S198" i="8"/>
  <c r="V230" i="8"/>
  <c r="P224" i="8"/>
  <c r="U162" i="8"/>
  <c r="V162" i="8"/>
  <c r="J224" i="8"/>
  <c r="M224" i="8"/>
  <c r="Q224" i="8"/>
  <c r="R224" i="8"/>
  <c r="N224" i="8"/>
  <c r="I224" i="8"/>
  <c r="H224" i="8"/>
  <c r="AP6" i="85"/>
  <c r="S154" i="8"/>
  <c r="V154" i="8"/>
  <c r="T14" i="95"/>
  <c r="T154" i="8"/>
  <c r="R238" i="8"/>
  <c r="U14" i="95"/>
  <c r="R14" i="95"/>
  <c r="R17" i="95" s="1"/>
  <c r="AO91" i="102"/>
  <c r="AP91" i="102" s="1"/>
  <c r="AP88" i="102"/>
  <c r="AI26" i="102"/>
  <c r="R166" i="8"/>
  <c r="AP25" i="102"/>
  <c r="AP50" i="102"/>
  <c r="AO53" i="102"/>
  <c r="AP53" i="102" s="1"/>
  <c r="AC26" i="102"/>
  <c r="R154" i="8"/>
  <c r="R41" i="85"/>
  <c r="Y41" i="85"/>
  <c r="J242" i="8"/>
  <c r="AF6" i="82"/>
  <c r="J131" i="8"/>
  <c r="AG6" i="82"/>
  <c r="K131" i="8"/>
  <c r="AI6" i="90"/>
  <c r="AG26" i="105" s="1"/>
  <c r="M146" i="8"/>
  <c r="AC9" i="90"/>
  <c r="G239" i="8"/>
  <c r="H239" i="8"/>
  <c r="AD9" i="90"/>
  <c r="AM6" i="82"/>
  <c r="Q242" i="8"/>
  <c r="AF6" i="90"/>
  <c r="AD26" i="105" s="1"/>
  <c r="J146" i="8"/>
  <c r="AI40" i="105"/>
  <c r="P20" i="119"/>
  <c r="AK9" i="90"/>
  <c r="AI13" i="105" s="1"/>
  <c r="AI16" i="105" s="1"/>
  <c r="O239" i="8"/>
  <c r="Q20" i="119"/>
  <c r="AL9" i="90"/>
  <c r="AJ13" i="105" s="1"/>
  <c r="P239" i="8"/>
  <c r="AE6" i="82"/>
  <c r="I242" i="8"/>
  <c r="I131" i="8"/>
  <c r="S129" i="8"/>
  <c r="T129" i="8"/>
  <c r="AK6" i="90"/>
  <c r="O146" i="8"/>
  <c r="I31" i="124"/>
  <c r="K31" i="124" s="1"/>
  <c r="L31" i="124" s="1"/>
  <c r="M7" i="124" s="1"/>
  <c r="AE40" i="105"/>
  <c r="I146" i="8"/>
  <c r="AE9" i="90"/>
  <c r="AC13" i="105" s="1"/>
  <c r="AC16" i="105" s="1"/>
  <c r="I239" i="8"/>
  <c r="Y128" i="8"/>
  <c r="Y131" i="8" s="1"/>
  <c r="AF9" i="90"/>
  <c r="AD13" i="105" s="1"/>
  <c r="AD16" i="105" s="1"/>
  <c r="J239" i="8"/>
  <c r="AI6" i="82"/>
  <c r="AG24" i="105" s="1"/>
  <c r="M242" i="8"/>
  <c r="M131" i="8"/>
  <c r="F230" i="8"/>
  <c r="P230" i="8"/>
  <c r="J230" i="8"/>
  <c r="H230" i="8"/>
  <c r="G230" i="8"/>
  <c r="I230" i="8"/>
  <c r="N230" i="8"/>
  <c r="K230" i="8"/>
  <c r="Q230" i="8"/>
  <c r="M230" i="8"/>
  <c r="O230" i="8"/>
  <c r="L230" i="8"/>
  <c r="AL6" i="90"/>
  <c r="P146" i="8"/>
  <c r="Q146" i="8"/>
  <c r="R20" i="119"/>
  <c r="Q239" i="8"/>
  <c r="AM9" i="90"/>
  <c r="AK13" i="105" s="1"/>
  <c r="AL13" i="105"/>
  <c r="F131" i="8"/>
  <c r="L131" i="8"/>
  <c r="AH6" i="82"/>
  <c r="AF24" i="105" s="1"/>
  <c r="L242" i="8"/>
  <c r="U129" i="8"/>
  <c r="T224" i="8"/>
  <c r="F224" i="8"/>
  <c r="K224" i="8"/>
  <c r="G224" i="8"/>
  <c r="O224" i="8"/>
  <c r="AD40" i="105"/>
  <c r="N239" i="8"/>
  <c r="AJ9" i="90"/>
  <c r="AH13" i="105" s="1"/>
  <c r="AH16" i="105" s="1"/>
  <c r="AJ6" i="82"/>
  <c r="AH24" i="105" s="1"/>
  <c r="N131" i="8"/>
  <c r="N242" i="8"/>
  <c r="K242" i="8"/>
  <c r="AG6" i="90"/>
  <c r="K146" i="8"/>
  <c r="AB40" i="105"/>
  <c r="AF40" i="105"/>
  <c r="X128" i="8"/>
  <c r="S140" i="8"/>
  <c r="R140" i="8"/>
  <c r="T140" i="8"/>
  <c r="P242" i="8"/>
  <c r="AL6" i="82"/>
  <c r="G131" i="8"/>
  <c r="AH6" i="90"/>
  <c r="AF26" i="105" s="1"/>
  <c r="L146" i="8"/>
  <c r="U143" i="8"/>
  <c r="S224" i="8"/>
  <c r="AH40" i="105"/>
  <c r="K239" i="8"/>
  <c r="AG9" i="90"/>
  <c r="AE13" i="105" s="1"/>
  <c r="AE16" i="105" s="1"/>
  <c r="R129" i="8"/>
  <c r="H131" i="8"/>
  <c r="AD6" i="82"/>
  <c r="AO6" i="82" s="1"/>
  <c r="AK6" i="82"/>
  <c r="O242" i="8"/>
  <c r="O131" i="8"/>
  <c r="AJ6" i="90"/>
  <c r="AH26" i="105" s="1"/>
  <c r="N146" i="8"/>
  <c r="AK40" i="105"/>
  <c r="AK45" i="105" s="1"/>
  <c r="AJ40" i="105"/>
  <c r="U140" i="8"/>
  <c r="AH9" i="90"/>
  <c r="AF13" i="105" s="1"/>
  <c r="AF16" i="105" s="1"/>
  <c r="L239" i="8"/>
  <c r="M239" i="8"/>
  <c r="AI9" i="90"/>
  <c r="AG13" i="105" s="1"/>
  <c r="AG16" i="105" s="1"/>
  <c r="R46" i="91"/>
  <c r="U5" i="95"/>
  <c r="W41" i="85"/>
  <c r="Y46" i="91"/>
  <c r="W46" i="91"/>
  <c r="AJ44" i="105"/>
  <c r="L82" i="130"/>
  <c r="AM86" i="105"/>
  <c r="AN86" i="105" s="1"/>
  <c r="AM92" i="105"/>
  <c r="AN92" i="105" s="1"/>
  <c r="AI44" i="105"/>
  <c r="T5" i="95"/>
  <c r="V41" i="85"/>
  <c r="AM88" i="105"/>
  <c r="AP23" i="91"/>
  <c r="V46" i="91"/>
  <c r="AG44" i="105"/>
  <c r="AG40" i="105"/>
  <c r="S230" i="8"/>
  <c r="S41" i="85"/>
  <c r="U172" i="8"/>
  <c r="AM83" i="105"/>
  <c r="Z87" i="105"/>
  <c r="AP39" i="91"/>
  <c r="S13" i="120"/>
  <c r="S15" i="120"/>
  <c r="Z104" i="105"/>
  <c r="S5" i="95"/>
  <c r="U41" i="85"/>
  <c r="R5" i="95"/>
  <c r="T41" i="85"/>
  <c r="L11" i="124"/>
  <c r="K3" i="124" s="1"/>
  <c r="J3" i="124" s="1"/>
  <c r="V224" i="8"/>
  <c r="V231" i="8"/>
  <c r="AD43" i="105"/>
  <c r="AD93" i="105"/>
  <c r="AM91" i="105"/>
  <c r="AP10" i="85"/>
  <c r="M5" i="95"/>
  <c r="O41" i="85"/>
  <c r="AB13" i="105" l="1"/>
  <c r="AB16" i="105" s="1"/>
  <c r="AO9" i="90"/>
  <c r="AP9" i="90" s="1"/>
  <c r="AD150" i="135"/>
  <c r="AR150" i="135"/>
  <c r="AP150" i="135"/>
  <c r="AC150" i="135"/>
  <c r="M15" i="95"/>
  <c r="J15" i="95" s="1"/>
  <c r="W10" i="95"/>
  <c r="AN27" i="105"/>
  <c r="AP20" i="85"/>
  <c r="Z209" i="135"/>
  <c r="AY202" i="135"/>
  <c r="AW182" i="135"/>
  <c r="AK190" i="135"/>
  <c r="AQ162" i="135"/>
  <c r="AW162" i="135"/>
  <c r="AR162" i="135"/>
  <c r="S45" i="92"/>
  <c r="Q10" i="95"/>
  <c r="W45" i="92"/>
  <c r="U10" i="95"/>
  <c r="P45" i="92"/>
  <c r="N10" i="95"/>
  <c r="R45" i="92"/>
  <c r="P10" i="95"/>
  <c r="V45" i="92"/>
  <c r="T10" i="95"/>
  <c r="T45" i="92"/>
  <c r="R10" i="95"/>
  <c r="Q45" i="92"/>
  <c r="O10" i="95"/>
  <c r="U45" i="92"/>
  <c r="S10" i="95"/>
  <c r="X45" i="92"/>
  <c r="V10" i="95"/>
  <c r="T46" i="91"/>
  <c r="R8" i="95"/>
  <c r="X46" i="91"/>
  <c r="V8" i="95"/>
  <c r="Q46" i="91"/>
  <c r="O8" i="95"/>
  <c r="P46" i="91"/>
  <c r="N8" i="95"/>
  <c r="Z46" i="91"/>
  <c r="X8" i="95"/>
  <c r="AD163" i="135"/>
  <c r="AD169" i="135" s="1"/>
  <c r="AD170" i="135" s="1"/>
  <c r="AS74" i="135"/>
  <c r="AS163" i="135" s="1"/>
  <c r="AS169" i="135" s="1"/>
  <c r="AV73" i="135"/>
  <c r="AV145" i="135" s="1"/>
  <c r="AV150" i="135" s="1"/>
  <c r="AC163" i="135"/>
  <c r="AC169" i="135" s="1"/>
  <c r="AC170" i="135" s="1"/>
  <c r="R197" i="8"/>
  <c r="H163" i="135"/>
  <c r="AN74" i="135"/>
  <c r="BB74" i="135" s="1"/>
  <c r="BB163" i="135" s="1"/>
  <c r="BB169" i="135" s="1"/>
  <c r="AH163" i="135"/>
  <c r="AH169" i="135" s="1"/>
  <c r="AN83" i="135"/>
  <c r="BB83" i="135" s="1"/>
  <c r="BB127" i="135" s="1"/>
  <c r="U197" i="8"/>
  <c r="O198" i="8"/>
  <c r="AQ72" i="135"/>
  <c r="AQ125" i="135" s="1"/>
  <c r="AQ131" i="135" s="1"/>
  <c r="H77" i="135"/>
  <c r="AB77" i="135"/>
  <c r="AF163" i="135"/>
  <c r="AF169" i="135" s="1"/>
  <c r="AW74" i="135"/>
  <c r="AW163" i="135" s="1"/>
  <c r="AW169" i="135" s="1"/>
  <c r="AN207" i="135"/>
  <c r="AU74" i="135"/>
  <c r="AU163" i="135" s="1"/>
  <c r="AU169" i="135" s="1"/>
  <c r="AX74" i="135"/>
  <c r="AX163" i="135" s="1"/>
  <c r="AX169" i="135" s="1"/>
  <c r="AJ145" i="135"/>
  <c r="AJ150" i="135" s="1"/>
  <c r="AN133" i="135"/>
  <c r="BB133" i="135" s="1"/>
  <c r="AN126" i="135"/>
  <c r="AW73" i="135"/>
  <c r="AW145" i="135" s="1"/>
  <c r="AW150" i="135" s="1"/>
  <c r="AI145" i="135"/>
  <c r="AI150" i="135" s="1"/>
  <c r="AB45" i="105"/>
  <c r="AF162" i="135"/>
  <c r="AI124" i="135"/>
  <c r="AW124" i="135" s="1"/>
  <c r="AN44" i="105"/>
  <c r="AO16" i="102"/>
  <c r="I29" i="105"/>
  <c r="AL45" i="90"/>
  <c r="W7" i="95" s="1"/>
  <c r="AJ26" i="105"/>
  <c r="AF39" i="82"/>
  <c r="S39" i="82" s="1"/>
  <c r="AD24" i="105"/>
  <c r="AD29" i="105" s="1"/>
  <c r="AT72" i="135"/>
  <c r="AT125" i="135" s="1"/>
  <c r="AT131" i="135" s="1"/>
  <c r="AY76" i="135"/>
  <c r="AY203" i="135" s="1"/>
  <c r="AY209" i="135" s="1"/>
  <c r="AK203" i="135"/>
  <c r="AK209" i="135" s="1"/>
  <c r="AK210" i="135" s="1"/>
  <c r="AG29" i="105"/>
  <c r="P39" i="82"/>
  <c r="AU72" i="135"/>
  <c r="AU125" i="135" s="1"/>
  <c r="AU131" i="135" s="1"/>
  <c r="AW83" i="135"/>
  <c r="AW127" i="135" s="1"/>
  <c r="AI127" i="135"/>
  <c r="AI88" i="135"/>
  <c r="AW88" i="135" s="1"/>
  <c r="AN14" i="105"/>
  <c r="Z16" i="105"/>
  <c r="AL39" i="82"/>
  <c r="Y39" i="82" s="1"/>
  <c r="AJ24" i="105"/>
  <c r="AJ29" i="105" s="1"/>
  <c r="AV72" i="135"/>
  <c r="AV125" i="135" s="1"/>
  <c r="AV131" i="135" s="1"/>
  <c r="AI125" i="135"/>
  <c r="AI131" i="135" s="1"/>
  <c r="AY81" i="135"/>
  <c r="AY204" i="135" s="1"/>
  <c r="AK204" i="135"/>
  <c r="AK82" i="135"/>
  <c r="AY82" i="135" s="1"/>
  <c r="AM5" i="105"/>
  <c r="AN5" i="105" s="1"/>
  <c r="AY87" i="135"/>
  <c r="AY205" i="135" s="1"/>
  <c r="AK205" i="135"/>
  <c r="AK88" i="135"/>
  <c r="AY88" i="135" s="1"/>
  <c r="AM39" i="82"/>
  <c r="Z39" i="82" s="1"/>
  <c r="AK24" i="105"/>
  <c r="AK29" i="105" s="1"/>
  <c r="AF29" i="105"/>
  <c r="AO39" i="82"/>
  <c r="AD125" i="135"/>
  <c r="AD131" i="135" s="1"/>
  <c r="AN187" i="135"/>
  <c r="AX72" i="135"/>
  <c r="AX125" i="135" s="1"/>
  <c r="AX131" i="135" s="1"/>
  <c r="AN203" i="135"/>
  <c r="AN209" i="135" s="1"/>
  <c r="AL16" i="105"/>
  <c r="BR3" i="105" s="1"/>
  <c r="BT3" i="105" s="1"/>
  <c r="AY74" i="135"/>
  <c r="AY163" i="135" s="1"/>
  <c r="AY169" i="135" s="1"/>
  <c r="AK163" i="135"/>
  <c r="AK169" i="135" s="1"/>
  <c r="AK170" i="135" s="1"/>
  <c r="AA16" i="105"/>
  <c r="S95" i="135"/>
  <c r="AW95" i="135"/>
  <c r="AW138" i="135"/>
  <c r="AI144" i="135"/>
  <c r="AW144" i="135" s="1"/>
  <c r="AB124" i="135"/>
  <c r="AP124" i="135" s="1"/>
  <c r="AK77" i="135"/>
  <c r="AY77" i="135" s="1"/>
  <c r="AY72" i="135"/>
  <c r="AY125" i="135" s="1"/>
  <c r="AY131" i="135" s="1"/>
  <c r="AK125" i="135"/>
  <c r="AY182" i="135"/>
  <c r="AY190" i="135" s="1"/>
  <c r="AK212" i="135"/>
  <c r="AY212" i="135" s="1"/>
  <c r="AM45" i="90"/>
  <c r="X7" i="95" s="1"/>
  <c r="AK26" i="105"/>
  <c r="AD39" i="82"/>
  <c r="Q39" i="82" s="1"/>
  <c r="AB24" i="105"/>
  <c r="AE39" i="82"/>
  <c r="R39" i="82" s="1"/>
  <c r="AC24" i="105"/>
  <c r="AC29" i="105" s="1"/>
  <c r="AG39" i="82"/>
  <c r="T39" i="82" s="1"/>
  <c r="AE24" i="105"/>
  <c r="AN148" i="135"/>
  <c r="AN41" i="105"/>
  <c r="AW196" i="135"/>
  <c r="AW16" i="135"/>
  <c r="AY162" i="135"/>
  <c r="AY94" i="135"/>
  <c r="AY206" i="135" s="1"/>
  <c r="AK206" i="135"/>
  <c r="AK95" i="135"/>
  <c r="AY95" i="135" s="1"/>
  <c r="AN13" i="105"/>
  <c r="AH29" i="105"/>
  <c r="AE77" i="135"/>
  <c r="AN168" i="135"/>
  <c r="AY138" i="135"/>
  <c r="AK144" i="135"/>
  <c r="AY124" i="135"/>
  <c r="X101" i="135"/>
  <c r="X207" i="135"/>
  <c r="AK45" i="90"/>
  <c r="AI26" i="105"/>
  <c r="AK39" i="82"/>
  <c r="X39" i="82" s="1"/>
  <c r="AI24" i="105"/>
  <c r="AK16" i="102"/>
  <c r="AC144" i="135"/>
  <c r="AN112" i="135"/>
  <c r="AN118" i="135"/>
  <c r="AN171" i="135"/>
  <c r="AN196" i="135"/>
  <c r="AN145" i="135"/>
  <c r="AN150" i="135" s="1"/>
  <c r="AN176" i="135"/>
  <c r="AN157" i="135"/>
  <c r="AP138" i="135"/>
  <c r="AN138" i="135"/>
  <c r="BB138" i="135" s="1"/>
  <c r="AB162" i="135"/>
  <c r="AN152" i="135"/>
  <c r="AQ166" i="135"/>
  <c r="AN166" i="135"/>
  <c r="BB166" i="135" s="1"/>
  <c r="AO76" i="135"/>
  <c r="AO203" i="135" s="1"/>
  <c r="AO209" i="135" s="1"/>
  <c r="AA203" i="135"/>
  <c r="AA209" i="135" s="1"/>
  <c r="AU7" i="135"/>
  <c r="AG202" i="135"/>
  <c r="AX7" i="135"/>
  <c r="AR7" i="135"/>
  <c r="AH202" i="135"/>
  <c r="AQ7" i="135"/>
  <c r="AC202" i="135"/>
  <c r="AS7" i="135"/>
  <c r="AE202" i="135"/>
  <c r="AE210" i="135" s="1"/>
  <c r="AN101" i="135"/>
  <c r="BB101" i="135" s="1"/>
  <c r="AN81" i="135"/>
  <c r="BB81" i="135" s="1"/>
  <c r="BB204" i="135" s="1"/>
  <c r="AC204" i="135"/>
  <c r="AN87" i="135"/>
  <c r="BB87" i="135" s="1"/>
  <c r="BB205" i="135" s="1"/>
  <c r="AC205" i="135"/>
  <c r="AJ202" i="135"/>
  <c r="AW7" i="135"/>
  <c r="AI202" i="135"/>
  <c r="AI210" i="135" s="1"/>
  <c r="AN30" i="135"/>
  <c r="AN37" i="135"/>
  <c r="BB37" i="135" s="1"/>
  <c r="AP7" i="135"/>
  <c r="AN7" i="135"/>
  <c r="BB7" i="135" s="1"/>
  <c r="AC95" i="135"/>
  <c r="AQ95" i="135" s="1"/>
  <c r="AN94" i="135"/>
  <c r="BB94" i="135" s="1"/>
  <c r="BB206" i="135" s="1"/>
  <c r="AN16" i="135"/>
  <c r="BB16" i="135" s="1"/>
  <c r="AP38" i="135"/>
  <c r="AN38" i="135"/>
  <c r="BB38" i="135" s="1"/>
  <c r="AN75" i="135"/>
  <c r="BB75" i="135" s="1"/>
  <c r="BB183" i="135" s="1"/>
  <c r="BB189" i="135" s="1"/>
  <c r="AG124" i="135"/>
  <c r="AU124" i="135" s="1"/>
  <c r="AE162" i="135"/>
  <c r="AV101" i="135"/>
  <c r="AE124" i="135"/>
  <c r="AS124" i="135" s="1"/>
  <c r="AB144" i="135"/>
  <c r="AB151" i="135" s="1"/>
  <c r="AH124" i="135"/>
  <c r="AV124" i="135" s="1"/>
  <c r="AB202" i="135"/>
  <c r="AB210" i="135" s="1"/>
  <c r="AQ124" i="135"/>
  <c r="AR124" i="135"/>
  <c r="AT124" i="135"/>
  <c r="AD144" i="135"/>
  <c r="AH182" i="135"/>
  <c r="AJ182" i="135"/>
  <c r="AB182" i="135"/>
  <c r="AJ124" i="135"/>
  <c r="AG162" i="135"/>
  <c r="AJ162" i="135"/>
  <c r="AX16" i="135"/>
  <c r="AQ101" i="135"/>
  <c r="M101" i="135"/>
  <c r="AI183" i="135"/>
  <c r="AI189" i="135" s="1"/>
  <c r="AI190" i="135" s="1"/>
  <c r="AW75" i="135"/>
  <c r="AW183" i="135" s="1"/>
  <c r="AW189" i="135" s="1"/>
  <c r="AD182" i="135"/>
  <c r="AX138" i="135"/>
  <c r="AJ144" i="135"/>
  <c r="AX75" i="135"/>
  <c r="AX183" i="135" s="1"/>
  <c r="AX189" i="135" s="1"/>
  <c r="AJ183" i="135"/>
  <c r="AJ189" i="135" s="1"/>
  <c r="O101" i="135"/>
  <c r="AX30" i="135"/>
  <c r="AX37" i="135"/>
  <c r="U17" i="95"/>
  <c r="AE26" i="105"/>
  <c r="AG182" i="135"/>
  <c r="AH45" i="105"/>
  <c r="AJ45" i="90"/>
  <c r="X77" i="135"/>
  <c r="AJ39" i="82"/>
  <c r="W39" i="82" s="1"/>
  <c r="AC182" i="135"/>
  <c r="AE144" i="135"/>
  <c r="AS144" i="135" s="1"/>
  <c r="AS151" i="135" s="1"/>
  <c r="T17" i="95"/>
  <c r="U46" i="91"/>
  <c r="AP10" i="91"/>
  <c r="AI45" i="90"/>
  <c r="AC45" i="105"/>
  <c r="AA145" i="135"/>
  <c r="AA150" i="135" s="1"/>
  <c r="AS101" i="135"/>
  <c r="AF202" i="135"/>
  <c r="AF144" i="135"/>
  <c r="AT144" i="135" s="1"/>
  <c r="AT151" i="135" s="1"/>
  <c r="AE182" i="135"/>
  <c r="AP37" i="135"/>
  <c r="Z74" i="135"/>
  <c r="Z163" i="135" s="1"/>
  <c r="Z169" i="135" s="1"/>
  <c r="AO176" i="135"/>
  <c r="AO182" i="135" s="1"/>
  <c r="AF182" i="135"/>
  <c r="AH206" i="135"/>
  <c r="AV94" i="135"/>
  <c r="AV206" i="135" s="1"/>
  <c r="AH95" i="135"/>
  <c r="R95" i="135" s="1"/>
  <c r="AR94" i="135"/>
  <c r="AR206" i="135" s="1"/>
  <c r="AD206" i="135"/>
  <c r="AD209" i="135" s="1"/>
  <c r="AU16" i="135"/>
  <c r="AT30" i="135"/>
  <c r="AU30" i="135"/>
  <c r="AT37" i="135"/>
  <c r="AR30" i="135"/>
  <c r="AT16" i="135"/>
  <c r="AE183" i="135"/>
  <c r="AE189" i="135" s="1"/>
  <c r="AS75" i="135"/>
  <c r="AS183" i="135" s="1"/>
  <c r="AS189" i="135" s="1"/>
  <c r="AR16" i="135"/>
  <c r="AP16" i="135"/>
  <c r="AS30" i="135"/>
  <c r="AF206" i="135"/>
  <c r="AT94" i="135"/>
  <c r="AT206" i="135" s="1"/>
  <c r="AF95" i="135"/>
  <c r="AH162" i="135"/>
  <c r="AR75" i="135"/>
  <c r="AR183" i="135" s="1"/>
  <c r="AR189" i="135" s="1"/>
  <c r="AD183" i="135"/>
  <c r="AD189" i="135" s="1"/>
  <c r="AG183" i="135"/>
  <c r="AG189" i="135" s="1"/>
  <c r="AU75" i="135"/>
  <c r="AU183" i="135" s="1"/>
  <c r="AU189" i="135" s="1"/>
  <c r="AR37" i="135"/>
  <c r="AV37" i="135"/>
  <c r="AQ30" i="135"/>
  <c r="AV16" i="135"/>
  <c r="AV75" i="135"/>
  <c r="AV183" i="135" s="1"/>
  <c r="AV189" i="135" s="1"/>
  <c r="AH183" i="135"/>
  <c r="AH189" i="135" s="1"/>
  <c r="AV133" i="135"/>
  <c r="AH144" i="135"/>
  <c r="AH151" i="135" s="1"/>
  <c r="AA75" i="135"/>
  <c r="AO75" i="135" s="1"/>
  <c r="AO183" i="135" s="1"/>
  <c r="AO189" i="135" s="1"/>
  <c r="Z75" i="135"/>
  <c r="Z183" i="135" s="1"/>
  <c r="Z189" i="135" s="1"/>
  <c r="Z190" i="135" s="1"/>
  <c r="AT75" i="135"/>
  <c r="AT183" i="135" s="1"/>
  <c r="AT189" i="135" s="1"/>
  <c r="AF183" i="135"/>
  <c r="AF189" i="135" s="1"/>
  <c r="AU133" i="135"/>
  <c r="AG144" i="135"/>
  <c r="AG151" i="135" s="1"/>
  <c r="AU37" i="135"/>
  <c r="AC82" i="102"/>
  <c r="AS37" i="135"/>
  <c r="AS16" i="135"/>
  <c r="AV30" i="135"/>
  <c r="AA176" i="135"/>
  <c r="AA182" i="135" s="1"/>
  <c r="AU94" i="135"/>
  <c r="AU206" i="135" s="1"/>
  <c r="AG206" i="135"/>
  <c r="AG95" i="135"/>
  <c r="AP30" i="135"/>
  <c r="U198" i="8"/>
  <c r="AT7" i="135"/>
  <c r="AE27" i="69"/>
  <c r="AF27" i="69" s="1"/>
  <c r="G27" i="69"/>
  <c r="AV7" i="135"/>
  <c r="S17" i="95"/>
  <c r="AT112" i="135"/>
  <c r="U37" i="69"/>
  <c r="AI16" i="102"/>
  <c r="AH45" i="90"/>
  <c r="AH39" i="82"/>
  <c r="U39" i="82" s="1"/>
  <c r="AF45" i="105"/>
  <c r="AG45" i="90"/>
  <c r="AU101" i="135"/>
  <c r="AU88" i="135"/>
  <c r="AR82" i="135"/>
  <c r="AR74" i="135"/>
  <c r="AR163" i="135" s="1"/>
  <c r="AR169" i="135" s="1"/>
  <c r="AE45" i="90"/>
  <c r="AE163" i="135"/>
  <c r="AE169" i="135" s="1"/>
  <c r="AT101" i="135"/>
  <c r="AQ112" i="135"/>
  <c r="AU112" i="135"/>
  <c r="AP112" i="135"/>
  <c r="AR112" i="135"/>
  <c r="AE45" i="105"/>
  <c r="Q17" i="95"/>
  <c r="AS112" i="135"/>
  <c r="AF45" i="90"/>
  <c r="J173" i="8"/>
  <c r="AG16" i="102"/>
  <c r="M14" i="95"/>
  <c r="J14" i="95" s="1"/>
  <c r="AR101" i="135"/>
  <c r="O17" i="95"/>
  <c r="AR87" i="135"/>
  <c r="AR205" i="135" s="1"/>
  <c r="AD88" i="135"/>
  <c r="AD95" i="135"/>
  <c r="O45" i="92"/>
  <c r="AC206" i="135"/>
  <c r="AQ94" i="135"/>
  <c r="AQ206" i="135" s="1"/>
  <c r="AC16" i="102"/>
  <c r="AC183" i="135"/>
  <c r="AC189" i="135" s="1"/>
  <c r="AQ75" i="135"/>
  <c r="AQ183" i="135" s="1"/>
  <c r="AQ189" i="135" s="1"/>
  <c r="AQ81" i="135"/>
  <c r="AQ204" i="135" s="1"/>
  <c r="AC82" i="135"/>
  <c r="AQ87" i="135"/>
  <c r="AQ205" i="135" s="1"/>
  <c r="AC88" i="135"/>
  <c r="AA24" i="92"/>
  <c r="AQ74" i="135"/>
  <c r="AQ163" i="135" s="1"/>
  <c r="AQ169" i="135" s="1"/>
  <c r="AH14" i="69"/>
  <c r="AH15" i="69" s="1"/>
  <c r="AI15" i="69" s="1"/>
  <c r="H198" i="8"/>
  <c r="R198" i="8" s="1"/>
  <c r="N12" i="138"/>
  <c r="N13" i="138" s="1"/>
  <c r="U56" i="137"/>
  <c r="U58" i="137" s="1"/>
  <c r="U59" i="137" s="1"/>
  <c r="U60" i="137" s="1"/>
  <c r="AP89" i="135"/>
  <c r="AP128" i="135" s="1"/>
  <c r="AB95" i="135"/>
  <c r="AB128" i="135"/>
  <c r="AN128" i="135" s="1"/>
  <c r="F37" i="69"/>
  <c r="R196" i="8"/>
  <c r="AB125" i="135"/>
  <c r="AB183" i="135"/>
  <c r="AB189" i="135" s="1"/>
  <c r="AP75" i="135"/>
  <c r="AP183" i="135" s="1"/>
  <c r="AP189" i="135" s="1"/>
  <c r="AB163" i="135"/>
  <c r="AB169" i="135" s="1"/>
  <c r="AP74" i="135"/>
  <c r="AP163" i="135" s="1"/>
  <c r="AP169" i="135" s="1"/>
  <c r="AB127" i="135"/>
  <c r="AB88" i="135"/>
  <c r="AP83" i="135"/>
  <c r="AP127" i="135" s="1"/>
  <c r="AP82" i="135"/>
  <c r="Y41" i="105"/>
  <c r="O37" i="69"/>
  <c r="Y163" i="135"/>
  <c r="Y169" i="135" s="1"/>
  <c r="Y183" i="135"/>
  <c r="Y189" i="135" s="1"/>
  <c r="U196" i="8"/>
  <c r="AA45" i="92"/>
  <c r="AI39" i="82"/>
  <c r="O39" i="82"/>
  <c r="AP9" i="82"/>
  <c r="L168" i="8"/>
  <c r="U165" i="8"/>
  <c r="F168" i="8"/>
  <c r="R165" i="8"/>
  <c r="AA45" i="105"/>
  <c r="AO81" i="102"/>
  <c r="AO43" i="102"/>
  <c r="AO26" i="102"/>
  <c r="AP26" i="102" s="1"/>
  <c r="AP23" i="102"/>
  <c r="N14" i="95"/>
  <c r="AD82" i="102"/>
  <c r="U146" i="8"/>
  <c r="U131" i="8"/>
  <c r="R239" i="8"/>
  <c r="X131" i="8"/>
  <c r="Z131" i="8" s="1"/>
  <c r="Z128" i="8"/>
  <c r="V131" i="8"/>
  <c r="T131" i="8"/>
  <c r="R131" i="8"/>
  <c r="S131" i="8"/>
  <c r="AG7" i="119"/>
  <c r="AJ45" i="105"/>
  <c r="AI45" i="105"/>
  <c r="AG45" i="105"/>
  <c r="AM87" i="105"/>
  <c r="AM104" i="105"/>
  <c r="AD45" i="105"/>
  <c r="AN43" i="105"/>
  <c r="AN91" i="105"/>
  <c r="AM93" i="105"/>
  <c r="S46" i="91"/>
  <c r="AG47" i="91"/>
  <c r="AR209" i="135" l="1"/>
  <c r="AD132" i="135"/>
  <c r="AR132" i="135" s="1"/>
  <c r="AQ209" i="135"/>
  <c r="AC209" i="135"/>
  <c r="AC210" i="135" s="1"/>
  <c r="M17" i="95"/>
  <c r="AB131" i="135"/>
  <c r="AH170" i="135"/>
  <c r="AN205" i="135"/>
  <c r="AY210" i="135"/>
  <c r="AY215" i="135" s="1"/>
  <c r="T45" i="90"/>
  <c r="R7" i="95"/>
  <c r="S45" i="90"/>
  <c r="Q7" i="95"/>
  <c r="V45" i="90"/>
  <c r="T7" i="95"/>
  <c r="W45" i="90"/>
  <c r="U7" i="95"/>
  <c r="U45" i="90"/>
  <c r="S7" i="95"/>
  <c r="X45" i="90"/>
  <c r="V7" i="95"/>
  <c r="R45" i="90"/>
  <c r="P7" i="95"/>
  <c r="AI215" i="135"/>
  <c r="AQ202" i="135"/>
  <c r="AQ210" i="135" s="1"/>
  <c r="AV202" i="135"/>
  <c r="AV210" i="135" s="1"/>
  <c r="AH210" i="135"/>
  <c r="AT202" i="135"/>
  <c r="AT210" i="135" s="1"/>
  <c r="AF210" i="135"/>
  <c r="AU202" i="135"/>
  <c r="AU210" i="135" s="1"/>
  <c r="AG210" i="135"/>
  <c r="AK215" i="135"/>
  <c r="AX202" i="135"/>
  <c r="AX210" i="135" s="1"/>
  <c r="AJ210" i="135"/>
  <c r="AG190" i="135"/>
  <c r="AB170" i="135"/>
  <c r="AY170" i="135"/>
  <c r="AF190" i="135"/>
  <c r="AR182" i="135"/>
  <c r="AR190" i="135" s="1"/>
  <c r="AD190" i="135"/>
  <c r="AO190" i="135"/>
  <c r="AC190" i="135"/>
  <c r="AB190" i="135"/>
  <c r="AB215" i="135" s="1"/>
  <c r="AJ190" i="135"/>
  <c r="AH190" i="135"/>
  <c r="AW190" i="135"/>
  <c r="AE190" i="135"/>
  <c r="AE215" i="135" s="1"/>
  <c r="AU162" i="135"/>
  <c r="AU170" i="135" s="1"/>
  <c r="AX162" i="135"/>
  <c r="AX170" i="135" s="1"/>
  <c r="AI151" i="135"/>
  <c r="AF151" i="135"/>
  <c r="AR170" i="135"/>
  <c r="AW170" i="135"/>
  <c r="AT162" i="135"/>
  <c r="AF170" i="135"/>
  <c r="AQ170" i="135"/>
  <c r="AS162" i="135"/>
  <c r="AS170" i="135" s="1"/>
  <c r="AE170" i="135"/>
  <c r="AE151" i="135"/>
  <c r="AQ144" i="135"/>
  <c r="AQ151" i="135" s="1"/>
  <c r="AC151" i="135"/>
  <c r="AW151" i="135"/>
  <c r="AK211" i="135"/>
  <c r="AK213" i="135" s="1"/>
  <c r="AY213" i="135" s="1"/>
  <c r="AK151" i="135"/>
  <c r="AJ151" i="135"/>
  <c r="AR144" i="135"/>
  <c r="AR151" i="135" s="1"/>
  <c r="AD151" i="135"/>
  <c r="AD214" i="135" s="1"/>
  <c r="AK132" i="135"/>
  <c r="AY132" i="135" s="1"/>
  <c r="AK131" i="135"/>
  <c r="AI163" i="135"/>
  <c r="AI169" i="135" s="1"/>
  <c r="AI170" i="135" s="1"/>
  <c r="AV74" i="135"/>
  <c r="AV163" i="135" s="1"/>
  <c r="AV169" i="135" s="1"/>
  <c r="AH125" i="135"/>
  <c r="AH131" i="135" s="1"/>
  <c r="AC77" i="135"/>
  <c r="AQ77" i="135" s="1"/>
  <c r="AG163" i="135"/>
  <c r="AG169" i="135" s="1"/>
  <c r="AG170" i="135" s="1"/>
  <c r="AJ163" i="135"/>
  <c r="AJ169" i="135" s="1"/>
  <c r="AJ170" i="135" s="1"/>
  <c r="AC125" i="135"/>
  <c r="AP72" i="135"/>
  <c r="AP125" i="135" s="1"/>
  <c r="AP131" i="135" s="1"/>
  <c r="AT74" i="135"/>
  <c r="AT163" i="135" s="1"/>
  <c r="AT169" i="135" s="1"/>
  <c r="AF125" i="135"/>
  <c r="AF77" i="135"/>
  <c r="AT77" i="135" s="1"/>
  <c r="W3" i="95"/>
  <c r="W13" i="95" s="1"/>
  <c r="W21" i="95" s="1"/>
  <c r="W27" i="95" s="1"/>
  <c r="O3" i="95"/>
  <c r="N3" i="95"/>
  <c r="AC37" i="82" s="1"/>
  <c r="AD77" i="135"/>
  <c r="AR77" i="135" s="1"/>
  <c r="Q3" i="95"/>
  <c r="AF37" i="82" s="1"/>
  <c r="AR72" i="135"/>
  <c r="AR125" i="135" s="1"/>
  <c r="AR131" i="135" s="1"/>
  <c r="AG125" i="135"/>
  <c r="AG131" i="135" s="1"/>
  <c r="P3" i="95"/>
  <c r="AE37" i="82" s="1"/>
  <c r="AH77" i="135"/>
  <c r="AV77" i="135" s="1"/>
  <c r="AN204" i="135"/>
  <c r="R3" i="95"/>
  <c r="AG37" i="82" s="1"/>
  <c r="V3" i="95"/>
  <c r="AK37" i="82" s="1"/>
  <c r="AN127" i="135"/>
  <c r="AN82" i="135"/>
  <c r="BB82" i="135" s="1"/>
  <c r="AI211" i="135"/>
  <c r="AW211" i="135" s="1"/>
  <c r="AN72" i="135"/>
  <c r="BB72" i="135" s="1"/>
  <c r="BB125" i="135" s="1"/>
  <c r="BB131" i="135" s="1"/>
  <c r="AI132" i="135"/>
  <c r="AG77" i="135"/>
  <c r="AU77" i="135" s="1"/>
  <c r="AS72" i="135"/>
  <c r="AS125" i="135" s="1"/>
  <c r="AS131" i="135" s="1"/>
  <c r="AI77" i="135"/>
  <c r="AW77" i="135" s="1"/>
  <c r="AE125" i="135"/>
  <c r="AW72" i="135"/>
  <c r="AW125" i="135" s="1"/>
  <c r="AW131" i="135" s="1"/>
  <c r="AJ125" i="135"/>
  <c r="AJ77" i="135"/>
  <c r="AX77" i="135" s="1"/>
  <c r="X3" i="95"/>
  <c r="X13" i="95" s="1"/>
  <c r="X21" i="95" s="1"/>
  <c r="X27" i="95" s="1"/>
  <c r="AY144" i="135"/>
  <c r="AY151" i="135" s="1"/>
  <c r="AM35" i="105"/>
  <c r="AN11" i="105"/>
  <c r="AM16" i="105"/>
  <c r="AN16" i="105" s="1"/>
  <c r="J17" i="95"/>
  <c r="AI29" i="105"/>
  <c r="AC211" i="135"/>
  <c r="AQ211" i="135" s="1"/>
  <c r="AN163" i="135"/>
  <c r="AN169" i="135" s="1"/>
  <c r="AN206" i="135"/>
  <c r="AN183" i="135"/>
  <c r="AN189" i="135" s="1"/>
  <c r="AN182" i="135"/>
  <c r="AN124" i="135"/>
  <c r="BB124" i="135" s="1"/>
  <c r="AP144" i="135"/>
  <c r="AP151" i="135" s="1"/>
  <c r="AN144" i="135"/>
  <c r="BB144" i="135" s="1"/>
  <c r="BB151" i="135" s="1"/>
  <c r="AP162" i="135"/>
  <c r="AP170" i="135" s="1"/>
  <c r="AN162" i="135"/>
  <c r="AS202" i="135"/>
  <c r="AS210" i="135" s="1"/>
  <c r="AH212" i="135"/>
  <c r="AV212" i="135" s="1"/>
  <c r="AW202" i="135"/>
  <c r="AW210" i="135" s="1"/>
  <c r="AI212" i="135"/>
  <c r="AN95" i="135"/>
  <c r="BB95" i="135" s="1"/>
  <c r="AJ212" i="135"/>
  <c r="AX212" i="135" s="1"/>
  <c r="AG132" i="135"/>
  <c r="AN88" i="135"/>
  <c r="BB88" i="135" s="1"/>
  <c r="AP202" i="135"/>
  <c r="AP210" i="135" s="1"/>
  <c r="AB211" i="135"/>
  <c r="AF212" i="135"/>
  <c r="AT212" i="135" s="1"/>
  <c r="AV182" i="135"/>
  <c r="AV190" i="135" s="1"/>
  <c r="AH132" i="135"/>
  <c r="AG211" i="135"/>
  <c r="AH211" i="135"/>
  <c r="AX182" i="135"/>
  <c r="AX190" i="135" s="1"/>
  <c r="AF211" i="135"/>
  <c r="AU182" i="135"/>
  <c r="AU190" i="135" s="1"/>
  <c r="AG212" i="135"/>
  <c r="AU212" i="135" s="1"/>
  <c r="AD211" i="135"/>
  <c r="AQ182" i="135"/>
  <c r="AQ190" i="135" s="1"/>
  <c r="AC212" i="135"/>
  <c r="AQ212" i="135" s="1"/>
  <c r="AX124" i="135"/>
  <c r="AJ211" i="135"/>
  <c r="AS182" i="135"/>
  <c r="AS190" i="135" s="1"/>
  <c r="AE212" i="135"/>
  <c r="AS212" i="135" s="1"/>
  <c r="AP182" i="135"/>
  <c r="AP190" i="135" s="1"/>
  <c r="AB212" i="135"/>
  <c r="AE211" i="135"/>
  <c r="AX144" i="135"/>
  <c r="AX151" i="135" s="1"/>
  <c r="AE29" i="105"/>
  <c r="U3" i="95"/>
  <c r="U13" i="95" s="1"/>
  <c r="U21" i="95" s="1"/>
  <c r="U27" i="95" s="1"/>
  <c r="AA183" i="135"/>
  <c r="AA189" i="135" s="1"/>
  <c r="AA190" i="135" s="1"/>
  <c r="AV144" i="135"/>
  <c r="AV151" i="135" s="1"/>
  <c r="AV95" i="135"/>
  <c r="AT182" i="135"/>
  <c r="AT190" i="135" s="1"/>
  <c r="AU95" i="135"/>
  <c r="AV162" i="135"/>
  <c r="AA24" i="91"/>
  <c r="AU144" i="135"/>
  <c r="AU151" i="135" s="1"/>
  <c r="AT95" i="135"/>
  <c r="T3" i="95"/>
  <c r="T13" i="95" s="1"/>
  <c r="T21" i="95" s="1"/>
  <c r="T27" i="95" s="1"/>
  <c r="V39" i="82"/>
  <c r="G37" i="69"/>
  <c r="AA18" i="82" s="1"/>
  <c r="S3" i="95"/>
  <c r="AS77" i="135"/>
  <c r="AA39" i="82"/>
  <c r="AR95" i="135"/>
  <c r="AR88" i="135"/>
  <c r="AQ88" i="135"/>
  <c r="AQ82" i="135"/>
  <c r="AA18" i="90"/>
  <c r="AE37" i="69"/>
  <c r="AF37" i="69" s="1"/>
  <c r="AP95" i="135"/>
  <c r="AB132" i="135"/>
  <c r="AP77" i="135"/>
  <c r="AP88" i="135"/>
  <c r="U168" i="8"/>
  <c r="L173" i="8"/>
  <c r="U173" i="8" s="1"/>
  <c r="R168" i="8"/>
  <c r="F173" i="8"/>
  <c r="R173" i="8" s="1"/>
  <c r="N17" i="95"/>
  <c r="BF3" i="105"/>
  <c r="AD37" i="82" l="1"/>
  <c r="J3" i="95"/>
  <c r="AH214" i="135"/>
  <c r="AQ215" i="135"/>
  <c r="AJ215" i="135"/>
  <c r="AB214" i="135"/>
  <c r="AB216" i="135" s="1"/>
  <c r="AH215" i="135"/>
  <c r="AU215" i="135"/>
  <c r="AS215" i="135"/>
  <c r="AG215" i="135"/>
  <c r="AX215" i="135"/>
  <c r="AT215" i="135"/>
  <c r="AW215" i="135"/>
  <c r="AF215" i="135"/>
  <c r="AP215" i="135"/>
  <c r="AV215" i="135"/>
  <c r="AC215" i="135"/>
  <c r="AR214" i="135"/>
  <c r="AY214" i="135"/>
  <c r="AY216" i="135" s="1"/>
  <c r="AK214" i="135"/>
  <c r="AK216" i="135" s="1"/>
  <c r="AW132" i="135"/>
  <c r="AW214" i="135" s="1"/>
  <c r="AI214" i="135"/>
  <c r="AI216" i="135" s="1"/>
  <c r="AU132" i="135"/>
  <c r="AU214" i="135" s="1"/>
  <c r="AG214" i="135"/>
  <c r="AY211" i="135"/>
  <c r="BB182" i="135"/>
  <c r="BB190" i="135" s="1"/>
  <c r="AN190" i="135"/>
  <c r="AV170" i="135"/>
  <c r="BB162" i="135"/>
  <c r="BB170" i="135" s="1"/>
  <c r="AN170" i="135"/>
  <c r="AT170" i="135"/>
  <c r="AN151" i="135"/>
  <c r="AJ132" i="135"/>
  <c r="AJ214" i="135" s="1"/>
  <c r="AJ216" i="135" s="1"/>
  <c r="AJ131" i="135"/>
  <c r="AE132" i="135"/>
  <c r="AE131" i="135"/>
  <c r="AF132" i="135"/>
  <c r="AF131" i="135"/>
  <c r="AC132" i="135"/>
  <c r="AC131" i="135"/>
  <c r="R13" i="95"/>
  <c r="R21" i="95" s="1"/>
  <c r="R27" i="95" s="1"/>
  <c r="AM37" i="82"/>
  <c r="AL37" i="82"/>
  <c r="Q13" i="95"/>
  <c r="Q21" i="95" s="1"/>
  <c r="Q27" i="95" s="1"/>
  <c r="P13" i="95"/>
  <c r="P21" i="95" s="1"/>
  <c r="P27" i="95" s="1"/>
  <c r="AD15" i="95"/>
  <c r="AN125" i="135"/>
  <c r="AN131" i="135" s="1"/>
  <c r="AN77" i="135"/>
  <c r="BB77" i="135" s="1"/>
  <c r="AN211" i="135"/>
  <c r="BB211" i="135" s="1"/>
  <c r="AW212" i="135"/>
  <c r="AI213" i="135"/>
  <c r="AW213" i="135" s="1"/>
  <c r="AP211" i="135"/>
  <c r="AP212" i="135"/>
  <c r="AB213" i="135"/>
  <c r="AP132" i="135"/>
  <c r="AP214" i="135" s="1"/>
  <c r="AV132" i="135"/>
  <c r="AC213" i="135"/>
  <c r="AQ213" i="135" s="1"/>
  <c r="AX211" i="135"/>
  <c r="AJ213" i="135"/>
  <c r="AX213" i="135" s="1"/>
  <c r="AR211" i="135"/>
  <c r="AS211" i="135"/>
  <c r="AE213" i="135"/>
  <c r="AS213" i="135" s="1"/>
  <c r="AT211" i="135"/>
  <c r="AF213" i="135"/>
  <c r="AT213" i="135" s="1"/>
  <c r="AV211" i="135"/>
  <c r="AH213" i="135"/>
  <c r="AV213" i="135" s="1"/>
  <c r="AU211" i="135"/>
  <c r="AG213" i="135"/>
  <c r="AU213" i="135" s="1"/>
  <c r="AJ37" i="82"/>
  <c r="AI37" i="82"/>
  <c r="S13" i="95"/>
  <c r="S21" i="95" s="1"/>
  <c r="S27" i="95" s="1"/>
  <c r="AH37" i="82"/>
  <c r="AN132" i="135" l="1"/>
  <c r="BB132" i="135" s="1"/>
  <c r="BB214" i="135" s="1"/>
  <c r="AH216" i="135"/>
  <c r="AV214" i="135"/>
  <c r="AV216" i="135" s="1"/>
  <c r="AU216" i="135"/>
  <c r="AP216" i="135"/>
  <c r="AG216" i="135"/>
  <c r="AW216" i="135"/>
  <c r="AQ132" i="135"/>
  <c r="AQ214" i="135" s="1"/>
  <c r="AQ216" i="135" s="1"/>
  <c r="AC214" i="135"/>
  <c r="AC216" i="135" s="1"/>
  <c r="AS132" i="135"/>
  <c r="AS214" i="135" s="1"/>
  <c r="AS216" i="135" s="1"/>
  <c r="AE214" i="135"/>
  <c r="AE216" i="135" s="1"/>
  <c r="AX132" i="135"/>
  <c r="AX214" i="135" s="1"/>
  <c r="AX216" i="135" s="1"/>
  <c r="AT132" i="135"/>
  <c r="AT214" i="135" s="1"/>
  <c r="AT216" i="135" s="1"/>
  <c r="AF214" i="135"/>
  <c r="AF216" i="135" s="1"/>
  <c r="AP213" i="135"/>
  <c r="AA14" i="91"/>
  <c r="AA22" i="91"/>
  <c r="AN214" i="135" l="1"/>
  <c r="AA23" i="91"/>
  <c r="Y49" i="105"/>
  <c r="W19" i="120" s="1"/>
  <c r="J14" i="124"/>
  <c r="K14" i="124" s="1"/>
  <c r="L14" i="124" s="1"/>
  <c r="K6" i="124" s="1"/>
  <c r="J6" i="124" s="1"/>
  <c r="AP14" i="91"/>
  <c r="X13" i="135" l="1"/>
  <c r="X172" i="135" s="1"/>
  <c r="X176" i="135" s="1"/>
  <c r="Y8" i="105"/>
  <c r="V96" i="8"/>
  <c r="Y43" i="105"/>
  <c r="P14" i="124"/>
  <c r="V148" i="8" l="1"/>
  <c r="AM8" i="105" s="1"/>
  <c r="AN8" i="105" s="1"/>
  <c r="AA14" i="92"/>
  <c r="AA22" i="92"/>
  <c r="Y50" i="105" l="1"/>
  <c r="W21" i="120" s="1"/>
  <c r="AA23" i="92"/>
  <c r="Y44" i="105" s="1"/>
  <c r="AP14" i="92"/>
  <c r="J15" i="124"/>
  <c r="K15" i="124" s="1"/>
  <c r="AA16" i="90"/>
  <c r="AA11" i="90"/>
  <c r="U18" i="137" s="1"/>
  <c r="BW34" i="120" l="1"/>
  <c r="BW36" i="120" s="1"/>
  <c r="X14" i="135"/>
  <c r="X192" i="135" s="1"/>
  <c r="X196" i="135" s="1"/>
  <c r="Y9" i="105"/>
  <c r="V97" i="8"/>
  <c r="U15" i="137"/>
  <c r="Y54" i="105"/>
  <c r="AA17" i="90"/>
  <c r="P15" i="124"/>
  <c r="L15" i="124"/>
  <c r="K7" i="124" s="1"/>
  <c r="J7" i="124" s="1"/>
  <c r="X12" i="135" l="1"/>
  <c r="X153" i="135" s="1"/>
  <c r="X157" i="135" s="1"/>
  <c r="W18" i="120"/>
  <c r="V156" i="8"/>
  <c r="AM9" i="105" s="1"/>
  <c r="AN9" i="105" s="1"/>
  <c r="AP17" i="90"/>
  <c r="Y58" i="105"/>
  <c r="Y42" i="105"/>
  <c r="AN42" i="105" l="1"/>
  <c r="AA15" i="85" l="1"/>
  <c r="Y45" i="105" l="1"/>
  <c r="AA17" i="82"/>
  <c r="U13" i="137"/>
  <c r="U19" i="137"/>
  <c r="Y46" i="105"/>
  <c r="Y6" i="105" s="1"/>
  <c r="F94" i="8"/>
  <c r="F133" i="8" l="1"/>
  <c r="Z10" i="105" s="1"/>
  <c r="X10" i="135"/>
  <c r="Y51" i="105"/>
  <c r="Y10" i="105" s="1"/>
  <c r="Y40" i="105"/>
  <c r="V94" i="8"/>
  <c r="V133" i="8" s="1"/>
  <c r="K4" i="120"/>
  <c r="K7" i="120" s="1"/>
  <c r="AG40" i="82"/>
  <c r="J12" i="124"/>
  <c r="K12" i="124" s="1"/>
  <c r="AM40" i="105"/>
  <c r="K15" i="120"/>
  <c r="Q15" i="120" s="1"/>
  <c r="F139" i="8" l="1"/>
  <c r="T139" i="8" s="1"/>
  <c r="X15" i="135"/>
  <c r="X38" i="135" s="1"/>
  <c r="X114" i="135"/>
  <c r="X118" i="135" s="1"/>
  <c r="Y59" i="105"/>
  <c r="AM45" i="105"/>
  <c r="J83" i="130"/>
  <c r="L83" i="130" s="1"/>
  <c r="L85" i="130" s="1"/>
  <c r="L89" i="130" s="1"/>
  <c r="V98" i="8"/>
  <c r="AM6" i="105"/>
  <c r="M3" i="95"/>
  <c r="P12" i="124"/>
  <c r="L12" i="124"/>
  <c r="K4" i="124" s="1"/>
  <c r="J4" i="124" s="1"/>
  <c r="Z45" i="105"/>
  <c r="V139" i="8" l="1"/>
  <c r="R139" i="8"/>
  <c r="S139" i="8"/>
  <c r="X16" i="135"/>
  <c r="X39" i="135" s="1"/>
  <c r="Y79" i="105"/>
  <c r="AP59" i="105"/>
  <c r="AM10" i="105"/>
  <c r="AN10" i="105" s="1"/>
  <c r="AN6" i="105"/>
  <c r="J85" i="130"/>
  <c r="J89" i="130" s="1"/>
  <c r="AB37" i="82"/>
  <c r="AO37" i="82" s="1"/>
  <c r="AP37" i="82" l="1"/>
  <c r="L7" i="120" l="1"/>
  <c r="M7" i="120"/>
  <c r="W7" i="120"/>
  <c r="R7" i="120"/>
  <c r="S7" i="120"/>
  <c r="T7" i="120"/>
  <c r="N7" i="120"/>
  <c r="P7" i="120"/>
  <c r="X25" i="120" l="1"/>
  <c r="X26" i="120" s="1"/>
  <c r="Y26" i="120" s="1"/>
  <c r="Y25" i="120" s="1"/>
  <c r="Q4" i="120"/>
  <c r="Q7" i="120" s="1"/>
  <c r="Q29" i="132"/>
  <c r="N55" i="135" s="1"/>
  <c r="AD55" i="135" s="1"/>
  <c r="AA26" i="92"/>
  <c r="N199" i="135" l="1"/>
  <c r="N57" i="135"/>
  <c r="N59" i="135" s="1"/>
  <c r="AA29" i="132"/>
  <c r="X55" i="135" s="1"/>
  <c r="AP26" i="92"/>
  <c r="Q35" i="132"/>
  <c r="V52" i="130" l="1"/>
  <c r="V58" i="130" s="1"/>
  <c r="V64" i="130" s="1"/>
  <c r="AD199" i="135"/>
  <c r="AR55" i="135"/>
  <c r="AR199" i="135" s="1"/>
  <c r="AN55" i="135"/>
  <c r="BB55" i="135" s="1"/>
  <c r="BB199" i="135" s="1"/>
  <c r="AD56" i="135"/>
  <c r="X57" i="135"/>
  <c r="X59" i="135" s="1"/>
  <c r="X199" i="135"/>
  <c r="Q41" i="132"/>
  <c r="AA35" i="132"/>
  <c r="AR57" i="135" l="1"/>
  <c r="AN57" i="135"/>
  <c r="BB57" i="135" s="1"/>
  <c r="AN199" i="135"/>
  <c r="AD202" i="135"/>
  <c r="AD210" i="135" s="1"/>
  <c r="AD215" i="135" s="1"/>
  <c r="AD216" i="135" s="1"/>
  <c r="AA41" i="132"/>
  <c r="J91" i="130" s="1"/>
  <c r="L91" i="130" s="1"/>
  <c r="Q43" i="132"/>
  <c r="E107" i="8"/>
  <c r="AN202" i="135" l="1"/>
  <c r="AR202" i="135"/>
  <c r="AR210" i="135" s="1"/>
  <c r="AR215" i="135" s="1"/>
  <c r="AR216" i="135" s="1"/>
  <c r="AD212" i="135"/>
  <c r="K19" i="105"/>
  <c r="AL19" i="105" s="1"/>
  <c r="E10" i="8"/>
  <c r="Y104" i="135" l="1"/>
  <c r="Z104" i="135" s="1"/>
  <c r="K12" i="135"/>
  <c r="AA167" i="135"/>
  <c r="AA166" i="135"/>
  <c r="BB202" i="135"/>
  <c r="BB210" i="135" s="1"/>
  <c r="BB215" i="135" s="1"/>
  <c r="BB216" i="135" s="1"/>
  <c r="AN210" i="135"/>
  <c r="AN215" i="135" s="1"/>
  <c r="AN216" i="135" s="1"/>
  <c r="AR212" i="135"/>
  <c r="AD213" i="135"/>
  <c r="AN212" i="135"/>
  <c r="BB212" i="135" s="1"/>
  <c r="L19" i="105"/>
  <c r="AN19" i="105"/>
  <c r="K11" i="135"/>
  <c r="Z11" i="135" s="1"/>
  <c r="K19" i="135"/>
  <c r="Z19" i="135" s="1"/>
  <c r="J33" i="135"/>
  <c r="Y33" i="135" s="1"/>
  <c r="K18" i="135"/>
  <c r="Z18" i="135" s="1"/>
  <c r="J12" i="135"/>
  <c r="J26" i="135"/>
  <c r="Y26" i="135" s="1"/>
  <c r="J11" i="135"/>
  <c r="Y11" i="135" s="1"/>
  <c r="J19" i="135"/>
  <c r="Y19" i="135" s="1"/>
  <c r="K33" i="135"/>
  <c r="Z33" i="135" s="1"/>
  <c r="K26" i="135"/>
  <c r="Z26" i="135" s="1"/>
  <c r="J18" i="135"/>
  <c r="Y18" i="135" s="1"/>
  <c r="K153" i="135"/>
  <c r="AA98" i="135"/>
  <c r="AA62" i="135"/>
  <c r="AA68" i="135"/>
  <c r="AA51" i="135"/>
  <c r="AA92" i="135"/>
  <c r="AO92" i="135" s="1"/>
  <c r="AO167" i="135" s="1"/>
  <c r="AA85" i="135"/>
  <c r="AA79" i="135"/>
  <c r="AA91" i="135"/>
  <c r="AO91" i="135" s="1"/>
  <c r="AO166" i="135" s="1"/>
  <c r="AA74" i="135"/>
  <c r="J4" i="135"/>
  <c r="K4" i="135" l="1"/>
  <c r="Z4" i="135" s="1"/>
  <c r="X17" i="120"/>
  <c r="Y4" i="135"/>
  <c r="AA4" i="135" s="1"/>
  <c r="AO4" i="135" s="1"/>
  <c r="Z12" i="135"/>
  <c r="Z153" i="135" s="1"/>
  <c r="Y12" i="135"/>
  <c r="AR213" i="135"/>
  <c r="AN213" i="135"/>
  <c r="BB213" i="135" s="1"/>
  <c r="AO85" i="135"/>
  <c r="AO165" i="135" s="1"/>
  <c r="AA165" i="135"/>
  <c r="K29" i="135"/>
  <c r="K155" i="135"/>
  <c r="Z154" i="135"/>
  <c r="K154" i="135"/>
  <c r="Z156" i="135"/>
  <c r="K156" i="135"/>
  <c r="AO51" i="135"/>
  <c r="AO159" i="135" s="1"/>
  <c r="AA159" i="135"/>
  <c r="J154" i="135"/>
  <c r="J134" i="135"/>
  <c r="AO62" i="135"/>
  <c r="AO160" i="135" s="1"/>
  <c r="AA160" i="135"/>
  <c r="J153" i="135"/>
  <c r="AO68" i="135"/>
  <c r="AO161" i="135" s="1"/>
  <c r="AA161" i="135"/>
  <c r="J155" i="135"/>
  <c r="J29" i="135"/>
  <c r="AO74" i="135"/>
  <c r="AO163" i="135" s="1"/>
  <c r="AA163" i="135"/>
  <c r="AO98" i="135"/>
  <c r="AO168" i="135" s="1"/>
  <c r="AA168" i="135"/>
  <c r="Z135" i="135"/>
  <c r="K135" i="135"/>
  <c r="AO79" i="135"/>
  <c r="AO164" i="135" s="1"/>
  <c r="AA164" i="135"/>
  <c r="J135" i="135"/>
  <c r="J156" i="135"/>
  <c r="K134" i="135"/>
  <c r="Z134" i="135"/>
  <c r="K152" i="135"/>
  <c r="J152" i="135"/>
  <c r="AA169" i="135" l="1"/>
  <c r="AO169" i="135"/>
  <c r="J138" i="135"/>
  <c r="K157" i="135"/>
  <c r="AA26" i="135"/>
  <c r="Y155" i="135"/>
  <c r="Y29" i="135"/>
  <c r="AA12" i="135"/>
  <c r="Y153" i="135"/>
  <c r="Z155" i="135"/>
  <c r="Z157" i="135" s="1"/>
  <c r="Z29" i="135"/>
  <c r="AA18" i="135"/>
  <c r="Y135" i="135"/>
  <c r="J30" i="135"/>
  <c r="Z138" i="135"/>
  <c r="K138" i="135"/>
  <c r="AA11" i="135"/>
  <c r="Y134" i="135"/>
  <c r="AA33" i="135"/>
  <c r="Y156" i="135"/>
  <c r="J157" i="135"/>
  <c r="AA19" i="135"/>
  <c r="Y154" i="135"/>
  <c r="K30" i="135"/>
  <c r="Z152" i="135"/>
  <c r="AO152" i="135"/>
  <c r="AA152" i="135"/>
  <c r="AO18" i="135" l="1"/>
  <c r="AO135" i="135" s="1"/>
  <c r="AA135" i="135"/>
  <c r="AO11" i="135"/>
  <c r="AO134" i="135" s="1"/>
  <c r="AA134" i="135"/>
  <c r="Y157" i="135"/>
  <c r="Z162" i="135"/>
  <c r="Z170" i="135" s="1"/>
  <c r="AO19" i="135"/>
  <c r="AO154" i="135" s="1"/>
  <c r="AA154" i="135"/>
  <c r="Z30" i="135"/>
  <c r="AO33" i="135"/>
  <c r="AO156" i="135" s="1"/>
  <c r="AA156" i="135"/>
  <c r="AO12" i="135"/>
  <c r="AO153" i="135" s="1"/>
  <c r="AA153" i="135"/>
  <c r="Y30" i="135"/>
  <c r="AA29" i="135"/>
  <c r="Z144" i="135"/>
  <c r="Z151" i="135" s="1"/>
  <c r="Y138" i="135"/>
  <c r="AO26" i="135"/>
  <c r="AO155" i="135" s="1"/>
  <c r="AA155" i="135"/>
  <c r="Y152" i="135"/>
  <c r="Y171" i="135"/>
  <c r="Y182" i="135" s="1"/>
  <c r="Y190" i="135" s="1"/>
  <c r="Y133" i="135"/>
  <c r="AA138" i="135" l="1"/>
  <c r="AO138" i="135"/>
  <c r="AO144" i="135" s="1"/>
  <c r="AO151" i="135" s="1"/>
  <c r="K196" i="135"/>
  <c r="J196" i="135"/>
  <c r="Y162" i="135"/>
  <c r="AA157" i="135"/>
  <c r="AA162" i="135" s="1"/>
  <c r="AA170" i="135" s="1"/>
  <c r="AA30" i="135"/>
  <c r="AO30" i="135" s="1"/>
  <c r="AO29" i="135"/>
  <c r="AO157" i="135"/>
  <c r="AO162" i="135" s="1"/>
  <c r="AO170" i="135" s="1"/>
  <c r="Y144" i="135"/>
  <c r="BC169" i="135" l="1"/>
  <c r="Y170" i="135"/>
  <c r="Z196" i="135"/>
  <c r="Z202" i="135" s="1"/>
  <c r="Z210" i="135" s="1"/>
  <c r="Z215" i="135" s="1"/>
  <c r="AO215" i="135" s="1"/>
  <c r="Y196" i="135"/>
  <c r="BC189" i="135"/>
  <c r="AA144" i="135"/>
  <c r="AA151" i="135" s="1"/>
  <c r="Z212" i="135" l="1"/>
  <c r="AO212" i="135" s="1"/>
  <c r="AA196" i="135"/>
  <c r="R228" i="8"/>
  <c r="K31" i="105"/>
  <c r="L31" i="105" s="1"/>
  <c r="K32" i="105"/>
  <c r="L32" i="105" s="1"/>
  <c r="K33" i="105"/>
  <c r="L33" i="105" s="1"/>
  <c r="AO196" i="135" l="1"/>
  <c r="AO202" i="135" s="1"/>
  <c r="AO210" i="135" s="1"/>
  <c r="N73" i="102"/>
  <c r="N79" i="102"/>
  <c r="C219" i="8"/>
  <c r="L228" i="8"/>
  <c r="AG18" i="119"/>
  <c r="O228" i="8"/>
  <c r="S228" i="8"/>
  <c r="H228" i="8"/>
  <c r="M228" i="8"/>
  <c r="V228" i="8"/>
  <c r="F228" i="8"/>
  <c r="Q228" i="8"/>
  <c r="G228" i="8"/>
  <c r="J228" i="8"/>
  <c r="W136" i="8"/>
  <c r="N228" i="8"/>
  <c r="K228" i="8"/>
  <c r="AG19" i="119"/>
  <c r="I228" i="8"/>
  <c r="T228" i="8"/>
  <c r="P228" i="8"/>
  <c r="N75" i="102" l="1"/>
  <c r="C229" i="8"/>
  <c r="AP79" i="102"/>
  <c r="AP73" i="102"/>
  <c r="AN26" i="85"/>
  <c r="AP26" i="85" s="1"/>
  <c r="C226" i="8"/>
  <c r="AL32" i="105"/>
  <c r="AN32" i="105" s="1"/>
  <c r="N77" i="102"/>
  <c r="AP33" i="102"/>
  <c r="N37" i="102"/>
  <c r="AL33" i="105"/>
  <c r="AN33" i="105" s="1"/>
  <c r="AL34" i="105"/>
  <c r="AN34" i="105" s="1"/>
  <c r="C221" i="8"/>
  <c r="AN41" i="85" l="1"/>
  <c r="AL31" i="105"/>
  <c r="AN30" i="92"/>
  <c r="AP30" i="92" s="1"/>
  <c r="AN22" i="90"/>
  <c r="AP22" i="90" s="1"/>
  <c r="AP75" i="102"/>
  <c r="C227" i="8"/>
  <c r="C222" i="8"/>
  <c r="AP8" i="90"/>
  <c r="C223" i="8"/>
  <c r="M12" i="102"/>
  <c r="N12" i="102" s="1"/>
  <c r="N39" i="102"/>
  <c r="N35" i="102"/>
  <c r="M8" i="102"/>
  <c r="N8" i="102" s="1"/>
  <c r="M14" i="102"/>
  <c r="N14" i="102" s="1"/>
  <c r="N41" i="102"/>
  <c r="M10" i="102"/>
  <c r="N10" i="102" s="1"/>
  <c r="C225" i="8"/>
  <c r="AP37" i="102"/>
  <c r="AP24" i="85"/>
  <c r="C220" i="8"/>
  <c r="AP8" i="85"/>
  <c r="AP8" i="91"/>
  <c r="AP8" i="92"/>
  <c r="C228" i="8"/>
  <c r="AP77" i="102"/>
  <c r="AN31" i="105" l="1"/>
  <c r="AN30" i="91"/>
  <c r="AP30" i="91" s="1"/>
  <c r="AN28" i="91"/>
  <c r="AP28" i="91" s="1"/>
  <c r="AN28" i="92"/>
  <c r="AP28" i="92" s="1"/>
  <c r="AN24" i="90"/>
  <c r="AP24" i="90" s="1"/>
  <c r="AB10" i="102"/>
  <c r="AP10" i="102" s="1"/>
  <c r="AB12" i="102"/>
  <c r="AP12" i="102" s="1"/>
  <c r="AP39" i="102"/>
  <c r="I7" i="95"/>
  <c r="AP45" i="92"/>
  <c r="I10" i="95"/>
  <c r="AB8" i="102"/>
  <c r="AP8" i="102" s="1"/>
  <c r="AP35" i="102"/>
  <c r="AG20" i="119"/>
  <c r="AG8" i="119"/>
  <c r="I5" i="95"/>
  <c r="AP41" i="85"/>
  <c r="C230" i="8"/>
  <c r="AP41" i="102"/>
  <c r="AB43" i="102"/>
  <c r="AP43" i="102" s="1"/>
  <c r="AB14" i="102"/>
  <c r="AB81" i="102"/>
  <c r="AP71" i="102"/>
  <c r="AB6" i="102"/>
  <c r="AP6" i="102" s="1"/>
  <c r="I8" i="95"/>
  <c r="AG48" i="91"/>
  <c r="AP46" i="91"/>
  <c r="C224" i="8"/>
  <c r="AC15" i="95" l="1"/>
  <c r="AE15" i="95" s="1"/>
  <c r="AP14" i="102"/>
  <c r="AB16" i="102"/>
  <c r="AP16" i="102" s="1"/>
  <c r="K8" i="95"/>
  <c r="AP81" i="102"/>
  <c r="AB82" i="102"/>
  <c r="K10" i="95"/>
  <c r="Y65" i="135" l="1"/>
  <c r="Y202" i="135"/>
  <c r="Y210" i="135" s="1"/>
  <c r="Y215" i="135" s="1"/>
  <c r="AA215" i="135" s="1"/>
  <c r="Y212" i="135" l="1"/>
  <c r="AA212" i="135" s="1"/>
  <c r="AA202" i="135"/>
  <c r="AA210" i="135" s="1"/>
  <c r="BC209" i="135" l="1"/>
  <c r="G146" i="8" l="1"/>
  <c r="AB6" i="90"/>
  <c r="M7" i="95" l="1"/>
  <c r="F242" i="8"/>
  <c r="G242" i="8"/>
  <c r="F146" i="8"/>
  <c r="AC6" i="90"/>
  <c r="AA29" i="105" l="1"/>
  <c r="Z29" i="105"/>
  <c r="N7" i="95"/>
  <c r="O45" i="90"/>
  <c r="P45" i="90" l="1"/>
  <c r="M13" i="95" l="1"/>
  <c r="M21" i="95" s="1"/>
  <c r="M27" i="95" s="1"/>
  <c r="N13" i="95"/>
  <c r="N21" i="95" s="1"/>
  <c r="N27" i="95" l="1"/>
  <c r="S143" i="8" l="1"/>
  <c r="AD6" i="90" l="1"/>
  <c r="AO6" i="90" s="1"/>
  <c r="T143" i="8"/>
  <c r="H242" i="8"/>
  <c r="R242" i="8" s="1"/>
  <c r="H146" i="8"/>
  <c r="R143" i="8"/>
  <c r="AB26" i="105" l="1"/>
  <c r="AO45" i="90"/>
  <c r="AD45" i="90"/>
  <c r="J7" i="95" s="1"/>
  <c r="T146" i="8"/>
  <c r="R146" i="8"/>
  <c r="V146" i="8"/>
  <c r="S146" i="8"/>
  <c r="AB29" i="105" l="1"/>
  <c r="Q45" i="90"/>
  <c r="AP6" i="90"/>
  <c r="AP45" i="90"/>
  <c r="AN26" i="105" l="1"/>
  <c r="AM29" i="105"/>
  <c r="O13" i="95"/>
  <c r="O21" i="95" s="1"/>
  <c r="K7" i="95" l="1"/>
  <c r="O27" i="95"/>
  <c r="Y27" i="95" s="1"/>
  <c r="X41" i="85"/>
  <c r="V5" i="95"/>
  <c r="J13" i="95" l="1"/>
  <c r="K5" i="95"/>
  <c r="AD14" i="95"/>
  <c r="V13" i="95"/>
  <c r="V21" i="95" s="1"/>
  <c r="V27" i="95" s="1"/>
  <c r="J21" i="95" l="1"/>
  <c r="AA23" i="85" l="1"/>
  <c r="O12" i="132"/>
  <c r="AA12" i="132" s="1"/>
  <c r="X48" i="135" l="1"/>
  <c r="V35" i="130"/>
  <c r="V59" i="130" s="1"/>
  <c r="V63" i="130" s="1"/>
  <c r="O36" i="132"/>
  <c r="L48" i="135"/>
  <c r="L140" i="135" l="1"/>
  <c r="L56" i="135"/>
  <c r="L58" i="135" s="1"/>
  <c r="AA36" i="132"/>
  <c r="O40" i="132"/>
  <c r="X56" i="135"/>
  <c r="X58" i="135" s="1"/>
  <c r="X140" i="135"/>
  <c r="AA40" i="132" l="1"/>
  <c r="J90" i="130" s="1"/>
  <c r="L90" i="130" s="1"/>
  <c r="O42" i="132"/>
  <c r="U52" i="85"/>
  <c r="U54" i="85" s="1"/>
  <c r="T52" i="85"/>
  <c r="T54" i="85" s="1"/>
  <c r="Z52" i="85"/>
  <c r="V52" i="85"/>
  <c r="V54" i="85" s="1"/>
  <c r="R52" i="85"/>
  <c r="R54" i="85" s="1"/>
  <c r="Y52" i="85"/>
  <c r="W52" i="85"/>
  <c r="W54" i="85" s="1"/>
  <c r="S52" i="85"/>
  <c r="S54" i="85" s="1"/>
  <c r="Q52" i="85"/>
  <c r="X52" i="85"/>
  <c r="X54" i="85" s="1"/>
  <c r="O52" i="85"/>
  <c r="O54" i="85" s="1"/>
  <c r="P52" i="85"/>
  <c r="P54" i="85" s="1"/>
  <c r="Q54" i="85" l="1"/>
  <c r="AA54" i="85" s="1"/>
  <c r="Q7" i="85"/>
  <c r="Y151" i="135"/>
  <c r="BC151" i="135" l="1"/>
  <c r="K24" i="105" l="1"/>
  <c r="L24" i="105" s="1"/>
  <c r="L29" i="105" s="1"/>
  <c r="E129" i="8"/>
  <c r="AN6" i="82" s="1"/>
  <c r="E31" i="8"/>
  <c r="E124" i="8"/>
  <c r="J72" i="135"/>
  <c r="J77" i="135" s="1"/>
  <c r="Y72" i="135"/>
  <c r="Y77" i="135" s="1"/>
  <c r="AP6" i="82" l="1"/>
  <c r="AL24" i="105"/>
  <c r="K29" i="105"/>
  <c r="Z72" i="135"/>
  <c r="J125" i="135"/>
  <c r="Y125" i="135"/>
  <c r="AN24" i="105" l="1"/>
  <c r="AL29" i="105"/>
  <c r="Z125" i="135"/>
  <c r="Z77" i="135"/>
  <c r="AN29" i="105" l="1"/>
  <c r="N10" i="82" l="1"/>
  <c r="E105" i="8"/>
  <c r="E110" i="8" s="1"/>
  <c r="K17" i="105"/>
  <c r="AL17" i="105" s="1"/>
  <c r="J2" i="135" l="1"/>
  <c r="J112" i="135" s="1"/>
  <c r="AL22" i="105"/>
  <c r="AN22" i="105" s="1"/>
  <c r="AN17" i="105"/>
  <c r="L17" i="105"/>
  <c r="K22" i="105"/>
  <c r="E8" i="8"/>
  <c r="E25" i="8"/>
  <c r="Y2" i="135" l="1"/>
  <c r="Y112" i="135" s="1"/>
  <c r="J7" i="135"/>
  <c r="J8" i="135" s="1"/>
  <c r="AA60" i="135"/>
  <c r="K24" i="135"/>
  <c r="AA96" i="135"/>
  <c r="AA71" i="135"/>
  <c r="AO71" i="135" s="1"/>
  <c r="J10" i="135"/>
  <c r="K9" i="135"/>
  <c r="J9" i="135"/>
  <c r="AO130" i="135"/>
  <c r="AA40" i="135"/>
  <c r="K10" i="135"/>
  <c r="AA72" i="135"/>
  <c r="AA130" i="135"/>
  <c r="M5" i="82"/>
  <c r="K17" i="135"/>
  <c r="AA65" i="135"/>
  <c r="AO65" i="135" s="1"/>
  <c r="E13" i="8"/>
  <c r="AA66" i="135"/>
  <c r="J31" i="135"/>
  <c r="Y102" i="135"/>
  <c r="J24" i="135"/>
  <c r="K31" i="135"/>
  <c r="AA47" i="135"/>
  <c r="AA45" i="135"/>
  <c r="AO45" i="135" s="1"/>
  <c r="J17" i="135"/>
  <c r="K2" i="135"/>
  <c r="L22" i="105"/>
  <c r="X3" i="120" s="1"/>
  <c r="AN28" i="82" l="1"/>
  <c r="AN26" i="82"/>
  <c r="AN31" i="82"/>
  <c r="Y7" i="135"/>
  <c r="AA7" i="135" s="1"/>
  <c r="AO7" i="135" s="1"/>
  <c r="AA2" i="135"/>
  <c r="AO2" i="135" s="1"/>
  <c r="AO112" i="135" s="1"/>
  <c r="BC102" i="135"/>
  <c r="Z102" i="135"/>
  <c r="Z107" i="135" s="1"/>
  <c r="Y107" i="135"/>
  <c r="AO107" i="135" s="1"/>
  <c r="K116" i="135"/>
  <c r="Z24" i="135"/>
  <c r="Z116" i="135" s="1"/>
  <c r="K36" i="135"/>
  <c r="K37" i="135" s="1"/>
  <c r="K117" i="135"/>
  <c r="Z31" i="135"/>
  <c r="Y24" i="135"/>
  <c r="J116" i="135"/>
  <c r="AA125" i="135"/>
  <c r="AO72" i="135"/>
  <c r="AO125" i="135" s="1"/>
  <c r="AO40" i="135"/>
  <c r="AO119" i="135" s="1"/>
  <c r="AA119" i="135"/>
  <c r="AO60" i="135"/>
  <c r="AO122" i="135" s="1"/>
  <c r="AA122" i="135"/>
  <c r="Z2" i="135"/>
  <c r="K112" i="135"/>
  <c r="K7" i="135"/>
  <c r="AA77" i="135"/>
  <c r="AO77" i="135" s="1"/>
  <c r="AA57" i="135"/>
  <c r="AO57" i="135" s="1"/>
  <c r="J101" i="135"/>
  <c r="AA101" i="135"/>
  <c r="AO101" i="135" s="1"/>
  <c r="K101" i="135"/>
  <c r="J114" i="135"/>
  <c r="Y10" i="135"/>
  <c r="J15" i="135"/>
  <c r="J117" i="135"/>
  <c r="J36" i="135"/>
  <c r="J37" i="135" s="1"/>
  <c r="Y31" i="135"/>
  <c r="AO66" i="135"/>
  <c r="AO123" i="135" s="1"/>
  <c r="AA123" i="135"/>
  <c r="Y9" i="135"/>
  <c r="J113" i="135"/>
  <c r="AA112" i="135"/>
  <c r="AN36" i="82"/>
  <c r="AP36" i="82" s="1"/>
  <c r="M18" i="82"/>
  <c r="AN35" i="82"/>
  <c r="AP35" i="82" s="1"/>
  <c r="N5" i="82"/>
  <c r="AN33" i="82"/>
  <c r="AP33" i="82" s="1"/>
  <c r="M17" i="82"/>
  <c r="AN34" i="82"/>
  <c r="AP34" i="82" s="1"/>
  <c r="K45" i="105"/>
  <c r="AA129" i="135"/>
  <c r="AO96" i="135"/>
  <c r="AO129" i="135" s="1"/>
  <c r="K114" i="135"/>
  <c r="Z10" i="135"/>
  <c r="K15" i="135"/>
  <c r="K16" i="135" s="1"/>
  <c r="Y17" i="135"/>
  <c r="J115" i="135"/>
  <c r="J22" i="135"/>
  <c r="J23" i="135" s="1"/>
  <c r="AA121" i="135"/>
  <c r="AO47" i="135"/>
  <c r="AO121" i="135" s="1"/>
  <c r="K22" i="135"/>
  <c r="K23" i="135" s="1"/>
  <c r="Z17" i="135"/>
  <c r="K115" i="135"/>
  <c r="K113" i="135"/>
  <c r="Z9" i="135"/>
  <c r="Z113" i="135" s="1"/>
  <c r="K118" i="135" l="1"/>
  <c r="Y36" i="135"/>
  <c r="AA31" i="135"/>
  <c r="Y117" i="135"/>
  <c r="Z36" i="135"/>
  <c r="Z37" i="135" s="1"/>
  <c r="Z117" i="135"/>
  <c r="AL88" i="105"/>
  <c r="AP28" i="82"/>
  <c r="AL83" i="105"/>
  <c r="AP26" i="82"/>
  <c r="AA17" i="135"/>
  <c r="Y22" i="135"/>
  <c r="Y115" i="135"/>
  <c r="N17" i="82"/>
  <c r="N18" i="82"/>
  <c r="J118" i="135"/>
  <c r="AA10" i="135"/>
  <c r="Y114" i="135"/>
  <c r="Y15" i="135"/>
  <c r="K40" i="105"/>
  <c r="AN17" i="82"/>
  <c r="Z115" i="135"/>
  <c r="Z22" i="135"/>
  <c r="Z23" i="135" s="1"/>
  <c r="J16" i="135"/>
  <c r="J39" i="135" s="1"/>
  <c r="J38" i="135"/>
  <c r="Y113" i="135"/>
  <c r="AA9" i="135"/>
  <c r="K38" i="135"/>
  <c r="K8" i="135"/>
  <c r="K39" i="135" s="1"/>
  <c r="Z114" i="135"/>
  <c r="Z118" i="135" s="1"/>
  <c r="Z15" i="135"/>
  <c r="AL94" i="105"/>
  <c r="AP31" i="82"/>
  <c r="X13" i="120"/>
  <c r="L45" i="105"/>
  <c r="Z112" i="135"/>
  <c r="Z7" i="135"/>
  <c r="Y116" i="135"/>
  <c r="AA24" i="135"/>
  <c r="AL93" i="105" l="1"/>
  <c r="AN93" i="105" s="1"/>
  <c r="Y83" i="135"/>
  <c r="AN88" i="105"/>
  <c r="Y118" i="135"/>
  <c r="Y124" i="135" s="1"/>
  <c r="AN94" i="105"/>
  <c r="AN104" i="105" s="1"/>
  <c r="Y89" i="135"/>
  <c r="AL104" i="105"/>
  <c r="AO17" i="135"/>
  <c r="AO115" i="135" s="1"/>
  <c r="AA115" i="135"/>
  <c r="AO24" i="135"/>
  <c r="AO116" i="135" s="1"/>
  <c r="AA116" i="135"/>
  <c r="AA114" i="135"/>
  <c r="AO10" i="135"/>
  <c r="AO114" i="135" s="1"/>
  <c r="AA15" i="135"/>
  <c r="Y16" i="135"/>
  <c r="Y38" i="135"/>
  <c r="AA38" i="135" s="1"/>
  <c r="AO38" i="135" s="1"/>
  <c r="Z38" i="135"/>
  <c r="Z16" i="135"/>
  <c r="Z39" i="135" s="1"/>
  <c r="AO9" i="135"/>
  <c r="AO113" i="135" s="1"/>
  <c r="AA113" i="135"/>
  <c r="AA117" i="135"/>
  <c r="AO31" i="135"/>
  <c r="AO117" i="135" s="1"/>
  <c r="AA22" i="135"/>
  <c r="AO22" i="135" s="1"/>
  <c r="Y23" i="135"/>
  <c r="Y37" i="135"/>
  <c r="AA36" i="135"/>
  <c r="Z124" i="135"/>
  <c r="AP17" i="82"/>
  <c r="AL40" i="105"/>
  <c r="X15" i="120"/>
  <c r="L40" i="105"/>
  <c r="AL87" i="105"/>
  <c r="AN87" i="105" s="1"/>
  <c r="Y78" i="135"/>
  <c r="AN83" i="105"/>
  <c r="AA118" i="135" l="1"/>
  <c r="AA124" i="135" s="1"/>
  <c r="AO15" i="135"/>
  <c r="AA16" i="135"/>
  <c r="AO16" i="135" s="1"/>
  <c r="Z89" i="135"/>
  <c r="Y128" i="135"/>
  <c r="AA89" i="135"/>
  <c r="Y95" i="135"/>
  <c r="AA37" i="135"/>
  <c r="AO37" i="135" s="1"/>
  <c r="AO36" i="135"/>
  <c r="Z78" i="135"/>
  <c r="Y82" i="135"/>
  <c r="AA82" i="135" s="1"/>
  <c r="AO82" i="135" s="1"/>
  <c r="Y126" i="135"/>
  <c r="AA78" i="135"/>
  <c r="Y211" i="135"/>
  <c r="Z211" i="135"/>
  <c r="AO118" i="135"/>
  <c r="AO124" i="135" s="1"/>
  <c r="AL45" i="105"/>
  <c r="AN45" i="105" s="1"/>
  <c r="AN40" i="105"/>
  <c r="Z83" i="135"/>
  <c r="AA83" i="135"/>
  <c r="Y88" i="135"/>
  <c r="AA88" i="135" s="1"/>
  <c r="AO88" i="135" s="1"/>
  <c r="Y127" i="135"/>
  <c r="Y39" i="135"/>
  <c r="AO89" i="135" l="1"/>
  <c r="AO128" i="135" s="1"/>
  <c r="AA128" i="135"/>
  <c r="Z127" i="135"/>
  <c r="Z88" i="135"/>
  <c r="AA95" i="135"/>
  <c r="AO95" i="135" s="1"/>
  <c r="J95" i="135"/>
  <c r="K95" i="135" s="1"/>
  <c r="AO78" i="135"/>
  <c r="AO126" i="135" s="1"/>
  <c r="AA126" i="135"/>
  <c r="Y131" i="135"/>
  <c r="Y132" i="135" s="1"/>
  <c r="Z128" i="135"/>
  <c r="Z95" i="135"/>
  <c r="AA211" i="135"/>
  <c r="Y213" i="135"/>
  <c r="AA213" i="135" s="1"/>
  <c r="Z213" i="135"/>
  <c r="AO213" i="135" s="1"/>
  <c r="AO211" i="135"/>
  <c r="AO83" i="135"/>
  <c r="AO127" i="135" s="1"/>
  <c r="AA127" i="135"/>
  <c r="Z82" i="135"/>
  <c r="Z126" i="135"/>
  <c r="AA131" i="135" l="1"/>
  <c r="Z131" i="135"/>
  <c r="Z132" i="135"/>
  <c r="Z214" i="135" s="1"/>
  <c r="AO131" i="135"/>
  <c r="AA132" i="135"/>
  <c r="AO132" i="135" s="1"/>
  <c r="BC132" i="135"/>
  <c r="Y214" i="135"/>
  <c r="Z216" i="135" l="1"/>
  <c r="AO216" i="135" s="1"/>
  <c r="AO214" i="135"/>
  <c r="AA214" i="135"/>
  <c r="Y216" i="135"/>
  <c r="AA216" i="135" s="1"/>
  <c r="K30" i="105"/>
  <c r="L30" i="105" s="1"/>
  <c r="L35" i="105" s="1"/>
  <c r="E116" i="8"/>
  <c r="E26" i="8"/>
  <c r="E81" i="8" s="1"/>
  <c r="E182" i="8" l="1"/>
  <c r="M71" i="102"/>
  <c r="N71" i="102" s="1"/>
  <c r="E128" i="8"/>
  <c r="E76" i="8"/>
  <c r="K35" i="105"/>
  <c r="E176" i="8" l="1"/>
  <c r="M33" i="102"/>
  <c r="M6" i="102" s="1"/>
  <c r="N6" i="102" s="1"/>
  <c r="E131" i="8"/>
  <c r="AN8" i="82"/>
  <c r="AN39" i="82" s="1"/>
  <c r="AN25" i="82"/>
  <c r="AP25" i="82" s="1"/>
  <c r="E187" i="8"/>
  <c r="E197" i="8" l="1"/>
  <c r="E169" i="8"/>
  <c r="E172" i="8" s="1"/>
  <c r="AA3" i="95"/>
  <c r="AA21" i="95" s="1"/>
  <c r="AB21" i="95" s="1"/>
  <c r="AP8" i="82"/>
  <c r="AL30" i="105"/>
  <c r="E181" i="8"/>
  <c r="AN23" i="82"/>
  <c r="AP23" i="82" s="1"/>
  <c r="E165" i="8" l="1"/>
  <c r="E168" i="8" s="1"/>
  <c r="I14" i="95" s="1"/>
  <c r="E196" i="8"/>
  <c r="E198" i="8" s="1"/>
  <c r="AL35" i="105"/>
  <c r="AN30" i="105"/>
  <c r="I3" i="95"/>
  <c r="AP39" i="82"/>
  <c r="AG41" i="82"/>
  <c r="I15" i="95"/>
  <c r="K15" i="95" s="1"/>
  <c r="E173" i="8" l="1"/>
  <c r="AP3" i="105"/>
  <c r="AN35" i="105"/>
  <c r="K3" i="95"/>
  <c r="I13" i="95"/>
  <c r="K13" i="95" s="1"/>
  <c r="AC14" i="95"/>
  <c r="AE14" i="95" s="1"/>
  <c r="I17" i="95"/>
  <c r="K14" i="95"/>
  <c r="K17" i="95" l="1"/>
  <c r="I21" i="95"/>
  <c r="K21" i="95" l="1"/>
  <c r="P22" i="95"/>
  <c r="Q22" i="95"/>
  <c r="N22" i="95"/>
  <c r="O22" i="95"/>
  <c r="M22" i="95"/>
</calcChain>
</file>

<file path=xl/comments1.xml><?xml version="1.0" encoding="utf-8"?>
<comments xmlns="http://schemas.openxmlformats.org/spreadsheetml/2006/main">
  <authors>
    <author>seah</author>
  </authors>
  <commentList>
    <comment ref="AG15" authorId="0">
      <text>
        <r>
          <rPr>
            <b/>
            <sz val="9"/>
            <color indexed="81"/>
            <rFont val="Tahoma"/>
            <family val="2"/>
          </rPr>
          <t>seah:</t>
        </r>
        <r>
          <rPr>
            <sz val="9"/>
            <color indexed="81"/>
            <rFont val="Tahoma"/>
            <family val="2"/>
          </rPr>
          <t xml:space="preserve">
</t>
        </r>
      </text>
    </comment>
    <comment ref="E63" authorId="0">
      <text>
        <r>
          <rPr>
            <b/>
            <sz val="9"/>
            <color indexed="81"/>
            <rFont val="Tahoma"/>
            <family val="2"/>
          </rPr>
          <t>seah:</t>
        </r>
        <r>
          <rPr>
            <sz val="9"/>
            <color indexed="81"/>
            <rFont val="Tahoma"/>
            <family val="2"/>
          </rPr>
          <t xml:space="preserve">
64</t>
        </r>
        <r>
          <rPr>
            <sz val="9"/>
            <color indexed="81"/>
            <rFont val="돋움"/>
            <family val="3"/>
            <charset val="129"/>
          </rPr>
          <t>건</t>
        </r>
        <r>
          <rPr>
            <sz val="9"/>
            <color indexed="81"/>
            <rFont val="Tahoma"/>
            <family val="2"/>
          </rPr>
          <t xml:space="preserve"> 1, 2CCL 32</t>
        </r>
        <r>
          <rPr>
            <sz val="9"/>
            <color indexed="81"/>
            <rFont val="돋움"/>
            <family val="3"/>
            <charset val="129"/>
          </rPr>
          <t>건씩</t>
        </r>
        <r>
          <rPr>
            <sz val="9"/>
            <color indexed="81"/>
            <rFont val="Tahoma"/>
            <family val="2"/>
          </rPr>
          <t xml:space="preserve"> </t>
        </r>
        <r>
          <rPr>
            <sz val="9"/>
            <color indexed="81"/>
            <rFont val="돋움"/>
            <family val="3"/>
            <charset val="129"/>
          </rPr>
          <t>나눔</t>
        </r>
      </text>
    </comment>
    <comment ref="F63" authorId="0">
      <text>
        <r>
          <rPr>
            <b/>
            <sz val="9"/>
            <color indexed="81"/>
            <rFont val="Tahoma"/>
            <family val="2"/>
          </rPr>
          <t>seah:</t>
        </r>
        <r>
          <rPr>
            <sz val="9"/>
            <color indexed="81"/>
            <rFont val="Tahoma"/>
            <family val="2"/>
          </rPr>
          <t xml:space="preserve">
</t>
        </r>
        <r>
          <rPr>
            <sz val="9"/>
            <color indexed="81"/>
            <rFont val="돋움"/>
            <family val="3"/>
            <charset val="129"/>
          </rPr>
          <t>실적</t>
        </r>
        <r>
          <rPr>
            <sz val="9"/>
            <color indexed="81"/>
            <rFont val="Tahoma"/>
            <family val="2"/>
          </rPr>
          <t xml:space="preserve"> 24</t>
        </r>
        <r>
          <rPr>
            <sz val="9"/>
            <color indexed="81"/>
            <rFont val="돋움"/>
            <family val="3"/>
            <charset val="129"/>
          </rPr>
          <t>건</t>
        </r>
        <r>
          <rPr>
            <sz val="9"/>
            <color indexed="81"/>
            <rFont val="Tahoma"/>
            <family val="2"/>
          </rPr>
          <t xml:space="preserve"> 1, 2CCL 12</t>
        </r>
        <r>
          <rPr>
            <sz val="9"/>
            <color indexed="81"/>
            <rFont val="돋움"/>
            <family val="3"/>
            <charset val="129"/>
          </rPr>
          <t>건씩</t>
        </r>
        <r>
          <rPr>
            <sz val="9"/>
            <color indexed="81"/>
            <rFont val="Tahoma"/>
            <family val="2"/>
          </rPr>
          <t xml:space="preserve"> </t>
        </r>
        <r>
          <rPr>
            <sz val="9"/>
            <color indexed="81"/>
            <rFont val="돋움"/>
            <family val="3"/>
            <charset val="129"/>
          </rPr>
          <t>나눔</t>
        </r>
      </text>
    </comment>
    <comment ref="T95" authorId="0">
      <text>
        <r>
          <rPr>
            <b/>
            <sz val="9"/>
            <color indexed="81"/>
            <rFont val="Tahoma"/>
            <family val="2"/>
          </rPr>
          <t>seah:</t>
        </r>
        <r>
          <rPr>
            <sz val="9"/>
            <color indexed="81"/>
            <rFont val="Tahoma"/>
            <family val="2"/>
          </rPr>
          <t xml:space="preserve">
</t>
        </r>
        <r>
          <rPr>
            <sz val="9"/>
            <color indexed="81"/>
            <rFont val="돋움"/>
            <family val="3"/>
            <charset val="129"/>
          </rPr>
          <t>원단위</t>
        </r>
        <r>
          <rPr>
            <sz val="9"/>
            <color indexed="81"/>
            <rFont val="Tahoma"/>
            <family val="2"/>
          </rPr>
          <t xml:space="preserve"> </t>
        </r>
        <r>
          <rPr>
            <sz val="9"/>
            <color indexed="81"/>
            <rFont val="돋움"/>
            <family val="3"/>
            <charset val="129"/>
          </rPr>
          <t>변경</t>
        </r>
      </text>
    </comment>
    <comment ref="AO211" authorId="0">
      <text>
        <r>
          <rPr>
            <b/>
            <sz val="9"/>
            <color indexed="81"/>
            <rFont val="Tahoma"/>
            <family val="2"/>
          </rPr>
          <t>seah:</t>
        </r>
        <r>
          <rPr>
            <sz val="9"/>
            <color indexed="81"/>
            <rFont val="Tahoma"/>
            <family val="2"/>
          </rPr>
          <t xml:space="preserve">
CPL~CGL 2</t>
        </r>
        <r>
          <rPr>
            <sz val="9"/>
            <color indexed="81"/>
            <rFont val="돋움"/>
            <family val="3"/>
            <charset val="129"/>
          </rPr>
          <t>개월</t>
        </r>
        <r>
          <rPr>
            <sz val="9"/>
            <color indexed="81"/>
            <rFont val="Tahoma"/>
            <family val="2"/>
          </rPr>
          <t xml:space="preserve"> </t>
        </r>
        <r>
          <rPr>
            <sz val="9"/>
            <color indexed="81"/>
            <rFont val="돋움"/>
            <family val="3"/>
            <charset val="129"/>
          </rPr>
          <t>비가동으로</t>
        </r>
        <r>
          <rPr>
            <sz val="9"/>
            <color indexed="81"/>
            <rFont val="Tahoma"/>
            <family val="2"/>
          </rPr>
          <t xml:space="preserve"> </t>
        </r>
        <r>
          <rPr>
            <sz val="9"/>
            <color indexed="81"/>
            <rFont val="돋움"/>
            <family val="3"/>
            <charset val="129"/>
          </rPr>
          <t>년</t>
        </r>
        <r>
          <rPr>
            <sz val="9"/>
            <color indexed="81"/>
            <rFont val="Tahoma"/>
            <family val="2"/>
          </rPr>
          <t xml:space="preserve"> </t>
        </r>
        <r>
          <rPr>
            <sz val="9"/>
            <color indexed="81"/>
            <rFont val="돋움"/>
            <family val="3"/>
            <charset val="129"/>
          </rPr>
          <t>원단위와</t>
        </r>
        <r>
          <rPr>
            <sz val="9"/>
            <color indexed="81"/>
            <rFont val="Tahoma"/>
            <family val="2"/>
          </rPr>
          <t xml:space="preserve"> </t>
        </r>
        <r>
          <rPr>
            <sz val="9"/>
            <color indexed="81"/>
            <rFont val="돋움"/>
            <family val="3"/>
            <charset val="129"/>
          </rPr>
          <t>차이</t>
        </r>
        <r>
          <rPr>
            <sz val="9"/>
            <color indexed="81"/>
            <rFont val="Tahoma"/>
            <family val="2"/>
          </rPr>
          <t xml:space="preserve"> </t>
        </r>
        <r>
          <rPr>
            <sz val="9"/>
            <color indexed="81"/>
            <rFont val="돋움"/>
            <family val="3"/>
            <charset val="129"/>
          </rPr>
          <t>발생함</t>
        </r>
      </text>
    </comment>
    <comment ref="AA213" authorId="0">
      <text>
        <r>
          <rPr>
            <b/>
            <sz val="9"/>
            <color indexed="81"/>
            <rFont val="Tahoma"/>
            <family val="2"/>
          </rPr>
          <t>seah:</t>
        </r>
        <r>
          <rPr>
            <sz val="9"/>
            <color indexed="81"/>
            <rFont val="Tahoma"/>
            <family val="2"/>
          </rPr>
          <t xml:space="preserve">
20</t>
        </r>
        <r>
          <rPr>
            <sz val="9"/>
            <color indexed="81"/>
            <rFont val="돋움"/>
            <family val="3"/>
            <charset val="129"/>
          </rPr>
          <t>년</t>
        </r>
        <r>
          <rPr>
            <sz val="9"/>
            <color indexed="81"/>
            <rFont val="Tahoma"/>
            <family val="2"/>
          </rPr>
          <t xml:space="preserve"> </t>
        </r>
        <r>
          <rPr>
            <sz val="9"/>
            <color indexed="81"/>
            <rFont val="돋움"/>
            <family val="3"/>
            <charset val="129"/>
          </rPr>
          <t>제품</t>
        </r>
        <r>
          <rPr>
            <sz val="9"/>
            <color indexed="81"/>
            <rFont val="Tahoma"/>
            <family val="2"/>
          </rPr>
          <t xml:space="preserve"> </t>
        </r>
        <r>
          <rPr>
            <sz val="9"/>
            <color indexed="81"/>
            <rFont val="돋움"/>
            <family val="3"/>
            <charset val="129"/>
          </rPr>
          <t>생산량</t>
        </r>
        <r>
          <rPr>
            <sz val="9"/>
            <color indexed="81"/>
            <rFont val="Tahoma"/>
            <family val="2"/>
          </rPr>
          <t xml:space="preserve"> </t>
        </r>
        <r>
          <rPr>
            <sz val="9"/>
            <color indexed="81"/>
            <rFont val="돋움"/>
            <family val="3"/>
            <charset val="129"/>
          </rPr>
          <t>목표</t>
        </r>
        <r>
          <rPr>
            <sz val="9"/>
            <color indexed="81"/>
            <rFont val="Tahoma"/>
            <family val="2"/>
          </rPr>
          <t xml:space="preserve"> </t>
        </r>
        <r>
          <rPr>
            <sz val="9"/>
            <color indexed="81"/>
            <rFont val="돋움"/>
            <family val="3"/>
            <charset val="129"/>
          </rPr>
          <t>수정</t>
        </r>
        <r>
          <rPr>
            <sz val="9"/>
            <color indexed="81"/>
            <rFont val="Tahoma"/>
            <family val="2"/>
          </rPr>
          <t xml:space="preserve"> </t>
        </r>
        <r>
          <rPr>
            <sz val="9"/>
            <color indexed="81"/>
            <rFont val="돋움"/>
            <family val="3"/>
            <charset val="129"/>
          </rPr>
          <t>필요</t>
        </r>
      </text>
    </comment>
    <comment ref="AO213" authorId="0">
      <text>
        <r>
          <rPr>
            <b/>
            <sz val="9"/>
            <color indexed="81"/>
            <rFont val="Tahoma"/>
            <family val="2"/>
          </rPr>
          <t>seah:</t>
        </r>
        <r>
          <rPr>
            <sz val="9"/>
            <color indexed="81"/>
            <rFont val="Tahoma"/>
            <family val="2"/>
          </rPr>
          <t xml:space="preserve">
21</t>
        </r>
        <r>
          <rPr>
            <sz val="9"/>
            <color indexed="81"/>
            <rFont val="돋움"/>
            <family val="3"/>
            <charset val="129"/>
          </rPr>
          <t>년</t>
        </r>
        <r>
          <rPr>
            <sz val="9"/>
            <color indexed="81"/>
            <rFont val="Tahoma"/>
            <family val="2"/>
          </rPr>
          <t xml:space="preserve"> </t>
        </r>
        <r>
          <rPr>
            <sz val="9"/>
            <color indexed="81"/>
            <rFont val="돋움"/>
            <family val="3"/>
            <charset val="129"/>
          </rPr>
          <t>월</t>
        </r>
        <r>
          <rPr>
            <sz val="9"/>
            <color indexed="81"/>
            <rFont val="Tahoma"/>
            <family val="2"/>
          </rPr>
          <t xml:space="preserve"> </t>
        </r>
        <r>
          <rPr>
            <sz val="9"/>
            <color indexed="81"/>
            <rFont val="돋움"/>
            <family val="3"/>
            <charset val="129"/>
          </rPr>
          <t>제품</t>
        </r>
        <r>
          <rPr>
            <sz val="9"/>
            <color indexed="81"/>
            <rFont val="Tahoma"/>
            <family val="2"/>
          </rPr>
          <t xml:space="preserve"> </t>
        </r>
        <r>
          <rPr>
            <sz val="9"/>
            <color indexed="81"/>
            <rFont val="돋움"/>
            <family val="3"/>
            <charset val="129"/>
          </rPr>
          <t>생산량</t>
        </r>
        <r>
          <rPr>
            <sz val="9"/>
            <color indexed="81"/>
            <rFont val="Tahoma"/>
            <family val="2"/>
          </rPr>
          <t xml:space="preserve"> </t>
        </r>
        <r>
          <rPr>
            <sz val="9"/>
            <color indexed="81"/>
            <rFont val="돋움"/>
            <family val="3"/>
            <charset val="129"/>
          </rPr>
          <t>목표</t>
        </r>
        <r>
          <rPr>
            <sz val="9"/>
            <color indexed="81"/>
            <rFont val="Tahoma"/>
            <family val="2"/>
          </rPr>
          <t xml:space="preserve"> </t>
        </r>
        <r>
          <rPr>
            <sz val="9"/>
            <color indexed="81"/>
            <rFont val="돋움"/>
            <family val="3"/>
            <charset val="129"/>
          </rPr>
          <t>입력</t>
        </r>
        <r>
          <rPr>
            <sz val="9"/>
            <color indexed="81"/>
            <rFont val="Tahoma"/>
            <family val="2"/>
          </rPr>
          <t xml:space="preserve"> </t>
        </r>
        <r>
          <rPr>
            <sz val="9"/>
            <color indexed="81"/>
            <rFont val="돋움"/>
            <family val="3"/>
            <charset val="129"/>
          </rPr>
          <t>필요</t>
        </r>
      </text>
    </comment>
    <comment ref="AO214" authorId="0">
      <text>
        <r>
          <rPr>
            <b/>
            <sz val="9"/>
            <color indexed="81"/>
            <rFont val="Tahoma"/>
            <family val="2"/>
          </rPr>
          <t>seah:</t>
        </r>
        <r>
          <rPr>
            <sz val="9"/>
            <color indexed="81"/>
            <rFont val="Tahoma"/>
            <family val="2"/>
          </rPr>
          <t xml:space="preserve">
CPL~CGL 2</t>
        </r>
        <r>
          <rPr>
            <sz val="9"/>
            <color indexed="81"/>
            <rFont val="돋움"/>
            <family val="3"/>
            <charset val="129"/>
          </rPr>
          <t>개월</t>
        </r>
        <r>
          <rPr>
            <sz val="9"/>
            <color indexed="81"/>
            <rFont val="Tahoma"/>
            <family val="2"/>
          </rPr>
          <t xml:space="preserve"> </t>
        </r>
        <r>
          <rPr>
            <sz val="9"/>
            <color indexed="81"/>
            <rFont val="돋움"/>
            <family val="3"/>
            <charset val="129"/>
          </rPr>
          <t>비가동으로</t>
        </r>
        <r>
          <rPr>
            <sz val="9"/>
            <color indexed="81"/>
            <rFont val="Tahoma"/>
            <family val="2"/>
          </rPr>
          <t xml:space="preserve"> </t>
        </r>
        <r>
          <rPr>
            <sz val="9"/>
            <color indexed="81"/>
            <rFont val="돋움"/>
            <family val="3"/>
            <charset val="129"/>
          </rPr>
          <t>년</t>
        </r>
        <r>
          <rPr>
            <sz val="9"/>
            <color indexed="81"/>
            <rFont val="Tahoma"/>
            <family val="2"/>
          </rPr>
          <t xml:space="preserve"> </t>
        </r>
        <r>
          <rPr>
            <sz val="9"/>
            <color indexed="81"/>
            <rFont val="돋움"/>
            <family val="3"/>
            <charset val="129"/>
          </rPr>
          <t>원단위와</t>
        </r>
        <r>
          <rPr>
            <sz val="9"/>
            <color indexed="81"/>
            <rFont val="Tahoma"/>
            <family val="2"/>
          </rPr>
          <t xml:space="preserve"> </t>
        </r>
        <r>
          <rPr>
            <sz val="9"/>
            <color indexed="81"/>
            <rFont val="돋움"/>
            <family val="3"/>
            <charset val="129"/>
          </rPr>
          <t>차이</t>
        </r>
        <r>
          <rPr>
            <sz val="9"/>
            <color indexed="81"/>
            <rFont val="Tahoma"/>
            <family val="2"/>
          </rPr>
          <t xml:space="preserve"> </t>
        </r>
        <r>
          <rPr>
            <sz val="9"/>
            <color indexed="81"/>
            <rFont val="돋움"/>
            <family val="3"/>
            <charset val="129"/>
          </rPr>
          <t>발생함</t>
        </r>
      </text>
    </comment>
  </commentList>
</comments>
</file>

<file path=xl/comments2.xml><?xml version="1.0" encoding="utf-8"?>
<comments xmlns="http://schemas.openxmlformats.org/spreadsheetml/2006/main">
  <authors>
    <author>seah</author>
  </authors>
  <commentList>
    <comment ref="H4" authorId="0">
      <text>
        <r>
          <rPr>
            <b/>
            <sz val="9"/>
            <color indexed="81"/>
            <rFont val="Tahoma"/>
            <family val="2"/>
          </rPr>
          <t>seah:</t>
        </r>
        <r>
          <rPr>
            <sz val="9"/>
            <color indexed="81"/>
            <rFont val="Tahoma"/>
            <family val="2"/>
          </rPr>
          <t xml:space="preserve">
</t>
        </r>
        <r>
          <rPr>
            <sz val="9"/>
            <color indexed="81"/>
            <rFont val="돋움"/>
            <family val="3"/>
            <charset val="129"/>
          </rPr>
          <t>불량</t>
        </r>
        <r>
          <rPr>
            <sz val="9"/>
            <color indexed="81"/>
            <rFont val="Tahoma"/>
            <family val="2"/>
          </rPr>
          <t xml:space="preserve"> 47.89</t>
        </r>
        <r>
          <rPr>
            <sz val="9"/>
            <color indexed="81"/>
            <rFont val="돋움"/>
            <family val="3"/>
            <charset val="129"/>
          </rPr>
          <t>톤</t>
        </r>
        <r>
          <rPr>
            <sz val="9"/>
            <color indexed="81"/>
            <rFont val="Tahoma"/>
            <family val="2"/>
          </rPr>
          <t xml:space="preserve"> </t>
        </r>
        <r>
          <rPr>
            <sz val="9"/>
            <color indexed="81"/>
            <rFont val="돋움"/>
            <family val="3"/>
            <charset val="129"/>
          </rPr>
          <t>제외</t>
        </r>
      </text>
    </comment>
    <comment ref="V120" authorId="0">
      <text>
        <r>
          <rPr>
            <b/>
            <sz val="9"/>
            <color indexed="81"/>
            <rFont val="Tahoma"/>
            <family val="2"/>
          </rPr>
          <t xml:space="preserve">seah: CGL </t>
        </r>
        <r>
          <rPr>
            <b/>
            <sz val="9"/>
            <color indexed="81"/>
            <rFont val="돋움"/>
            <family val="3"/>
            <charset val="129"/>
          </rPr>
          <t>누적실적으로</t>
        </r>
        <r>
          <rPr>
            <b/>
            <sz val="9"/>
            <color indexed="81"/>
            <rFont val="Tahoma"/>
            <family val="2"/>
          </rPr>
          <t xml:space="preserve"> </t>
        </r>
        <r>
          <rPr>
            <b/>
            <sz val="9"/>
            <color indexed="81"/>
            <rFont val="돋움"/>
            <family val="3"/>
            <charset val="129"/>
          </rPr>
          <t>매월</t>
        </r>
        <r>
          <rPr>
            <b/>
            <sz val="9"/>
            <color indexed="81"/>
            <rFont val="Tahoma"/>
            <family val="2"/>
          </rPr>
          <t xml:space="preserve"> </t>
        </r>
        <r>
          <rPr>
            <b/>
            <sz val="9"/>
            <color indexed="81"/>
            <rFont val="돋움"/>
            <family val="3"/>
            <charset val="129"/>
          </rPr>
          <t>변경</t>
        </r>
        <r>
          <rPr>
            <b/>
            <sz val="9"/>
            <color indexed="81"/>
            <rFont val="Tahoma"/>
            <family val="2"/>
          </rPr>
          <t xml:space="preserve"> </t>
        </r>
        <r>
          <rPr>
            <b/>
            <sz val="9"/>
            <color indexed="81"/>
            <rFont val="돋움"/>
            <family val="3"/>
            <charset val="129"/>
          </rPr>
          <t>요망</t>
        </r>
      </text>
    </comment>
    <comment ref="V122" authorId="0">
      <text>
        <r>
          <rPr>
            <b/>
            <sz val="9"/>
            <color indexed="81"/>
            <rFont val="Tahoma"/>
            <family val="2"/>
          </rPr>
          <t>seah:</t>
        </r>
        <r>
          <rPr>
            <sz val="9"/>
            <color indexed="81"/>
            <rFont val="Tahoma"/>
            <family val="2"/>
          </rPr>
          <t xml:space="preserve">
</t>
        </r>
        <r>
          <rPr>
            <sz val="9"/>
            <color indexed="81"/>
            <rFont val="돋움"/>
            <family val="3"/>
            <charset val="129"/>
          </rPr>
          <t>매월</t>
        </r>
        <r>
          <rPr>
            <sz val="9"/>
            <color indexed="81"/>
            <rFont val="Tahoma"/>
            <family val="2"/>
          </rPr>
          <t xml:space="preserve"> </t>
        </r>
        <r>
          <rPr>
            <sz val="9"/>
            <color indexed="81"/>
            <rFont val="돋움"/>
            <family val="3"/>
            <charset val="129"/>
          </rPr>
          <t>실적</t>
        </r>
        <r>
          <rPr>
            <sz val="9"/>
            <color indexed="81"/>
            <rFont val="Tahoma"/>
            <family val="2"/>
          </rPr>
          <t xml:space="preserve"> </t>
        </r>
        <r>
          <rPr>
            <sz val="9"/>
            <color indexed="81"/>
            <rFont val="돋움"/>
            <family val="3"/>
            <charset val="129"/>
          </rPr>
          <t>변경</t>
        </r>
      </text>
    </comment>
  </commentList>
</comments>
</file>

<file path=xl/comments3.xml><?xml version="1.0" encoding="utf-8"?>
<comments xmlns="http://schemas.openxmlformats.org/spreadsheetml/2006/main">
  <authors>
    <author>seah</author>
  </authors>
  <commentList>
    <comment ref="L3" authorId="0">
      <text>
        <r>
          <rPr>
            <b/>
            <sz val="9"/>
            <color indexed="81"/>
            <rFont val="Tahoma"/>
            <family val="2"/>
          </rPr>
          <t>seah:</t>
        </r>
        <r>
          <rPr>
            <sz val="9"/>
            <color indexed="81"/>
            <rFont val="Tahoma"/>
            <family val="2"/>
          </rPr>
          <t xml:space="preserve">
H</t>
        </r>
        <r>
          <rPr>
            <sz val="9"/>
            <color indexed="81"/>
            <rFont val="돋움"/>
            <family val="3"/>
            <charset val="129"/>
          </rPr>
          <t>급</t>
        </r>
        <r>
          <rPr>
            <sz val="9"/>
            <color indexed="81"/>
            <rFont val="Tahoma"/>
            <family val="2"/>
          </rPr>
          <t xml:space="preserve"> 57</t>
        </r>
        <r>
          <rPr>
            <sz val="9"/>
            <color indexed="81"/>
            <rFont val="돋움"/>
            <family val="3"/>
            <charset val="129"/>
          </rPr>
          <t>톤포함</t>
        </r>
      </text>
    </comment>
  </commentList>
</comments>
</file>

<file path=xl/comments4.xml><?xml version="1.0" encoding="utf-8"?>
<comments xmlns="http://schemas.openxmlformats.org/spreadsheetml/2006/main">
  <authors>
    <author>seah</author>
  </authors>
  <commentList>
    <comment ref="BE8" authorId="0">
      <text>
        <r>
          <rPr>
            <b/>
            <sz val="9"/>
            <color indexed="81"/>
            <rFont val="Tahoma"/>
            <family val="2"/>
          </rPr>
          <t>seah:</t>
        </r>
        <r>
          <rPr>
            <sz val="9"/>
            <color indexed="81"/>
            <rFont val="Tahoma"/>
            <family val="2"/>
          </rPr>
          <t xml:space="preserve">
19</t>
        </r>
        <r>
          <rPr>
            <sz val="9"/>
            <color indexed="81"/>
            <rFont val="돋움"/>
            <family val="3"/>
            <charset val="129"/>
          </rPr>
          <t>년</t>
        </r>
        <r>
          <rPr>
            <sz val="9"/>
            <color indexed="81"/>
            <rFont val="Tahoma"/>
            <family val="2"/>
          </rPr>
          <t xml:space="preserve"> </t>
        </r>
        <r>
          <rPr>
            <sz val="9"/>
            <color indexed="81"/>
            <rFont val="돋움"/>
            <family val="3"/>
            <charset val="129"/>
          </rPr>
          <t>실적완료시</t>
        </r>
        <r>
          <rPr>
            <sz val="9"/>
            <color indexed="81"/>
            <rFont val="Tahoma"/>
            <family val="2"/>
          </rPr>
          <t xml:space="preserve"> </t>
        </r>
        <r>
          <rPr>
            <sz val="9"/>
            <color indexed="81"/>
            <rFont val="돋움"/>
            <family val="3"/>
            <charset val="129"/>
          </rPr>
          <t>목표값을</t>
        </r>
        <r>
          <rPr>
            <sz val="9"/>
            <color indexed="81"/>
            <rFont val="Tahoma"/>
            <family val="2"/>
          </rPr>
          <t xml:space="preserve"> </t>
        </r>
        <r>
          <rPr>
            <sz val="9"/>
            <color indexed="81"/>
            <rFont val="돋움"/>
            <family val="3"/>
            <charset val="129"/>
          </rPr>
          <t>실적값으로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필요함</t>
        </r>
        <r>
          <rPr>
            <sz val="9"/>
            <color indexed="81"/>
            <rFont val="Tahoma"/>
            <family val="2"/>
          </rPr>
          <t>!!!</t>
        </r>
      </text>
    </comment>
  </commentList>
</comments>
</file>

<file path=xl/comments5.xml><?xml version="1.0" encoding="utf-8"?>
<comments xmlns="http://schemas.openxmlformats.org/spreadsheetml/2006/main">
  <authors>
    <author>seah</author>
  </authors>
  <commentList>
    <comment ref="O12" authorId="0">
      <text>
        <r>
          <rPr>
            <b/>
            <sz val="9"/>
            <color indexed="81"/>
            <rFont val="Tahoma"/>
            <family val="2"/>
          </rPr>
          <t>seah:</t>
        </r>
        <r>
          <rPr>
            <sz val="9"/>
            <color indexed="81"/>
            <rFont val="Tahoma"/>
            <family val="2"/>
          </rPr>
          <t xml:space="preserve">
</t>
        </r>
        <r>
          <rPr>
            <sz val="9"/>
            <color indexed="81"/>
            <rFont val="돋움"/>
            <family val="3"/>
            <charset val="129"/>
          </rPr>
          <t>전산</t>
        </r>
        <r>
          <rPr>
            <sz val="9"/>
            <color indexed="81"/>
            <rFont val="Tahoma"/>
            <family val="2"/>
          </rPr>
          <t xml:space="preserve"> </t>
        </r>
        <r>
          <rPr>
            <sz val="9"/>
            <color indexed="81"/>
            <rFont val="돋움"/>
            <family val="3"/>
            <charset val="129"/>
          </rPr>
          <t>중량</t>
        </r>
        <r>
          <rPr>
            <sz val="9"/>
            <color indexed="81"/>
            <rFont val="Tahoma"/>
            <family val="2"/>
          </rPr>
          <t xml:space="preserve">, </t>
        </r>
        <r>
          <rPr>
            <sz val="9"/>
            <color indexed="81"/>
            <rFont val="돋움"/>
            <family val="3"/>
            <charset val="129"/>
          </rPr>
          <t>판매</t>
        </r>
        <r>
          <rPr>
            <sz val="9"/>
            <color indexed="81"/>
            <rFont val="Tahoma"/>
            <family val="2"/>
          </rPr>
          <t xml:space="preserve"> </t>
        </r>
        <r>
          <rPr>
            <sz val="9"/>
            <color indexed="81"/>
            <rFont val="돋움"/>
            <family val="3"/>
            <charset val="129"/>
          </rPr>
          <t>미등록</t>
        </r>
      </text>
    </comment>
    <comment ref="L26" authorId="0">
      <text>
        <r>
          <rPr>
            <b/>
            <sz val="9"/>
            <color indexed="81"/>
            <rFont val="Tahoma"/>
            <family val="2"/>
          </rPr>
          <t>seah:</t>
        </r>
        <r>
          <rPr>
            <sz val="9"/>
            <color indexed="81"/>
            <rFont val="Tahoma"/>
            <family val="2"/>
          </rPr>
          <t xml:space="preserve">
11</t>
        </r>
        <r>
          <rPr>
            <sz val="9"/>
            <color indexed="81"/>
            <rFont val="돋움"/>
            <family val="3"/>
            <charset val="129"/>
          </rPr>
          <t>월</t>
        </r>
        <r>
          <rPr>
            <sz val="9"/>
            <color indexed="81"/>
            <rFont val="Tahoma"/>
            <family val="2"/>
          </rPr>
          <t xml:space="preserve"> </t>
        </r>
        <r>
          <rPr>
            <sz val="9"/>
            <color indexed="81"/>
            <rFont val="돋움"/>
            <family val="3"/>
            <charset val="129"/>
          </rPr>
          <t>적용</t>
        </r>
        <r>
          <rPr>
            <sz val="9"/>
            <color indexed="81"/>
            <rFont val="Tahoma"/>
            <family val="2"/>
          </rPr>
          <t xml:space="preserve"> 7.17</t>
        </r>
      </text>
    </comment>
    <comment ref="L28" authorId="0">
      <text>
        <r>
          <rPr>
            <b/>
            <sz val="9"/>
            <color indexed="81"/>
            <rFont val="Tahoma"/>
            <family val="2"/>
          </rPr>
          <t>seah:</t>
        </r>
        <r>
          <rPr>
            <sz val="9"/>
            <color indexed="81"/>
            <rFont val="Tahoma"/>
            <family val="2"/>
          </rPr>
          <t xml:space="preserve">
11</t>
        </r>
        <r>
          <rPr>
            <sz val="9"/>
            <color indexed="81"/>
            <rFont val="돋움"/>
            <family val="3"/>
            <charset val="129"/>
          </rPr>
          <t>월</t>
        </r>
        <r>
          <rPr>
            <sz val="9"/>
            <color indexed="81"/>
            <rFont val="Tahoma"/>
            <family val="2"/>
          </rPr>
          <t xml:space="preserve"> </t>
        </r>
        <r>
          <rPr>
            <sz val="9"/>
            <color indexed="81"/>
            <rFont val="돋움"/>
            <family val="3"/>
            <charset val="129"/>
          </rPr>
          <t>적용</t>
        </r>
        <r>
          <rPr>
            <sz val="9"/>
            <color indexed="81"/>
            <rFont val="Tahoma"/>
            <family val="2"/>
          </rPr>
          <t xml:space="preserve"> 25.69</t>
        </r>
      </text>
    </comment>
    <comment ref="K36" authorId="0">
      <text>
        <r>
          <rPr>
            <b/>
            <sz val="9"/>
            <color indexed="81"/>
            <rFont val="Tahoma"/>
            <family val="2"/>
          </rPr>
          <t>seah:</t>
        </r>
        <r>
          <rPr>
            <sz val="9"/>
            <color indexed="81"/>
            <rFont val="Tahoma"/>
            <family val="2"/>
          </rPr>
          <t xml:space="preserve">
</t>
        </r>
        <r>
          <rPr>
            <sz val="9"/>
            <color indexed="81"/>
            <rFont val="돋움"/>
            <family val="3"/>
            <charset val="129"/>
          </rPr>
          <t>공정수</t>
        </r>
        <r>
          <rPr>
            <sz val="9"/>
            <color indexed="81"/>
            <rFont val="Tahoma"/>
            <family val="2"/>
          </rPr>
          <t xml:space="preserve"> 3</t>
        </r>
        <r>
          <rPr>
            <sz val="9"/>
            <color indexed="81"/>
            <rFont val="돋움"/>
            <family val="3"/>
            <charset val="129"/>
          </rPr>
          <t>명</t>
        </r>
        <r>
          <rPr>
            <sz val="9"/>
            <color indexed="81"/>
            <rFont val="Tahoma"/>
            <family val="2"/>
          </rPr>
          <t xml:space="preserve"> </t>
        </r>
        <r>
          <rPr>
            <sz val="9"/>
            <color indexed="81"/>
            <rFont val="돋움"/>
            <family val="3"/>
            <charset val="129"/>
          </rPr>
          <t>인건비</t>
        </r>
        <r>
          <rPr>
            <sz val="9"/>
            <color indexed="81"/>
            <rFont val="Tahoma"/>
            <family val="2"/>
          </rPr>
          <t xml:space="preserve"> </t>
        </r>
        <r>
          <rPr>
            <sz val="9"/>
            <color indexed="81"/>
            <rFont val="돋움"/>
            <family val="3"/>
            <charset val="129"/>
          </rPr>
          <t>추가</t>
        </r>
      </text>
    </comment>
  </commentList>
</comments>
</file>

<file path=xl/comments6.xml><?xml version="1.0" encoding="utf-8"?>
<comments xmlns="http://schemas.openxmlformats.org/spreadsheetml/2006/main">
  <authors>
    <author>seah</author>
  </authors>
  <commentList>
    <comment ref="Q10" authorId="0">
      <text>
        <r>
          <rPr>
            <b/>
            <sz val="9"/>
            <color indexed="81"/>
            <rFont val="Tahoma"/>
            <family val="2"/>
          </rPr>
          <t>seah:</t>
        </r>
        <r>
          <rPr>
            <sz val="9"/>
            <color indexed="81"/>
            <rFont val="Tahoma"/>
            <family val="2"/>
          </rPr>
          <t xml:space="preserve">
</t>
        </r>
        <r>
          <rPr>
            <sz val="9"/>
            <color indexed="81"/>
            <rFont val="돋움"/>
            <family val="3"/>
            <charset val="129"/>
          </rPr>
          <t>라인테스트</t>
        </r>
        <r>
          <rPr>
            <sz val="9"/>
            <color indexed="81"/>
            <rFont val="Tahoma"/>
            <family val="2"/>
          </rPr>
          <t xml:space="preserve"> </t>
        </r>
        <r>
          <rPr>
            <sz val="9"/>
            <color indexed="81"/>
            <rFont val="돋움"/>
            <family val="3"/>
            <charset val="129"/>
          </rPr>
          <t>불량</t>
        </r>
        <r>
          <rPr>
            <sz val="9"/>
            <color indexed="81"/>
            <rFont val="Tahoma"/>
            <family val="2"/>
          </rPr>
          <t xml:space="preserve"> 47.89</t>
        </r>
        <r>
          <rPr>
            <sz val="9"/>
            <color indexed="81"/>
            <rFont val="돋움"/>
            <family val="3"/>
            <charset val="129"/>
          </rPr>
          <t>톤</t>
        </r>
        <r>
          <rPr>
            <sz val="9"/>
            <color indexed="81"/>
            <rFont val="Tahoma"/>
            <family val="2"/>
          </rPr>
          <t xml:space="preserve"> LOSS </t>
        </r>
        <r>
          <rPr>
            <sz val="9"/>
            <color indexed="81"/>
            <rFont val="돋움"/>
            <family val="3"/>
            <charset val="129"/>
          </rPr>
          <t>제외</t>
        </r>
      </text>
    </comment>
    <comment ref="Q11" authorId="0">
      <text>
        <r>
          <rPr>
            <b/>
            <sz val="9"/>
            <color indexed="81"/>
            <rFont val="Tahoma"/>
            <family val="2"/>
          </rPr>
          <t>seah:</t>
        </r>
        <r>
          <rPr>
            <sz val="9"/>
            <color indexed="81"/>
            <rFont val="Tahoma"/>
            <family val="2"/>
          </rPr>
          <t xml:space="preserve">
</t>
        </r>
        <r>
          <rPr>
            <sz val="9"/>
            <color indexed="81"/>
            <rFont val="돋움"/>
            <family val="3"/>
            <charset val="129"/>
          </rPr>
          <t>라인</t>
        </r>
        <r>
          <rPr>
            <sz val="9"/>
            <color indexed="81"/>
            <rFont val="Tahoma"/>
            <family val="2"/>
          </rPr>
          <t xml:space="preserve"> </t>
        </r>
        <r>
          <rPr>
            <sz val="9"/>
            <color indexed="81"/>
            <rFont val="돋움"/>
            <family val="3"/>
            <charset val="129"/>
          </rPr>
          <t>테스트</t>
        </r>
        <r>
          <rPr>
            <sz val="9"/>
            <color indexed="81"/>
            <rFont val="Tahoma"/>
            <family val="2"/>
          </rPr>
          <t xml:space="preserve"> </t>
        </r>
        <r>
          <rPr>
            <sz val="9"/>
            <color indexed="81"/>
            <rFont val="돋움"/>
            <family val="3"/>
            <charset val="129"/>
          </rPr>
          <t>스크랩</t>
        </r>
        <r>
          <rPr>
            <sz val="9"/>
            <color indexed="81"/>
            <rFont val="Tahoma"/>
            <family val="2"/>
          </rPr>
          <t xml:space="preserve"> 140.61</t>
        </r>
        <r>
          <rPr>
            <sz val="9"/>
            <color indexed="81"/>
            <rFont val="돋움"/>
            <family val="3"/>
            <charset val="129"/>
          </rPr>
          <t>톤</t>
        </r>
        <r>
          <rPr>
            <sz val="9"/>
            <color indexed="81"/>
            <rFont val="Tahoma"/>
            <family val="2"/>
          </rPr>
          <t xml:space="preserve"> LOSS </t>
        </r>
        <r>
          <rPr>
            <sz val="9"/>
            <color indexed="81"/>
            <rFont val="돋움"/>
            <family val="3"/>
            <charset val="129"/>
          </rPr>
          <t>제외</t>
        </r>
      </text>
    </comment>
    <comment ref="M13" authorId="0">
      <text>
        <r>
          <rPr>
            <b/>
            <sz val="9"/>
            <color indexed="81"/>
            <rFont val="Tahoma"/>
            <family val="2"/>
          </rPr>
          <t xml:space="preserve">seah: </t>
        </r>
        <r>
          <rPr>
            <b/>
            <sz val="9"/>
            <color indexed="81"/>
            <rFont val="돋움"/>
            <family val="3"/>
            <charset val="129"/>
          </rPr>
          <t>코일형</t>
        </r>
        <r>
          <rPr>
            <b/>
            <sz val="9"/>
            <color indexed="81"/>
            <rFont val="Tahoma"/>
            <family val="2"/>
          </rPr>
          <t xml:space="preserve"> </t>
        </r>
        <r>
          <rPr>
            <b/>
            <sz val="9"/>
            <color indexed="81"/>
            <rFont val="돋움"/>
            <family val="3"/>
            <charset val="129"/>
          </rPr>
          <t>스크랩에</t>
        </r>
        <r>
          <rPr>
            <b/>
            <sz val="9"/>
            <color indexed="81"/>
            <rFont val="Tahoma"/>
            <family val="2"/>
          </rPr>
          <t xml:space="preserve"> </t>
        </r>
        <r>
          <rPr>
            <b/>
            <sz val="9"/>
            <color indexed="81"/>
            <rFont val="돋움"/>
            <family val="3"/>
            <charset val="129"/>
          </rPr>
          <t>중복</t>
        </r>
        <r>
          <rPr>
            <b/>
            <sz val="9"/>
            <color indexed="81"/>
            <rFont val="Tahoma"/>
            <family val="2"/>
          </rPr>
          <t xml:space="preserve"> </t>
        </r>
        <r>
          <rPr>
            <b/>
            <sz val="9"/>
            <color indexed="81"/>
            <rFont val="돋움"/>
            <family val="3"/>
            <charset val="129"/>
          </rPr>
          <t>등록됨</t>
        </r>
      </text>
    </comment>
    <comment ref="U14" authorId="0">
      <text>
        <r>
          <rPr>
            <b/>
            <sz val="9"/>
            <color indexed="81"/>
            <rFont val="Tahoma"/>
            <family val="2"/>
          </rPr>
          <t>seah:</t>
        </r>
        <r>
          <rPr>
            <sz val="9"/>
            <color indexed="81"/>
            <rFont val="Tahoma"/>
            <family val="2"/>
          </rPr>
          <t xml:space="preserve">
CPL 14.48
CRM 38.52</t>
        </r>
      </text>
    </comment>
    <comment ref="M17" authorId="0">
      <text>
        <r>
          <rPr>
            <b/>
            <sz val="9"/>
            <color indexed="81"/>
            <rFont val="Tahoma"/>
            <family val="2"/>
          </rPr>
          <t>seah:</t>
        </r>
        <r>
          <rPr>
            <sz val="9"/>
            <color indexed="81"/>
            <rFont val="Tahoma"/>
            <family val="2"/>
          </rPr>
          <t xml:space="preserve">
</t>
        </r>
        <r>
          <rPr>
            <sz val="9"/>
            <color indexed="81"/>
            <rFont val="돋움"/>
            <family val="3"/>
            <charset val="129"/>
          </rPr>
          <t>통판은</t>
        </r>
        <r>
          <rPr>
            <sz val="9"/>
            <color indexed="81"/>
            <rFont val="Tahoma"/>
            <family val="2"/>
          </rPr>
          <t xml:space="preserve"> </t>
        </r>
        <r>
          <rPr>
            <sz val="9"/>
            <color indexed="81"/>
            <rFont val="돋움"/>
            <family val="3"/>
            <charset val="129"/>
          </rPr>
          <t>코일형</t>
        </r>
        <r>
          <rPr>
            <sz val="9"/>
            <color indexed="81"/>
            <rFont val="Tahoma"/>
            <family val="2"/>
          </rPr>
          <t xml:space="preserve"> </t>
        </r>
        <r>
          <rPr>
            <sz val="9"/>
            <color indexed="81"/>
            <rFont val="돋움"/>
            <family val="3"/>
            <charset val="129"/>
          </rPr>
          <t>스크랩</t>
        </r>
        <r>
          <rPr>
            <sz val="9"/>
            <color indexed="81"/>
            <rFont val="Tahoma"/>
            <family val="2"/>
          </rPr>
          <t xml:space="preserve">,
</t>
        </r>
        <r>
          <rPr>
            <sz val="9"/>
            <color indexed="81"/>
            <rFont val="돋움"/>
            <family val="3"/>
            <charset val="129"/>
          </rPr>
          <t>포장재는</t>
        </r>
        <r>
          <rPr>
            <sz val="9"/>
            <color indexed="81"/>
            <rFont val="Tahoma"/>
            <family val="2"/>
          </rPr>
          <t xml:space="preserve"> </t>
        </r>
        <r>
          <rPr>
            <sz val="9"/>
            <color indexed="81"/>
            <rFont val="돋움"/>
            <family val="3"/>
            <charset val="129"/>
          </rPr>
          <t>불량</t>
        </r>
        <r>
          <rPr>
            <sz val="9"/>
            <color indexed="81"/>
            <rFont val="Tahoma"/>
            <family val="2"/>
          </rPr>
          <t xml:space="preserve">, </t>
        </r>
        <r>
          <rPr>
            <sz val="9"/>
            <color indexed="81"/>
            <rFont val="돋움"/>
            <family val="3"/>
            <charset val="129"/>
          </rPr>
          <t>인출에</t>
        </r>
        <r>
          <rPr>
            <sz val="9"/>
            <color indexed="81"/>
            <rFont val="Tahoma"/>
            <family val="2"/>
          </rPr>
          <t xml:space="preserve"> </t>
        </r>
        <r>
          <rPr>
            <sz val="9"/>
            <color indexed="81"/>
            <rFont val="돋움"/>
            <family val="3"/>
            <charset val="129"/>
          </rPr>
          <t>중복되어</t>
        </r>
        <r>
          <rPr>
            <sz val="9"/>
            <color indexed="81"/>
            <rFont val="Tahoma"/>
            <family val="2"/>
          </rPr>
          <t xml:space="preserve"> </t>
        </r>
        <r>
          <rPr>
            <sz val="9"/>
            <color indexed="81"/>
            <rFont val="돋움"/>
            <family val="3"/>
            <charset val="129"/>
          </rPr>
          <t>제외함</t>
        </r>
      </text>
    </comment>
    <comment ref="L27" authorId="0">
      <text>
        <r>
          <rPr>
            <b/>
            <sz val="9"/>
            <color indexed="81"/>
            <rFont val="Tahoma"/>
            <family val="2"/>
          </rPr>
          <t>seah:</t>
        </r>
        <r>
          <rPr>
            <sz val="9"/>
            <color indexed="81"/>
            <rFont val="Tahoma"/>
            <family val="2"/>
          </rPr>
          <t xml:space="preserve">
11</t>
        </r>
        <r>
          <rPr>
            <sz val="9"/>
            <color indexed="81"/>
            <rFont val="돋움"/>
            <family val="3"/>
            <charset val="129"/>
          </rPr>
          <t>월</t>
        </r>
        <r>
          <rPr>
            <sz val="9"/>
            <color indexed="81"/>
            <rFont val="Tahoma"/>
            <family val="2"/>
          </rPr>
          <t xml:space="preserve"> </t>
        </r>
        <r>
          <rPr>
            <sz val="9"/>
            <color indexed="81"/>
            <rFont val="돋움"/>
            <family val="3"/>
            <charset val="129"/>
          </rPr>
          <t>적용시</t>
        </r>
        <r>
          <rPr>
            <sz val="9"/>
            <color indexed="81"/>
            <rFont val="Tahoma"/>
            <family val="2"/>
          </rPr>
          <t xml:space="preserve"> 21.74</t>
        </r>
      </text>
    </comment>
    <comment ref="L29" authorId="0">
      <text>
        <r>
          <rPr>
            <b/>
            <sz val="9"/>
            <color indexed="81"/>
            <rFont val="Tahoma"/>
            <family val="2"/>
          </rPr>
          <t>seah:</t>
        </r>
        <r>
          <rPr>
            <sz val="9"/>
            <color indexed="81"/>
            <rFont val="Tahoma"/>
            <family val="2"/>
          </rPr>
          <t xml:space="preserve">
11</t>
        </r>
        <r>
          <rPr>
            <sz val="9"/>
            <color indexed="81"/>
            <rFont val="돋움"/>
            <family val="3"/>
            <charset val="129"/>
          </rPr>
          <t>월</t>
        </r>
        <r>
          <rPr>
            <sz val="9"/>
            <color indexed="81"/>
            <rFont val="Tahoma"/>
            <family val="2"/>
          </rPr>
          <t xml:space="preserve"> </t>
        </r>
        <r>
          <rPr>
            <sz val="9"/>
            <color indexed="81"/>
            <rFont val="돋움"/>
            <family val="3"/>
            <charset val="129"/>
          </rPr>
          <t>적용시</t>
        </r>
        <r>
          <rPr>
            <sz val="9"/>
            <color indexed="81"/>
            <rFont val="Tahoma"/>
            <family val="2"/>
          </rPr>
          <t xml:space="preserve"> 100.14</t>
        </r>
      </text>
    </comment>
    <comment ref="L31" authorId="0">
      <text>
        <r>
          <rPr>
            <b/>
            <sz val="9"/>
            <color indexed="81"/>
            <rFont val="Tahoma"/>
            <family val="2"/>
          </rPr>
          <t>seah:</t>
        </r>
        <r>
          <rPr>
            <sz val="9"/>
            <color indexed="81"/>
            <rFont val="Tahoma"/>
            <family val="2"/>
          </rPr>
          <t xml:space="preserve">
9</t>
        </r>
        <r>
          <rPr>
            <sz val="9"/>
            <color indexed="81"/>
            <rFont val="돋움"/>
            <family val="3"/>
            <charset val="129"/>
          </rPr>
          <t>월</t>
        </r>
        <r>
          <rPr>
            <sz val="9"/>
            <color indexed="81"/>
            <rFont val="Tahoma"/>
            <family val="2"/>
          </rPr>
          <t xml:space="preserve"> </t>
        </r>
        <r>
          <rPr>
            <sz val="9"/>
            <color indexed="81"/>
            <rFont val="돋움"/>
            <family val="3"/>
            <charset val="129"/>
          </rPr>
          <t>질소배관</t>
        </r>
        <r>
          <rPr>
            <sz val="9"/>
            <color indexed="81"/>
            <rFont val="Tahoma"/>
            <family val="2"/>
          </rPr>
          <t xml:space="preserve"> </t>
        </r>
        <r>
          <rPr>
            <sz val="9"/>
            <color indexed="81"/>
            <rFont val="돋움"/>
            <family val="3"/>
            <charset val="129"/>
          </rPr>
          <t>설치완료</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사용량</t>
        </r>
        <r>
          <rPr>
            <sz val="9"/>
            <color indexed="81"/>
            <rFont val="Tahoma"/>
            <family val="2"/>
          </rPr>
          <t xml:space="preserve"> </t>
        </r>
        <r>
          <rPr>
            <sz val="9"/>
            <color indexed="81"/>
            <rFont val="돋움"/>
            <family val="3"/>
            <charset val="129"/>
          </rPr>
          <t>기준</t>
        </r>
        <r>
          <rPr>
            <sz val="9"/>
            <color indexed="81"/>
            <rFont val="Tahoma"/>
            <family val="2"/>
          </rPr>
          <t>(20</t>
        </r>
        <r>
          <rPr>
            <sz val="9"/>
            <color indexed="81"/>
            <rFont val="돋움"/>
            <family val="3"/>
            <charset val="129"/>
          </rPr>
          <t>년</t>
        </r>
        <r>
          <rPr>
            <sz val="9"/>
            <color indexed="81"/>
            <rFont val="Tahoma"/>
            <family val="2"/>
          </rPr>
          <t xml:space="preserve"> 9.01)</t>
        </r>
      </text>
    </comment>
  </commentList>
</comments>
</file>

<file path=xl/comments7.xml><?xml version="1.0" encoding="utf-8"?>
<comments xmlns="http://schemas.openxmlformats.org/spreadsheetml/2006/main">
  <authors>
    <author>seah</author>
  </authors>
  <commentList>
    <comment ref="R14" authorId="0">
      <text>
        <r>
          <rPr>
            <b/>
            <sz val="9"/>
            <color indexed="81"/>
            <rFont val="Tahoma"/>
            <family val="2"/>
          </rPr>
          <t xml:space="preserve">seah: 2CCL </t>
        </r>
        <r>
          <rPr>
            <b/>
            <sz val="9"/>
            <color indexed="81"/>
            <rFont val="돋움"/>
            <family val="3"/>
            <charset val="129"/>
          </rPr>
          <t>중량부족</t>
        </r>
        <r>
          <rPr>
            <b/>
            <sz val="9"/>
            <color indexed="81"/>
            <rFont val="Tahoma"/>
            <family val="2"/>
          </rPr>
          <t xml:space="preserve"> </t>
        </r>
        <r>
          <rPr>
            <b/>
            <sz val="9"/>
            <color indexed="81"/>
            <rFont val="돋움"/>
            <family val="3"/>
            <charset val="129"/>
          </rPr>
          <t>추가등록</t>
        </r>
        <r>
          <rPr>
            <b/>
            <sz val="9"/>
            <color indexed="81"/>
            <rFont val="Tahoma"/>
            <family val="2"/>
          </rPr>
          <t xml:space="preserve"> 0.49</t>
        </r>
        <r>
          <rPr>
            <b/>
            <sz val="9"/>
            <color indexed="81"/>
            <rFont val="돋움"/>
            <family val="3"/>
            <charset val="129"/>
          </rPr>
          <t>톤</t>
        </r>
      </text>
    </comment>
    <comment ref="O25" authorId="0">
      <text>
        <r>
          <rPr>
            <b/>
            <sz val="9"/>
            <color indexed="81"/>
            <rFont val="Tahoma"/>
            <family val="2"/>
          </rPr>
          <t>seah:</t>
        </r>
        <r>
          <rPr>
            <sz val="9"/>
            <color indexed="81"/>
            <rFont val="Tahoma"/>
            <family val="2"/>
          </rPr>
          <t xml:space="preserve">
</t>
        </r>
        <r>
          <rPr>
            <sz val="9"/>
            <color indexed="81"/>
            <rFont val="돋움"/>
            <family val="3"/>
            <charset val="129"/>
          </rPr>
          <t>침수코일</t>
        </r>
        <r>
          <rPr>
            <sz val="9"/>
            <color indexed="81"/>
            <rFont val="Tahoma"/>
            <family val="2"/>
          </rPr>
          <t xml:space="preserve"> 7</t>
        </r>
        <r>
          <rPr>
            <sz val="9"/>
            <color indexed="81"/>
            <rFont val="돋움"/>
            <family val="3"/>
            <charset val="129"/>
          </rPr>
          <t>건</t>
        </r>
        <r>
          <rPr>
            <sz val="9"/>
            <color indexed="81"/>
            <rFont val="Tahoma"/>
            <family val="2"/>
          </rPr>
          <t xml:space="preserve"> </t>
        </r>
        <r>
          <rPr>
            <sz val="9"/>
            <color indexed="81"/>
            <rFont val="돋움"/>
            <family val="3"/>
            <charset val="129"/>
          </rPr>
          <t>제외</t>
        </r>
      </text>
    </comment>
    <comment ref="O26" authorId="0">
      <text>
        <r>
          <rPr>
            <b/>
            <sz val="9"/>
            <color indexed="81"/>
            <rFont val="Tahoma"/>
            <family val="2"/>
          </rPr>
          <t>seah:</t>
        </r>
        <r>
          <rPr>
            <sz val="9"/>
            <color indexed="81"/>
            <rFont val="Tahoma"/>
            <family val="2"/>
          </rPr>
          <t xml:space="preserve">
</t>
        </r>
        <r>
          <rPr>
            <sz val="9"/>
            <color indexed="81"/>
            <rFont val="돋움"/>
            <family val="3"/>
            <charset val="129"/>
          </rPr>
          <t>침수코일</t>
        </r>
        <r>
          <rPr>
            <sz val="9"/>
            <color indexed="81"/>
            <rFont val="Tahoma"/>
            <family val="2"/>
          </rPr>
          <t xml:space="preserve"> 500</t>
        </r>
        <r>
          <rPr>
            <sz val="9"/>
            <color indexed="81"/>
            <rFont val="돋움"/>
            <family val="3"/>
            <charset val="129"/>
          </rPr>
          <t>분</t>
        </r>
        <r>
          <rPr>
            <sz val="9"/>
            <color indexed="81"/>
            <rFont val="Tahoma"/>
            <family val="2"/>
          </rPr>
          <t xml:space="preserve"> </t>
        </r>
        <r>
          <rPr>
            <sz val="9"/>
            <color indexed="81"/>
            <rFont val="돋움"/>
            <family val="3"/>
            <charset val="129"/>
          </rPr>
          <t>제외</t>
        </r>
      </text>
    </comment>
  </commentList>
</comments>
</file>

<file path=xl/comments8.xml><?xml version="1.0" encoding="utf-8"?>
<comments xmlns="http://schemas.openxmlformats.org/spreadsheetml/2006/main">
  <authors>
    <author>seah</author>
  </authors>
  <commentList>
    <comment ref="P5" authorId="0">
      <text>
        <r>
          <rPr>
            <b/>
            <sz val="9"/>
            <color indexed="81"/>
            <rFont val="Tahoma"/>
            <family val="2"/>
          </rPr>
          <t>seah:</t>
        </r>
        <r>
          <rPr>
            <sz val="9"/>
            <color indexed="81"/>
            <rFont val="Tahoma"/>
            <family val="2"/>
          </rPr>
          <t xml:space="preserve">
</t>
        </r>
        <r>
          <rPr>
            <sz val="9"/>
            <color indexed="81"/>
            <rFont val="돋움"/>
            <family val="3"/>
            <charset val="129"/>
          </rPr>
          <t>양면</t>
        </r>
        <r>
          <rPr>
            <sz val="9"/>
            <color indexed="81"/>
            <rFont val="Tahoma"/>
            <family val="2"/>
          </rPr>
          <t xml:space="preserve"> 72.75</t>
        </r>
        <r>
          <rPr>
            <sz val="9"/>
            <color indexed="81"/>
            <rFont val="돋움"/>
            <family val="3"/>
            <charset val="129"/>
          </rPr>
          <t>톤</t>
        </r>
      </text>
    </comment>
    <comment ref="Q5" authorId="0">
      <text>
        <r>
          <rPr>
            <b/>
            <sz val="9"/>
            <color indexed="81"/>
            <rFont val="Tahoma"/>
            <family val="2"/>
          </rPr>
          <t>seah:</t>
        </r>
        <r>
          <rPr>
            <sz val="9"/>
            <color indexed="81"/>
            <rFont val="Tahoma"/>
            <family val="2"/>
          </rPr>
          <t xml:space="preserve">
</t>
        </r>
        <r>
          <rPr>
            <sz val="9"/>
            <color indexed="81"/>
            <rFont val="돋움"/>
            <family val="3"/>
            <charset val="129"/>
          </rPr>
          <t>양면</t>
        </r>
        <r>
          <rPr>
            <sz val="9"/>
            <color indexed="81"/>
            <rFont val="Tahoma"/>
            <family val="2"/>
          </rPr>
          <t xml:space="preserve"> 435.03</t>
        </r>
        <r>
          <rPr>
            <sz val="9"/>
            <color indexed="81"/>
            <rFont val="돋움"/>
            <family val="3"/>
            <charset val="129"/>
          </rPr>
          <t>톤</t>
        </r>
      </text>
    </comment>
    <comment ref="P6" authorId="0">
      <text>
        <r>
          <rPr>
            <b/>
            <sz val="9"/>
            <color indexed="81"/>
            <rFont val="Tahoma"/>
            <family val="2"/>
          </rPr>
          <t>seah:</t>
        </r>
        <r>
          <rPr>
            <sz val="9"/>
            <color indexed="81"/>
            <rFont val="Tahoma"/>
            <family val="2"/>
          </rPr>
          <t xml:space="preserve">
</t>
        </r>
        <r>
          <rPr>
            <sz val="9"/>
            <color indexed="81"/>
            <rFont val="돋움"/>
            <family val="3"/>
            <charset val="129"/>
          </rPr>
          <t>양면</t>
        </r>
        <r>
          <rPr>
            <sz val="9"/>
            <color indexed="81"/>
            <rFont val="Tahoma"/>
            <family val="2"/>
          </rPr>
          <t xml:space="preserve"> 72.75</t>
        </r>
        <r>
          <rPr>
            <sz val="9"/>
            <color indexed="81"/>
            <rFont val="돋움"/>
            <family val="3"/>
            <charset val="129"/>
          </rPr>
          <t>톤</t>
        </r>
        <r>
          <rPr>
            <sz val="9"/>
            <color indexed="81"/>
            <rFont val="Tahoma"/>
            <family val="2"/>
          </rPr>
          <t xml:space="preserve"> </t>
        </r>
        <r>
          <rPr>
            <sz val="9"/>
            <color indexed="81"/>
            <rFont val="돋움"/>
            <family val="3"/>
            <charset val="129"/>
          </rPr>
          <t>포함</t>
        </r>
      </text>
    </comment>
    <comment ref="S14" authorId="0">
      <text>
        <r>
          <rPr>
            <b/>
            <sz val="9"/>
            <color indexed="81"/>
            <rFont val="Tahoma"/>
            <family val="2"/>
          </rPr>
          <t>seah:</t>
        </r>
        <r>
          <rPr>
            <sz val="9"/>
            <color indexed="81"/>
            <rFont val="Tahoma"/>
            <family val="2"/>
          </rPr>
          <t xml:space="preserve">
</t>
        </r>
        <r>
          <rPr>
            <sz val="9"/>
            <color indexed="81"/>
            <rFont val="돋움"/>
            <family val="3"/>
            <charset val="129"/>
          </rPr>
          <t>백청</t>
        </r>
        <r>
          <rPr>
            <sz val="9"/>
            <color indexed="81"/>
            <rFont val="Tahoma"/>
            <family val="2"/>
          </rPr>
          <t xml:space="preserve"> </t>
        </r>
        <r>
          <rPr>
            <sz val="9"/>
            <color indexed="81"/>
            <rFont val="돋움"/>
            <family val="3"/>
            <charset val="129"/>
          </rPr>
          <t>발생</t>
        </r>
        <r>
          <rPr>
            <sz val="9"/>
            <color indexed="81"/>
            <rFont val="Tahoma"/>
            <family val="2"/>
          </rPr>
          <t xml:space="preserve"> </t>
        </r>
        <r>
          <rPr>
            <sz val="9"/>
            <color indexed="81"/>
            <rFont val="돋움"/>
            <family val="3"/>
            <charset val="129"/>
          </rPr>
          <t>코일</t>
        </r>
        <r>
          <rPr>
            <sz val="9"/>
            <color indexed="81"/>
            <rFont val="Tahoma"/>
            <family val="2"/>
          </rPr>
          <t xml:space="preserve"> DJCC337G02 6.85</t>
        </r>
        <r>
          <rPr>
            <sz val="9"/>
            <color indexed="81"/>
            <rFont val="돋움"/>
            <family val="3"/>
            <charset val="129"/>
          </rPr>
          <t>톤
불량인출로</t>
        </r>
        <r>
          <rPr>
            <sz val="9"/>
            <color indexed="81"/>
            <rFont val="Tahoma"/>
            <family val="2"/>
          </rPr>
          <t xml:space="preserve"> </t>
        </r>
        <r>
          <rPr>
            <sz val="9"/>
            <color indexed="81"/>
            <rFont val="돋움"/>
            <family val="3"/>
            <charset val="129"/>
          </rPr>
          <t>변경</t>
        </r>
        <r>
          <rPr>
            <sz val="9"/>
            <color indexed="81"/>
            <rFont val="Tahoma"/>
            <family val="2"/>
          </rPr>
          <t>(</t>
        </r>
        <r>
          <rPr>
            <sz val="9"/>
            <color indexed="81"/>
            <rFont val="돋움"/>
            <family val="3"/>
            <charset val="129"/>
          </rPr>
          <t>코일형</t>
        </r>
        <r>
          <rPr>
            <sz val="9"/>
            <color indexed="81"/>
            <rFont val="Tahoma"/>
            <family val="2"/>
          </rPr>
          <t xml:space="preserve"> </t>
        </r>
        <r>
          <rPr>
            <sz val="9"/>
            <color indexed="81"/>
            <rFont val="돋움"/>
            <family val="3"/>
            <charset val="129"/>
          </rPr>
          <t>스크랩</t>
        </r>
        <r>
          <rPr>
            <sz val="9"/>
            <color indexed="81"/>
            <rFont val="Tahoma"/>
            <family val="2"/>
          </rPr>
          <t xml:space="preserve">  ERP </t>
        </r>
        <r>
          <rPr>
            <sz val="9"/>
            <color indexed="81"/>
            <rFont val="돋움"/>
            <family val="3"/>
            <charset val="129"/>
          </rPr>
          <t>등록</t>
        </r>
        <r>
          <rPr>
            <sz val="9"/>
            <color indexed="81"/>
            <rFont val="Tahoma"/>
            <family val="2"/>
          </rPr>
          <t>)</t>
        </r>
      </text>
    </comment>
    <comment ref="T14" authorId="0">
      <text>
        <r>
          <rPr>
            <b/>
            <sz val="9"/>
            <color indexed="81"/>
            <rFont val="Tahoma"/>
            <family val="2"/>
          </rPr>
          <t xml:space="preserve">seah: AL </t>
        </r>
        <r>
          <rPr>
            <b/>
            <sz val="9"/>
            <color indexed="81"/>
            <rFont val="돋움"/>
            <family val="3"/>
            <charset val="129"/>
          </rPr>
          <t>낙반코일</t>
        </r>
        <r>
          <rPr>
            <b/>
            <sz val="9"/>
            <color indexed="81"/>
            <rFont val="Tahoma"/>
            <family val="2"/>
          </rPr>
          <t xml:space="preserve"> 0.48</t>
        </r>
        <r>
          <rPr>
            <b/>
            <sz val="9"/>
            <color indexed="81"/>
            <rFont val="돋움"/>
            <family val="3"/>
            <charset val="129"/>
          </rPr>
          <t>톤</t>
        </r>
        <r>
          <rPr>
            <b/>
            <sz val="9"/>
            <color indexed="81"/>
            <rFont val="Tahoma"/>
            <family val="2"/>
          </rPr>
          <t xml:space="preserve"> </t>
        </r>
        <r>
          <rPr>
            <b/>
            <sz val="9"/>
            <color indexed="81"/>
            <rFont val="돋움"/>
            <family val="3"/>
            <charset val="129"/>
          </rPr>
          <t>보험처리</t>
        </r>
      </text>
    </comment>
    <comment ref="X15" authorId="0">
      <text>
        <r>
          <rPr>
            <b/>
            <sz val="9"/>
            <color indexed="81"/>
            <rFont val="Tahoma"/>
            <family val="2"/>
          </rPr>
          <t>seah:</t>
        </r>
        <r>
          <rPr>
            <sz val="9"/>
            <color indexed="81"/>
            <rFont val="Tahoma"/>
            <family val="2"/>
          </rPr>
          <t xml:space="preserve">
</t>
        </r>
        <r>
          <rPr>
            <sz val="9"/>
            <color indexed="81"/>
            <rFont val="돋움"/>
            <family val="3"/>
            <charset val="129"/>
          </rPr>
          <t>코일형</t>
        </r>
        <r>
          <rPr>
            <sz val="9"/>
            <color indexed="81"/>
            <rFont val="Tahoma"/>
            <family val="2"/>
          </rPr>
          <t xml:space="preserve"> 1.07</t>
        </r>
        <r>
          <rPr>
            <sz val="9"/>
            <color indexed="81"/>
            <rFont val="돋움"/>
            <family val="3"/>
            <charset val="129"/>
          </rPr>
          <t>톤</t>
        </r>
        <r>
          <rPr>
            <sz val="9"/>
            <color indexed="81"/>
            <rFont val="Tahoma"/>
            <family val="2"/>
          </rPr>
          <t xml:space="preserve"> </t>
        </r>
        <r>
          <rPr>
            <sz val="9"/>
            <color indexed="81"/>
            <rFont val="돋움"/>
            <family val="3"/>
            <charset val="129"/>
          </rPr>
          <t>포함</t>
        </r>
      </text>
    </comment>
    <comment ref="I16" authorId="0">
      <text>
        <r>
          <rPr>
            <b/>
            <sz val="9"/>
            <color indexed="81"/>
            <rFont val="Tahoma"/>
            <family val="2"/>
          </rPr>
          <t>seah:</t>
        </r>
        <r>
          <rPr>
            <sz val="9"/>
            <color indexed="81"/>
            <rFont val="Tahoma"/>
            <family val="2"/>
          </rPr>
          <t xml:space="preserve">
2018</t>
        </r>
        <r>
          <rPr>
            <sz val="9"/>
            <color indexed="81"/>
            <rFont val="돋움"/>
            <family val="3"/>
            <charset val="129"/>
          </rPr>
          <t>년</t>
        </r>
        <r>
          <rPr>
            <sz val="9"/>
            <color indexed="81"/>
            <rFont val="Tahoma"/>
            <family val="2"/>
          </rPr>
          <t xml:space="preserve"> </t>
        </r>
        <r>
          <rPr>
            <sz val="9"/>
            <color indexed="81"/>
            <rFont val="돋움"/>
            <family val="3"/>
            <charset val="129"/>
          </rPr>
          <t>실적등록</t>
        </r>
      </text>
    </comment>
    <comment ref="I18" authorId="0">
      <text>
        <r>
          <rPr>
            <b/>
            <sz val="9"/>
            <color indexed="81"/>
            <rFont val="Tahoma"/>
            <family val="2"/>
          </rPr>
          <t>seah:</t>
        </r>
        <r>
          <rPr>
            <sz val="9"/>
            <color indexed="81"/>
            <rFont val="Tahoma"/>
            <family val="2"/>
          </rPr>
          <t xml:space="preserve">
2018</t>
        </r>
        <r>
          <rPr>
            <sz val="9"/>
            <color indexed="81"/>
            <rFont val="돋움"/>
            <family val="3"/>
            <charset val="129"/>
          </rPr>
          <t>년</t>
        </r>
        <r>
          <rPr>
            <sz val="9"/>
            <color indexed="81"/>
            <rFont val="Tahoma"/>
            <family val="2"/>
          </rPr>
          <t xml:space="preserve"> </t>
        </r>
        <r>
          <rPr>
            <sz val="9"/>
            <color indexed="81"/>
            <rFont val="돋움"/>
            <family val="3"/>
            <charset val="129"/>
          </rPr>
          <t>실적등록</t>
        </r>
      </text>
    </comment>
    <comment ref="J20" authorId="0">
      <text>
        <r>
          <rPr>
            <b/>
            <sz val="9"/>
            <color indexed="81"/>
            <rFont val="Tahoma"/>
            <family val="2"/>
          </rPr>
          <t>seah:</t>
        </r>
        <r>
          <rPr>
            <sz val="9"/>
            <color indexed="81"/>
            <rFont val="Tahoma"/>
            <family val="2"/>
          </rPr>
          <t xml:space="preserve">
2019</t>
        </r>
        <r>
          <rPr>
            <sz val="9"/>
            <color indexed="81"/>
            <rFont val="돋움"/>
            <family val="3"/>
            <charset val="129"/>
          </rPr>
          <t>년</t>
        </r>
        <r>
          <rPr>
            <sz val="9"/>
            <color indexed="81"/>
            <rFont val="Tahoma"/>
            <family val="2"/>
          </rPr>
          <t xml:space="preserve"> </t>
        </r>
        <r>
          <rPr>
            <sz val="9"/>
            <color indexed="81"/>
            <rFont val="돋움"/>
            <family val="3"/>
            <charset val="129"/>
          </rPr>
          <t>실적</t>
        </r>
        <r>
          <rPr>
            <sz val="9"/>
            <color indexed="81"/>
            <rFont val="Tahoma"/>
            <family val="2"/>
          </rPr>
          <t xml:space="preserve"> </t>
        </r>
        <r>
          <rPr>
            <sz val="9"/>
            <color indexed="81"/>
            <rFont val="돋움"/>
            <family val="3"/>
            <charset val="129"/>
          </rPr>
          <t>등록</t>
        </r>
      </text>
    </comment>
    <comment ref="R42" authorId="0">
      <text>
        <r>
          <rPr>
            <b/>
            <sz val="9"/>
            <color indexed="81"/>
            <rFont val="Tahoma"/>
            <family val="2"/>
          </rPr>
          <t xml:space="preserve">seah: </t>
        </r>
        <r>
          <rPr>
            <b/>
            <sz val="9"/>
            <color indexed="81"/>
            <rFont val="돋움"/>
            <family val="3"/>
            <charset val="129"/>
          </rPr>
          <t>레자엠보</t>
        </r>
        <r>
          <rPr>
            <b/>
            <sz val="9"/>
            <color indexed="81"/>
            <rFont val="Tahoma"/>
            <family val="2"/>
          </rPr>
          <t xml:space="preserve"> </t>
        </r>
        <r>
          <rPr>
            <b/>
            <sz val="9"/>
            <color indexed="81"/>
            <rFont val="돋움"/>
            <family val="3"/>
            <charset val="129"/>
          </rPr>
          <t>철거</t>
        </r>
        <r>
          <rPr>
            <b/>
            <sz val="9"/>
            <color indexed="81"/>
            <rFont val="Tahoma"/>
            <family val="2"/>
          </rPr>
          <t xml:space="preserve"> </t>
        </r>
        <r>
          <rPr>
            <b/>
            <sz val="9"/>
            <color indexed="81"/>
            <rFont val="돋움"/>
            <family val="3"/>
            <charset val="129"/>
          </rPr>
          <t>비용</t>
        </r>
      </text>
    </comment>
    <comment ref="U42" authorId="0">
      <text>
        <r>
          <rPr>
            <b/>
            <sz val="9"/>
            <color indexed="81"/>
            <rFont val="Tahoma"/>
            <family val="2"/>
          </rPr>
          <t>seah:</t>
        </r>
        <r>
          <rPr>
            <sz val="9"/>
            <color indexed="81"/>
            <rFont val="Tahoma"/>
            <family val="2"/>
          </rPr>
          <t xml:space="preserve">
</t>
        </r>
        <r>
          <rPr>
            <sz val="9"/>
            <color indexed="81"/>
            <rFont val="돋움"/>
            <family val="3"/>
            <charset val="129"/>
          </rPr>
          <t>가로무늬엠보</t>
        </r>
        <r>
          <rPr>
            <sz val="9"/>
            <color indexed="81"/>
            <rFont val="Tahoma"/>
            <family val="2"/>
          </rPr>
          <t xml:space="preserve"> </t>
        </r>
        <r>
          <rPr>
            <sz val="9"/>
            <color indexed="81"/>
            <rFont val="돋움"/>
            <family val="3"/>
            <charset val="129"/>
          </rPr>
          <t>소모품비</t>
        </r>
        <r>
          <rPr>
            <sz val="9"/>
            <color indexed="81"/>
            <rFont val="Tahoma"/>
            <family val="2"/>
          </rPr>
          <t xml:space="preserve"> </t>
        </r>
        <r>
          <rPr>
            <sz val="9"/>
            <color indexed="81"/>
            <rFont val="돋움"/>
            <family val="3"/>
            <charset val="129"/>
          </rPr>
          <t>제외</t>
        </r>
      </text>
    </comment>
  </commentList>
</comments>
</file>

<file path=xl/comments9.xml><?xml version="1.0" encoding="utf-8"?>
<comments xmlns="http://schemas.openxmlformats.org/spreadsheetml/2006/main">
  <authors>
    <author>seah</author>
  </authors>
  <commentList>
    <comment ref="M7" authorId="0">
      <text>
        <r>
          <rPr>
            <b/>
            <sz val="9"/>
            <color indexed="81"/>
            <rFont val="Tahoma"/>
            <family val="2"/>
          </rPr>
          <t>seah:</t>
        </r>
        <r>
          <rPr>
            <sz val="9"/>
            <color indexed="81"/>
            <rFont val="Tahoma"/>
            <family val="2"/>
          </rPr>
          <t xml:space="preserve">
CGL </t>
        </r>
        <r>
          <rPr>
            <sz val="9"/>
            <color indexed="81"/>
            <rFont val="돋움"/>
            <family val="3"/>
            <charset val="129"/>
          </rPr>
          <t>톤파워</t>
        </r>
        <r>
          <rPr>
            <sz val="9"/>
            <color indexed="81"/>
            <rFont val="Tahoma"/>
            <family val="2"/>
          </rPr>
          <t xml:space="preserve"> </t>
        </r>
        <r>
          <rPr>
            <sz val="9"/>
            <color indexed="81"/>
            <rFont val="돋움"/>
            <family val="3"/>
            <charset val="129"/>
          </rPr>
          <t>보정</t>
        </r>
      </text>
    </comment>
    <comment ref="M10" authorId="0">
      <text>
        <r>
          <rPr>
            <b/>
            <sz val="9"/>
            <color indexed="81"/>
            <rFont val="Tahoma"/>
            <family val="2"/>
          </rPr>
          <t>seah:</t>
        </r>
        <r>
          <rPr>
            <sz val="9"/>
            <color indexed="81"/>
            <rFont val="Tahoma"/>
            <family val="2"/>
          </rPr>
          <t xml:space="preserve">
</t>
        </r>
        <r>
          <rPr>
            <sz val="9"/>
            <color indexed="81"/>
            <rFont val="돋움"/>
            <family val="3"/>
            <charset val="129"/>
          </rPr>
          <t>양면</t>
        </r>
        <r>
          <rPr>
            <sz val="9"/>
            <color indexed="81"/>
            <rFont val="Tahoma"/>
            <family val="2"/>
          </rPr>
          <t xml:space="preserve"> </t>
        </r>
        <r>
          <rPr>
            <sz val="9"/>
            <color indexed="81"/>
            <rFont val="돋움"/>
            <family val="3"/>
            <charset val="129"/>
          </rPr>
          <t>프린트</t>
        </r>
        <r>
          <rPr>
            <sz val="9"/>
            <color indexed="81"/>
            <rFont val="Tahoma"/>
            <family val="2"/>
          </rPr>
          <t xml:space="preserve"> </t>
        </r>
        <r>
          <rPr>
            <sz val="9"/>
            <color indexed="81"/>
            <rFont val="돋움"/>
            <family val="3"/>
            <charset val="129"/>
          </rPr>
          <t>생산량</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보정</t>
        </r>
      </text>
    </comment>
  </commentList>
</comments>
</file>

<file path=xl/comments10.xml><?xml version="1.0" encoding="utf-8"?>
<comments xmlns="http://schemas.openxmlformats.org/spreadsheetml/2006/main">
  <authors>
    <author>seah</author>
  </authors>
  <commentList>
    <comment ref="C53" authorId="0">
      <text>
        <r>
          <rPr>
            <b/>
            <sz val="9"/>
            <color indexed="81"/>
            <rFont val="Tahoma"/>
            <family val="2"/>
          </rPr>
          <t>seah:</t>
        </r>
        <r>
          <rPr>
            <sz val="9"/>
            <color indexed="81"/>
            <rFont val="Tahoma"/>
            <family val="2"/>
          </rPr>
          <t xml:space="preserve">
87% </t>
        </r>
        <r>
          <rPr>
            <sz val="9"/>
            <color indexed="81"/>
            <rFont val="돋움"/>
            <family val="3"/>
            <charset val="129"/>
          </rPr>
          <t>임의</t>
        </r>
        <r>
          <rPr>
            <sz val="9"/>
            <color indexed="81"/>
            <rFont val="Tahoma"/>
            <family val="2"/>
          </rPr>
          <t xml:space="preserve"> </t>
        </r>
        <r>
          <rPr>
            <sz val="9"/>
            <color indexed="81"/>
            <rFont val="돋움"/>
            <family val="3"/>
            <charset val="129"/>
          </rPr>
          <t>맞춤
표준시간</t>
        </r>
        <r>
          <rPr>
            <sz val="9"/>
            <color indexed="81"/>
            <rFont val="Tahoma"/>
            <family val="2"/>
          </rPr>
          <t xml:space="preserve"> </t>
        </r>
        <r>
          <rPr>
            <sz val="9"/>
            <color indexed="81"/>
            <rFont val="돋움"/>
            <family val="3"/>
            <charset val="129"/>
          </rPr>
          <t>오류</t>
        </r>
      </text>
    </comment>
  </commentList>
</comments>
</file>

<file path=xl/comments11.xml><?xml version="1.0" encoding="utf-8"?>
<comments xmlns="http://schemas.openxmlformats.org/spreadsheetml/2006/main">
  <authors>
    <author>seah</author>
  </authors>
  <commentList>
    <comment ref="R7" authorId="0">
      <text>
        <r>
          <rPr>
            <b/>
            <sz val="9"/>
            <color indexed="81"/>
            <rFont val="Tahoma"/>
            <family val="2"/>
          </rPr>
          <t>seah:</t>
        </r>
        <r>
          <rPr>
            <sz val="9"/>
            <color indexed="81"/>
            <rFont val="Tahoma"/>
            <family val="2"/>
          </rPr>
          <t xml:space="preserve">
19</t>
        </r>
        <r>
          <rPr>
            <sz val="9"/>
            <color indexed="81"/>
            <rFont val="돋움"/>
            <family val="3"/>
            <charset val="129"/>
          </rPr>
          <t>년</t>
        </r>
        <r>
          <rPr>
            <sz val="9"/>
            <color indexed="81"/>
            <rFont val="Tahoma"/>
            <family val="2"/>
          </rPr>
          <t xml:space="preserve"> MES </t>
        </r>
        <r>
          <rPr>
            <sz val="9"/>
            <color indexed="81"/>
            <rFont val="돋움"/>
            <family val="3"/>
            <charset val="129"/>
          </rPr>
          <t>실적</t>
        </r>
        <r>
          <rPr>
            <sz val="9"/>
            <color indexed="81"/>
            <rFont val="Tahoma"/>
            <family val="2"/>
          </rPr>
          <t xml:space="preserve"> </t>
        </r>
        <r>
          <rPr>
            <sz val="9"/>
            <color indexed="81"/>
            <rFont val="돋움"/>
            <family val="3"/>
            <charset val="129"/>
          </rPr>
          <t>변경등록</t>
        </r>
      </text>
    </comment>
    <comment ref="F17" authorId="0">
      <text>
        <r>
          <rPr>
            <b/>
            <sz val="9"/>
            <color indexed="81"/>
            <rFont val="Tahoma"/>
            <family val="2"/>
          </rPr>
          <t xml:space="preserve">seah: </t>
        </r>
        <r>
          <rPr>
            <b/>
            <sz val="9"/>
            <color indexed="81"/>
            <rFont val="돋움"/>
            <family val="3"/>
            <charset val="129"/>
          </rPr>
          <t>한전정전</t>
        </r>
        <r>
          <rPr>
            <b/>
            <sz val="9"/>
            <color indexed="81"/>
            <rFont val="Tahoma"/>
            <family val="2"/>
          </rPr>
          <t xml:space="preserve"> </t>
        </r>
        <r>
          <rPr>
            <b/>
            <sz val="9"/>
            <color indexed="81"/>
            <rFont val="돋움"/>
            <family val="3"/>
            <charset val="129"/>
          </rPr>
          <t>비가동</t>
        </r>
        <r>
          <rPr>
            <b/>
            <sz val="9"/>
            <color indexed="81"/>
            <rFont val="Tahoma"/>
            <family val="2"/>
          </rPr>
          <t xml:space="preserve"> 20</t>
        </r>
        <r>
          <rPr>
            <b/>
            <sz val="9"/>
            <color indexed="81"/>
            <rFont val="돋움"/>
            <family val="3"/>
            <charset val="129"/>
          </rPr>
          <t>분</t>
        </r>
        <r>
          <rPr>
            <b/>
            <sz val="9"/>
            <color indexed="81"/>
            <rFont val="Tahoma"/>
            <family val="2"/>
          </rPr>
          <t xml:space="preserve"> </t>
        </r>
        <r>
          <rPr>
            <b/>
            <sz val="9"/>
            <color indexed="81"/>
            <rFont val="돋움"/>
            <family val="3"/>
            <charset val="129"/>
          </rPr>
          <t>제외</t>
        </r>
      </text>
    </comment>
    <comment ref="G25" authorId="0">
      <text>
        <r>
          <rPr>
            <b/>
            <sz val="9"/>
            <color indexed="81"/>
            <rFont val="Tahoma"/>
            <family val="2"/>
          </rPr>
          <t>seah:</t>
        </r>
        <r>
          <rPr>
            <sz val="9"/>
            <color indexed="81"/>
            <rFont val="Tahoma"/>
            <family val="2"/>
          </rPr>
          <t xml:space="preserve">
</t>
        </r>
        <r>
          <rPr>
            <sz val="9"/>
            <color indexed="81"/>
            <rFont val="돋움"/>
            <family val="3"/>
            <charset val="129"/>
          </rPr>
          <t>사강소재</t>
        </r>
        <r>
          <rPr>
            <sz val="9"/>
            <color indexed="81"/>
            <rFont val="Tahoma"/>
            <family val="2"/>
          </rPr>
          <t xml:space="preserve"> RUST</t>
        </r>
        <r>
          <rPr>
            <sz val="9"/>
            <color indexed="81"/>
            <rFont val="돋움"/>
            <family val="3"/>
            <charset val="129"/>
          </rPr>
          <t>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재처리</t>
        </r>
        <r>
          <rPr>
            <sz val="9"/>
            <color indexed="81"/>
            <rFont val="Tahoma"/>
            <family val="2"/>
          </rPr>
          <t xml:space="preserve"> 2000</t>
        </r>
        <r>
          <rPr>
            <sz val="9"/>
            <color indexed="81"/>
            <rFont val="돋움"/>
            <family val="3"/>
            <charset val="129"/>
          </rPr>
          <t>톤</t>
        </r>
        <r>
          <rPr>
            <sz val="9"/>
            <color indexed="81"/>
            <rFont val="Tahoma"/>
            <family val="2"/>
          </rPr>
          <t xml:space="preserve"> </t>
        </r>
        <r>
          <rPr>
            <sz val="9"/>
            <color indexed="81"/>
            <rFont val="돋움"/>
            <family val="3"/>
            <charset val="129"/>
          </rPr>
          <t>진행으로</t>
        </r>
        <r>
          <rPr>
            <sz val="9"/>
            <color indexed="81"/>
            <rFont val="Tahoma"/>
            <family val="2"/>
          </rPr>
          <t xml:space="preserve"> </t>
        </r>
        <r>
          <rPr>
            <sz val="9"/>
            <color indexed="81"/>
            <rFont val="돋움"/>
            <family val="3"/>
            <charset val="129"/>
          </rPr>
          <t>양품율</t>
        </r>
        <r>
          <rPr>
            <sz val="9"/>
            <color indexed="81"/>
            <rFont val="Tahoma"/>
            <family val="2"/>
          </rPr>
          <t xml:space="preserve">, </t>
        </r>
        <r>
          <rPr>
            <sz val="9"/>
            <color indexed="81"/>
            <rFont val="돋움"/>
            <family val="3"/>
            <charset val="129"/>
          </rPr>
          <t>성능가동율</t>
        </r>
        <r>
          <rPr>
            <sz val="9"/>
            <color indexed="81"/>
            <rFont val="Tahoma"/>
            <family val="2"/>
          </rPr>
          <t xml:space="preserve"> </t>
        </r>
        <r>
          <rPr>
            <sz val="9"/>
            <color indexed="81"/>
            <rFont val="돋움"/>
            <family val="3"/>
            <charset val="129"/>
          </rPr>
          <t>하락함</t>
        </r>
      </text>
    </comment>
    <comment ref="B31" authorId="0">
      <text>
        <r>
          <rPr>
            <b/>
            <sz val="9"/>
            <color indexed="81"/>
            <rFont val="Tahoma"/>
            <family val="2"/>
          </rPr>
          <t>seah:</t>
        </r>
        <r>
          <rPr>
            <sz val="9"/>
            <color indexed="81"/>
            <rFont val="Tahoma"/>
            <family val="2"/>
          </rPr>
          <t xml:space="preserve">
87% </t>
        </r>
        <r>
          <rPr>
            <sz val="9"/>
            <color indexed="81"/>
            <rFont val="돋움"/>
            <family val="3"/>
            <charset val="129"/>
          </rPr>
          <t>임의</t>
        </r>
        <r>
          <rPr>
            <sz val="9"/>
            <color indexed="81"/>
            <rFont val="Tahoma"/>
            <family val="2"/>
          </rPr>
          <t xml:space="preserve"> </t>
        </r>
        <r>
          <rPr>
            <sz val="9"/>
            <color indexed="81"/>
            <rFont val="돋움"/>
            <family val="3"/>
            <charset val="129"/>
          </rPr>
          <t>맞춤
표준시간</t>
        </r>
        <r>
          <rPr>
            <sz val="9"/>
            <color indexed="81"/>
            <rFont val="Tahoma"/>
            <family val="2"/>
          </rPr>
          <t xml:space="preserve"> </t>
        </r>
        <r>
          <rPr>
            <sz val="9"/>
            <color indexed="81"/>
            <rFont val="돋움"/>
            <family val="3"/>
            <charset val="129"/>
          </rPr>
          <t>오류</t>
        </r>
      </text>
    </comment>
    <comment ref="O31" authorId="0">
      <text>
        <r>
          <rPr>
            <b/>
            <sz val="9"/>
            <color indexed="81"/>
            <rFont val="Tahoma"/>
            <family val="2"/>
          </rPr>
          <t>seah:</t>
        </r>
        <r>
          <rPr>
            <sz val="9"/>
            <color indexed="81"/>
            <rFont val="Tahoma"/>
            <family val="2"/>
          </rPr>
          <t xml:space="preserve">
19</t>
        </r>
        <r>
          <rPr>
            <sz val="9"/>
            <color indexed="81"/>
            <rFont val="돋움"/>
            <family val="3"/>
            <charset val="129"/>
          </rPr>
          <t>년</t>
        </r>
        <r>
          <rPr>
            <sz val="9"/>
            <color indexed="81"/>
            <rFont val="Tahoma"/>
            <family val="2"/>
          </rPr>
          <t xml:space="preserve"> MES </t>
        </r>
        <r>
          <rPr>
            <sz val="9"/>
            <color indexed="81"/>
            <rFont val="돋움"/>
            <family val="3"/>
            <charset val="129"/>
          </rPr>
          <t>실적</t>
        </r>
        <r>
          <rPr>
            <sz val="9"/>
            <color indexed="81"/>
            <rFont val="Tahoma"/>
            <family val="2"/>
          </rPr>
          <t xml:space="preserve"> </t>
        </r>
        <r>
          <rPr>
            <sz val="9"/>
            <color indexed="81"/>
            <rFont val="돋움"/>
            <family val="3"/>
            <charset val="129"/>
          </rPr>
          <t>변경등록</t>
        </r>
      </text>
    </comment>
    <comment ref="F41" authorId="0">
      <text>
        <r>
          <rPr>
            <b/>
            <sz val="9"/>
            <color indexed="81"/>
            <rFont val="Tahoma"/>
            <family val="2"/>
          </rPr>
          <t>seah:</t>
        </r>
        <r>
          <rPr>
            <sz val="9"/>
            <color indexed="81"/>
            <rFont val="Tahoma"/>
            <family val="2"/>
          </rPr>
          <t xml:space="preserve">
</t>
        </r>
        <r>
          <rPr>
            <sz val="9"/>
            <color indexed="81"/>
            <rFont val="돋움"/>
            <family val="3"/>
            <charset val="129"/>
          </rPr>
          <t>한전</t>
        </r>
        <r>
          <rPr>
            <sz val="9"/>
            <color indexed="81"/>
            <rFont val="Tahoma"/>
            <family val="2"/>
          </rPr>
          <t xml:space="preserve"> </t>
        </r>
        <r>
          <rPr>
            <sz val="9"/>
            <color indexed="81"/>
            <rFont val="돋움"/>
            <family val="3"/>
            <charset val="129"/>
          </rPr>
          <t>정전</t>
        </r>
        <r>
          <rPr>
            <sz val="9"/>
            <color indexed="81"/>
            <rFont val="Tahoma"/>
            <family val="2"/>
          </rPr>
          <t xml:space="preserve"> 37</t>
        </r>
        <r>
          <rPr>
            <sz val="9"/>
            <color indexed="81"/>
            <rFont val="돋움"/>
            <family val="3"/>
            <charset val="129"/>
          </rPr>
          <t>분</t>
        </r>
        <r>
          <rPr>
            <sz val="9"/>
            <color indexed="81"/>
            <rFont val="Tahoma"/>
            <family val="2"/>
          </rPr>
          <t xml:space="preserve"> </t>
        </r>
        <r>
          <rPr>
            <sz val="9"/>
            <color indexed="81"/>
            <rFont val="돋움"/>
            <family val="3"/>
            <charset val="129"/>
          </rPr>
          <t>제외</t>
        </r>
      </text>
    </comment>
  </commentList>
</comments>
</file>

<file path=xl/comments12.xml><?xml version="1.0" encoding="utf-8"?>
<comments xmlns="http://schemas.openxmlformats.org/spreadsheetml/2006/main">
  <authors>
    <author>seah</author>
  </authors>
  <commentList>
    <comment ref="C6" authorId="0">
      <text>
        <r>
          <rPr>
            <b/>
            <sz val="9"/>
            <color indexed="81"/>
            <rFont val="Tahoma"/>
            <family val="2"/>
          </rPr>
          <t>seah:</t>
        </r>
        <r>
          <rPr>
            <sz val="9"/>
            <color indexed="81"/>
            <rFont val="Tahoma"/>
            <family val="2"/>
          </rPr>
          <t xml:space="preserve">
19</t>
        </r>
        <r>
          <rPr>
            <sz val="9"/>
            <color indexed="81"/>
            <rFont val="돋움"/>
            <family val="3"/>
            <charset val="129"/>
          </rPr>
          <t>년</t>
        </r>
        <r>
          <rPr>
            <sz val="9"/>
            <color indexed="81"/>
            <rFont val="Tahoma"/>
            <family val="2"/>
          </rPr>
          <t xml:space="preserve"> MES </t>
        </r>
        <r>
          <rPr>
            <sz val="9"/>
            <color indexed="81"/>
            <rFont val="돋움"/>
            <family val="3"/>
            <charset val="129"/>
          </rPr>
          <t>실적</t>
        </r>
        <r>
          <rPr>
            <sz val="9"/>
            <color indexed="81"/>
            <rFont val="Tahoma"/>
            <family val="2"/>
          </rPr>
          <t xml:space="preserve"> </t>
        </r>
        <r>
          <rPr>
            <sz val="9"/>
            <color indexed="81"/>
            <rFont val="돋움"/>
            <family val="3"/>
            <charset val="129"/>
          </rPr>
          <t>변경등록</t>
        </r>
      </text>
    </comment>
    <comment ref="I32" authorId="0">
      <text>
        <r>
          <rPr>
            <b/>
            <sz val="9"/>
            <color indexed="81"/>
            <rFont val="Tahoma"/>
            <family val="2"/>
          </rPr>
          <t>seah:</t>
        </r>
        <r>
          <rPr>
            <sz val="9"/>
            <color indexed="81"/>
            <rFont val="Tahoma"/>
            <family val="2"/>
          </rPr>
          <t xml:space="preserve">
87% </t>
        </r>
        <r>
          <rPr>
            <sz val="9"/>
            <color indexed="81"/>
            <rFont val="돋움"/>
            <family val="3"/>
            <charset val="129"/>
          </rPr>
          <t>임의</t>
        </r>
        <r>
          <rPr>
            <sz val="9"/>
            <color indexed="81"/>
            <rFont val="Tahoma"/>
            <family val="2"/>
          </rPr>
          <t xml:space="preserve"> </t>
        </r>
        <r>
          <rPr>
            <sz val="9"/>
            <color indexed="81"/>
            <rFont val="돋움"/>
            <family val="3"/>
            <charset val="129"/>
          </rPr>
          <t>맞춤
표준시간</t>
        </r>
        <r>
          <rPr>
            <sz val="9"/>
            <color indexed="81"/>
            <rFont val="Tahoma"/>
            <family val="2"/>
          </rPr>
          <t xml:space="preserve"> </t>
        </r>
        <r>
          <rPr>
            <sz val="9"/>
            <color indexed="81"/>
            <rFont val="돋움"/>
            <family val="3"/>
            <charset val="129"/>
          </rPr>
          <t>오류</t>
        </r>
      </text>
    </comment>
  </commentList>
</comments>
</file>

<file path=xl/sharedStrings.xml><?xml version="1.0" encoding="utf-8"?>
<sst xmlns="http://schemas.openxmlformats.org/spreadsheetml/2006/main" count="7171" uniqueCount="2363">
  <si>
    <t>구분</t>
    <phoneticPr fontId="23" type="noConversion"/>
  </si>
  <si>
    <t>구분</t>
  </si>
  <si>
    <t>CPL</t>
  </si>
  <si>
    <t>CRM</t>
  </si>
  <si>
    <t>CGL</t>
  </si>
  <si>
    <t>2월</t>
  </si>
  <si>
    <t>3월</t>
  </si>
  <si>
    <t>4월</t>
  </si>
  <si>
    <t>5월</t>
  </si>
  <si>
    <t>6월</t>
  </si>
  <si>
    <t>7월</t>
  </si>
  <si>
    <t>8월</t>
  </si>
  <si>
    <t>9월</t>
  </si>
  <si>
    <t>10월</t>
  </si>
  <si>
    <t>11월</t>
  </si>
  <si>
    <t>12월</t>
  </si>
  <si>
    <t>합계</t>
    <phoneticPr fontId="23" type="noConversion"/>
  </si>
  <si>
    <t>#2CCL</t>
  </si>
  <si>
    <t>1월</t>
    <phoneticPr fontId="23" type="noConversion"/>
  </si>
  <si>
    <t>1분기</t>
    <phoneticPr fontId="23" type="noConversion"/>
  </si>
  <si>
    <t>반기</t>
    <phoneticPr fontId="23" type="noConversion"/>
  </si>
  <si>
    <t>3분기</t>
    <phoneticPr fontId="23" type="noConversion"/>
  </si>
  <si>
    <t>년간</t>
    <phoneticPr fontId="23" type="noConversion"/>
  </si>
  <si>
    <t>#1CCL</t>
    <phoneticPr fontId="23" type="noConversion"/>
  </si>
  <si>
    <t>기계</t>
    <phoneticPr fontId="23" type="noConversion"/>
  </si>
  <si>
    <t>전기</t>
    <phoneticPr fontId="23" type="noConversion"/>
  </si>
  <si>
    <t>투입량</t>
    <phoneticPr fontId="23" type="noConversion"/>
  </si>
  <si>
    <t>CPL</t>
    <phoneticPr fontId="23" type="noConversion"/>
  </si>
  <si>
    <t>CRM</t>
    <phoneticPr fontId="23" type="noConversion"/>
  </si>
  <si>
    <t>CGL</t>
    <phoneticPr fontId="23" type="noConversion"/>
  </si>
  <si>
    <t>#1CCL</t>
    <phoneticPr fontId="23" type="noConversion"/>
  </si>
  <si>
    <t>합계</t>
    <phoneticPr fontId="23" type="noConversion"/>
  </si>
  <si>
    <t>A급
생산량</t>
    <phoneticPr fontId="23" type="noConversion"/>
  </si>
  <si>
    <t>가동시간</t>
    <phoneticPr fontId="23" type="noConversion"/>
  </si>
  <si>
    <t>고장건수
기계</t>
    <phoneticPr fontId="23" type="noConversion"/>
  </si>
  <si>
    <t>고장건수
전기</t>
    <phoneticPr fontId="23" type="noConversion"/>
  </si>
  <si>
    <t>기계
고장시간</t>
    <phoneticPr fontId="23" type="noConversion"/>
  </si>
  <si>
    <t>전기
고장시간</t>
    <phoneticPr fontId="23" type="noConversion"/>
  </si>
  <si>
    <t>1월</t>
    <phoneticPr fontId="23" type="noConversion"/>
  </si>
  <si>
    <t>CPL</t>
    <phoneticPr fontId="23" type="noConversion"/>
  </si>
  <si>
    <t>톤파워</t>
    <phoneticPr fontId="23" type="noConversion"/>
  </si>
  <si>
    <t>보정계수</t>
    <phoneticPr fontId="23" type="noConversion"/>
  </si>
  <si>
    <t>CRM</t>
    <phoneticPr fontId="23" type="noConversion"/>
  </si>
  <si>
    <t>CGL</t>
    <phoneticPr fontId="23" type="noConversion"/>
  </si>
  <si>
    <t>고장율
기계</t>
    <phoneticPr fontId="23" type="noConversion"/>
  </si>
  <si>
    <t>#1CCL</t>
    <phoneticPr fontId="23" type="noConversion"/>
  </si>
  <si>
    <t>고장율
전기</t>
    <phoneticPr fontId="23" type="noConversion"/>
  </si>
  <si>
    <t>구분</t>
    <phoneticPr fontId="23" type="noConversion"/>
  </si>
  <si>
    <t>1월</t>
    <phoneticPr fontId="23" type="noConversion"/>
  </si>
  <si>
    <t>A급 수율</t>
    <phoneticPr fontId="23" type="noConversion"/>
  </si>
  <si>
    <t>라인종합수율</t>
    <phoneticPr fontId="23" type="noConversion"/>
  </si>
  <si>
    <t>라인별 
불량률</t>
    <phoneticPr fontId="23" type="noConversion"/>
  </si>
  <si>
    <t>실가동율</t>
    <phoneticPr fontId="23" type="noConversion"/>
  </si>
  <si>
    <t>라인종합 실가동률</t>
    <phoneticPr fontId="23" type="noConversion"/>
  </si>
  <si>
    <t>라인종합 톤파워</t>
    <phoneticPr fontId="23" type="noConversion"/>
  </si>
  <si>
    <t>수율</t>
    <phoneticPr fontId="23" type="noConversion"/>
  </si>
  <si>
    <t>ARP</t>
    <phoneticPr fontId="23" type="noConversion"/>
  </si>
  <si>
    <t>합계</t>
    <phoneticPr fontId="23" type="noConversion"/>
  </si>
  <si>
    <t>생산원단위</t>
    <phoneticPr fontId="23" type="noConversion"/>
  </si>
  <si>
    <t>ROLL SHOP</t>
    <phoneticPr fontId="23" type="noConversion"/>
  </si>
  <si>
    <t>SSCL</t>
    <phoneticPr fontId="23" type="noConversion"/>
  </si>
  <si>
    <t>#1포장</t>
    <phoneticPr fontId="23" type="noConversion"/>
  </si>
  <si>
    <t>#2CCL</t>
    <phoneticPr fontId="23" type="noConversion"/>
  </si>
  <si>
    <t>#2포장</t>
    <phoneticPr fontId="23" type="noConversion"/>
  </si>
  <si>
    <t>기계</t>
    <phoneticPr fontId="23" type="noConversion"/>
  </si>
  <si>
    <t>고장율</t>
    <phoneticPr fontId="23" type="noConversion"/>
  </si>
  <si>
    <t>고장건수</t>
    <phoneticPr fontId="23" type="noConversion"/>
  </si>
  <si>
    <t>설비개선</t>
    <phoneticPr fontId="23" type="noConversion"/>
  </si>
  <si>
    <t>전기</t>
    <phoneticPr fontId="23" type="noConversion"/>
  </si>
  <si>
    <t>고장율</t>
    <phoneticPr fontId="23" type="noConversion"/>
  </si>
  <si>
    <t>설비팀 합계</t>
    <phoneticPr fontId="23" type="noConversion"/>
  </si>
  <si>
    <t>고장율
기계금액</t>
    <phoneticPr fontId="23" type="noConversion"/>
  </si>
  <si>
    <t>고장율
전기금액</t>
    <phoneticPr fontId="23" type="noConversion"/>
  </si>
  <si>
    <t>고장 기계 금액</t>
    <phoneticPr fontId="23" type="noConversion"/>
  </si>
  <si>
    <t>고장 전기 금액</t>
    <phoneticPr fontId="23" type="noConversion"/>
  </si>
  <si>
    <t>라인구분</t>
    <phoneticPr fontId="25" type="noConversion"/>
  </si>
  <si>
    <t>기준</t>
    <phoneticPr fontId="25" type="noConversion"/>
  </si>
  <si>
    <t>CPL</t>
    <phoneticPr fontId="25" type="noConversion"/>
  </si>
  <si>
    <t>GI</t>
    <phoneticPr fontId="25" type="noConversion"/>
  </si>
  <si>
    <t>CRM</t>
    <phoneticPr fontId="25" type="noConversion"/>
  </si>
  <si>
    <t>CGL</t>
    <phoneticPr fontId="25" type="noConversion"/>
  </si>
  <si>
    <t>COLOR GI</t>
    <phoneticPr fontId="25" type="noConversion"/>
  </si>
  <si>
    <t>계획시간</t>
    <phoneticPr fontId="23" type="noConversion"/>
  </si>
  <si>
    <t>2월</t>
    <phoneticPr fontId="23" type="noConversion"/>
  </si>
  <si>
    <t>1월</t>
    <phoneticPr fontId="23" type="noConversion"/>
  </si>
  <si>
    <t>3월</t>
    <phoneticPr fontId="23" type="noConversion"/>
  </si>
  <si>
    <t>4월</t>
    <phoneticPr fontId="23" type="noConversion"/>
  </si>
  <si>
    <t>5월</t>
    <phoneticPr fontId="23" type="noConversion"/>
  </si>
  <si>
    <t>6월</t>
    <phoneticPr fontId="23" type="noConversion"/>
  </si>
  <si>
    <t>7월</t>
    <phoneticPr fontId="23" type="noConversion"/>
  </si>
  <si>
    <t>8월</t>
    <phoneticPr fontId="23" type="noConversion"/>
  </si>
  <si>
    <t>9월</t>
    <phoneticPr fontId="23" type="noConversion"/>
  </si>
  <si>
    <t>10월</t>
    <phoneticPr fontId="23" type="noConversion"/>
  </si>
  <si>
    <t>11월</t>
    <phoneticPr fontId="23" type="noConversion"/>
  </si>
  <si>
    <t>12월</t>
    <phoneticPr fontId="23" type="noConversion"/>
  </si>
  <si>
    <t>CPL</t>
    <phoneticPr fontId="34" type="noConversion"/>
  </si>
  <si>
    <t>CGL 스크랩</t>
    <phoneticPr fontId="23" type="noConversion"/>
  </si>
  <si>
    <t>2010년 계</t>
  </si>
  <si>
    <t>2011년 계</t>
  </si>
  <si>
    <t>고장률</t>
    <phoneticPr fontId="23" type="noConversion"/>
  </si>
  <si>
    <t>3분기</t>
    <phoneticPr fontId="23" type="noConversion"/>
  </si>
  <si>
    <t>년간</t>
    <phoneticPr fontId="23" type="noConversion"/>
  </si>
  <si>
    <t>1월</t>
    <phoneticPr fontId="23" type="noConversion"/>
  </si>
  <si>
    <t>고장률</t>
    <phoneticPr fontId="23" type="noConversion"/>
  </si>
  <si>
    <t>호칭두께</t>
    <phoneticPr fontId="23" type="noConversion"/>
  </si>
  <si>
    <t>호칭폭</t>
    <phoneticPr fontId="23" type="noConversion"/>
  </si>
  <si>
    <t>개선금액(백만원)</t>
    <phoneticPr fontId="23" type="noConversion"/>
  </si>
  <si>
    <t>목표금액</t>
    <phoneticPr fontId="23" type="noConversion"/>
  </si>
  <si>
    <t>1월</t>
  </si>
  <si>
    <t>합계</t>
    <phoneticPr fontId="23" type="noConversion"/>
  </si>
  <si>
    <t>두께(실)</t>
    <phoneticPr fontId="23" type="noConversion"/>
  </si>
  <si>
    <t>폭(실)</t>
    <phoneticPr fontId="23" type="noConversion"/>
  </si>
  <si>
    <t>WC_ID</t>
  </si>
  <si>
    <t>작업장</t>
  </si>
  <si>
    <t>투입량</t>
  </si>
  <si>
    <t>인출량</t>
  </si>
  <si>
    <t>총투입량</t>
  </si>
  <si>
    <t>A급생산량</t>
  </si>
  <si>
    <t>A급수율</t>
  </si>
  <si>
    <t>B급생산량</t>
  </si>
  <si>
    <t>B급수율</t>
  </si>
  <si>
    <t>C급생산량</t>
  </si>
  <si>
    <t>C급수율</t>
  </si>
  <si>
    <t>H급생산량</t>
  </si>
  <si>
    <t>H급수율</t>
  </si>
  <si>
    <t>총생산량</t>
  </si>
  <si>
    <t>총수율</t>
  </si>
  <si>
    <t>CPL 작업장</t>
  </si>
  <si>
    <t>CRM 작업장</t>
  </si>
  <si>
    <t>CGL 작업장</t>
  </si>
  <si>
    <t>No 1 CCL 작업장</t>
  </si>
  <si>
    <t>Slitting 작업장</t>
  </si>
  <si>
    <t>Sheet 작업장</t>
  </si>
  <si>
    <t>No 2 CCL 작업장</t>
  </si>
  <si>
    <t>2CCL</t>
    <phoneticPr fontId="25" type="noConversion"/>
  </si>
  <si>
    <t>고장 건수</t>
    <phoneticPr fontId="23" type="noConversion"/>
  </si>
  <si>
    <t xml:space="preserve"> - </t>
  </si>
  <si>
    <t>2012년 계</t>
  </si>
  <si>
    <t>13년실적</t>
    <phoneticPr fontId="23" type="noConversion"/>
  </si>
  <si>
    <t>#1CCL</t>
    <phoneticPr fontId="23" type="noConversion"/>
  </si>
  <si>
    <t>생산능력</t>
    <phoneticPr fontId="23" type="noConversion"/>
  </si>
  <si>
    <t>라인</t>
    <phoneticPr fontId="23" type="noConversion"/>
  </si>
  <si>
    <t>#2CCL</t>
    <phoneticPr fontId="23" type="noConversion"/>
  </si>
  <si>
    <t>#3CCL</t>
  </si>
  <si>
    <t>#4CCL</t>
  </si>
  <si>
    <t>#5CCL</t>
  </si>
  <si>
    <t>#6CCL</t>
  </si>
  <si>
    <t>#7CCL</t>
  </si>
  <si>
    <t>#8CCL</t>
  </si>
  <si>
    <t>합계</t>
    <phoneticPr fontId="23" type="noConversion"/>
  </si>
  <si>
    <t>#1CCL</t>
    <phoneticPr fontId="23" type="noConversion"/>
  </si>
  <si>
    <t>M</t>
    <phoneticPr fontId="23" type="noConversion"/>
  </si>
  <si>
    <t>유니온</t>
    <phoneticPr fontId="23" type="noConversion"/>
  </si>
  <si>
    <t>동부제철</t>
    <phoneticPr fontId="23" type="noConversion"/>
  </si>
  <si>
    <t>현대제철</t>
    <phoneticPr fontId="23" type="noConversion"/>
  </si>
  <si>
    <t>순천</t>
    <phoneticPr fontId="23" type="noConversion"/>
  </si>
  <si>
    <t>당진</t>
    <phoneticPr fontId="23" type="noConversion"/>
  </si>
  <si>
    <t>포스코 강판</t>
    <phoneticPr fontId="23" type="noConversion"/>
  </si>
  <si>
    <t>세아제강</t>
    <phoneticPr fontId="23" type="noConversion"/>
  </si>
  <si>
    <t>#1CCL</t>
    <phoneticPr fontId="23" type="noConversion"/>
  </si>
  <si>
    <t>DK동신</t>
    <phoneticPr fontId="23" type="noConversion"/>
  </si>
  <si>
    <t>세일철강</t>
    <phoneticPr fontId="23" type="noConversion"/>
  </si>
  <si>
    <t>#1CCL</t>
    <phoneticPr fontId="23" type="noConversion"/>
  </si>
  <si>
    <t>BN스틸라</t>
    <phoneticPr fontId="23" type="noConversion"/>
  </si>
  <si>
    <t>협성</t>
    <phoneticPr fontId="23" type="noConversion"/>
  </si>
  <si>
    <t>아주스틸</t>
    <phoneticPr fontId="23" type="noConversion"/>
  </si>
  <si>
    <t>아산</t>
    <phoneticPr fontId="23" type="noConversion"/>
  </si>
  <si>
    <t>녹산</t>
    <phoneticPr fontId="23" type="noConversion"/>
  </si>
  <si>
    <t>#1CCL</t>
    <phoneticPr fontId="23" type="noConversion"/>
  </si>
  <si>
    <t>영공판넬</t>
    <phoneticPr fontId="23" type="noConversion"/>
  </si>
  <si>
    <t>메탈플러스</t>
    <phoneticPr fontId="23" type="noConversion"/>
  </si>
  <si>
    <t>합계</t>
    <phoneticPr fontId="23" type="noConversion"/>
  </si>
  <si>
    <t>25개 라인</t>
    <phoneticPr fontId="23" type="noConversion"/>
  </si>
  <si>
    <t>하반기</t>
    <phoneticPr fontId="23" type="noConversion"/>
  </si>
  <si>
    <t>하반기</t>
    <phoneticPr fontId="23" type="noConversion"/>
  </si>
  <si>
    <t>하반기</t>
    <phoneticPr fontId="23" type="noConversion"/>
  </si>
  <si>
    <t>14년 하반기 목표</t>
    <phoneticPr fontId="23" type="noConversion"/>
  </si>
  <si>
    <t>14년 상반기 실적</t>
    <phoneticPr fontId="23" type="noConversion"/>
  </si>
  <si>
    <t>14년 하반기 개선목표</t>
    <phoneticPr fontId="23" type="noConversion"/>
  </si>
  <si>
    <t>소모품비</t>
    <phoneticPr fontId="23" type="noConversion"/>
  </si>
  <si>
    <t>2013년 계</t>
  </si>
  <si>
    <t>2014년 계</t>
  </si>
  <si>
    <t>CRM</t>
    <phoneticPr fontId="23" type="noConversion"/>
  </si>
  <si>
    <t>개선금액/톤</t>
    <phoneticPr fontId="25" type="noConversion"/>
  </si>
  <si>
    <t>구 분</t>
    <phoneticPr fontId="23" type="noConversion"/>
  </si>
  <si>
    <t>담 당</t>
    <phoneticPr fontId="23" type="noConversion"/>
  </si>
  <si>
    <t>#2 CCL</t>
    <phoneticPr fontId="23" type="noConversion"/>
  </si>
  <si>
    <t>F/H
SCRAP</t>
    <phoneticPr fontId="23" type="noConversion"/>
  </si>
  <si>
    <t>2014년 대비</t>
    <phoneticPr fontId="23" type="noConversion"/>
  </si>
  <si>
    <t>2015년 목표</t>
    <phoneticPr fontId="23" type="noConversion"/>
  </si>
  <si>
    <t>#1CCL</t>
  </si>
  <si>
    <t>14년</t>
  </si>
  <si>
    <t>개선금액</t>
  </si>
  <si>
    <t>SSCL</t>
  </si>
  <si>
    <t>누적</t>
    <phoneticPr fontId="23" type="noConversion"/>
  </si>
  <si>
    <t>라인종합 A급수율</t>
    <phoneticPr fontId="23" type="noConversion"/>
  </si>
  <si>
    <t>라인종합불량률</t>
    <phoneticPr fontId="23" type="noConversion"/>
  </si>
  <si>
    <t>합계</t>
  </si>
  <si>
    <t>14년실적</t>
  </si>
  <si>
    <t>전기</t>
    <phoneticPr fontId="23" type="noConversion"/>
  </si>
  <si>
    <t>가스</t>
    <phoneticPr fontId="23" type="noConversion"/>
  </si>
  <si>
    <t>구분</t>
    <phoneticPr fontId="23" type="noConversion"/>
  </si>
  <si>
    <t>효과금액</t>
    <phoneticPr fontId="23" type="noConversion"/>
  </si>
  <si>
    <t>4월</t>
    <phoneticPr fontId="23" type="noConversion"/>
  </si>
  <si>
    <t>7월</t>
    <phoneticPr fontId="23" type="noConversion"/>
  </si>
  <si>
    <t>10월</t>
    <phoneticPr fontId="23" type="noConversion"/>
  </si>
  <si>
    <t>누적</t>
    <phoneticPr fontId="23" type="noConversion"/>
  </si>
  <si>
    <t>라인구분</t>
  </si>
  <si>
    <t>개선금액/톤</t>
  </si>
  <si>
    <t>2CCL</t>
  </si>
  <si>
    <t>1. ARP</t>
    <phoneticPr fontId="23" type="noConversion"/>
  </si>
  <si>
    <t>개선금액</t>
    <phoneticPr fontId="23" type="noConversion"/>
  </si>
  <si>
    <t>2. Roll Shop</t>
    <phoneticPr fontId="23" type="noConversion"/>
  </si>
  <si>
    <t>3. #1포장</t>
    <phoneticPr fontId="23" type="noConversion"/>
  </si>
  <si>
    <t>4. #2포장</t>
    <phoneticPr fontId="23" type="noConversion"/>
  </si>
  <si>
    <t>5. SSCL</t>
    <phoneticPr fontId="23" type="noConversion"/>
  </si>
  <si>
    <t>6. 환경</t>
    <phoneticPr fontId="23" type="noConversion"/>
  </si>
  <si>
    <t>Scrap 량</t>
    <phoneticPr fontId="23" type="noConversion"/>
  </si>
  <si>
    <t>7. 물류</t>
    <phoneticPr fontId="23" type="noConversion"/>
  </si>
  <si>
    <t>생산량</t>
    <phoneticPr fontId="23" type="noConversion"/>
  </si>
  <si>
    <t>합계</t>
    <phoneticPr fontId="23" type="noConversion"/>
  </si>
  <si>
    <t>진행율</t>
    <phoneticPr fontId="23" type="noConversion"/>
  </si>
  <si>
    <t>LNG원단위</t>
    <phoneticPr fontId="23" type="noConversion"/>
  </si>
  <si>
    <t>수선비</t>
    <phoneticPr fontId="23" type="noConversion"/>
  </si>
  <si>
    <t>소모품비</t>
    <phoneticPr fontId="23" type="noConversion"/>
  </si>
  <si>
    <t>ARP</t>
  </si>
  <si>
    <t>기계</t>
  </si>
  <si>
    <t>전기</t>
  </si>
  <si>
    <t>환경</t>
  </si>
  <si>
    <t>아이엠텍</t>
  </si>
  <si>
    <t>단위</t>
    <phoneticPr fontId="34" type="noConversion"/>
  </si>
  <si>
    <t>%</t>
    <phoneticPr fontId="34" type="noConversion"/>
  </si>
  <si>
    <t>1분기</t>
    <phoneticPr fontId="23" type="noConversion"/>
  </si>
  <si>
    <t>2분기</t>
    <phoneticPr fontId="23" type="noConversion"/>
  </si>
  <si>
    <t>반기</t>
    <phoneticPr fontId="23" type="noConversion"/>
  </si>
  <si>
    <t>구분</t>
    <phoneticPr fontId="23" type="noConversion"/>
  </si>
  <si>
    <t>CPL</t>
    <phoneticPr fontId="23" type="noConversion"/>
  </si>
  <si>
    <t>CRM</t>
    <phoneticPr fontId="23" type="noConversion"/>
  </si>
  <si>
    <t>CGL</t>
    <phoneticPr fontId="23" type="noConversion"/>
  </si>
  <si>
    <t>#1CCL</t>
    <phoneticPr fontId="23" type="noConversion"/>
  </si>
  <si>
    <t>#2CCL</t>
    <phoneticPr fontId="23" type="noConversion"/>
  </si>
  <si>
    <t>기준</t>
  </si>
  <si>
    <t>GI</t>
  </si>
  <si>
    <t>COLOR</t>
    <phoneticPr fontId="23" type="noConversion"/>
  </si>
  <si>
    <t>A급 가격</t>
    <phoneticPr fontId="23" type="noConversion"/>
  </si>
  <si>
    <t>Scrap 가격</t>
    <phoneticPr fontId="23" type="noConversion"/>
  </si>
  <si>
    <t>반기</t>
  </si>
  <si>
    <t>비고</t>
    <phoneticPr fontId="23" type="noConversion"/>
  </si>
  <si>
    <t>구 분</t>
    <phoneticPr fontId="34" type="noConversion"/>
  </si>
  <si>
    <t>항 목</t>
    <phoneticPr fontId="34" type="noConversion"/>
  </si>
  <si>
    <t>단위</t>
    <phoneticPr fontId="34" type="noConversion"/>
  </si>
  <si>
    <t>년도별 실적</t>
    <phoneticPr fontId="34" type="noConversion"/>
  </si>
  <si>
    <t>12년</t>
  </si>
  <si>
    <t>13년</t>
  </si>
  <si>
    <t>15년</t>
  </si>
  <si>
    <t>16년</t>
  </si>
  <si>
    <t>생산성</t>
    <phoneticPr fontId="34" type="noConversion"/>
  </si>
  <si>
    <t>생산량</t>
    <phoneticPr fontId="34" type="noConversion"/>
  </si>
  <si>
    <t>TON</t>
    <phoneticPr fontId="34" type="noConversion"/>
  </si>
  <si>
    <t>T/H</t>
    <phoneticPr fontId="34" type="noConversion"/>
  </si>
  <si>
    <t>TON/HR</t>
    <phoneticPr fontId="34" type="noConversion"/>
  </si>
  <si>
    <t>가동율</t>
    <phoneticPr fontId="34" type="noConversion"/>
  </si>
  <si>
    <t>%</t>
    <phoneticPr fontId="34" type="noConversion"/>
  </si>
  <si>
    <t>수율</t>
    <phoneticPr fontId="34" type="noConversion"/>
  </si>
  <si>
    <t>A%</t>
    <phoneticPr fontId="34" type="noConversion"/>
  </si>
  <si>
    <t>불량량</t>
    <phoneticPr fontId="34" type="noConversion"/>
  </si>
  <si>
    <t>kg/ton</t>
    <phoneticPr fontId="34" type="noConversion"/>
  </si>
  <si>
    <t>톤</t>
    <phoneticPr fontId="34" type="noConversion"/>
  </si>
  <si>
    <t>UTILITY</t>
    <phoneticPr fontId="34" type="noConversion"/>
  </si>
  <si>
    <t>LNG</t>
    <phoneticPr fontId="34" type="noConversion"/>
  </si>
  <si>
    <t>N㎥/TON</t>
    <phoneticPr fontId="34" type="noConversion"/>
  </si>
  <si>
    <t>전력</t>
    <phoneticPr fontId="34" type="noConversion"/>
  </si>
  <si>
    <t>Kw/TON</t>
    <phoneticPr fontId="34" type="noConversion"/>
  </si>
  <si>
    <t>원/TON</t>
    <phoneticPr fontId="34" type="noConversion"/>
  </si>
  <si>
    <t>염산</t>
    <phoneticPr fontId="34" type="noConversion"/>
  </si>
  <si>
    <t>방청유</t>
    <phoneticPr fontId="34" type="noConversion"/>
  </si>
  <si>
    <t>원/TON</t>
  </si>
  <si>
    <t>소모품</t>
    <phoneticPr fontId="34" type="noConversion"/>
  </si>
  <si>
    <t>구 분</t>
    <phoneticPr fontId="34" type="noConversion"/>
  </si>
  <si>
    <t>항 목</t>
    <phoneticPr fontId="34" type="noConversion"/>
  </si>
  <si>
    <t>단위</t>
    <phoneticPr fontId="34" type="noConversion"/>
  </si>
  <si>
    <t>년도별 실적</t>
    <phoneticPr fontId="34" type="noConversion"/>
  </si>
  <si>
    <t>계획</t>
    <phoneticPr fontId="34" type="noConversion"/>
  </si>
  <si>
    <t>비  고</t>
    <phoneticPr fontId="34" type="noConversion"/>
  </si>
  <si>
    <t>생산성</t>
    <phoneticPr fontId="34" type="noConversion"/>
  </si>
  <si>
    <t>생산량</t>
    <phoneticPr fontId="34" type="noConversion"/>
  </si>
  <si>
    <t>TON</t>
    <phoneticPr fontId="34" type="noConversion"/>
  </si>
  <si>
    <t>T/H</t>
    <phoneticPr fontId="34" type="noConversion"/>
  </si>
  <si>
    <t>TON/HR</t>
    <phoneticPr fontId="34" type="noConversion"/>
  </si>
  <si>
    <t>가동율</t>
    <phoneticPr fontId="34" type="noConversion"/>
  </si>
  <si>
    <t>%</t>
    <phoneticPr fontId="34" type="noConversion"/>
  </si>
  <si>
    <t>재처리</t>
    <phoneticPr fontId="34" type="noConversion"/>
  </si>
  <si>
    <t>수율</t>
    <phoneticPr fontId="34" type="noConversion"/>
  </si>
  <si>
    <t>A%</t>
    <phoneticPr fontId="34" type="noConversion"/>
  </si>
  <si>
    <t>불량량</t>
    <phoneticPr fontId="34" type="noConversion"/>
  </si>
  <si>
    <t>수율에 포함</t>
    <phoneticPr fontId="34" type="noConversion"/>
  </si>
  <si>
    <t>UTILITY</t>
    <phoneticPr fontId="34" type="noConversion"/>
  </si>
  <si>
    <t>전력</t>
    <phoneticPr fontId="34" type="noConversion"/>
  </si>
  <si>
    <t>Kw/TON</t>
    <phoneticPr fontId="34" type="noConversion"/>
  </si>
  <si>
    <t>용수</t>
    <phoneticPr fontId="34" type="noConversion"/>
  </si>
  <si>
    <t>N㎥/TON</t>
    <phoneticPr fontId="34" type="noConversion"/>
  </si>
  <si>
    <t>압연유</t>
    <phoneticPr fontId="34" type="noConversion"/>
  </si>
  <si>
    <t>외주가공</t>
    <phoneticPr fontId="34" type="noConversion"/>
  </si>
  <si>
    <t>도급비</t>
    <phoneticPr fontId="34" type="noConversion"/>
  </si>
  <si>
    <t>TOTAL</t>
    <phoneticPr fontId="34" type="noConversion"/>
  </si>
  <si>
    <t>ton</t>
    <phoneticPr fontId="34" type="noConversion"/>
  </si>
  <si>
    <t>ton/hr</t>
    <phoneticPr fontId="34" type="noConversion"/>
  </si>
  <si>
    <t>kg/ton</t>
    <phoneticPr fontId="34" type="noConversion"/>
  </si>
  <si>
    <t>시간</t>
    <phoneticPr fontId="34" type="noConversion"/>
  </si>
  <si>
    <t>부재료</t>
    <phoneticPr fontId="34" type="noConversion"/>
  </si>
  <si>
    <t>아연부착율</t>
    <phoneticPr fontId="34" type="noConversion"/>
  </si>
  <si>
    <t>DROSS</t>
    <phoneticPr fontId="34" type="noConversion"/>
  </si>
  <si>
    <t>LNG</t>
    <phoneticPr fontId="34" type="noConversion"/>
  </si>
  <si>
    <t>N㎥/ton</t>
    <phoneticPr fontId="34" type="noConversion"/>
  </si>
  <si>
    <t>전력</t>
    <phoneticPr fontId="34" type="noConversion"/>
  </si>
  <si>
    <t>kwh/hr</t>
  </si>
  <si>
    <t>N2</t>
    <phoneticPr fontId="34" type="noConversion"/>
  </si>
  <si>
    <t>kg/ton</t>
  </si>
  <si>
    <t>H2</t>
    <phoneticPr fontId="34" type="noConversion"/>
  </si>
  <si>
    <t>용수</t>
    <phoneticPr fontId="34" type="noConversion"/>
  </si>
  <si>
    <t>ton/ton</t>
  </si>
  <si>
    <t>화공약품</t>
    <phoneticPr fontId="34" type="noConversion"/>
  </si>
  <si>
    <t>전처리제</t>
    <phoneticPr fontId="34" type="noConversion"/>
  </si>
  <si>
    <t>458원/kg</t>
    <phoneticPr fontId="34" type="noConversion"/>
  </si>
  <si>
    <t>압연유</t>
    <phoneticPr fontId="34" type="noConversion"/>
  </si>
  <si>
    <t>ℓ/ton</t>
  </si>
  <si>
    <t>보조재료</t>
    <phoneticPr fontId="34" type="noConversion"/>
  </si>
  <si>
    <t>크롬제</t>
    <phoneticPr fontId="34" type="noConversion"/>
  </si>
  <si>
    <t>2,250원/kg</t>
    <phoneticPr fontId="34" type="noConversion"/>
  </si>
  <si>
    <t>Cr FREE</t>
    <phoneticPr fontId="34" type="noConversion"/>
  </si>
  <si>
    <t>원/ton</t>
  </si>
  <si>
    <t>포장비</t>
    <phoneticPr fontId="34" type="noConversion"/>
  </si>
  <si>
    <t>구매</t>
    <phoneticPr fontId="34" type="noConversion"/>
  </si>
  <si>
    <t>인건비</t>
    <phoneticPr fontId="34" type="noConversion"/>
  </si>
  <si>
    <t>합계</t>
    <phoneticPr fontId="34" type="noConversion"/>
  </si>
  <si>
    <t>구 분</t>
    <phoneticPr fontId="34" type="noConversion"/>
  </si>
  <si>
    <t>항 목</t>
    <phoneticPr fontId="34" type="noConversion"/>
  </si>
  <si>
    <t>단위</t>
    <phoneticPr fontId="34" type="noConversion"/>
  </si>
  <si>
    <t>년도별 실적</t>
    <phoneticPr fontId="34" type="noConversion"/>
  </si>
  <si>
    <t>계획</t>
    <phoneticPr fontId="34" type="noConversion"/>
  </si>
  <si>
    <t>비  고</t>
    <phoneticPr fontId="34" type="noConversion"/>
  </si>
  <si>
    <t>생산성</t>
    <phoneticPr fontId="34" type="noConversion"/>
  </si>
  <si>
    <t>생산량</t>
    <phoneticPr fontId="34" type="noConversion"/>
  </si>
  <si>
    <t>TON</t>
    <phoneticPr fontId="34" type="noConversion"/>
  </si>
  <si>
    <t>T/H</t>
    <phoneticPr fontId="34" type="noConversion"/>
  </si>
  <si>
    <t>TON/HR</t>
    <phoneticPr fontId="34" type="noConversion"/>
  </si>
  <si>
    <t>가동율</t>
    <phoneticPr fontId="34" type="noConversion"/>
  </si>
  <si>
    <t>%</t>
    <phoneticPr fontId="34" type="noConversion"/>
  </si>
  <si>
    <t>수율</t>
    <phoneticPr fontId="34" type="noConversion"/>
  </si>
  <si>
    <t>A%</t>
    <phoneticPr fontId="34" type="noConversion"/>
  </si>
  <si>
    <t>불량량</t>
    <phoneticPr fontId="34" type="noConversion"/>
  </si>
  <si>
    <t>수율에 포함</t>
    <phoneticPr fontId="34" type="noConversion"/>
  </si>
  <si>
    <t>ton</t>
    <phoneticPr fontId="34" type="noConversion"/>
  </si>
  <si>
    <t>부재료</t>
    <phoneticPr fontId="34" type="noConversion"/>
  </si>
  <si>
    <t>PAINT</t>
    <phoneticPr fontId="34" type="noConversion"/>
  </si>
  <si>
    <t>Kg/TON</t>
    <phoneticPr fontId="34" type="noConversion"/>
  </si>
  <si>
    <t>제품 고급화</t>
    <phoneticPr fontId="34" type="noConversion"/>
  </si>
  <si>
    <t>원/TON</t>
    <phoneticPr fontId="34" type="noConversion"/>
  </si>
  <si>
    <t>전년실적</t>
  </si>
  <si>
    <t>LNG</t>
    <phoneticPr fontId="34" type="noConversion"/>
  </si>
  <si>
    <t>TOTAL</t>
    <phoneticPr fontId="34" type="noConversion"/>
  </si>
  <si>
    <t>진행률</t>
    <phoneticPr fontId="34" type="noConversion"/>
  </si>
  <si>
    <t>단가변동없음</t>
    <phoneticPr fontId="34" type="noConversion"/>
  </si>
  <si>
    <t>UTILITY</t>
    <phoneticPr fontId="34" type="noConversion"/>
  </si>
  <si>
    <t>5% 단가 인상</t>
    <phoneticPr fontId="34" type="noConversion"/>
  </si>
  <si>
    <t>N㎥/TON</t>
    <phoneticPr fontId="34" type="noConversion"/>
  </si>
  <si>
    <t>1월(지표)</t>
    <phoneticPr fontId="34" type="noConversion"/>
  </si>
  <si>
    <t>1월(금액)</t>
    <phoneticPr fontId="34" type="noConversion"/>
  </si>
  <si>
    <t>2월(지표)</t>
  </si>
  <si>
    <t>3월(지표)</t>
  </si>
  <si>
    <t>4월(지표)</t>
  </si>
  <si>
    <t>5월(지표)</t>
  </si>
  <si>
    <t>6월(지표)</t>
  </si>
  <si>
    <t>7월(지표)</t>
  </si>
  <si>
    <t>8월(지표)</t>
  </si>
  <si>
    <t>9월(지표)</t>
  </si>
  <si>
    <t>10월(지표)</t>
  </si>
  <si>
    <t>11월(지표)</t>
  </si>
  <si>
    <t>12월(지표)</t>
  </si>
  <si>
    <t>2월(금액)</t>
  </si>
  <si>
    <t>3월(금액)</t>
  </si>
  <si>
    <t>4월(금액)</t>
  </si>
  <si>
    <t>5월(금액)</t>
  </si>
  <si>
    <t>6월(금액)</t>
  </si>
  <si>
    <t>7월(금액)</t>
  </si>
  <si>
    <t>8월(금액)</t>
  </si>
  <si>
    <t>9월(금액)</t>
  </si>
  <si>
    <t>10월(금액)</t>
  </si>
  <si>
    <t>11월(금액)</t>
  </si>
  <si>
    <t>12월(금액)</t>
  </si>
  <si>
    <t>CGL
비가동</t>
    <phoneticPr fontId="23" type="noConversion"/>
  </si>
  <si>
    <t>비가동시간</t>
    <phoneticPr fontId="23" type="noConversion"/>
  </si>
  <si>
    <t>비가동 건수</t>
    <phoneticPr fontId="23" type="noConversion"/>
  </si>
  <si>
    <t>시간 금액</t>
    <phoneticPr fontId="23" type="noConversion"/>
  </si>
  <si>
    <t>건수 금액</t>
    <phoneticPr fontId="23" type="noConversion"/>
  </si>
  <si>
    <t>16년 목표</t>
    <phoneticPr fontId="23" type="noConversion"/>
  </si>
  <si>
    <t>1월(지표)</t>
    <phoneticPr fontId="34" type="noConversion"/>
  </si>
  <si>
    <t>1월(지표)</t>
    <phoneticPr fontId="34" type="noConversion"/>
  </si>
  <si>
    <t>단위 : 천원</t>
    <phoneticPr fontId="23" type="noConversion"/>
  </si>
  <si>
    <t>크롬</t>
    <phoneticPr fontId="23" type="noConversion"/>
  </si>
  <si>
    <t>크롬프리</t>
    <phoneticPr fontId="23" type="noConversion"/>
  </si>
  <si>
    <t>구분</t>
    <phoneticPr fontId="23" type="noConversion"/>
  </si>
  <si>
    <t>1월</t>
    <phoneticPr fontId="23" type="noConversion"/>
  </si>
  <si>
    <t>15년 실적</t>
  </si>
  <si>
    <t>11년 실적</t>
  </si>
  <si>
    <t>12년 실적</t>
  </si>
  <si>
    <t>13년 실적</t>
  </si>
  <si>
    <t>14년 실적</t>
  </si>
  <si>
    <t>고장시간</t>
    <phoneticPr fontId="23" type="noConversion"/>
  </si>
  <si>
    <t>1월(지표)</t>
    <phoneticPr fontId="23" type="noConversion"/>
  </si>
  <si>
    <t>1월(금액)</t>
    <phoneticPr fontId="23" type="noConversion"/>
  </si>
  <si>
    <t>제품</t>
    <phoneticPr fontId="23" type="noConversion"/>
  </si>
  <si>
    <t>외주가공</t>
    <phoneticPr fontId="23" type="noConversion"/>
  </si>
  <si>
    <t>도급비</t>
    <phoneticPr fontId="23" type="noConversion"/>
  </si>
  <si>
    <t>원/TON</t>
    <phoneticPr fontId="23" type="noConversion"/>
  </si>
  <si>
    <t>1월(건수)</t>
    <phoneticPr fontId="23" type="noConversion"/>
  </si>
  <si>
    <t>Claim</t>
  </si>
  <si>
    <t>Roll Shop</t>
  </si>
  <si>
    <t>1포장</t>
  </si>
  <si>
    <t>2포장</t>
  </si>
  <si>
    <t>1월 실적</t>
    <phoneticPr fontId="23" type="noConversion"/>
  </si>
  <si>
    <t>2월 실적</t>
  </si>
  <si>
    <t>3월 실적</t>
  </si>
  <si>
    <t>4월 실적</t>
  </si>
  <si>
    <t>5월 실적</t>
  </si>
  <si>
    <t>6월 실적</t>
  </si>
  <si>
    <t>7월 실적</t>
  </si>
  <si>
    <t>8월 실적</t>
  </si>
  <si>
    <t>9월 실적</t>
  </si>
  <si>
    <t>10월 실적</t>
  </si>
  <si>
    <t>11월 실적</t>
  </si>
  <si>
    <t>12월 실적</t>
  </si>
  <si>
    <t>달성율</t>
    <phoneticPr fontId="23" type="noConversion"/>
  </si>
  <si>
    <t>누적 금액</t>
    <phoneticPr fontId="23" type="noConversion"/>
  </si>
  <si>
    <t>누계금액</t>
    <phoneticPr fontId="23" type="noConversion"/>
  </si>
  <si>
    <t>누적
실적</t>
    <phoneticPr fontId="23" type="noConversion"/>
  </si>
  <si>
    <t>ton</t>
    <phoneticPr fontId="23" type="noConversion"/>
  </si>
  <si>
    <t>CPL</t>
    <phoneticPr fontId="34" type="noConversion"/>
  </si>
  <si>
    <t>1CCL</t>
    <phoneticPr fontId="34" type="noConversion"/>
  </si>
  <si>
    <t>2CCL</t>
    <phoneticPr fontId="34" type="noConversion"/>
  </si>
  <si>
    <t>15년
실적</t>
    <phoneticPr fontId="34" type="noConversion"/>
  </si>
  <si>
    <t>%</t>
    <phoneticPr fontId="34" type="noConversion"/>
  </si>
  <si>
    <t>톤파워</t>
    <phoneticPr fontId="34" type="noConversion"/>
  </si>
  <si>
    <t>종합</t>
    <phoneticPr fontId="23" type="noConversion"/>
  </si>
  <si>
    <t>종합</t>
    <phoneticPr fontId="23" type="noConversion"/>
  </si>
  <si>
    <t>실
가동율</t>
    <phoneticPr fontId="34" type="noConversion"/>
  </si>
  <si>
    <t>Ton/Hr</t>
    <phoneticPr fontId="34" type="noConversion"/>
  </si>
  <si>
    <t>Kg/Ton</t>
    <phoneticPr fontId="34" type="noConversion"/>
  </si>
  <si>
    <t>Ton</t>
    <phoneticPr fontId="34" type="noConversion"/>
  </si>
  <si>
    <t>CGL(F/H)</t>
    <phoneticPr fontId="23" type="noConversion"/>
  </si>
  <si>
    <t>전력</t>
    <phoneticPr fontId="23" type="noConversion"/>
  </si>
  <si>
    <t>LNG</t>
    <phoneticPr fontId="23" type="noConversion"/>
  </si>
  <si>
    <t>N㎥/TON</t>
  </si>
  <si>
    <t>Kw/TON</t>
  </si>
  <si>
    <t>1. 주요 지표 실적</t>
    <phoneticPr fontId="23" type="noConversion"/>
  </si>
  <si>
    <t>2. 주요 원단위 실적</t>
    <phoneticPr fontId="23" type="noConversion"/>
  </si>
  <si>
    <t>3. 고장 관련 실적</t>
    <phoneticPr fontId="23" type="noConversion"/>
  </si>
  <si>
    <t>누적금액</t>
    <phoneticPr fontId="34" type="noConversion"/>
  </si>
  <si>
    <t>누계
금액</t>
    <phoneticPr fontId="23" type="noConversion"/>
  </si>
  <si>
    <t>8. 품질</t>
    <phoneticPr fontId="23" type="noConversion"/>
  </si>
  <si>
    <t>구분</t>
    <phoneticPr fontId="23" type="noConversion"/>
  </si>
  <si>
    <t>4월</t>
    <phoneticPr fontId="23" type="noConversion"/>
  </si>
  <si>
    <t>7월</t>
    <phoneticPr fontId="23" type="noConversion"/>
  </si>
  <si>
    <t>10월</t>
    <phoneticPr fontId="23" type="noConversion"/>
  </si>
  <si>
    <t>누적</t>
    <phoneticPr fontId="23" type="noConversion"/>
  </si>
  <si>
    <t>개선금액</t>
    <phoneticPr fontId="23" type="noConversion"/>
  </si>
  <si>
    <t>활용량</t>
    <phoneticPr fontId="23" type="noConversion"/>
  </si>
  <si>
    <t>장수</t>
    <phoneticPr fontId="23" type="noConversion"/>
  </si>
  <si>
    <t>중량</t>
    <phoneticPr fontId="23" type="noConversion"/>
  </si>
  <si>
    <t>개선내용</t>
    <phoneticPr fontId="23" type="noConversion"/>
  </si>
  <si>
    <t>1. Scrap 발생 : 10.14톤 X 418,000원/톤 = 4,238,520원</t>
  </si>
  <si>
    <t>2. B급 발생 : 5.20톤 X 150,000원/톤 = 780,000원</t>
  </si>
  <si>
    <t>3. Line 불가동 시간 : 608분/60분 X 1,536,412원/hr = 15,568,972원</t>
  </si>
  <si>
    <t>2월(건수)</t>
  </si>
  <si>
    <t>3월(건수)</t>
  </si>
  <si>
    <t>4월(건수)</t>
  </si>
  <si>
    <t>5월(건수)</t>
  </si>
  <si>
    <t>6월(건수)</t>
  </si>
  <si>
    <t>7월(건수)</t>
  </si>
  <si>
    <t>8월(건수)</t>
  </si>
  <si>
    <t>9월(건수)</t>
  </si>
  <si>
    <t>10월(건수)</t>
  </si>
  <si>
    <t>11월(건수)</t>
  </si>
  <si>
    <t>12월(건수)</t>
  </si>
  <si>
    <t>1CCL</t>
  </si>
  <si>
    <t>2014년</t>
  </si>
  <si>
    <t>2015년</t>
  </si>
  <si>
    <t>손실금액</t>
    <phoneticPr fontId="23" type="noConversion"/>
  </si>
  <si>
    <t>2CCL</t>
    <phoneticPr fontId="23" type="noConversion"/>
  </si>
  <si>
    <t>월평균</t>
    <phoneticPr fontId="23" type="noConversion"/>
  </si>
  <si>
    <t>Ton/월</t>
    <phoneticPr fontId="34" type="noConversion"/>
  </si>
  <si>
    <t>실적</t>
    <phoneticPr fontId="34" type="noConversion"/>
  </si>
  <si>
    <t>스크랩/GI+칼라</t>
    <phoneticPr fontId="23" type="noConversion"/>
  </si>
  <si>
    <t>Kg/Ton</t>
  </si>
  <si>
    <t>CGL(1,2CCL)</t>
    <phoneticPr fontId="23" type="noConversion"/>
  </si>
  <si>
    <t>수율</t>
    <phoneticPr fontId="23" type="noConversion"/>
  </si>
  <si>
    <t>2015년 계</t>
  </si>
  <si>
    <t>개선건수</t>
    <phoneticPr fontId="23" type="noConversion"/>
  </si>
  <si>
    <t>진행율</t>
    <phoneticPr fontId="23" type="noConversion"/>
  </si>
  <si>
    <t>2015년 실적</t>
    <phoneticPr fontId="23" type="noConversion"/>
  </si>
  <si>
    <t>16년 상반기 실적</t>
    <phoneticPr fontId="23" type="noConversion"/>
  </si>
  <si>
    <t>1CCL</t>
    <phoneticPr fontId="23" type="noConversion"/>
  </si>
  <si>
    <t>추가과제</t>
    <phoneticPr fontId="23" type="noConversion"/>
  </si>
  <si>
    <t>추가 완료</t>
    <phoneticPr fontId="23" type="noConversion"/>
  </si>
  <si>
    <r>
      <t>1</t>
    </r>
    <r>
      <rPr>
        <sz val="12"/>
        <color rgb="FF000000"/>
        <rFont val="Arial"/>
        <family val="2"/>
      </rPr>
      <t>월</t>
    </r>
  </si>
  <si>
    <r>
      <t>2</t>
    </r>
    <r>
      <rPr>
        <sz val="12"/>
        <color rgb="FF000000"/>
        <rFont val="Arial"/>
        <family val="2"/>
      </rPr>
      <t>월</t>
    </r>
  </si>
  <si>
    <r>
      <t>3</t>
    </r>
    <r>
      <rPr>
        <sz val="12"/>
        <color rgb="FF000000"/>
        <rFont val="Arial"/>
        <family val="2"/>
      </rPr>
      <t>월</t>
    </r>
  </si>
  <si>
    <r>
      <t>4</t>
    </r>
    <r>
      <rPr>
        <sz val="12"/>
        <color rgb="FF000000"/>
        <rFont val="Arial"/>
        <family val="2"/>
      </rPr>
      <t>월</t>
    </r>
  </si>
  <si>
    <r>
      <t>5</t>
    </r>
    <r>
      <rPr>
        <sz val="12"/>
        <color rgb="FF000000"/>
        <rFont val="Arial"/>
        <family val="2"/>
      </rPr>
      <t>월</t>
    </r>
  </si>
  <si>
    <r>
      <t>6</t>
    </r>
    <r>
      <rPr>
        <sz val="12"/>
        <color rgb="FF000000"/>
        <rFont val="Arial"/>
        <family val="2"/>
      </rPr>
      <t>월</t>
    </r>
  </si>
  <si>
    <r>
      <t>7</t>
    </r>
    <r>
      <rPr>
        <sz val="12"/>
        <color rgb="FF000000"/>
        <rFont val="Arial"/>
        <family val="2"/>
      </rPr>
      <t>월</t>
    </r>
  </si>
  <si>
    <r>
      <t>8</t>
    </r>
    <r>
      <rPr>
        <sz val="12"/>
        <color rgb="FF000000"/>
        <rFont val="Arial"/>
        <family val="2"/>
      </rPr>
      <t>월</t>
    </r>
  </si>
  <si>
    <r>
      <t>9</t>
    </r>
    <r>
      <rPr>
        <sz val="12"/>
        <color rgb="FF000000"/>
        <rFont val="Arial"/>
        <family val="2"/>
      </rPr>
      <t>월</t>
    </r>
  </si>
  <si>
    <r>
      <t>10</t>
    </r>
    <r>
      <rPr>
        <sz val="12"/>
        <color rgb="FF000000"/>
        <rFont val="Arial"/>
        <family val="2"/>
      </rPr>
      <t>월</t>
    </r>
  </si>
  <si>
    <t>불량량</t>
  </si>
  <si>
    <r>
      <t>11월</t>
    </r>
    <r>
      <rPr>
        <sz val="12"/>
        <color rgb="FF000000"/>
        <rFont val="Arial"/>
        <family val="2"/>
      </rPr>
      <t/>
    </r>
  </si>
  <si>
    <r>
      <t>12월</t>
    </r>
    <r>
      <rPr>
        <sz val="12"/>
        <color rgb="FF000000"/>
        <rFont val="Arial"/>
        <family val="2"/>
      </rPr>
      <t/>
    </r>
  </si>
  <si>
    <t>고장 시간(분)</t>
    <phoneticPr fontId="23" type="noConversion"/>
  </si>
  <si>
    <t>불량</t>
    <phoneticPr fontId="23" type="noConversion"/>
  </si>
  <si>
    <t>코일형</t>
    <phoneticPr fontId="23" type="noConversion"/>
  </si>
  <si>
    <t>CPL(PO제외)</t>
    <phoneticPr fontId="23" type="noConversion"/>
  </si>
  <si>
    <t>CRM(SPM제외)</t>
    <phoneticPr fontId="23" type="noConversion"/>
  </si>
  <si>
    <t>CPL</t>
    <phoneticPr fontId="23" type="noConversion"/>
  </si>
  <si>
    <t>1CCL</t>
    <phoneticPr fontId="23" type="noConversion"/>
  </si>
  <si>
    <t>17년</t>
    <phoneticPr fontId="23" type="noConversion"/>
  </si>
  <si>
    <t>kg/ton</t>
    <phoneticPr fontId="34" type="noConversion"/>
  </si>
  <si>
    <t>101원/kwh</t>
    <phoneticPr fontId="34" type="noConversion"/>
  </si>
  <si>
    <t>A%</t>
  </si>
  <si>
    <t>558원/N㎥</t>
    <phoneticPr fontId="34" type="noConversion"/>
  </si>
  <si>
    <t>1,980원/L</t>
    <phoneticPr fontId="34" type="noConversion"/>
  </si>
  <si>
    <t>-</t>
    <phoneticPr fontId="23" type="noConversion"/>
  </si>
  <si>
    <t>kg/ton</t>
    <phoneticPr fontId="34" type="noConversion"/>
  </si>
  <si>
    <t>COIL형 SCRAP</t>
    <phoneticPr fontId="23" type="noConversion"/>
  </si>
  <si>
    <t>C급인출 SCRAP</t>
    <phoneticPr fontId="23" type="noConversion"/>
  </si>
  <si>
    <t>입출측 SHEET형</t>
    <phoneticPr fontId="23" type="noConversion"/>
  </si>
  <si>
    <t>스크랩</t>
    <phoneticPr fontId="23" type="noConversion"/>
  </si>
  <si>
    <t>CHOP'
SCRAP</t>
  </si>
  <si>
    <t>코일형
SCRAP</t>
  </si>
  <si>
    <t>Scrap</t>
    <phoneticPr fontId="23" type="noConversion"/>
  </si>
  <si>
    <t>원/ton</t>
    <phoneticPr fontId="34" type="noConversion"/>
  </si>
  <si>
    <t>Scrap</t>
    <phoneticPr fontId="34" type="noConversion"/>
  </si>
  <si>
    <t>16년 실적</t>
    <phoneticPr fontId="23" type="noConversion"/>
  </si>
  <si>
    <t>17년 목표</t>
    <phoneticPr fontId="23" type="noConversion"/>
  </si>
  <si>
    <t>16년
실적</t>
  </si>
  <si>
    <t>16년</t>
    <phoneticPr fontId="23" type="noConversion"/>
  </si>
  <si>
    <t>16년</t>
    <phoneticPr fontId="23" type="noConversion"/>
  </si>
  <si>
    <t>1CCL</t>
    <phoneticPr fontId="23" type="noConversion"/>
  </si>
  <si>
    <t>2CCL</t>
    <phoneticPr fontId="23" type="noConversion"/>
  </si>
  <si>
    <t>구분</t>
    <phoneticPr fontId="23" type="noConversion"/>
  </si>
  <si>
    <t>CPL 스크랩 발생율(kg/ton)</t>
    <phoneticPr fontId="23" type="noConversion"/>
  </si>
  <si>
    <t>CRM 스크랩 발생율(kg/ton)</t>
    <phoneticPr fontId="23" type="noConversion"/>
  </si>
  <si>
    <t>Scrap(Sheet 형) 발생현황</t>
    <phoneticPr fontId="23" type="noConversion"/>
  </si>
  <si>
    <t>반품 현황</t>
    <phoneticPr fontId="23" type="noConversion"/>
  </si>
  <si>
    <t>3년평균</t>
  </si>
  <si>
    <t>팀 장</t>
    <phoneticPr fontId="23" type="noConversion"/>
  </si>
  <si>
    <t>결
재</t>
    <phoneticPr fontId="23" type="noConversion"/>
  </si>
  <si>
    <t>구분</t>
    <phoneticPr fontId="23" type="noConversion"/>
  </si>
  <si>
    <t>CPL</t>
    <phoneticPr fontId="23" type="noConversion"/>
  </si>
  <si>
    <t>CRM</t>
    <phoneticPr fontId="23" type="noConversion"/>
  </si>
  <si>
    <t>CGL</t>
    <phoneticPr fontId="23" type="noConversion"/>
  </si>
  <si>
    <t>#1 CCL</t>
    <phoneticPr fontId="23" type="noConversion"/>
  </si>
  <si>
    <t>SSCL</t>
    <phoneticPr fontId="23" type="noConversion"/>
  </si>
  <si>
    <t>전체계</t>
    <phoneticPr fontId="23" type="noConversion"/>
  </si>
  <si>
    <t>종합</t>
    <phoneticPr fontId="23" type="noConversion"/>
  </si>
  <si>
    <t>CPL
초파</t>
    <phoneticPr fontId="23" type="noConversion"/>
  </si>
  <si>
    <t>CPL
철판</t>
    <phoneticPr fontId="23" type="noConversion"/>
  </si>
  <si>
    <t>생산량</t>
    <phoneticPr fontId="23" type="noConversion"/>
  </si>
  <si>
    <t>원단위</t>
    <phoneticPr fontId="23" type="noConversion"/>
  </si>
  <si>
    <t>CRM
철판</t>
    <phoneticPr fontId="23" type="noConversion"/>
  </si>
  <si>
    <t>생산량
(CGL)</t>
    <phoneticPr fontId="23" type="noConversion"/>
  </si>
  <si>
    <t>원단위</t>
    <phoneticPr fontId="23" type="noConversion"/>
  </si>
  <si>
    <t>GI COIL형
SCRAP</t>
    <phoneticPr fontId="23" type="noConversion"/>
  </si>
  <si>
    <t>생산량</t>
    <phoneticPr fontId="23" type="noConversion"/>
  </si>
  <si>
    <t>원단위</t>
    <phoneticPr fontId="23" type="noConversion"/>
  </si>
  <si>
    <t>SHEET형
SCRAP</t>
    <phoneticPr fontId="23" type="noConversion"/>
  </si>
  <si>
    <t>CCL 통판
SCRAP</t>
    <phoneticPr fontId="23" type="noConversion"/>
  </si>
  <si>
    <t>생산량</t>
    <phoneticPr fontId="23" type="noConversion"/>
  </si>
  <si>
    <t>원단위</t>
    <phoneticPr fontId="23" type="noConversion"/>
  </si>
  <si>
    <t>SHEET형
SCRAP</t>
    <phoneticPr fontId="23" type="noConversion"/>
  </si>
  <si>
    <t>CCL 통판
SCRAP</t>
    <phoneticPr fontId="23" type="noConversion"/>
  </si>
  <si>
    <t>생산량</t>
    <phoneticPr fontId="23" type="noConversion"/>
  </si>
  <si>
    <t>전체생산량</t>
    <phoneticPr fontId="23" type="noConversion"/>
  </si>
  <si>
    <t>원단위</t>
    <phoneticPr fontId="23" type="noConversion"/>
  </si>
  <si>
    <t>2009년 계</t>
    <phoneticPr fontId="23" type="noConversion"/>
  </si>
  <si>
    <t>2016년 계</t>
    <phoneticPr fontId="23" type="noConversion"/>
  </si>
  <si>
    <t>전년 월평균</t>
    <phoneticPr fontId="23" type="noConversion"/>
  </si>
  <si>
    <t>1월</t>
    <phoneticPr fontId="23" type="noConversion"/>
  </si>
  <si>
    <t>3월</t>
    <phoneticPr fontId="23" type="noConversion"/>
  </si>
  <si>
    <t>1/4 분기계</t>
    <phoneticPr fontId="23" type="noConversion"/>
  </si>
  <si>
    <t>2/4 분기계</t>
    <phoneticPr fontId="23" type="noConversion"/>
  </si>
  <si>
    <t>상반기 계</t>
    <phoneticPr fontId="23" type="noConversion"/>
  </si>
  <si>
    <t>3/4 분기계</t>
    <phoneticPr fontId="23" type="noConversion"/>
  </si>
  <si>
    <t>12월</t>
    <phoneticPr fontId="23" type="noConversion"/>
  </si>
  <si>
    <t>4/4 분기계</t>
    <phoneticPr fontId="23" type="noConversion"/>
  </si>
  <si>
    <t>하반기 계</t>
    <phoneticPr fontId="23" type="noConversion"/>
  </si>
  <si>
    <t>인출</t>
    <phoneticPr fontId="23" type="noConversion"/>
  </si>
  <si>
    <t>Sheet</t>
    <phoneticPr fontId="23" type="noConversion"/>
  </si>
  <si>
    <t>1CCL</t>
    <phoneticPr fontId="23" type="noConversion"/>
  </si>
  <si>
    <t>Sheet 판매량</t>
    <phoneticPr fontId="23" type="noConversion"/>
  </si>
  <si>
    <t>ton</t>
  </si>
  <si>
    <t>2013년</t>
    <phoneticPr fontId="23" type="noConversion"/>
  </si>
  <si>
    <t>2016년</t>
  </si>
  <si>
    <t>손실금액</t>
    <phoneticPr fontId="23" type="noConversion"/>
  </si>
  <si>
    <t>불량</t>
    <phoneticPr fontId="23" type="noConversion"/>
  </si>
  <si>
    <t>Sheet형</t>
    <phoneticPr fontId="23" type="noConversion"/>
  </si>
  <si>
    <t>570원/N㎥</t>
    <phoneticPr fontId="34" type="noConversion"/>
  </si>
  <si>
    <t>수율
(인출
포함)</t>
    <phoneticPr fontId="34" type="noConversion"/>
  </si>
  <si>
    <t>2014 투입</t>
    <phoneticPr fontId="23" type="noConversion"/>
  </si>
  <si>
    <t>14년 A급</t>
    <phoneticPr fontId="23" type="noConversion"/>
  </si>
  <si>
    <t>2015 투입</t>
  </si>
  <si>
    <t>15년 A급</t>
  </si>
  <si>
    <t>2016 투입</t>
  </si>
  <si>
    <t>16년 A급</t>
  </si>
  <si>
    <t>2017 투입</t>
  </si>
  <si>
    <t>17년 A급</t>
  </si>
  <si>
    <t>3-1. 고장율(기계+전기)</t>
    <phoneticPr fontId="23" type="noConversion"/>
  </si>
  <si>
    <t>3-2. 고장건수(기계+전기)</t>
    <phoneticPr fontId="23" type="noConversion"/>
  </si>
  <si>
    <t>3-3. 기계 고장율</t>
    <phoneticPr fontId="23" type="noConversion"/>
  </si>
  <si>
    <t>3-4. 기계 고장 건수</t>
    <phoneticPr fontId="23" type="noConversion"/>
  </si>
  <si>
    <t>3-5. 기계 설비 개선</t>
    <phoneticPr fontId="23" type="noConversion"/>
  </si>
  <si>
    <t>3-6. 전기 고장율</t>
    <phoneticPr fontId="23" type="noConversion"/>
  </si>
  <si>
    <t>3-7. 전기 고장 건수</t>
    <phoneticPr fontId="23" type="noConversion"/>
  </si>
  <si>
    <t>3-8. 전기 설비 개선</t>
    <phoneticPr fontId="23" type="noConversion"/>
  </si>
  <si>
    <t>홀</t>
  </si>
  <si>
    <t>비고</t>
    <phoneticPr fontId="23" type="noConversion"/>
  </si>
  <si>
    <t>수율현황</t>
    <phoneticPr fontId="23" type="noConversion"/>
  </si>
  <si>
    <t>조업고장</t>
    <phoneticPr fontId="23" type="noConversion"/>
  </si>
  <si>
    <t>6월</t>
    <phoneticPr fontId="23" type="noConversion"/>
  </si>
  <si>
    <t>종합수율 목표</t>
    <phoneticPr fontId="23" type="noConversion"/>
  </si>
  <si>
    <t>종합수율 실적</t>
    <phoneticPr fontId="23" type="noConversion"/>
  </si>
  <si>
    <t>CPL 수율</t>
    <phoneticPr fontId="34" type="noConversion"/>
  </si>
  <si>
    <t>CRM 수율</t>
    <phoneticPr fontId="23" type="noConversion"/>
  </si>
  <si>
    <t>CGL 수율</t>
    <phoneticPr fontId="23" type="noConversion"/>
  </si>
  <si>
    <t>1CCL 수율</t>
    <phoneticPr fontId="34" type="noConversion"/>
  </si>
  <si>
    <t>2CCL 수율</t>
    <phoneticPr fontId="34" type="noConversion"/>
  </si>
  <si>
    <t>CPL 가동율</t>
    <phoneticPr fontId="34" type="noConversion"/>
  </si>
  <si>
    <t>CRM 가동율</t>
    <phoneticPr fontId="23" type="noConversion"/>
  </si>
  <si>
    <t>CGL 가동율</t>
    <phoneticPr fontId="23" type="noConversion"/>
  </si>
  <si>
    <t>1CCL 가동율</t>
    <phoneticPr fontId="34" type="noConversion"/>
  </si>
  <si>
    <t>2CCL 가동율</t>
    <phoneticPr fontId="34" type="noConversion"/>
  </si>
  <si>
    <t>불량</t>
    <phoneticPr fontId="23" type="noConversion"/>
  </si>
  <si>
    <t>CGL 불량 발생 현황</t>
    <phoneticPr fontId="23" type="noConversion"/>
  </si>
  <si>
    <t>1CCL 불량 발생 현황</t>
    <phoneticPr fontId="34" type="noConversion"/>
  </si>
  <si>
    <t>2CCL 불량 발생 현황</t>
    <phoneticPr fontId="34" type="noConversion"/>
  </si>
  <si>
    <t>구분</t>
    <phoneticPr fontId="23" type="noConversion"/>
  </si>
  <si>
    <t>고객 불만 건수</t>
    <phoneticPr fontId="23" type="noConversion"/>
  </si>
  <si>
    <t>고객 불만 건수</t>
    <phoneticPr fontId="23" type="noConversion"/>
  </si>
  <si>
    <t>PO 고객 불만</t>
    <phoneticPr fontId="34" type="noConversion"/>
  </si>
  <si>
    <t>GI 고객 불만</t>
    <phoneticPr fontId="23" type="noConversion"/>
  </si>
  <si>
    <t>PPAL 고객 불만</t>
    <phoneticPr fontId="23" type="noConversion"/>
  </si>
  <si>
    <t>PPGI 고객 불만</t>
    <phoneticPr fontId="34" type="noConversion"/>
  </si>
  <si>
    <t>16년 실적</t>
    <phoneticPr fontId="23" type="noConversion"/>
  </si>
  <si>
    <t>PO 고객 불만</t>
    <phoneticPr fontId="34" type="noConversion"/>
  </si>
  <si>
    <t>17년 상반기</t>
    <phoneticPr fontId="23" type="noConversion"/>
  </si>
  <si>
    <t>17년 상반기</t>
    <phoneticPr fontId="23" type="noConversion"/>
  </si>
  <si>
    <t>반품 중량</t>
    <phoneticPr fontId="23" type="noConversion"/>
  </si>
  <si>
    <t>구분</t>
    <phoneticPr fontId="23" type="noConversion"/>
  </si>
  <si>
    <t>월 고장건수</t>
    <phoneticPr fontId="23" type="noConversion"/>
  </si>
  <si>
    <t>월 고장시간</t>
    <phoneticPr fontId="23" type="noConversion"/>
  </si>
  <si>
    <t>프린트</t>
  </si>
  <si>
    <t>6월 ~7월 건수</t>
    <phoneticPr fontId="23" type="noConversion"/>
  </si>
  <si>
    <t>N</t>
  </si>
  <si>
    <t>설비</t>
  </si>
  <si>
    <t>Y</t>
  </si>
  <si>
    <t>조업</t>
  </si>
  <si>
    <t>원자재</t>
  </si>
  <si>
    <t>최근 3년</t>
    <phoneticPr fontId="23" type="noConversion"/>
  </si>
  <si>
    <t>3년 평균</t>
    <phoneticPr fontId="23" type="noConversion"/>
  </si>
  <si>
    <t>hole</t>
    <phoneticPr fontId="23" type="noConversion"/>
  </si>
  <si>
    <t>lip mark</t>
    <phoneticPr fontId="23" type="noConversion"/>
  </si>
  <si>
    <t>1CCL</t>
    <phoneticPr fontId="23" type="noConversion"/>
  </si>
  <si>
    <t>9월</t>
    <phoneticPr fontId="23" type="noConversion"/>
  </si>
  <si>
    <t>최근 3년</t>
    <phoneticPr fontId="23" type="noConversion"/>
  </si>
  <si>
    <t>DENT</t>
    <phoneticPr fontId="23" type="noConversion"/>
  </si>
  <si>
    <t>10월</t>
    <phoneticPr fontId="23" type="noConversion"/>
  </si>
  <si>
    <t>향상 점수</t>
    <phoneticPr fontId="23" type="noConversion"/>
  </si>
  <si>
    <t>순위</t>
    <phoneticPr fontId="23" type="noConversion"/>
  </si>
  <si>
    <t>점수합계</t>
    <phoneticPr fontId="23" type="noConversion"/>
  </si>
  <si>
    <t>불량</t>
    <phoneticPr fontId="23" type="noConversion"/>
  </si>
  <si>
    <t>Scrap</t>
    <phoneticPr fontId="23" type="noConversion"/>
  </si>
  <si>
    <t>반품</t>
    <phoneticPr fontId="23" type="noConversion"/>
  </si>
  <si>
    <t>비가동</t>
    <phoneticPr fontId="23" type="noConversion"/>
  </si>
  <si>
    <t>CPL</t>
    <phoneticPr fontId="34" type="noConversion"/>
  </si>
  <si>
    <t>CRM</t>
    <phoneticPr fontId="23" type="noConversion"/>
  </si>
  <si>
    <t>1-1. 불량발생 현황</t>
    <phoneticPr fontId="23" type="noConversion"/>
  </si>
  <si>
    <t>점수</t>
    <phoneticPr fontId="23" type="noConversion"/>
  </si>
  <si>
    <t>1-2. Scrap 발생현황</t>
    <phoneticPr fontId="23" type="noConversion"/>
  </si>
  <si>
    <t>CGL</t>
    <phoneticPr fontId="23" type="noConversion"/>
  </si>
  <si>
    <t>1CCL</t>
    <phoneticPr fontId="34" type="noConversion"/>
  </si>
  <si>
    <t>2CCL</t>
    <phoneticPr fontId="34" type="noConversion"/>
  </si>
  <si>
    <t>1-3. 반품 현황</t>
    <phoneticPr fontId="23" type="noConversion"/>
  </si>
  <si>
    <t>불량</t>
    <phoneticPr fontId="23" type="noConversion"/>
  </si>
  <si>
    <t>점수</t>
    <phoneticPr fontId="23" type="noConversion"/>
  </si>
  <si>
    <t>비고</t>
    <phoneticPr fontId="23" type="noConversion"/>
  </si>
  <si>
    <t>1-4. 조업 비가동 시간(Min)현황</t>
    <phoneticPr fontId="23" type="noConversion"/>
  </si>
  <si>
    <t>2017년 
월평균 실적</t>
    <phoneticPr fontId="23" type="noConversion"/>
  </si>
  <si>
    <t>오더전환</t>
  </si>
  <si>
    <t>17년</t>
  </si>
  <si>
    <t>11월</t>
    <phoneticPr fontId="23" type="noConversion"/>
  </si>
  <si>
    <t>18년</t>
  </si>
  <si>
    <t>원/ton</t>
    <phoneticPr fontId="23" type="noConversion"/>
  </si>
  <si>
    <t>18년</t>
    <phoneticPr fontId="23" type="noConversion"/>
  </si>
  <si>
    <t>18년 목표</t>
    <phoneticPr fontId="23" type="noConversion"/>
  </si>
  <si>
    <t>시간 Loss 금액</t>
  </si>
  <si>
    <t>건수당 금액</t>
  </si>
  <si>
    <t>COLOR GI</t>
  </si>
  <si>
    <t>구분</t>
    <phoneticPr fontId="23" type="noConversion"/>
  </si>
  <si>
    <t>1월~6월</t>
    <phoneticPr fontId="23" type="noConversion"/>
  </si>
  <si>
    <t>7월~12월</t>
    <phoneticPr fontId="23" type="noConversion"/>
  </si>
  <si>
    <t>합계</t>
    <phoneticPr fontId="23" type="noConversion"/>
  </si>
  <si>
    <t>계획시간</t>
    <phoneticPr fontId="23" type="noConversion"/>
  </si>
  <si>
    <t>가동시간</t>
    <phoneticPr fontId="23" type="noConversion"/>
  </si>
  <si>
    <t>18년
목표금액</t>
    <phoneticPr fontId="34" type="noConversion"/>
  </si>
  <si>
    <t>2017년 계</t>
  </si>
  <si>
    <t>17년
실적</t>
  </si>
  <si>
    <t>생산량</t>
    <phoneticPr fontId="34" type="noConversion"/>
  </si>
  <si>
    <t>TON</t>
    <phoneticPr fontId="34" type="noConversion"/>
  </si>
  <si>
    <t>493,782원/ton</t>
    <phoneticPr fontId="34" type="noConversion"/>
  </si>
  <si>
    <t>17년
실적</t>
    <phoneticPr fontId="23" type="noConversion"/>
  </si>
  <si>
    <t>항목</t>
  </si>
  <si>
    <t>건수</t>
  </si>
  <si>
    <t>PL301</t>
  </si>
  <si>
    <t>RM301</t>
  </si>
  <si>
    <t>GL301</t>
  </si>
  <si>
    <t>CL301</t>
  </si>
  <si>
    <t>SL301</t>
  </si>
  <si>
    <t>SH301</t>
  </si>
  <si>
    <t>CL302</t>
  </si>
  <si>
    <t>1~6</t>
    <phoneticPr fontId="23" type="noConversion"/>
  </si>
  <si>
    <t>7~12</t>
    <phoneticPr fontId="23" type="noConversion"/>
  </si>
  <si>
    <t>14년
실적</t>
    <phoneticPr fontId="23" type="noConversion"/>
  </si>
  <si>
    <t>18년 목표</t>
    <phoneticPr fontId="23" type="noConversion"/>
  </si>
  <si>
    <t>Scrap(Coil형)</t>
    <phoneticPr fontId="23" type="noConversion"/>
  </si>
  <si>
    <t>Scrap(Sheet 형)</t>
    <phoneticPr fontId="23" type="noConversion"/>
  </si>
  <si>
    <t>고장시간</t>
    <phoneticPr fontId="23" type="noConversion"/>
  </si>
  <si>
    <t>AIR KNIFE</t>
    <phoneticPr fontId="23" type="noConversion"/>
  </si>
  <si>
    <t>원/ton</t>
    <phoneticPr fontId="23" type="noConversion"/>
  </si>
  <si>
    <t>소모품</t>
    <phoneticPr fontId="23" type="noConversion"/>
  </si>
  <si>
    <t>Φ310 → Φ272 연마</t>
    <phoneticPr fontId="23" type="noConversion"/>
  </si>
  <si>
    <t>모든 Air Knife관련</t>
    <phoneticPr fontId="23" type="noConversion"/>
  </si>
  <si>
    <t>TON</t>
    <phoneticPr fontId="23" type="noConversion"/>
  </si>
  <si>
    <t>성과개선</t>
    <phoneticPr fontId="23" type="noConversion"/>
  </si>
  <si>
    <t>금액</t>
    <phoneticPr fontId="23" type="noConversion"/>
  </si>
  <si>
    <t>건수</t>
    <phoneticPr fontId="23" type="noConversion"/>
  </si>
  <si>
    <t>원</t>
    <phoneticPr fontId="34" type="noConversion"/>
  </si>
  <si>
    <t>건</t>
    <phoneticPr fontId="23" type="noConversion"/>
  </si>
  <si>
    <t>소모품</t>
    <phoneticPr fontId="23" type="noConversion"/>
  </si>
  <si>
    <t>KNIFE</t>
    <phoneticPr fontId="23" type="noConversion"/>
  </si>
  <si>
    <t>원/TON</t>
    <phoneticPr fontId="23" type="noConversion"/>
  </si>
  <si>
    <t>주요설비</t>
    <phoneticPr fontId="34" type="noConversion"/>
  </si>
  <si>
    <t>kg/ton</t>
    <phoneticPr fontId="34" type="noConversion"/>
  </si>
  <si>
    <t>합계</t>
    <phoneticPr fontId="23" type="noConversion"/>
  </si>
  <si>
    <t>TON</t>
    <phoneticPr fontId="23" type="noConversion"/>
  </si>
  <si>
    <t>총계</t>
    <phoneticPr fontId="23" type="noConversion"/>
  </si>
  <si>
    <t>TON</t>
    <phoneticPr fontId="23" type="noConversion"/>
  </si>
  <si>
    <t>총계</t>
    <phoneticPr fontId="34" type="noConversion"/>
  </si>
  <si>
    <t>F/H Sheet</t>
    <phoneticPr fontId="23" type="noConversion"/>
  </si>
  <si>
    <t>작동유</t>
    <phoneticPr fontId="23" type="noConversion"/>
  </si>
  <si>
    <t>ton</t>
    <phoneticPr fontId="23" type="noConversion"/>
  </si>
  <si>
    <t>총계</t>
    <phoneticPr fontId="23" type="noConversion"/>
  </si>
  <si>
    <t>총계</t>
    <phoneticPr fontId="34" type="noConversion"/>
  </si>
  <si>
    <t>코팅롤 피복및연마</t>
    <phoneticPr fontId="23" type="noConversion"/>
  </si>
  <si>
    <t>ton</t>
    <phoneticPr fontId="23" type="noConversion"/>
  </si>
  <si>
    <t>조업</t>
    <phoneticPr fontId="23" type="noConversion"/>
  </si>
  <si>
    <t>1CCL</t>
    <phoneticPr fontId="23" type="noConversion"/>
  </si>
  <si>
    <t>2CCL</t>
    <phoneticPr fontId="23" type="noConversion"/>
  </si>
  <si>
    <t>건수</t>
    <phoneticPr fontId="23" type="noConversion"/>
  </si>
  <si>
    <t>비가동</t>
    <phoneticPr fontId="23" type="noConversion"/>
  </si>
  <si>
    <t>기계</t>
    <phoneticPr fontId="23" type="noConversion"/>
  </si>
  <si>
    <t>전기</t>
    <phoneticPr fontId="23" type="noConversion"/>
  </si>
  <si>
    <t>시간(HR)</t>
  </si>
  <si>
    <t>시간(HR)</t>
    <phoneticPr fontId="23" type="noConversion"/>
  </si>
  <si>
    <t>비가동</t>
    <phoneticPr fontId="23" type="noConversion"/>
  </si>
  <si>
    <t>사급 (B,C급 포장재)</t>
    <phoneticPr fontId="34" type="noConversion"/>
  </si>
  <si>
    <t>*. 사급 : B, C급 제품을 포장자재 용도로 변경하는 금액을 말함</t>
    <phoneticPr fontId="23" type="noConversion"/>
  </si>
  <si>
    <t>원/ton</t>
    <phoneticPr fontId="23" type="noConversion"/>
  </si>
  <si>
    <t>ℓ/ton</t>
    <phoneticPr fontId="23" type="noConversion"/>
  </si>
  <si>
    <t>소모품 총비용</t>
    <phoneticPr fontId="34" type="noConversion"/>
  </si>
  <si>
    <t>소모품 총비용</t>
    <phoneticPr fontId="23" type="noConversion"/>
  </si>
  <si>
    <t>M</t>
    <phoneticPr fontId="23" type="noConversion"/>
  </si>
  <si>
    <t>고객불만</t>
    <phoneticPr fontId="23" type="noConversion"/>
  </si>
  <si>
    <t>반품</t>
    <phoneticPr fontId="23" type="noConversion"/>
  </si>
  <si>
    <t>1월</t>
    <phoneticPr fontId="23" type="noConversion"/>
  </si>
  <si>
    <t>고객불만</t>
    <phoneticPr fontId="23" type="noConversion"/>
  </si>
  <si>
    <t>W/R</t>
  </si>
  <si>
    <t>I.M.R</t>
  </si>
  <si>
    <t>B.U.R</t>
  </si>
  <si>
    <t>ml/ton</t>
  </si>
  <si>
    <t>923원/ton</t>
    <phoneticPr fontId="34" type="noConversion"/>
  </si>
  <si>
    <t>2018 투입</t>
    <phoneticPr fontId="23" type="noConversion"/>
  </si>
  <si>
    <t>18년 A급</t>
    <phoneticPr fontId="23" type="noConversion"/>
  </si>
  <si>
    <t xml:space="preserve">Φ310→Φ270, </t>
    <phoneticPr fontId="23" type="noConversion"/>
  </si>
  <si>
    <t>3-3. 기계 설비 개선(사무)</t>
    <phoneticPr fontId="23" type="noConversion"/>
  </si>
  <si>
    <t>진행률</t>
    <phoneticPr fontId="34" type="noConversion"/>
  </si>
  <si>
    <t>3-3. 기계 설비 개선(아이엠텍)</t>
    <phoneticPr fontId="23" type="noConversion"/>
  </si>
  <si>
    <t>비  고</t>
    <phoneticPr fontId="34" type="noConversion"/>
  </si>
  <si>
    <t>기계고장
건수금액</t>
    <phoneticPr fontId="23" type="noConversion"/>
  </si>
  <si>
    <t>전기고장
건수금액</t>
    <phoneticPr fontId="23" type="noConversion"/>
  </si>
  <si>
    <t>재처리(월)</t>
    <phoneticPr fontId="34" type="noConversion"/>
  </si>
  <si>
    <t>CRM 시간당 톤파워 : 40톤*3(재처리 1~2PASS, 정상작업 3~6PASS)</t>
    <phoneticPr fontId="23" type="noConversion"/>
  </si>
  <si>
    <t>월목표</t>
    <phoneticPr fontId="23" type="noConversion"/>
  </si>
  <si>
    <t>월목표</t>
    <phoneticPr fontId="23" type="noConversion"/>
  </si>
  <si>
    <t>계획</t>
    <phoneticPr fontId="34" type="noConversion"/>
  </si>
  <si>
    <t>공장 합계</t>
    <phoneticPr fontId="23" type="noConversion"/>
  </si>
  <si>
    <t>18년 실적</t>
    <phoneticPr fontId="34" type="noConversion"/>
  </si>
  <si>
    <t>CGL(GI)</t>
  </si>
  <si>
    <t>CGL(F/H)</t>
  </si>
  <si>
    <t>구분</t>
    <phoneticPr fontId="23" type="noConversion"/>
  </si>
  <si>
    <t>스크랩 원인</t>
    <phoneticPr fontId="23" type="noConversion"/>
  </si>
  <si>
    <t>중량</t>
    <phoneticPr fontId="23" type="noConversion"/>
  </si>
  <si>
    <t>노트리밍 38톤, 홀 5톤</t>
    <phoneticPr fontId="23" type="noConversion"/>
  </si>
  <si>
    <t>합계</t>
    <phoneticPr fontId="23" type="noConversion"/>
  </si>
  <si>
    <t>미/과산세 9.7톤, X-RAY 이상 6.32톤</t>
    <phoneticPr fontId="23" type="noConversion"/>
  </si>
  <si>
    <t>WELDER 8.11톤, PINCH 11.12톤</t>
    <phoneticPr fontId="23" type="noConversion"/>
  </si>
  <si>
    <t>14년
실적</t>
    <phoneticPr fontId="34" type="noConversion"/>
  </si>
  <si>
    <t>보호필름 재고현황
지표현황</t>
    <phoneticPr fontId="23" type="noConversion"/>
  </si>
  <si>
    <t>1CCL</t>
    <phoneticPr fontId="23" type="noConversion"/>
  </si>
  <si>
    <t>1. 라인별 특이사항</t>
    <phoneticPr fontId="23" type="noConversion"/>
  </si>
  <si>
    <t>순서</t>
    <phoneticPr fontId="23" type="noConversion"/>
  </si>
  <si>
    <t>CPL</t>
    <phoneticPr fontId="23" type="noConversion"/>
  </si>
  <si>
    <t>CRM</t>
    <phoneticPr fontId="23" type="noConversion"/>
  </si>
  <si>
    <t>CGL</t>
    <phoneticPr fontId="23" type="noConversion"/>
  </si>
  <si>
    <t>1CCL</t>
    <phoneticPr fontId="23" type="noConversion"/>
  </si>
  <si>
    <t>2CCL</t>
    <phoneticPr fontId="23" type="noConversion"/>
  </si>
  <si>
    <t>설비</t>
    <phoneticPr fontId="23" type="noConversion"/>
  </si>
  <si>
    <t>구분</t>
    <phoneticPr fontId="23" type="noConversion"/>
  </si>
  <si>
    <t>혁신</t>
    <phoneticPr fontId="23" type="noConversion"/>
  </si>
  <si>
    <t>비고</t>
    <phoneticPr fontId="23" type="noConversion"/>
  </si>
  <si>
    <t>주요 안건</t>
    <phoneticPr fontId="23" type="noConversion"/>
  </si>
  <si>
    <t>재처리</t>
    <phoneticPr fontId="23" type="noConversion"/>
  </si>
  <si>
    <t>TON</t>
    <phoneticPr fontId="23" type="noConversion"/>
  </si>
  <si>
    <t>재처리</t>
    <phoneticPr fontId="23" type="noConversion"/>
  </si>
  <si>
    <t>TON</t>
    <phoneticPr fontId="23" type="noConversion"/>
  </si>
  <si>
    <t>원/TON</t>
    <phoneticPr fontId="23" type="noConversion"/>
  </si>
  <si>
    <t>대상 steam tank 보상(cpl 70%, 2ccl 30%)</t>
    <phoneticPr fontId="23" type="noConversion"/>
  </si>
  <si>
    <t>실제 중량</t>
    <phoneticPr fontId="23" type="noConversion"/>
  </si>
  <si>
    <t>CPL
초파</t>
    <phoneticPr fontId="23" type="noConversion"/>
  </si>
  <si>
    <t>CPL
S + C</t>
    <phoneticPr fontId="23" type="noConversion"/>
  </si>
  <si>
    <t>CRM
Sheet형</t>
    <phoneticPr fontId="23" type="noConversion"/>
  </si>
  <si>
    <t>GI 
COIL형</t>
    <phoneticPr fontId="23" type="noConversion"/>
  </si>
  <si>
    <t>수입 GI
Coil형</t>
  </si>
  <si>
    <t>수입 GI
Coil형</t>
    <phoneticPr fontId="23" type="noConversion"/>
  </si>
  <si>
    <t>CCL 
Sheet형</t>
  </si>
  <si>
    <t>CCL 
Sheet형</t>
    <phoneticPr fontId="23" type="noConversion"/>
  </si>
  <si>
    <t>CCL 
Coil형</t>
  </si>
  <si>
    <t>CCL 
Coil형</t>
    <phoneticPr fontId="23" type="noConversion"/>
  </si>
  <si>
    <t>매출</t>
    <phoneticPr fontId="23" type="noConversion"/>
  </si>
  <si>
    <t>CCL
인출</t>
    <phoneticPr fontId="23" type="noConversion"/>
  </si>
  <si>
    <t>CGL 인출</t>
    <phoneticPr fontId="23" type="noConversion"/>
  </si>
  <si>
    <t>F/H
인출</t>
    <phoneticPr fontId="23" type="noConversion"/>
  </si>
  <si>
    <t>ton</t>
    <phoneticPr fontId="23" type="noConversion"/>
  </si>
  <si>
    <t>ton(월)</t>
    <phoneticPr fontId="23" type="noConversion"/>
  </si>
  <si>
    <t>입출측 SHEET형</t>
  </si>
  <si>
    <t>COIL형 SCRAP</t>
  </si>
  <si>
    <t>C급인출 SCRAP</t>
  </si>
  <si>
    <t>-</t>
  </si>
  <si>
    <t>Scrap</t>
    <phoneticPr fontId="34" type="noConversion"/>
  </si>
  <si>
    <t>합계</t>
    <phoneticPr fontId="23" type="noConversion"/>
  </si>
  <si>
    <t>Coil형 스크랩</t>
    <phoneticPr fontId="23" type="noConversion"/>
  </si>
  <si>
    <t>SCRAP율</t>
    <phoneticPr fontId="23" type="noConversion"/>
  </si>
  <si>
    <t>SHEET SCRAP</t>
    <phoneticPr fontId="23" type="noConversion"/>
  </si>
  <si>
    <t>판매 SCRAP율</t>
    <phoneticPr fontId="34" type="noConversion"/>
  </si>
  <si>
    <t>TON</t>
    <phoneticPr fontId="23" type="noConversion"/>
  </si>
  <si>
    <t>SCRAP율</t>
    <phoneticPr fontId="34" type="noConversion"/>
  </si>
  <si>
    <t>1월</t>
    <phoneticPr fontId="23" type="noConversion"/>
  </si>
  <si>
    <t>개선건수</t>
    <phoneticPr fontId="23" type="noConversion"/>
  </si>
  <si>
    <t>개선금액</t>
    <phoneticPr fontId="23" type="noConversion"/>
  </si>
  <si>
    <t>목표</t>
    <phoneticPr fontId="23" type="noConversion"/>
  </si>
  <si>
    <t>누적</t>
    <phoneticPr fontId="23" type="noConversion"/>
  </si>
  <si>
    <t>총합계</t>
    <phoneticPr fontId="23" type="noConversion"/>
  </si>
  <si>
    <t>누적</t>
    <phoneticPr fontId="23" type="noConversion"/>
  </si>
  <si>
    <t>누적합계</t>
    <phoneticPr fontId="23" type="noConversion"/>
  </si>
  <si>
    <t>기타</t>
    <phoneticPr fontId="23" type="noConversion"/>
  </si>
  <si>
    <t>생산원인</t>
    <phoneticPr fontId="23" type="noConversion"/>
  </si>
  <si>
    <t>14년
실적</t>
    <phoneticPr fontId="23" type="noConversion"/>
  </si>
  <si>
    <t>2월</t>
    <phoneticPr fontId="23" type="noConversion"/>
  </si>
  <si>
    <t>3월</t>
    <phoneticPr fontId="23" type="noConversion"/>
  </si>
  <si>
    <t>종합 가동율</t>
    <phoneticPr fontId="23" type="noConversion"/>
  </si>
  <si>
    <t>최근 3년</t>
  </si>
  <si>
    <t>CPL 톤파워</t>
    <phoneticPr fontId="23" type="noConversion"/>
  </si>
  <si>
    <t>CRM 톤파워</t>
    <phoneticPr fontId="23" type="noConversion"/>
  </si>
  <si>
    <t>CGL 톤파워</t>
    <phoneticPr fontId="23" type="noConversion"/>
  </si>
  <si>
    <t>1CCL 톤파워</t>
    <phoneticPr fontId="23" type="noConversion"/>
  </si>
  <si>
    <t>2CCL 톤파워</t>
    <phoneticPr fontId="23" type="noConversion"/>
  </si>
  <si>
    <t>종합 톤파워</t>
    <phoneticPr fontId="23" type="noConversion"/>
  </si>
  <si>
    <t>17년 1~6월</t>
    <phoneticPr fontId="23" type="noConversion"/>
  </si>
  <si>
    <t>17년 7~ 12월</t>
    <phoneticPr fontId="23" type="noConversion"/>
  </si>
  <si>
    <t>비가동일수</t>
    <phoneticPr fontId="23" type="noConversion"/>
  </si>
  <si>
    <t>385,000원(ℓ당)/200ℓ</t>
    <phoneticPr fontId="23" type="noConversion"/>
  </si>
  <si>
    <t>ℓ/ton</t>
    <phoneticPr fontId="34" type="noConversion"/>
  </si>
  <si>
    <t>12월(금액)</t>
    <phoneticPr fontId="23" type="noConversion"/>
  </si>
  <si>
    <t>11월(금액)</t>
    <phoneticPr fontId="23" type="noConversion"/>
  </si>
  <si>
    <t>10월(금액)</t>
    <phoneticPr fontId="23" type="noConversion"/>
  </si>
  <si>
    <t>월목표</t>
    <phoneticPr fontId="23" type="noConversion"/>
  </si>
  <si>
    <t>월목표</t>
    <phoneticPr fontId="23" type="noConversion"/>
  </si>
  <si>
    <t>월목표</t>
    <phoneticPr fontId="23" type="noConversion"/>
  </si>
  <si>
    <t>CPL철판 후프 뺀 중량(2018년 적용)</t>
    <phoneticPr fontId="23" type="noConversion"/>
  </si>
  <si>
    <t>경철</t>
    <phoneticPr fontId="23" type="noConversion"/>
  </si>
  <si>
    <t>ton</t>
    <phoneticPr fontId="23" type="noConversion"/>
  </si>
  <si>
    <t>SCRAP율</t>
    <phoneticPr fontId="34" type="noConversion"/>
  </si>
  <si>
    <t>경철(Sheet 판매)</t>
    <phoneticPr fontId="23" type="noConversion"/>
  </si>
  <si>
    <t>코일형 스크랩 경철에 포함</t>
    <phoneticPr fontId="23" type="noConversion"/>
  </si>
  <si>
    <t>스크랩 경철에 코일형 스크랩과 인출코일 포함된 중량임</t>
    <phoneticPr fontId="23" type="noConversion"/>
  </si>
  <si>
    <t>실가동율</t>
    <phoneticPr fontId="23" type="noConversion"/>
  </si>
  <si>
    <t>4월</t>
    <phoneticPr fontId="23" type="noConversion"/>
  </si>
  <si>
    <t>비가동일수</t>
  </si>
  <si>
    <t>CPL 가동율</t>
  </si>
  <si>
    <t>CRM 가동율</t>
  </si>
  <si>
    <t>CGL 가동율</t>
  </si>
  <si>
    <t>1CCL 가동율</t>
  </si>
  <si>
    <t>2CCL 가동율</t>
  </si>
  <si>
    <t>종합 가동율</t>
  </si>
  <si>
    <t>1월</t>
    <phoneticPr fontId="23" type="noConversion"/>
  </si>
  <si>
    <t>16년</t>
    <phoneticPr fontId="23" type="noConversion"/>
  </si>
  <si>
    <t>15년</t>
    <phoneticPr fontId="23" type="noConversion"/>
  </si>
  <si>
    <t>비가동일수</t>
    <phoneticPr fontId="23" type="noConversion"/>
  </si>
  <si>
    <t>CPL</t>
    <phoneticPr fontId="23" type="noConversion"/>
  </si>
  <si>
    <t>CRM</t>
    <phoneticPr fontId="23" type="noConversion"/>
  </si>
  <si>
    <t>CGL</t>
    <phoneticPr fontId="23" type="noConversion"/>
  </si>
  <si>
    <t>1CCL</t>
    <phoneticPr fontId="23" type="noConversion"/>
  </si>
  <si>
    <t>2CCL</t>
    <phoneticPr fontId="23" type="noConversion"/>
  </si>
  <si>
    <t>누적</t>
    <phoneticPr fontId="23" type="noConversion"/>
  </si>
  <si>
    <t>월실적</t>
    <phoneticPr fontId="23" type="noConversion"/>
  </si>
  <si>
    <t>전월누적</t>
    <phoneticPr fontId="23" type="noConversion"/>
  </si>
  <si>
    <t>3월 누적</t>
    <phoneticPr fontId="23" type="noConversion"/>
  </si>
  <si>
    <t>CGL</t>
    <phoneticPr fontId="23" type="noConversion"/>
  </si>
  <si>
    <t>6월</t>
    <phoneticPr fontId="23" type="noConversion"/>
  </si>
  <si>
    <t>비고) Utility &amp; SSCL 개선은 2CCL에 일괄등록</t>
    <phoneticPr fontId="23" type="noConversion"/>
  </si>
  <si>
    <t>수입GI 인출</t>
    <phoneticPr fontId="23" type="noConversion"/>
  </si>
  <si>
    <t>7월(지표)</t>
    <phoneticPr fontId="23" type="noConversion"/>
  </si>
  <si>
    <t>3. 라인별 주요 원단위 실적</t>
    <phoneticPr fontId="23" type="noConversion"/>
  </si>
  <si>
    <t>8월</t>
    <phoneticPr fontId="23" type="noConversion"/>
  </si>
  <si>
    <t>구 분</t>
    <phoneticPr fontId="34" type="noConversion"/>
  </si>
  <si>
    <t>계획</t>
    <phoneticPr fontId="34" type="noConversion"/>
  </si>
  <si>
    <t>16년</t>
    <phoneticPr fontId="23" type="noConversion"/>
  </si>
  <si>
    <t>월목표</t>
    <phoneticPr fontId="23" type="noConversion"/>
  </si>
  <si>
    <t>1월(지표)</t>
    <phoneticPr fontId="34" type="noConversion"/>
  </si>
  <si>
    <t>CPL
비가동</t>
    <phoneticPr fontId="23" type="noConversion"/>
  </si>
  <si>
    <t>조업</t>
    <phoneticPr fontId="23" type="noConversion"/>
  </si>
  <si>
    <t>기계</t>
    <phoneticPr fontId="23" type="noConversion"/>
  </si>
  <si>
    <t>전기</t>
    <phoneticPr fontId="23" type="noConversion"/>
  </si>
  <si>
    <t>CRM
비가동</t>
    <phoneticPr fontId="23" type="noConversion"/>
  </si>
  <si>
    <t>CGL
비가동</t>
    <phoneticPr fontId="23" type="noConversion"/>
  </si>
  <si>
    <t>1CCL
비가동</t>
    <phoneticPr fontId="23" type="noConversion"/>
  </si>
  <si>
    <t>2CCL
비가동</t>
    <phoneticPr fontId="23" type="noConversion"/>
  </si>
  <si>
    <t>합계</t>
    <phoneticPr fontId="23" type="noConversion"/>
  </si>
  <si>
    <t>총합계</t>
    <phoneticPr fontId="23" type="noConversion"/>
  </si>
  <si>
    <t>이론가동율</t>
    <phoneticPr fontId="23" type="noConversion"/>
  </si>
  <si>
    <t>구분</t>
    <phoneticPr fontId="23" type="noConversion"/>
  </si>
  <si>
    <t>성과개선 금액</t>
    <phoneticPr fontId="23" type="noConversion"/>
  </si>
  <si>
    <t>LNG절감 금액</t>
    <phoneticPr fontId="23" type="noConversion"/>
  </si>
  <si>
    <t>총 개선금액</t>
    <phoneticPr fontId="23" type="noConversion"/>
  </si>
  <si>
    <t>불량</t>
  </si>
  <si>
    <t>CGL 불량 발생 현황</t>
  </si>
  <si>
    <t>1CCL 불량 발생 현황</t>
  </si>
  <si>
    <t>2CCL 불량 발생 현황</t>
  </si>
  <si>
    <t>누적</t>
    <phoneticPr fontId="23" type="noConversion"/>
  </si>
  <si>
    <t>(A급 금액 - C급 금액)</t>
    <phoneticPr fontId="23" type="noConversion"/>
  </si>
  <si>
    <t>(감가삼각+유틸리티)</t>
    <phoneticPr fontId="23" type="noConversion"/>
  </si>
  <si>
    <t>(개선금액*건수당 발생스크랩량)</t>
    <phoneticPr fontId="23" type="noConversion"/>
  </si>
  <si>
    <t>10월</t>
    <phoneticPr fontId="23" type="noConversion"/>
  </si>
  <si>
    <t>9월</t>
    <phoneticPr fontId="23" type="noConversion"/>
  </si>
  <si>
    <t>11월</t>
    <phoneticPr fontId="23" type="noConversion"/>
  </si>
  <si>
    <t>누적</t>
  </si>
  <si>
    <t>합계</t>
    <phoneticPr fontId="23" type="noConversion"/>
  </si>
  <si>
    <t>2018년 
월평균 실적</t>
    <phoneticPr fontId="23" type="noConversion"/>
  </si>
  <si>
    <t>증감(17년-18년)</t>
    <phoneticPr fontId="23" type="noConversion"/>
  </si>
  <si>
    <t>1-1. 수율발생 현황</t>
    <phoneticPr fontId="23" type="noConversion"/>
  </si>
  <si>
    <t>점수 계산식
증감/17실적 X 25점</t>
    <phoneticPr fontId="23" type="noConversion"/>
  </si>
  <si>
    <t>1-3. 톤파워 현황</t>
    <phoneticPr fontId="23" type="noConversion"/>
  </si>
  <si>
    <t>증감(17년-18년)</t>
    <phoneticPr fontId="23" type="noConversion"/>
  </si>
  <si>
    <t>증감(18년-17년)</t>
    <phoneticPr fontId="23" type="noConversion"/>
  </si>
  <si>
    <r>
      <t>1. 18년 라인별 생산성 향상 점수</t>
    </r>
    <r>
      <rPr>
        <b/>
        <sz val="14"/>
        <color rgb="FFFF0000"/>
        <rFont val="맑은 고딕"/>
        <family val="3"/>
        <charset val="129"/>
        <scheme val="minor"/>
      </rPr>
      <t>(LOSS 기준 : 불량, Scrap, 반품, 비가동)</t>
    </r>
    <phoneticPr fontId="23" type="noConversion"/>
  </si>
  <si>
    <r>
      <t>1. 18년 라인별 생산성 향상 점수</t>
    </r>
    <r>
      <rPr>
        <b/>
        <sz val="14"/>
        <color rgb="FFFF0000"/>
        <rFont val="맑은 고딕"/>
        <family val="3"/>
        <charset val="129"/>
        <scheme val="minor"/>
      </rPr>
      <t>(생산성 기준 : 수율, Scrap, 톤파워, 비가동)</t>
    </r>
    <phoneticPr fontId="23" type="noConversion"/>
  </si>
  <si>
    <t>점수 계산식
증감/18실적 X 25점</t>
    <phoneticPr fontId="23" type="noConversion"/>
  </si>
  <si>
    <t>누적합계</t>
    <phoneticPr fontId="23" type="noConversion"/>
  </si>
  <si>
    <t>전년(2018년)</t>
    <phoneticPr fontId="23" type="noConversion"/>
  </si>
  <si>
    <t>2018년 계</t>
  </si>
  <si>
    <t>19년</t>
    <phoneticPr fontId="23" type="noConversion"/>
  </si>
  <si>
    <t>18년
실적</t>
  </si>
  <si>
    <t>물동계획 = A급 생산량</t>
    <phoneticPr fontId="23" type="noConversion"/>
  </si>
  <si>
    <t>누적합계</t>
    <phoneticPr fontId="23" type="noConversion"/>
  </si>
  <si>
    <t>누적합계</t>
    <phoneticPr fontId="23" type="noConversion"/>
  </si>
  <si>
    <t>누적합계</t>
    <phoneticPr fontId="23" type="noConversion"/>
  </si>
  <si>
    <t>누적합계</t>
    <phoneticPr fontId="23" type="noConversion"/>
  </si>
  <si>
    <t>17년</t>
    <phoneticPr fontId="23" type="noConversion"/>
  </si>
  <si>
    <t>17년</t>
    <phoneticPr fontId="23" type="noConversion"/>
  </si>
  <si>
    <t>코팅롤(우레탄) 피복</t>
    <phoneticPr fontId="23" type="noConversion"/>
  </si>
  <si>
    <t>2019 투입</t>
  </si>
  <si>
    <t>19년 A급</t>
  </si>
  <si>
    <t>2019년 SCRAP 반출 현황</t>
    <phoneticPr fontId="23" type="noConversion"/>
  </si>
  <si>
    <t>GI 160톤, CL 80톤</t>
    <phoneticPr fontId="23" type="noConversion"/>
  </si>
  <si>
    <t>통판</t>
    <phoneticPr fontId="23" type="noConversion"/>
  </si>
  <si>
    <t>TON</t>
    <phoneticPr fontId="23" type="noConversion"/>
  </si>
  <si>
    <t>TON</t>
    <phoneticPr fontId="23" type="noConversion"/>
  </si>
  <si>
    <t>ton</t>
    <phoneticPr fontId="23" type="noConversion"/>
  </si>
  <si>
    <t>ton</t>
    <phoneticPr fontId="23" type="noConversion"/>
  </si>
  <si>
    <t>목표</t>
    <phoneticPr fontId="23" type="noConversion"/>
  </si>
  <si>
    <t>스팀 공금 중단</t>
    <phoneticPr fontId="23" type="noConversion"/>
  </si>
  <si>
    <t>부자재
(재고관리)</t>
    <phoneticPr fontId="23" type="noConversion"/>
  </si>
  <si>
    <t>보호필름</t>
    <phoneticPr fontId="23" type="noConversion"/>
  </si>
  <si>
    <t>지관</t>
    <phoneticPr fontId="23" type="noConversion"/>
  </si>
  <si>
    <t>스키드</t>
    <phoneticPr fontId="23" type="noConversion"/>
  </si>
  <si>
    <t>EA</t>
    <phoneticPr fontId="23" type="noConversion"/>
  </si>
  <si>
    <t>EA</t>
    <phoneticPr fontId="23" type="noConversion"/>
  </si>
  <si>
    <t>페인트 폐기량</t>
    <phoneticPr fontId="23" type="noConversion"/>
  </si>
  <si>
    <t>kg</t>
    <phoneticPr fontId="23" type="noConversion"/>
  </si>
  <si>
    <t>년 페인트 폐기량 관리</t>
    <phoneticPr fontId="23" type="noConversion"/>
  </si>
  <si>
    <t>19년</t>
  </si>
  <si>
    <t>1CCL인출</t>
    <phoneticPr fontId="23" type="noConversion"/>
  </si>
  <si>
    <t>2CCL인출</t>
    <phoneticPr fontId="23" type="noConversion"/>
  </si>
  <si>
    <t>CRM(PO)</t>
    <phoneticPr fontId="23" type="noConversion"/>
  </si>
  <si>
    <t>17년</t>
    <phoneticPr fontId="23" type="noConversion"/>
  </si>
  <si>
    <t>16년</t>
    <phoneticPr fontId="23" type="noConversion"/>
  </si>
  <si>
    <t>15년</t>
    <phoneticPr fontId="23" type="noConversion"/>
  </si>
  <si>
    <t>물류</t>
    <phoneticPr fontId="23" type="noConversion"/>
  </si>
  <si>
    <t>제작년(2017년)</t>
    <phoneticPr fontId="23" type="noConversion"/>
  </si>
  <si>
    <t>구매GI 인출</t>
    <phoneticPr fontId="23" type="noConversion"/>
  </si>
  <si>
    <t>내부GI 인출</t>
    <phoneticPr fontId="23" type="noConversion"/>
  </si>
  <si>
    <t>구매GI 인출</t>
    <phoneticPr fontId="23" type="noConversion"/>
  </si>
  <si>
    <t>18년
실적</t>
    <phoneticPr fontId="34" type="noConversion"/>
  </si>
  <si>
    <t>19년</t>
    <phoneticPr fontId="23" type="noConversion"/>
  </si>
  <si>
    <t>종합 수율
(2015까지
사용)</t>
    <phoneticPr fontId="23" type="noConversion"/>
  </si>
  <si>
    <t>누적</t>
    <phoneticPr fontId="23" type="noConversion"/>
  </si>
  <si>
    <t>누적합계</t>
    <phoneticPr fontId="23" type="noConversion"/>
  </si>
  <si>
    <t>Sheet형
Scrap</t>
    <phoneticPr fontId="23" type="noConversion"/>
  </si>
  <si>
    <t>CPL</t>
    <phoneticPr fontId="23" type="noConversion"/>
  </si>
  <si>
    <t>CRM</t>
    <phoneticPr fontId="23" type="noConversion"/>
  </si>
  <si>
    <t>CGL</t>
    <phoneticPr fontId="23" type="noConversion"/>
  </si>
  <si>
    <t>18년</t>
    <phoneticPr fontId="23" type="noConversion"/>
  </si>
  <si>
    <t>월평균</t>
    <phoneticPr fontId="23" type="noConversion"/>
  </si>
  <si>
    <t>PO인출</t>
    <phoneticPr fontId="23" type="noConversion"/>
  </si>
  <si>
    <t>2018 시간 loss</t>
    <phoneticPr fontId="23" type="noConversion"/>
  </si>
  <si>
    <t>쉬트형</t>
    <phoneticPr fontId="23" type="noConversion"/>
  </si>
  <si>
    <t>F/H 인출</t>
  </si>
  <si>
    <t>TON</t>
  </si>
  <si>
    <t>기존 쉬트+인출 → 쉬트+인출+코일형</t>
    <phoneticPr fontId="23" type="noConversion"/>
  </si>
  <si>
    <t>합계</t>
    <phoneticPr fontId="23" type="noConversion"/>
  </si>
  <si>
    <t>2CCL</t>
    <phoneticPr fontId="23" type="noConversion"/>
  </si>
  <si>
    <t>CGL</t>
    <phoneticPr fontId="23" type="noConversion"/>
  </si>
  <si>
    <t>GI</t>
    <phoneticPr fontId="23" type="noConversion"/>
  </si>
  <si>
    <t>PO</t>
    <phoneticPr fontId="23" type="noConversion"/>
  </si>
  <si>
    <t>PPGI(건재)</t>
    <phoneticPr fontId="23" type="noConversion"/>
  </si>
  <si>
    <t>PPGI(가전)</t>
    <phoneticPr fontId="23" type="noConversion"/>
  </si>
  <si>
    <t>PRINT</t>
    <phoneticPr fontId="23" type="noConversion"/>
  </si>
  <si>
    <t>PPAL</t>
    <phoneticPr fontId="23" type="noConversion"/>
  </si>
  <si>
    <t>VCM</t>
    <phoneticPr fontId="23" type="noConversion"/>
  </si>
  <si>
    <t>생산량
(투입)</t>
    <phoneticPr fontId="34" type="noConversion"/>
  </si>
  <si>
    <t>SHEET(ton)</t>
    <phoneticPr fontId="23" type="noConversion"/>
  </si>
  <si>
    <t>합계</t>
    <phoneticPr fontId="23" type="noConversion"/>
  </si>
  <si>
    <t>18년</t>
    <phoneticPr fontId="23" type="noConversion"/>
  </si>
  <si>
    <t>18년</t>
    <phoneticPr fontId="23" type="noConversion"/>
  </si>
  <si>
    <t>18년 1~6월</t>
    <phoneticPr fontId="23" type="noConversion"/>
  </si>
  <si>
    <t>18년 7~ 12월</t>
    <phoneticPr fontId="23" type="noConversion"/>
  </si>
  <si>
    <t>17년</t>
    <phoneticPr fontId="23" type="noConversion"/>
  </si>
  <si>
    <t>19' 누적</t>
    <phoneticPr fontId="23" type="noConversion"/>
  </si>
  <si>
    <t>출하</t>
    <phoneticPr fontId="23" type="noConversion"/>
  </si>
  <si>
    <t>통판</t>
    <phoneticPr fontId="23" type="noConversion"/>
  </si>
  <si>
    <t>(건수)</t>
    <phoneticPr fontId="23" type="noConversion"/>
  </si>
  <si>
    <t>비고</t>
    <phoneticPr fontId="23" type="noConversion"/>
  </si>
  <si>
    <t>생산팀</t>
    <phoneticPr fontId="23" type="noConversion"/>
  </si>
  <si>
    <t>설비팀</t>
    <phoneticPr fontId="23" type="noConversion"/>
  </si>
  <si>
    <t>업무
지원팀</t>
    <phoneticPr fontId="23" type="noConversion"/>
  </si>
  <si>
    <t>목표
건수</t>
    <phoneticPr fontId="23" type="noConversion"/>
  </si>
  <si>
    <t>완료
건수</t>
    <phoneticPr fontId="23" type="noConversion"/>
  </si>
  <si>
    <t>목표
금액</t>
    <phoneticPr fontId="23" type="noConversion"/>
  </si>
  <si>
    <t>누적
실적</t>
    <phoneticPr fontId="23" type="noConversion"/>
  </si>
  <si>
    <t>(중량)</t>
    <phoneticPr fontId="23" type="noConversion"/>
  </si>
  <si>
    <t>(용도)</t>
    <phoneticPr fontId="23" type="noConversion"/>
  </si>
  <si>
    <t>고객불만</t>
    <phoneticPr fontId="23" type="noConversion"/>
  </si>
  <si>
    <t>CGL</t>
    <phoneticPr fontId="23" type="noConversion"/>
  </si>
  <si>
    <t>1CCL</t>
    <phoneticPr fontId="23" type="noConversion"/>
  </si>
  <si>
    <t>2CCL</t>
    <phoneticPr fontId="23" type="noConversion"/>
  </si>
  <si>
    <t>Ton</t>
    <phoneticPr fontId="23" type="noConversion"/>
  </si>
  <si>
    <t>합계</t>
    <phoneticPr fontId="23" type="noConversion"/>
  </si>
  <si>
    <t>TON</t>
    <phoneticPr fontId="23" type="noConversion"/>
  </si>
  <si>
    <t>통판</t>
    <phoneticPr fontId="23" type="noConversion"/>
  </si>
  <si>
    <t>생산량기준 스크랩율(kg/ton)</t>
    <phoneticPr fontId="23" type="noConversion"/>
  </si>
  <si>
    <t>제품기준 스크랩율(kg/ton)</t>
    <phoneticPr fontId="23" type="noConversion"/>
  </si>
  <si>
    <t>제품생산량</t>
    <phoneticPr fontId="23" type="noConversion"/>
  </si>
  <si>
    <t>스크랩율</t>
    <phoneticPr fontId="23" type="noConversion"/>
  </si>
  <si>
    <t>1월</t>
    <phoneticPr fontId="23" type="noConversion"/>
  </si>
  <si>
    <t>2월</t>
    <phoneticPr fontId="23" type="noConversion"/>
  </si>
  <si>
    <t>스크랩량</t>
    <phoneticPr fontId="23" type="noConversion"/>
  </si>
  <si>
    <t>구분</t>
    <phoneticPr fontId="23" type="noConversion"/>
  </si>
  <si>
    <t>CPL</t>
    <phoneticPr fontId="23" type="noConversion"/>
  </si>
  <si>
    <t>CRM</t>
    <phoneticPr fontId="23" type="noConversion"/>
  </si>
  <si>
    <t>CGL</t>
    <phoneticPr fontId="23" type="noConversion"/>
  </si>
  <si>
    <t>1CCL</t>
    <phoneticPr fontId="23" type="noConversion"/>
  </si>
  <si>
    <t>2CCL</t>
    <phoneticPr fontId="23" type="noConversion"/>
  </si>
  <si>
    <t>포장재
Scrap</t>
    <phoneticPr fontId="23" type="noConversion"/>
  </si>
  <si>
    <t>통판
Scrap</t>
    <phoneticPr fontId="23" type="noConversion"/>
  </si>
  <si>
    <t>SSCL</t>
    <phoneticPr fontId="23" type="noConversion"/>
  </si>
  <si>
    <t>Coil형
Scrap
(출측)</t>
    <phoneticPr fontId="23" type="noConversion"/>
  </si>
  <si>
    <t>인출
Scrap
(입측)</t>
    <phoneticPr fontId="23" type="noConversion"/>
  </si>
  <si>
    <t>통판 Scrap 발생량</t>
    <phoneticPr fontId="23" type="noConversion"/>
  </si>
  <si>
    <t>포장재 Scrap 발생량</t>
    <phoneticPr fontId="23" type="noConversion"/>
  </si>
  <si>
    <t>Coil형 Scrap 발생량</t>
    <phoneticPr fontId="23" type="noConversion"/>
  </si>
  <si>
    <t>Coil형 Scrap 총 발생량</t>
    <phoneticPr fontId="23" type="noConversion"/>
  </si>
  <si>
    <t>Sheet형 Scrap
판매량</t>
    <phoneticPr fontId="23" type="noConversion"/>
  </si>
  <si>
    <t>MES C급 인출</t>
    <phoneticPr fontId="23" type="noConversion"/>
  </si>
  <si>
    <t>MES 공정별 Scrap
및 불량 인출
발생현황</t>
    <phoneticPr fontId="23" type="noConversion"/>
  </si>
  <si>
    <t>수동에 의한
통판 사용
(백청, 불량 등)</t>
    <phoneticPr fontId="23" type="noConversion"/>
  </si>
  <si>
    <t>수동에 의한
포장재 사용</t>
    <phoneticPr fontId="23" type="noConversion"/>
  </si>
  <si>
    <t>19' 누적</t>
    <phoneticPr fontId="23" type="noConversion"/>
  </si>
  <si>
    <t>180원/kg</t>
    <phoneticPr fontId="34" type="noConversion"/>
  </si>
  <si>
    <t>목표시간이 아닌 전체 시간에서 금액을 구함</t>
    <phoneticPr fontId="23" type="noConversion"/>
  </si>
  <si>
    <t>CGL</t>
    <phoneticPr fontId="23" type="noConversion"/>
  </si>
  <si>
    <t>1CCL</t>
    <phoneticPr fontId="23" type="noConversion"/>
  </si>
  <si>
    <t>Kw/TON</t>
    <phoneticPr fontId="34" type="noConversion"/>
  </si>
  <si>
    <t>스크랩율 = (쉬트판매량 + 코일형+c급 인출+ 통판)/생산량</t>
    <phoneticPr fontId="23" type="noConversion"/>
  </si>
  <si>
    <t>포장재</t>
    <phoneticPr fontId="23" type="noConversion"/>
  </si>
  <si>
    <t>ton</t>
    <phoneticPr fontId="23" type="noConversion"/>
  </si>
  <si>
    <t>포장재</t>
    <phoneticPr fontId="23" type="noConversion"/>
  </si>
  <si>
    <t>1월 ~ 2월 절감금액 수정함(2019.05.02)</t>
    <phoneticPr fontId="23" type="noConversion"/>
  </si>
  <si>
    <t>필히입력요망</t>
    <phoneticPr fontId="23" type="noConversion"/>
  </si>
  <si>
    <t>불량 발생현황</t>
    <phoneticPr fontId="23" type="noConversion"/>
  </si>
  <si>
    <t>%</t>
  </si>
  <si>
    <t>백청 1CCL 23.19톤</t>
    <phoneticPr fontId="23" type="noConversion"/>
  </si>
  <si>
    <t>백청 2CCL 31.94톤</t>
    <phoneticPr fontId="23" type="noConversion"/>
  </si>
  <si>
    <t>불량 C급 인출 전량(단판+내부 GI+외부 GI)</t>
    <phoneticPr fontId="23" type="noConversion"/>
  </si>
  <si>
    <t>소모품비</t>
    <phoneticPr fontId="23" type="noConversion"/>
  </si>
  <si>
    <t>수율(인출포함)</t>
    <phoneticPr fontId="23" type="noConversion"/>
  </si>
  <si>
    <t>인출포함
A급 수율</t>
    <phoneticPr fontId="23" type="noConversion"/>
  </si>
  <si>
    <t>라인종합 인출포함 수율</t>
    <phoneticPr fontId="23" type="noConversion"/>
  </si>
  <si>
    <t>제안</t>
    <phoneticPr fontId="23" type="noConversion"/>
  </si>
  <si>
    <t>19년 평균생산량</t>
    <phoneticPr fontId="23" type="noConversion"/>
  </si>
  <si>
    <t>19년 평균스크랩량</t>
    <phoneticPr fontId="23" type="noConversion"/>
  </si>
  <si>
    <t>6월평균생산예상</t>
    <phoneticPr fontId="23" type="noConversion"/>
  </si>
  <si>
    <t>19년 평균생산량</t>
    <phoneticPr fontId="23" type="noConversion"/>
  </si>
  <si>
    <t>19년 평균 스크랩</t>
    <phoneticPr fontId="23" type="noConversion"/>
  </si>
  <si>
    <t>6월예상스크랩</t>
    <phoneticPr fontId="23" type="noConversion"/>
  </si>
  <si>
    <t>코일형</t>
    <phoneticPr fontId="23" type="noConversion"/>
  </si>
  <si>
    <t>쉬트형</t>
    <phoneticPr fontId="23" type="noConversion"/>
  </si>
  <si>
    <t>투입량</t>
    <phoneticPr fontId="23" type="noConversion"/>
  </si>
  <si>
    <t>13년</t>
    <phoneticPr fontId="23" type="noConversion"/>
  </si>
  <si>
    <t>누적금액</t>
    <phoneticPr fontId="23" type="noConversion"/>
  </si>
  <si>
    <t>추가 성과개선 금액</t>
    <phoneticPr fontId="23" type="noConversion"/>
  </si>
  <si>
    <t>계휴일수</t>
    <phoneticPr fontId="23" type="noConversion"/>
  </si>
  <si>
    <t>누적금액</t>
    <phoneticPr fontId="23" type="noConversion"/>
  </si>
  <si>
    <t>16년
실적</t>
    <phoneticPr fontId="23" type="noConversion"/>
  </si>
  <si>
    <t>17년
실적</t>
    <phoneticPr fontId="23" type="noConversion"/>
  </si>
  <si>
    <t>18년
실적</t>
    <phoneticPr fontId="23" type="noConversion"/>
  </si>
  <si>
    <t>Scrap율</t>
    <phoneticPr fontId="34" type="noConversion"/>
  </si>
  <si>
    <t>19년실적</t>
    <phoneticPr fontId="23" type="noConversion"/>
  </si>
  <si>
    <t>7월 미반출량</t>
    <phoneticPr fontId="23" type="noConversion"/>
  </si>
  <si>
    <t xml:space="preserve">쵸퍼 </t>
    <phoneticPr fontId="23" type="noConversion"/>
  </si>
  <si>
    <t>철판</t>
    <phoneticPr fontId="23" type="noConversion"/>
  </si>
  <si>
    <t>CRM 쉬트</t>
    <phoneticPr fontId="23" type="noConversion"/>
  </si>
  <si>
    <t>외부요인</t>
    <phoneticPr fontId="23" type="noConversion"/>
  </si>
  <si>
    <t>내부요인</t>
    <phoneticPr fontId="23" type="noConversion"/>
  </si>
  <si>
    <t>전체불량</t>
    <phoneticPr fontId="23" type="noConversion"/>
  </si>
  <si>
    <t>전체</t>
    <phoneticPr fontId="23" type="noConversion"/>
  </si>
  <si>
    <t>내부요인</t>
    <phoneticPr fontId="23" type="noConversion"/>
  </si>
  <si>
    <t>상반기</t>
    <phoneticPr fontId="23" type="noConversion"/>
  </si>
  <si>
    <t>18년</t>
    <phoneticPr fontId="23" type="noConversion"/>
  </si>
  <si>
    <t>19년
실적</t>
  </si>
  <si>
    <t>월평균</t>
    <phoneticPr fontId="23" type="noConversion"/>
  </si>
  <si>
    <t>19년</t>
    <phoneticPr fontId="23" type="noConversion"/>
  </si>
  <si>
    <t>비가동</t>
    <phoneticPr fontId="23" type="noConversion"/>
  </si>
  <si>
    <t>불량</t>
    <phoneticPr fontId="34" type="noConversion"/>
  </si>
  <si>
    <t>건수</t>
    <phoneticPr fontId="23" type="noConversion"/>
  </si>
  <si>
    <t>시간(Hr)</t>
    <phoneticPr fontId="23" type="noConversion"/>
  </si>
  <si>
    <t>스크랩</t>
    <phoneticPr fontId="23" type="noConversion"/>
  </si>
  <si>
    <t>코일형</t>
    <phoneticPr fontId="23" type="noConversion"/>
  </si>
  <si>
    <t>쉬트형</t>
    <phoneticPr fontId="23" type="noConversion"/>
  </si>
  <si>
    <t>불만</t>
    <phoneticPr fontId="23" type="noConversion"/>
  </si>
  <si>
    <t>반품</t>
    <phoneticPr fontId="23" type="noConversion"/>
  </si>
  <si>
    <t>고객불만</t>
    <phoneticPr fontId="23" type="noConversion"/>
  </si>
  <si>
    <t>총합계</t>
    <phoneticPr fontId="23" type="noConversion"/>
  </si>
  <si>
    <t>Ton</t>
    <phoneticPr fontId="23" type="noConversion"/>
  </si>
  <si>
    <t>불만(건)</t>
    <phoneticPr fontId="23" type="noConversion"/>
  </si>
  <si>
    <t>반품(톤)</t>
    <phoneticPr fontId="23" type="noConversion"/>
  </si>
  <si>
    <t>16년</t>
    <phoneticPr fontId="23" type="noConversion"/>
  </si>
  <si>
    <t>17년</t>
    <phoneticPr fontId="23" type="noConversion"/>
  </si>
  <si>
    <t>Coil형
Scrap
(합계)</t>
    <phoneticPr fontId="23" type="noConversion"/>
  </si>
  <si>
    <t>PO</t>
    <phoneticPr fontId="23" type="noConversion"/>
  </si>
  <si>
    <t>GI</t>
    <phoneticPr fontId="23" type="noConversion"/>
  </si>
  <si>
    <t>PPGI</t>
    <phoneticPr fontId="23" type="noConversion"/>
  </si>
  <si>
    <t>PPAL</t>
    <phoneticPr fontId="23" type="noConversion"/>
  </si>
  <si>
    <t>합계</t>
    <phoneticPr fontId="23" type="noConversion"/>
  </si>
  <si>
    <t>건수</t>
    <phoneticPr fontId="23" type="noConversion"/>
  </si>
  <si>
    <t>제안</t>
  </si>
  <si>
    <t>불량(톤)</t>
  </si>
  <si>
    <t>비가동(건)</t>
  </si>
  <si>
    <t>비가동(시간)</t>
  </si>
  <si>
    <t>CPL(원)</t>
  </si>
  <si>
    <t>CRM(원)</t>
  </si>
  <si>
    <t>CGL(원)</t>
  </si>
  <si>
    <t>1CCL(원)</t>
  </si>
  <si>
    <t>2CCL(원)</t>
  </si>
  <si>
    <t>코일</t>
  </si>
  <si>
    <t>쉬트</t>
  </si>
  <si>
    <t>불만(건)</t>
  </si>
  <si>
    <t>반품(톤)</t>
  </si>
  <si>
    <t>제조
원가</t>
    <phoneticPr fontId="23" type="noConversion"/>
  </si>
  <si>
    <t xml:space="preserve">4대
지표 </t>
    <phoneticPr fontId="23" type="noConversion"/>
  </si>
  <si>
    <t>스크랩
(톤)</t>
    <phoneticPr fontId="23" type="noConversion"/>
  </si>
  <si>
    <t>2018
실적</t>
    <phoneticPr fontId="23" type="noConversion"/>
  </si>
  <si>
    <t>2019
누적</t>
    <phoneticPr fontId="23" type="noConversion"/>
  </si>
  <si>
    <t>2018
월평균</t>
    <phoneticPr fontId="23" type="noConversion"/>
  </si>
  <si>
    <t>2019
월평균</t>
    <phoneticPr fontId="23" type="noConversion"/>
  </si>
  <si>
    <t>총합계</t>
    <phoneticPr fontId="23" type="noConversion"/>
  </si>
  <si>
    <t>합계</t>
    <phoneticPr fontId="23" type="noConversion"/>
  </si>
  <si>
    <t>포장자재</t>
    <phoneticPr fontId="23" type="noConversion"/>
  </si>
  <si>
    <t>통판</t>
    <phoneticPr fontId="23" type="noConversion"/>
  </si>
  <si>
    <t>2016
실적</t>
    <phoneticPr fontId="23" type="noConversion"/>
  </si>
  <si>
    <t>2017
실적</t>
    <phoneticPr fontId="23" type="noConversion"/>
  </si>
  <si>
    <t>자가
소비</t>
    <phoneticPr fontId="23" type="noConversion"/>
  </si>
  <si>
    <t>16년</t>
    <phoneticPr fontId="23" type="noConversion"/>
  </si>
  <si>
    <t>17년</t>
    <phoneticPr fontId="23" type="noConversion"/>
  </si>
  <si>
    <t>18년</t>
    <phoneticPr fontId="23" type="noConversion"/>
  </si>
  <si>
    <t>성과
개선</t>
    <phoneticPr fontId="23" type="noConversion"/>
  </si>
  <si>
    <t>19년
실적</t>
    <phoneticPr fontId="23" type="noConversion"/>
  </si>
  <si>
    <t>코일형
Scrap</t>
    <phoneticPr fontId="23" type="noConversion"/>
  </si>
  <si>
    <t>쉬트형
Scrap</t>
    <phoneticPr fontId="23" type="noConversion"/>
  </si>
  <si>
    <t>비가동</t>
    <phoneticPr fontId="23" type="noConversion"/>
  </si>
  <si>
    <t>시간</t>
    <phoneticPr fontId="23" type="noConversion"/>
  </si>
  <si>
    <t>건</t>
    <phoneticPr fontId="34" type="noConversion"/>
  </si>
  <si>
    <t>Hr</t>
    <phoneticPr fontId="23" type="noConversion"/>
  </si>
  <si>
    <t>Total 월평균</t>
    <phoneticPr fontId="23" type="noConversion"/>
  </si>
  <si>
    <t>Total 합계</t>
    <phoneticPr fontId="23" type="noConversion"/>
  </si>
  <si>
    <t>CGL</t>
    <phoneticPr fontId="23" type="noConversion"/>
  </si>
  <si>
    <t>고객
불만</t>
    <phoneticPr fontId="23" type="noConversion"/>
  </si>
  <si>
    <t>반품</t>
    <phoneticPr fontId="23" type="noConversion"/>
  </si>
  <si>
    <t>건</t>
    <phoneticPr fontId="34" type="noConversion"/>
  </si>
  <si>
    <t>CPL</t>
    <phoneticPr fontId="23" type="noConversion"/>
  </si>
  <si>
    <t>포장재</t>
    <phoneticPr fontId="34" type="noConversion"/>
  </si>
  <si>
    <t>통판</t>
    <phoneticPr fontId="34" type="noConversion"/>
  </si>
  <si>
    <t>구분</t>
    <phoneticPr fontId="23" type="noConversion"/>
  </si>
  <si>
    <t>라인명</t>
    <phoneticPr fontId="34" type="noConversion"/>
  </si>
  <si>
    <t>스크랩</t>
    <phoneticPr fontId="23" type="noConversion"/>
  </si>
  <si>
    <t>비가동</t>
    <phoneticPr fontId="23" type="noConversion"/>
  </si>
  <si>
    <t>고객불만</t>
    <phoneticPr fontId="23" type="noConversion"/>
  </si>
  <si>
    <t>반품</t>
    <phoneticPr fontId="23" type="noConversion"/>
  </si>
  <si>
    <t>건수</t>
    <phoneticPr fontId="23" type="noConversion"/>
  </si>
  <si>
    <t>건</t>
    <phoneticPr fontId="23" type="noConversion"/>
  </si>
  <si>
    <t>Ton</t>
    <phoneticPr fontId="23" type="noConversion"/>
  </si>
  <si>
    <t>CRM</t>
    <phoneticPr fontId="23" type="noConversion"/>
  </si>
  <si>
    <t>CGL</t>
    <phoneticPr fontId="23" type="noConversion"/>
  </si>
  <si>
    <t>1CCL</t>
    <phoneticPr fontId="23" type="noConversion"/>
  </si>
  <si>
    <t>2CCL</t>
    <phoneticPr fontId="23" type="noConversion"/>
  </si>
  <si>
    <t>11월
실적</t>
    <phoneticPr fontId="23" type="noConversion"/>
  </si>
  <si>
    <t>누적합계</t>
    <phoneticPr fontId="23" type="noConversion"/>
  </si>
  <si>
    <t>20년 목표</t>
    <phoneticPr fontId="23" type="noConversion"/>
  </si>
  <si>
    <t>19년
실적</t>
    <phoneticPr fontId="23" type="noConversion"/>
  </si>
  <si>
    <t>19년</t>
    <phoneticPr fontId="23" type="noConversion"/>
  </si>
  <si>
    <t>2019년 계</t>
    <phoneticPr fontId="23" type="noConversion"/>
  </si>
  <si>
    <t>누적합계</t>
    <phoneticPr fontId="23" type="noConversion"/>
  </si>
  <si>
    <t>누적합계</t>
    <phoneticPr fontId="23" type="noConversion"/>
  </si>
  <si>
    <t>19년
실적</t>
    <phoneticPr fontId="23" type="noConversion"/>
  </si>
  <si>
    <t>20년
목표</t>
    <phoneticPr fontId="23" type="noConversion"/>
  </si>
  <si>
    <t>1분기</t>
    <phoneticPr fontId="23" type="noConversion"/>
  </si>
  <si>
    <t>→ 보정계수를 왜 곱함??</t>
    <phoneticPr fontId="23" type="noConversion"/>
  </si>
  <si>
    <t>→(A급+불량)/가동시간</t>
    <phoneticPr fontId="23" type="noConversion"/>
  </si>
  <si>
    <t>2020 투입</t>
  </si>
  <si>
    <t>20년 A급</t>
  </si>
  <si>
    <t>변동비</t>
  </si>
  <si>
    <t>고정비</t>
  </si>
  <si>
    <t>소계</t>
    <phoneticPr fontId="34" type="noConversion"/>
  </si>
  <si>
    <t>CPL</t>
    <phoneticPr fontId="23" type="noConversion"/>
  </si>
  <si>
    <t>CRM</t>
    <phoneticPr fontId="23" type="noConversion"/>
  </si>
  <si>
    <t>CGL</t>
    <phoneticPr fontId="23" type="noConversion"/>
  </si>
  <si>
    <t>1CCL</t>
    <phoneticPr fontId="23" type="noConversion"/>
  </si>
  <si>
    <t>2CCL</t>
    <phoneticPr fontId="23" type="noConversion"/>
  </si>
  <si>
    <t>라인명</t>
    <phoneticPr fontId="23" type="noConversion"/>
  </si>
  <si>
    <t>2018
시간 Loss 금액
(원단위_시간)</t>
    <phoneticPr fontId="34" type="noConversion"/>
  </si>
  <si>
    <t>시간 LOSS 금액</t>
    <phoneticPr fontId="23" type="noConversion"/>
  </si>
  <si>
    <t>고객거절제품</t>
    <phoneticPr fontId="23" type="noConversion"/>
  </si>
  <si>
    <t>고객불만 + 반품 비용 (미처리 비용 포함)
69,000,000(1CL)
42,073,369(2CL)</t>
    <phoneticPr fontId="23" type="noConversion"/>
  </si>
  <si>
    <t>*. 고객불만</t>
    <phoneticPr fontId="23" type="noConversion"/>
  </si>
  <si>
    <t xml:space="preserve"> ① 고객불만비용 CPL</t>
    <phoneticPr fontId="23" type="noConversion"/>
  </si>
  <si>
    <t xml:space="preserve"> ② 고객불만비용 CGL</t>
    <phoneticPr fontId="23" type="noConversion"/>
  </si>
  <si>
    <t xml:space="preserve"> ③ 고객불만비용 1CCL</t>
    <phoneticPr fontId="23" type="noConversion"/>
  </si>
  <si>
    <t xml:space="preserve"> ④ 고객불만비용 2CCL</t>
    <phoneticPr fontId="23" type="noConversion"/>
  </si>
  <si>
    <t>*. 고객반품</t>
    <phoneticPr fontId="23" type="noConversion"/>
  </si>
  <si>
    <t xml:space="preserve"> ① 고객반품비용 CGL</t>
    <phoneticPr fontId="23" type="noConversion"/>
  </si>
  <si>
    <t xml:space="preserve"> ② 고객반품비용 1CCL</t>
    <phoneticPr fontId="23" type="noConversion"/>
  </si>
  <si>
    <t xml:space="preserve"> ③ 고객반품비용 2CCL</t>
    <phoneticPr fontId="23" type="noConversion"/>
  </si>
  <si>
    <t>재작업제품</t>
    <phoneticPr fontId="23" type="noConversion"/>
  </si>
  <si>
    <t>*. 재작업량 CPL</t>
    <phoneticPr fontId="23" type="noConversion"/>
  </si>
  <si>
    <t>*. 재작업량 CRM</t>
    <phoneticPr fontId="23" type="noConversion"/>
  </si>
  <si>
    <t>*. 재작업량 1 CCL</t>
    <phoneticPr fontId="23" type="noConversion"/>
  </si>
  <si>
    <t>*. 재작업량 2 CCL</t>
    <phoneticPr fontId="23" type="noConversion"/>
  </si>
  <si>
    <t>계</t>
    <phoneticPr fontId="23" type="noConversion"/>
  </si>
  <si>
    <t>총 제품매출액</t>
  </si>
  <si>
    <t>월평균</t>
    <phoneticPr fontId="23" type="noConversion"/>
  </si>
  <si>
    <t>부재료</t>
    <phoneticPr fontId="23" type="noConversion"/>
  </si>
  <si>
    <t>유틸리티</t>
    <phoneticPr fontId="23" type="noConversion"/>
  </si>
  <si>
    <t>부착율</t>
    <phoneticPr fontId="23" type="noConversion"/>
  </si>
  <si>
    <t>드로스</t>
  </si>
  <si>
    <t>드로스</t>
    <phoneticPr fontId="23" type="noConversion"/>
  </si>
  <si>
    <t>전력비</t>
    <phoneticPr fontId="23" type="noConversion"/>
  </si>
  <si>
    <t>N㎥/ton</t>
  </si>
  <si>
    <t>LNG</t>
    <phoneticPr fontId="23" type="noConversion"/>
  </si>
  <si>
    <t>20년</t>
    <phoneticPr fontId="23" type="noConversion"/>
  </si>
  <si>
    <t>20년
목표금액</t>
    <phoneticPr fontId="34" type="noConversion"/>
  </si>
  <si>
    <t>20년 실적</t>
    <phoneticPr fontId="34" type="noConversion"/>
  </si>
  <si>
    <t>`</t>
    <phoneticPr fontId="23" type="noConversion"/>
  </si>
  <si>
    <t>20년 실적</t>
    <phoneticPr fontId="34" type="noConversion"/>
  </si>
  <si>
    <t>5. NO 2 CCL 20년 주요 생산 지표 목표 및 개선금액 현황</t>
    <phoneticPr fontId="34" type="noConversion"/>
  </si>
  <si>
    <t>4. NO 1 CCL 20년 주요 생산 지표 목표 및 개선금액 현황</t>
    <phoneticPr fontId="34" type="noConversion"/>
  </si>
  <si>
    <t>3. CGL 20년 주요 생산 지표 목표 및 개선금액 현황</t>
    <phoneticPr fontId="34" type="noConversion"/>
  </si>
  <si>
    <t>2. CRM 20년 주요 생산 지표 목표 및 개선금액 현황</t>
    <phoneticPr fontId="34" type="noConversion"/>
  </si>
  <si>
    <t>1. CPL 20년 주요 생산 지표 목표 및 개선금액 현황</t>
    <phoneticPr fontId="34" type="noConversion"/>
  </si>
  <si>
    <t>19년</t>
    <phoneticPr fontId="23" type="noConversion"/>
  </si>
  <si>
    <t>합계</t>
    <phoneticPr fontId="23" type="noConversion"/>
  </si>
  <si>
    <t>인출
Coil형
Scrap
(입측)</t>
    <phoneticPr fontId="23" type="noConversion"/>
  </si>
  <si>
    <t>Coil형 합계</t>
    <phoneticPr fontId="23" type="noConversion"/>
  </si>
  <si>
    <t>내부소재</t>
    <phoneticPr fontId="23" type="noConversion"/>
  </si>
  <si>
    <t>11월생산량</t>
    <phoneticPr fontId="23" type="noConversion"/>
  </si>
  <si>
    <t>20년물동</t>
    <phoneticPr fontId="23" type="noConversion"/>
  </si>
  <si>
    <t>1칼라</t>
    <phoneticPr fontId="23" type="noConversion"/>
  </si>
  <si>
    <t>구매소재</t>
    <phoneticPr fontId="23" type="noConversion"/>
  </si>
  <si>
    <t>Scrap율</t>
    <phoneticPr fontId="34" type="noConversion"/>
  </si>
  <si>
    <t>Scrap 총합계</t>
    <phoneticPr fontId="23" type="noConversion"/>
  </si>
  <si>
    <t>라인별
부재료</t>
    <phoneticPr fontId="34" type="noConversion"/>
  </si>
  <si>
    <t>염산</t>
    <phoneticPr fontId="34" type="noConversion"/>
  </si>
  <si>
    <t>압연유</t>
    <phoneticPr fontId="23" type="noConversion"/>
  </si>
  <si>
    <t>아연부착량</t>
    <phoneticPr fontId="23" type="noConversion"/>
  </si>
  <si>
    <t>드로스</t>
    <phoneticPr fontId="23" type="noConversion"/>
  </si>
  <si>
    <t>Kg/TON</t>
  </si>
  <si>
    <t>#1페인트</t>
    <phoneticPr fontId="23" type="noConversion"/>
  </si>
  <si>
    <t>#2페인트</t>
    <phoneticPr fontId="23" type="noConversion"/>
  </si>
  <si>
    <t>라인별
부재료</t>
  </si>
  <si>
    <t>염산</t>
  </si>
  <si>
    <t>압연유</t>
  </si>
  <si>
    <t>아연부착량</t>
  </si>
  <si>
    <t>#1페인트</t>
  </si>
  <si>
    <t>#2페인트</t>
  </si>
  <si>
    <t>2,490원/ℓ</t>
    <phoneticPr fontId="23" type="noConversion"/>
  </si>
  <si>
    <t>부재료</t>
    <phoneticPr fontId="23" type="noConversion"/>
  </si>
  <si>
    <t>염산</t>
    <phoneticPr fontId="23" type="noConversion"/>
  </si>
  <si>
    <t>6,000원/kg</t>
    <phoneticPr fontId="34" type="noConversion"/>
  </si>
  <si>
    <t>kg/Ton</t>
    <phoneticPr fontId="23" type="noConversion"/>
  </si>
  <si>
    <t>Kw/Ton</t>
    <phoneticPr fontId="23" type="noConversion"/>
  </si>
  <si>
    <t>전력비</t>
    <phoneticPr fontId="23" type="noConversion"/>
  </si>
  <si>
    <t>#2페인트</t>
    <phoneticPr fontId="23" type="noConversion"/>
  </si>
  <si>
    <t>20년 예상</t>
    <phoneticPr fontId="23" type="noConversion"/>
  </si>
  <si>
    <t>원/Ton</t>
    <phoneticPr fontId="23" type="noConversion"/>
  </si>
  <si>
    <t>CPL</t>
    <phoneticPr fontId="23" type="noConversion"/>
  </si>
  <si>
    <t>CRM</t>
    <phoneticPr fontId="23" type="noConversion"/>
  </si>
  <si>
    <t>CGL</t>
    <phoneticPr fontId="23" type="noConversion"/>
  </si>
  <si>
    <t>1CCL</t>
    <phoneticPr fontId="23" type="noConversion"/>
  </si>
  <si>
    <t>2CCL</t>
    <phoneticPr fontId="23" type="noConversion"/>
  </si>
  <si>
    <t>라인별
제조원가</t>
    <phoneticPr fontId="23" type="noConversion"/>
  </si>
  <si>
    <t>원/ton</t>
    <phoneticPr fontId="23" type="noConversion"/>
  </si>
  <si>
    <t>원/ton</t>
    <phoneticPr fontId="23" type="noConversion"/>
  </si>
  <si>
    <t>원/ton</t>
    <phoneticPr fontId="34" type="noConversion"/>
  </si>
  <si>
    <t>실질 제조원가</t>
    <phoneticPr fontId="23" type="noConversion"/>
  </si>
  <si>
    <t>4대 지표 + 대표 부재료 + 유틸리티 개선 목표</t>
  </si>
  <si>
    <t>4대 LOSS 개선 금액 목표</t>
    <phoneticPr fontId="23" type="noConversion"/>
  </si>
  <si>
    <t>4대 LOSS 개선 금액 목표</t>
    <phoneticPr fontId="23" type="noConversion"/>
  </si>
  <si>
    <t>FH</t>
    <phoneticPr fontId="23" type="noConversion"/>
  </si>
  <si>
    <t>PO</t>
    <phoneticPr fontId="23" type="noConversion"/>
  </si>
  <si>
    <t>건축법개정으로 1년차 정도막 부착</t>
  </si>
  <si>
    <t>전라인 4대 LOSS 개선 금액 목표</t>
    <phoneticPr fontId="23" type="noConversion"/>
  </si>
  <si>
    <t>전라인 4대 지표 + 대표 부재료 + 유틸리티 개선 목표</t>
    <phoneticPr fontId="23" type="noConversion"/>
  </si>
  <si>
    <t>%</t>
    <phoneticPr fontId="23" type="noConversion"/>
  </si>
  <si>
    <t>18년</t>
    <phoneticPr fontId="23" type="noConversion"/>
  </si>
  <si>
    <t>사무실</t>
    <phoneticPr fontId="23" type="noConversion"/>
  </si>
  <si>
    <t>개선금액</t>
    <phoneticPr fontId="23" type="noConversion"/>
  </si>
  <si>
    <t>5CB</t>
    <phoneticPr fontId="23" type="noConversion"/>
  </si>
  <si>
    <t>사무실</t>
    <phoneticPr fontId="23" type="noConversion"/>
  </si>
  <si>
    <t>아이엠텍</t>
    <phoneticPr fontId="23" type="noConversion"/>
  </si>
  <si>
    <t>천원</t>
    <phoneticPr fontId="23" type="noConversion"/>
  </si>
  <si>
    <t>비고</t>
    <phoneticPr fontId="23" type="noConversion"/>
  </si>
  <si>
    <t>구분</t>
    <phoneticPr fontId="23" type="noConversion"/>
  </si>
  <si>
    <t>20년</t>
    <phoneticPr fontId="23" type="noConversion"/>
  </si>
  <si>
    <t>19년</t>
    <phoneticPr fontId="23" type="noConversion"/>
  </si>
  <si>
    <t>`</t>
    <phoneticPr fontId="23" type="noConversion"/>
  </si>
  <si>
    <t>12월생산량</t>
    <phoneticPr fontId="23" type="noConversion"/>
  </si>
  <si>
    <t>17년</t>
    <phoneticPr fontId="23" type="noConversion"/>
  </si>
  <si>
    <t>누적</t>
    <phoneticPr fontId="23" type="noConversion"/>
  </si>
  <si>
    <t>19년</t>
    <phoneticPr fontId="23" type="noConversion"/>
  </si>
  <si>
    <t>18년</t>
    <phoneticPr fontId="23" type="noConversion"/>
  </si>
  <si>
    <t>PO</t>
    <phoneticPr fontId="23" type="noConversion"/>
  </si>
  <si>
    <t>GI</t>
    <phoneticPr fontId="23" type="noConversion"/>
  </si>
  <si>
    <t>PO+GI</t>
    <phoneticPr fontId="23" type="noConversion"/>
  </si>
  <si>
    <t>1CL</t>
    <phoneticPr fontId="23" type="noConversion"/>
  </si>
  <si>
    <t>2CL</t>
    <phoneticPr fontId="23" type="noConversion"/>
  </si>
  <si>
    <t>1CL+2CL</t>
    <phoneticPr fontId="23" type="noConversion"/>
  </si>
  <si>
    <t>혁신지표</t>
    <phoneticPr fontId="23" type="noConversion"/>
  </si>
  <si>
    <t>18년 실적</t>
    <phoneticPr fontId="23" type="noConversion"/>
  </si>
  <si>
    <t>19년 실적</t>
    <phoneticPr fontId="23" type="noConversion"/>
  </si>
  <si>
    <t>20년 목표</t>
    <phoneticPr fontId="23" type="noConversion"/>
  </si>
  <si>
    <t>3-8. 전기(사무) 설비 개선</t>
    <phoneticPr fontId="23" type="noConversion"/>
  </si>
  <si>
    <t>3-8. 전기(5CB) 설비 개선</t>
    <phoneticPr fontId="23" type="noConversion"/>
  </si>
  <si>
    <t>코일형 : 불량인출+출측 코일형(19년부터 변경)</t>
    <phoneticPr fontId="23" type="noConversion"/>
  </si>
  <si>
    <t>재처리</t>
    <phoneticPr fontId="23" type="noConversion"/>
  </si>
  <si>
    <t>Ton</t>
  </si>
  <si>
    <t>Ton</t>
    <phoneticPr fontId="23" type="noConversion"/>
  </si>
  <si>
    <t>톤파워</t>
    <phoneticPr fontId="23" type="noConversion"/>
  </si>
  <si>
    <t>Ton/Hr</t>
  </si>
  <si>
    <t>Ton/Hr</t>
    <phoneticPr fontId="23" type="noConversion"/>
  </si>
  <si>
    <t>재처리</t>
    <phoneticPr fontId="23" type="noConversion"/>
  </si>
  <si>
    <t>CPL</t>
    <phoneticPr fontId="23" type="noConversion"/>
  </si>
  <si>
    <t>CRM</t>
    <phoneticPr fontId="23" type="noConversion"/>
  </si>
  <si>
    <t>CGL</t>
    <phoneticPr fontId="23" type="noConversion"/>
  </si>
  <si>
    <t>1CCL</t>
    <phoneticPr fontId="23" type="noConversion"/>
  </si>
  <si>
    <t>2CCL</t>
    <phoneticPr fontId="23" type="noConversion"/>
  </si>
  <si>
    <t>합계</t>
    <phoneticPr fontId="23" type="noConversion"/>
  </si>
  <si>
    <t>Ton/hr</t>
    <phoneticPr fontId="34" type="noConversion"/>
  </si>
  <si>
    <t>합계</t>
    <phoneticPr fontId="34" type="noConversion"/>
  </si>
  <si>
    <t>소모품비</t>
    <phoneticPr fontId="23" type="noConversion"/>
  </si>
  <si>
    <t>Sheet Scrap 판매량</t>
    <phoneticPr fontId="23" type="noConversion"/>
  </si>
  <si>
    <t>출측 코일형</t>
    <phoneticPr fontId="23" type="noConversion"/>
  </si>
  <si>
    <t>입측 불량인출</t>
    <phoneticPr fontId="23" type="noConversion"/>
  </si>
  <si>
    <t>전산 Sheet형 스크랩</t>
    <phoneticPr fontId="23" type="noConversion"/>
  </si>
  <si>
    <t>1CCL 요인 통판(증복X)</t>
    <phoneticPr fontId="23" type="noConversion"/>
  </si>
  <si>
    <t>1CCL 요인 포장재(중복X)</t>
    <phoneticPr fontId="23" type="noConversion"/>
  </si>
  <si>
    <t>구매 GI 불량 인출</t>
    <phoneticPr fontId="23" type="noConversion"/>
  </si>
  <si>
    <t>내부 GI 불량 인출</t>
    <phoneticPr fontId="23" type="noConversion"/>
  </si>
  <si>
    <t>Sheet제외 스크랩 판매량</t>
    <phoneticPr fontId="23" type="noConversion"/>
  </si>
  <si>
    <t>전체 합계</t>
    <phoneticPr fontId="23" type="noConversion"/>
  </si>
  <si>
    <t>인출+코일형+쉬트형</t>
    <phoneticPr fontId="34" type="noConversion"/>
  </si>
  <si>
    <t>쵸퍼 스크랩</t>
    <phoneticPr fontId="23" type="noConversion"/>
  </si>
  <si>
    <t>쉬트 스크랩</t>
    <phoneticPr fontId="23" type="noConversion"/>
  </si>
  <si>
    <t>코일형 스크랩</t>
    <phoneticPr fontId="23" type="noConversion"/>
  </si>
  <si>
    <t>통판 스크랩</t>
    <phoneticPr fontId="23" type="noConversion"/>
  </si>
  <si>
    <t>총 합계</t>
    <phoneticPr fontId="23" type="noConversion"/>
  </si>
  <si>
    <t>쉬트형 스크랩</t>
    <phoneticPr fontId="23" type="noConversion"/>
  </si>
  <si>
    <t>인출 스크랩</t>
    <phoneticPr fontId="23" type="noConversion"/>
  </si>
  <si>
    <t>코일형 스크랩</t>
    <phoneticPr fontId="23" type="noConversion"/>
  </si>
  <si>
    <t>쉬트형 스크랩</t>
    <phoneticPr fontId="23" type="noConversion"/>
  </si>
  <si>
    <t>통판 스크랩</t>
    <phoneticPr fontId="23" type="noConversion"/>
  </si>
  <si>
    <t>포장재 스크랩</t>
    <phoneticPr fontId="23" type="noConversion"/>
  </si>
  <si>
    <t>인출 스크랩</t>
    <phoneticPr fontId="23" type="noConversion"/>
  </si>
  <si>
    <t>총 합계</t>
    <phoneticPr fontId="23" type="noConversion"/>
  </si>
  <si>
    <t>소모품비</t>
    <phoneticPr fontId="23" type="noConversion"/>
  </si>
  <si>
    <t>ARP 개선금액</t>
    <phoneticPr fontId="23" type="noConversion"/>
  </si>
  <si>
    <t>원</t>
  </si>
  <si>
    <t>원</t>
    <phoneticPr fontId="23" type="noConversion"/>
  </si>
  <si>
    <t>Roll Shop 개선금액</t>
    <phoneticPr fontId="23" type="noConversion"/>
  </si>
  <si>
    <t>건</t>
  </si>
  <si>
    <t>Hr</t>
  </si>
  <si>
    <t>Kw/Ton</t>
  </si>
  <si>
    <t>kg/Ton</t>
  </si>
  <si>
    <t>1CCL 포장 개선금액</t>
    <phoneticPr fontId="23" type="noConversion"/>
  </si>
  <si>
    <t>2CCL 포장 개선금액</t>
    <phoneticPr fontId="23" type="noConversion"/>
  </si>
  <si>
    <t>CRM</t>
    <phoneticPr fontId="23" type="noConversion"/>
  </si>
  <si>
    <t>CGL</t>
    <phoneticPr fontId="23" type="noConversion"/>
  </si>
  <si>
    <t>1CCL</t>
    <phoneticPr fontId="23" type="noConversion"/>
  </si>
  <si>
    <t>2CCL</t>
    <phoneticPr fontId="23" type="noConversion"/>
  </si>
  <si>
    <t>GI 합계</t>
    <phoneticPr fontId="23" type="noConversion"/>
  </si>
  <si>
    <t>1CL 합계</t>
    <phoneticPr fontId="23" type="noConversion"/>
  </si>
  <si>
    <t>2CL 합계</t>
    <phoneticPr fontId="23" type="noConversion"/>
  </si>
  <si>
    <t>4대 LOSS 개선 금액 목표 (CPL+CRM+CGL)</t>
    <phoneticPr fontId="23" type="noConversion"/>
  </si>
  <si>
    <t>4대 지표 + 대표 부재료 + 유틸리티 개선 목표 (CPL+CRM+CGL)</t>
    <phoneticPr fontId="23" type="noConversion"/>
  </si>
  <si>
    <t>4대 LOSS 개선 금액 목표 (CPL+CRM+CGL+1CCL)</t>
    <phoneticPr fontId="23" type="noConversion"/>
  </si>
  <si>
    <t>4대 지표 + 대표 부재료 + 유틸리티 개선 목표 (CPL+CRM+CGL+1CCL)</t>
    <phoneticPr fontId="23" type="noConversion"/>
  </si>
  <si>
    <t>4대 LOSS 개선 금액 목표 (CPL+CRM+CGL+2CCL)</t>
    <phoneticPr fontId="23" type="noConversion"/>
  </si>
  <si>
    <t>4대 지표 + 대표 부재료 + 유틸리티 개선 목표 (CPL+CRM+CGL+2CCL)</t>
    <phoneticPr fontId="23" type="noConversion"/>
  </si>
  <si>
    <t>SCRAP율</t>
    <phoneticPr fontId="34" type="noConversion"/>
  </si>
  <si>
    <t>판매 SCRAP율</t>
    <phoneticPr fontId="23" type="noConversion"/>
  </si>
  <si>
    <t>판매 SCRAP율</t>
    <phoneticPr fontId="34" type="noConversion"/>
  </si>
  <si>
    <t>18년</t>
    <phoneticPr fontId="23" type="noConversion"/>
  </si>
  <si>
    <t>19년</t>
    <phoneticPr fontId="23" type="noConversion"/>
  </si>
  <si>
    <t>판매 스크랩율</t>
    <phoneticPr fontId="34" type="noConversion"/>
  </si>
  <si>
    <t>18년 개선금액</t>
    <phoneticPr fontId="23" type="noConversion"/>
  </si>
  <si>
    <t>19년 개선금액</t>
    <phoneticPr fontId="23" type="noConversion"/>
  </si>
  <si>
    <t>Sheet 스크랩 전산 등록요망</t>
    <phoneticPr fontId="23" type="noConversion"/>
  </si>
  <si>
    <t>현재 Sheet 판매량 + 코일형 전산 + 인출 전산</t>
    <phoneticPr fontId="23" type="noConversion"/>
  </si>
  <si>
    <t>Sheet Scrap 판매량</t>
  </si>
  <si>
    <t>출측 코일형</t>
  </si>
  <si>
    <t>입측 불량인출</t>
  </si>
  <si>
    <t>전산 Sheet형 스크랩</t>
  </si>
  <si>
    <t>1CCL 요인 통판(증복X)</t>
  </si>
  <si>
    <t>1CCL 요인 포장재(중복X)</t>
  </si>
  <si>
    <t>구매 GI 불량 인출</t>
  </si>
  <si>
    <t>내부 GI 불량 인출</t>
  </si>
  <si>
    <t>AL 스크랩</t>
  </si>
  <si>
    <t>Sheet제외 스크랩 판매량</t>
  </si>
  <si>
    <t>전체 합계</t>
  </si>
  <si>
    <t>쵸퍼</t>
  </si>
  <si>
    <t>쵸퍼</t>
    <phoneticPr fontId="23" type="noConversion"/>
  </si>
  <si>
    <t>쵸퍼</t>
    <phoneticPr fontId="23" type="noConversion"/>
  </si>
  <si>
    <t>코일형</t>
  </si>
  <si>
    <t>쉬트형</t>
  </si>
  <si>
    <t>포장재</t>
  </si>
  <si>
    <t>통판</t>
  </si>
  <si>
    <t>제품</t>
    <phoneticPr fontId="23" type="noConversion"/>
  </si>
  <si>
    <t>PO</t>
    <phoneticPr fontId="23" type="noConversion"/>
  </si>
  <si>
    <t>GI</t>
    <phoneticPr fontId="23" type="noConversion"/>
  </si>
  <si>
    <t>내수</t>
    <phoneticPr fontId="23" type="noConversion"/>
  </si>
  <si>
    <t>수출</t>
    <phoneticPr fontId="23" type="noConversion"/>
  </si>
  <si>
    <t>합계</t>
    <phoneticPr fontId="23" type="noConversion"/>
  </si>
  <si>
    <t>CL</t>
    <phoneticPr fontId="23" type="noConversion"/>
  </si>
  <si>
    <t>총합계</t>
    <phoneticPr fontId="23" type="noConversion"/>
  </si>
  <si>
    <t>판매량</t>
    <phoneticPr fontId="23" type="noConversion"/>
  </si>
  <si>
    <t>매출액</t>
    <phoneticPr fontId="23" type="noConversion"/>
  </si>
  <si>
    <t>1CCL</t>
    <phoneticPr fontId="23" type="noConversion"/>
  </si>
  <si>
    <t>2CCL</t>
    <phoneticPr fontId="23" type="noConversion"/>
  </si>
  <si>
    <t>영업이익</t>
    <phoneticPr fontId="23" type="noConversion"/>
  </si>
  <si>
    <t>영업이익율</t>
    <phoneticPr fontId="23" type="noConversion"/>
  </si>
  <si>
    <t>라인별 목표 가공비</t>
    <phoneticPr fontId="23" type="noConversion"/>
  </si>
  <si>
    <t>19년</t>
    <phoneticPr fontId="23" type="noConversion"/>
  </si>
  <si>
    <t>월평균</t>
    <phoneticPr fontId="23" type="noConversion"/>
  </si>
  <si>
    <t>PK303, 304, 305, 306, 307</t>
    <phoneticPr fontId="23" type="noConversion"/>
  </si>
  <si>
    <t>구분</t>
    <phoneticPr fontId="23" type="noConversion"/>
  </si>
  <si>
    <t>20년 목표</t>
    <phoneticPr fontId="23" type="noConversion"/>
  </si>
  <si>
    <t>1월</t>
    <phoneticPr fontId="23" type="noConversion"/>
  </si>
  <si>
    <t>누적</t>
    <phoneticPr fontId="23" type="noConversion"/>
  </si>
  <si>
    <t>총 수율</t>
    <phoneticPr fontId="23" type="noConversion"/>
  </si>
  <si>
    <t>등급</t>
    <phoneticPr fontId="23" type="noConversion"/>
  </si>
  <si>
    <t>10월 누적실적 기준</t>
    <phoneticPr fontId="23" type="noConversion"/>
  </si>
  <si>
    <r>
      <t>1</t>
    </r>
    <r>
      <rPr>
        <sz val="10"/>
        <rFont val="Arial"/>
        <family val="2"/>
      </rPr>
      <t>9</t>
    </r>
    <r>
      <rPr>
        <sz val="10"/>
        <rFont val="돋움"/>
        <family val="3"/>
        <charset val="129"/>
      </rPr>
      <t>년</t>
    </r>
    <r>
      <rPr>
        <sz val="10"/>
        <rFont val="Arial"/>
        <family val="2"/>
      </rPr>
      <t xml:space="preserve"> </t>
    </r>
    <r>
      <rPr>
        <sz val="10"/>
        <rFont val="돋움"/>
        <family val="3"/>
        <charset val="129"/>
      </rPr>
      <t>실적</t>
    </r>
    <r>
      <rPr>
        <sz val="10"/>
        <rFont val="Arial"/>
        <family val="2"/>
      </rPr>
      <t>(10</t>
    </r>
    <r>
      <rPr>
        <sz val="10"/>
        <rFont val="돋움"/>
        <family val="3"/>
        <charset val="129"/>
      </rPr>
      <t>월</t>
    </r>
    <r>
      <rPr>
        <sz val="10"/>
        <rFont val="Arial"/>
        <family val="2"/>
      </rPr>
      <t xml:space="preserve"> </t>
    </r>
    <r>
      <rPr>
        <sz val="10"/>
        <rFont val="돋움"/>
        <family val="3"/>
        <charset val="129"/>
      </rPr>
      <t>기준</t>
    </r>
    <r>
      <rPr>
        <sz val="10"/>
        <rFont val="Arial"/>
        <family val="2"/>
      </rPr>
      <t>)</t>
    </r>
    <phoneticPr fontId="23" type="noConversion"/>
  </si>
  <si>
    <t>코일형(쵸퍼)</t>
    <phoneticPr fontId="23" type="noConversion"/>
  </si>
  <si>
    <t>A급 생산량</t>
    <phoneticPr fontId="23" type="noConversion"/>
  </si>
  <si>
    <t>1. 수율</t>
    <phoneticPr fontId="23" type="noConversion"/>
  </si>
  <si>
    <t>2. 스크랩율</t>
    <phoneticPr fontId="23" type="noConversion"/>
  </si>
  <si>
    <t>원(\)</t>
    <phoneticPr fontId="23" type="noConversion"/>
  </si>
  <si>
    <t>레벨</t>
    <phoneticPr fontId="23" type="noConversion"/>
  </si>
  <si>
    <t>고객불만율(PPM)</t>
    <phoneticPr fontId="23" type="noConversion"/>
  </si>
  <si>
    <t>3. 고객불만 비용</t>
    <phoneticPr fontId="23" type="noConversion"/>
  </si>
  <si>
    <t>계획시간
(계휴, 정수 제외)</t>
    <phoneticPr fontId="23" type="noConversion"/>
  </si>
  <si>
    <t>실가동율</t>
    <phoneticPr fontId="23" type="noConversion"/>
  </si>
  <si>
    <t>표준시간(분)</t>
    <phoneticPr fontId="23" type="noConversion"/>
  </si>
  <si>
    <t>성능가동율</t>
    <phoneticPr fontId="23" type="noConversion"/>
  </si>
  <si>
    <t>총생산량</t>
    <phoneticPr fontId="23" type="noConversion"/>
  </si>
  <si>
    <t>품질불량+재처리</t>
    <phoneticPr fontId="23" type="noConversion"/>
  </si>
  <si>
    <t>양품율</t>
    <phoneticPr fontId="23" type="noConversion"/>
  </si>
  <si>
    <t>설비종합효율</t>
    <phoneticPr fontId="23" type="noConversion"/>
  </si>
  <si>
    <t>4. 설비종합효율</t>
    <phoneticPr fontId="23" type="noConversion"/>
  </si>
  <si>
    <t>작업시간(분)
(실제작업시간)</t>
    <phoneticPr fontId="23" type="noConversion"/>
  </si>
  <si>
    <t>19년 실적</t>
    <phoneticPr fontId="23" type="noConversion"/>
  </si>
  <si>
    <t>19년
월실적</t>
    <phoneticPr fontId="23" type="noConversion"/>
  </si>
  <si>
    <t>20년
월목표</t>
    <phoneticPr fontId="23" type="noConversion"/>
  </si>
  <si>
    <t>5. 설비 고장율</t>
    <phoneticPr fontId="23" type="noConversion"/>
  </si>
  <si>
    <t>2020년 목표설정</t>
    <phoneticPr fontId="23" type="noConversion"/>
  </si>
  <si>
    <t>기계고장</t>
    <phoneticPr fontId="23" type="noConversion"/>
  </si>
  <si>
    <t>전기고장</t>
    <phoneticPr fontId="23" type="noConversion"/>
  </si>
  <si>
    <t>기계목표</t>
    <phoneticPr fontId="23" type="noConversion"/>
  </si>
  <si>
    <t>전기목표</t>
    <phoneticPr fontId="23" type="noConversion"/>
  </si>
  <si>
    <t>2CCL</t>
    <phoneticPr fontId="23" type="noConversion"/>
  </si>
  <si>
    <t>합계</t>
    <phoneticPr fontId="23" type="noConversion"/>
  </si>
  <si>
    <t>2019년 실적(11월 누적으로 연간 환산)</t>
    <phoneticPr fontId="23" type="noConversion"/>
  </si>
  <si>
    <t>19년
실적</t>
    <phoneticPr fontId="23" type="noConversion"/>
  </si>
  <si>
    <t>20년
목표</t>
  </si>
  <si>
    <r>
      <t>20</t>
    </r>
    <r>
      <rPr>
        <b/>
        <sz val="10"/>
        <rFont val="돋움"/>
        <family val="3"/>
        <charset val="129"/>
      </rPr>
      <t>년</t>
    </r>
    <r>
      <rPr>
        <b/>
        <sz val="10"/>
        <rFont val="Arial"/>
        <family val="2"/>
      </rPr>
      <t xml:space="preserve"> </t>
    </r>
    <r>
      <rPr>
        <b/>
        <sz val="10"/>
        <rFont val="돋움"/>
        <family val="3"/>
        <charset val="129"/>
      </rPr>
      <t>실적</t>
    </r>
    <phoneticPr fontId="23" type="noConversion"/>
  </si>
  <si>
    <t>6. 재고회전율</t>
    <phoneticPr fontId="23" type="noConversion"/>
  </si>
  <si>
    <t>연간 판매량</t>
    <phoneticPr fontId="23" type="noConversion"/>
  </si>
  <si>
    <t>원소재 순재고 중량</t>
    <phoneticPr fontId="23" type="noConversion"/>
  </si>
  <si>
    <t>재고회전율</t>
    <phoneticPr fontId="23" type="noConversion"/>
  </si>
  <si>
    <t>연간 환산</t>
    <phoneticPr fontId="23" type="noConversion"/>
  </si>
  <si>
    <t>순재고 중량</t>
    <phoneticPr fontId="23" type="noConversion"/>
  </si>
  <si>
    <t>재고회전율</t>
    <phoneticPr fontId="23" type="noConversion"/>
  </si>
  <si>
    <t>10월 수불 기준</t>
  </si>
  <si>
    <t>구분
(11월 누적기준)</t>
    <phoneticPr fontId="23" type="noConversion"/>
  </si>
  <si>
    <t>20년 실적</t>
    <phoneticPr fontId="23" type="noConversion"/>
  </si>
  <si>
    <r>
      <t>20</t>
    </r>
    <r>
      <rPr>
        <b/>
        <sz val="11"/>
        <rFont val="돋움"/>
        <family val="3"/>
        <charset val="129"/>
      </rPr>
      <t>년</t>
    </r>
    <r>
      <rPr>
        <b/>
        <sz val="11"/>
        <rFont val="Arial"/>
        <family val="2"/>
      </rPr>
      <t xml:space="preserve"> </t>
    </r>
    <r>
      <rPr>
        <b/>
        <sz val="11"/>
        <rFont val="돋움"/>
        <family val="3"/>
        <charset val="129"/>
      </rPr>
      <t>실적</t>
    </r>
    <phoneticPr fontId="23" type="noConversion"/>
  </si>
  <si>
    <r>
      <t>20</t>
    </r>
    <r>
      <rPr>
        <b/>
        <sz val="11"/>
        <rFont val="돋움"/>
        <family val="3"/>
        <charset val="129"/>
      </rPr>
      <t>년</t>
    </r>
    <r>
      <rPr>
        <b/>
        <sz val="11"/>
        <rFont val="Arial"/>
        <family val="2"/>
      </rPr>
      <t xml:space="preserve"> </t>
    </r>
    <r>
      <rPr>
        <b/>
        <sz val="11"/>
        <rFont val="돋움"/>
        <family val="3"/>
        <charset val="129"/>
      </rPr>
      <t>실적</t>
    </r>
    <phoneticPr fontId="23" type="noConversion"/>
  </si>
  <si>
    <t>기타</t>
    <phoneticPr fontId="23" type="noConversion"/>
  </si>
  <si>
    <t>제품 → 스크랩(9.03톤)</t>
    <phoneticPr fontId="23" type="noConversion"/>
  </si>
  <si>
    <t>6. 재고회전율(월목표)</t>
    <phoneticPr fontId="23" type="noConversion"/>
  </si>
  <si>
    <r>
      <t>20</t>
    </r>
    <r>
      <rPr>
        <b/>
        <sz val="10"/>
        <rFont val="돋움"/>
        <family val="3"/>
        <charset val="129"/>
      </rPr>
      <t>년</t>
    </r>
    <r>
      <rPr>
        <b/>
        <sz val="10"/>
        <rFont val="Arial"/>
        <family val="2"/>
      </rPr>
      <t xml:space="preserve"> </t>
    </r>
    <r>
      <rPr>
        <b/>
        <sz val="10"/>
        <rFont val="돋움"/>
        <family val="3"/>
        <charset val="129"/>
      </rPr>
      <t>월목표</t>
    </r>
    <phoneticPr fontId="23" type="noConversion"/>
  </si>
  <si>
    <t>등급</t>
    <phoneticPr fontId="23" type="noConversion"/>
  </si>
  <si>
    <t>내부 GI 백청 13.83톤, 핸들링 1.9톤</t>
    <phoneticPr fontId="23" type="noConversion"/>
  </si>
  <si>
    <t>코일형사용량</t>
    <phoneticPr fontId="23" type="noConversion"/>
  </si>
  <si>
    <t>중량</t>
    <phoneticPr fontId="23" type="noConversion"/>
  </si>
  <si>
    <t>보호판</t>
    <phoneticPr fontId="23" type="noConversion"/>
  </si>
  <si>
    <t>외경소재</t>
    <phoneticPr fontId="23" type="noConversion"/>
  </si>
  <si>
    <t>코일형 Scrap</t>
    <phoneticPr fontId="23" type="noConversion"/>
  </si>
  <si>
    <t>F/H 코일형</t>
    <phoneticPr fontId="23" type="noConversion"/>
  </si>
  <si>
    <t>TON</t>
    <phoneticPr fontId="23" type="noConversion"/>
  </si>
  <si>
    <t>판매 scrap율</t>
    <phoneticPr fontId="23" type="noConversion"/>
  </si>
  <si>
    <t xml:space="preserve">CGL 입측 코일형 </t>
    <phoneticPr fontId="23" type="noConversion"/>
  </si>
  <si>
    <t>CRM 코일형 스크랩</t>
    <phoneticPr fontId="23" type="noConversion"/>
  </si>
  <si>
    <t>19년</t>
    <phoneticPr fontId="23" type="noConversion"/>
  </si>
  <si>
    <t>월평균</t>
    <phoneticPr fontId="23" type="noConversion"/>
  </si>
  <si>
    <t>전체(건수)</t>
    <phoneticPr fontId="23" type="noConversion"/>
  </si>
  <si>
    <t>1월
실적</t>
    <phoneticPr fontId="23" type="noConversion"/>
  </si>
  <si>
    <t>1월
개선금액</t>
    <phoneticPr fontId="23" type="noConversion"/>
  </si>
  <si>
    <t>1월
원단위</t>
    <phoneticPr fontId="23" type="noConversion"/>
  </si>
  <si>
    <t>20년
월개선</t>
    <phoneticPr fontId="23" type="noConversion"/>
  </si>
  <si>
    <t>2월
개선금액</t>
  </si>
  <si>
    <t>3월
개선금액</t>
  </si>
  <si>
    <t>4월
개선금액</t>
  </si>
  <si>
    <t>5월
개선금액</t>
  </si>
  <si>
    <t>6월
개선금액</t>
  </si>
  <si>
    <t>7월
개선금액</t>
  </si>
  <si>
    <t>8월
개선금액</t>
  </si>
  <si>
    <t>9월
개선금액</t>
  </si>
  <si>
    <t>10월
개선금액</t>
  </si>
  <si>
    <t>11월
개선금액</t>
  </si>
  <si>
    <t>12월
개선금액</t>
  </si>
  <si>
    <t>16년</t>
    <phoneticPr fontId="23" type="noConversion"/>
  </si>
  <si>
    <t>17년</t>
    <phoneticPr fontId="23" type="noConversion"/>
  </si>
  <si>
    <t>2월
원단위</t>
  </si>
  <si>
    <t>3월
원단위</t>
  </si>
  <si>
    <t>4월
원단위</t>
  </si>
  <si>
    <t>5월
원단위</t>
  </si>
  <si>
    <t>6월
원단위</t>
  </si>
  <si>
    <t>7월
원단위</t>
  </si>
  <si>
    <t>8월
원단위</t>
  </si>
  <si>
    <t>9월
원단위</t>
  </si>
  <si>
    <t>10월
원단위</t>
  </si>
  <si>
    <t>11월
원단위</t>
  </si>
  <si>
    <t>12월
원단위</t>
  </si>
  <si>
    <t>20년
금액 목표</t>
    <phoneticPr fontId="23" type="noConversion"/>
  </si>
  <si>
    <t>20년
원단위</t>
    <phoneticPr fontId="23" type="noConversion"/>
  </si>
  <si>
    <t>20년
원단위</t>
    <phoneticPr fontId="23" type="noConversion"/>
  </si>
  <si>
    <t>20년 종합 실적</t>
    <phoneticPr fontId="23" type="noConversion"/>
  </si>
  <si>
    <t>생산만</t>
    <phoneticPr fontId="23" type="noConversion"/>
  </si>
  <si>
    <t>생산+일반</t>
    <phoneticPr fontId="23" type="noConversion"/>
  </si>
  <si>
    <t>B급, C급, 
H급
불량량</t>
    <phoneticPr fontId="23" type="noConversion"/>
  </si>
  <si>
    <t>예일</t>
    <phoneticPr fontId="23" type="noConversion"/>
  </si>
  <si>
    <t>((년간!F18/년간!C121-(년간!F18/N6))*년간!$C$213)/1000</t>
  </si>
  <si>
    <t>2월
실적</t>
  </si>
  <si>
    <t>3월
실적</t>
  </si>
  <si>
    <t>4월
실적</t>
  </si>
  <si>
    <t>5월
실적</t>
  </si>
  <si>
    <t>6월
실적</t>
  </si>
  <si>
    <t>7월
실적</t>
  </si>
  <si>
    <t>8월
실적</t>
  </si>
  <si>
    <t>9월
실적</t>
  </si>
  <si>
    <t>10월
실적</t>
  </si>
  <si>
    <t>11월
실적</t>
  </si>
  <si>
    <t>12월
실적</t>
  </si>
  <si>
    <t>누적
실적</t>
    <phoneticPr fontId="23" type="noConversion"/>
  </si>
  <si>
    <t>%</t>
    <phoneticPr fontId="23" type="noConversion"/>
  </si>
  <si>
    <t>CPL</t>
    <phoneticPr fontId="23" type="noConversion"/>
  </si>
  <si>
    <t>기말중량</t>
    <phoneticPr fontId="23" type="noConversion"/>
  </si>
  <si>
    <t>FERT</t>
    <phoneticPr fontId="23" type="noConversion"/>
  </si>
  <si>
    <t>ROH+HALB</t>
    <phoneticPr fontId="23" type="noConversion"/>
  </si>
  <si>
    <t>KPI 실적</t>
    <phoneticPr fontId="34" type="noConversion"/>
  </si>
  <si>
    <t>3개월</t>
    <phoneticPr fontId="34" type="noConversion"/>
  </si>
  <si>
    <t>2020년</t>
    <phoneticPr fontId="34" type="noConversion"/>
  </si>
  <si>
    <t>제품 매출량</t>
    <phoneticPr fontId="34" type="noConversion"/>
  </si>
  <si>
    <t>재고량</t>
    <phoneticPr fontId="34" type="noConversion"/>
  </si>
  <si>
    <t>공장</t>
    <phoneticPr fontId="34" type="noConversion"/>
  </si>
  <si>
    <t xml:space="preserve">원재료 </t>
    <phoneticPr fontId="34" type="noConversion"/>
  </si>
  <si>
    <t>반제품</t>
    <phoneticPr fontId="34" type="noConversion"/>
  </si>
  <si>
    <t>계</t>
    <phoneticPr fontId="34" type="noConversion"/>
  </si>
  <si>
    <t>회전율</t>
    <phoneticPr fontId="34" type="noConversion"/>
  </si>
  <si>
    <t>영업</t>
    <phoneticPr fontId="34" type="noConversion"/>
  </si>
  <si>
    <t xml:space="preserve">제품 </t>
    <phoneticPr fontId="34" type="noConversion"/>
  </si>
  <si>
    <t>재고 회전율</t>
    <phoneticPr fontId="34" type="noConversion"/>
  </si>
  <si>
    <t>매출량</t>
    <phoneticPr fontId="34" type="noConversion"/>
  </si>
  <si>
    <t>제품/상품</t>
    <phoneticPr fontId="34" type="noConversion"/>
  </si>
  <si>
    <t>1월</t>
    <phoneticPr fontId="23" type="noConversion"/>
  </si>
  <si>
    <t>2월</t>
    <phoneticPr fontId="23" type="noConversion"/>
  </si>
  <si>
    <t>매출중량-반품입고 중량</t>
    <phoneticPr fontId="23" type="noConversion"/>
  </si>
  <si>
    <t>매출관리-매출원장-(정가원-'매출-부산물')</t>
    <phoneticPr fontId="23" type="noConversion"/>
  </si>
  <si>
    <t>3월</t>
    <phoneticPr fontId="23" type="noConversion"/>
  </si>
  <si>
    <t>1. 전체 설비종합효율</t>
    <phoneticPr fontId="23" type="noConversion"/>
  </si>
  <si>
    <t>20년 실적</t>
    <phoneticPr fontId="23" type="noConversion"/>
  </si>
  <si>
    <t>공장 재고량</t>
    <phoneticPr fontId="34" type="noConversion"/>
  </si>
  <si>
    <t xml:space="preserve">원재료 </t>
    <phoneticPr fontId="34" type="noConversion"/>
  </si>
  <si>
    <t>반제품</t>
    <phoneticPr fontId="34" type="noConversion"/>
  </si>
  <si>
    <t>2020년
 실적</t>
    <phoneticPr fontId="34" type="noConversion"/>
  </si>
  <si>
    <t>매출량</t>
    <phoneticPr fontId="34" type="noConversion"/>
  </si>
  <si>
    <t>1. 설비종합효율</t>
    <phoneticPr fontId="23" type="noConversion"/>
  </si>
  <si>
    <t>2. 재고 회전율</t>
    <phoneticPr fontId="23" type="noConversion"/>
  </si>
  <si>
    <t>구분</t>
    <phoneticPr fontId="23" type="noConversion"/>
  </si>
  <si>
    <t>연간매출량</t>
    <phoneticPr fontId="23" type="noConversion"/>
  </si>
  <si>
    <t xml:space="preserve">※   1. HR 코일 중량 상향(1100폭 이상 21.93톤 → 22.73톤), CPL 전극대 정밀관리를 통한 비가동 감소, </t>
    <phoneticPr fontId="23" type="noConversion"/>
  </si>
  <si>
    <t xml:space="preserve">         2CCL PRINT제품 우드(50→60MPM), 헤어라인(40→43MPM), 가전제품(40 → 43MPM) 작업 속도 향상</t>
    <phoneticPr fontId="23" type="noConversion"/>
  </si>
  <si>
    <t xml:space="preserve">※ 2월 입고 예정이던 SHANGHAI MEISHAN 소재 입고 지연으로 4월 15,420톤 선입고 </t>
    <phoneticPr fontId="23" type="noConversion"/>
  </si>
  <si>
    <t xml:space="preserve">   (청흥 5,020톤, 일조 4,900톤, 포스코5,500톤 4월분 선입고)</t>
    <phoneticPr fontId="23" type="noConversion"/>
  </si>
  <si>
    <t xml:space="preserve">   -. HR 재고 2월 40,418톤으로 기존보다 2배 증가하여 6월 원소재 발주량 대폭 축소 예정(29,700톤 → 5,000톤)</t>
    <phoneticPr fontId="28" type="noConversion"/>
  </si>
  <si>
    <t xml:space="preserve">   -. 코로나 19 영향으로 판매 부진(3월 600톤 감소예상)과 라인 가동일수 감소로 반제품  재고 증가됨 </t>
    <phoneticPr fontId="28" type="noConversion"/>
  </si>
  <si>
    <t xml:space="preserve">      → 시장품용 GI 반제품 월 3,000톤 선진행 금지</t>
    <phoneticPr fontId="23" type="noConversion"/>
  </si>
  <si>
    <t>실가동율 = (계획시간-비가동)/계획시간</t>
    <phoneticPr fontId="23" type="noConversion"/>
  </si>
  <si>
    <t>성능가동율 = 표준시간/실제작업시간</t>
    <phoneticPr fontId="23" type="noConversion"/>
  </si>
  <si>
    <t>양품율 = 총생산량-(불량+재처리)/총생산량</t>
    <phoneticPr fontId="23" type="noConversion"/>
  </si>
  <si>
    <t xml:space="preserve">  (#1, 2CCL 작업준비시간 포함)</t>
    <phoneticPr fontId="23" type="noConversion"/>
  </si>
  <si>
    <t>CPL
코일</t>
    <phoneticPr fontId="23" type="noConversion"/>
  </si>
  <si>
    <t>후프외</t>
    <phoneticPr fontId="23" type="noConversion"/>
  </si>
  <si>
    <t>GI
철판</t>
    <phoneticPr fontId="23" type="noConversion"/>
  </si>
  <si>
    <t>#1CCL
철판</t>
    <phoneticPr fontId="23" type="noConversion"/>
  </si>
  <si>
    <t>#1CCL
코일</t>
    <phoneticPr fontId="23" type="noConversion"/>
  </si>
  <si>
    <t>#2CCL
철판</t>
    <phoneticPr fontId="23" type="noConversion"/>
  </si>
  <si>
    <t>#2CCL
코일</t>
    <phoneticPr fontId="23" type="noConversion"/>
  </si>
  <si>
    <t>철판</t>
    <phoneticPr fontId="23" type="noConversion"/>
  </si>
  <si>
    <t>코일</t>
    <phoneticPr fontId="23" type="noConversion"/>
  </si>
  <si>
    <t>중량</t>
    <phoneticPr fontId="23" type="noConversion"/>
  </si>
  <si>
    <t>개선금액</t>
    <phoneticPr fontId="23" type="noConversion"/>
  </si>
  <si>
    <t>톤파워 보정</t>
    <phoneticPr fontId="23" type="noConversion"/>
  </si>
  <si>
    <t>[(19년 게이지*월 성능가동율)/월 게이지*19년 성능가동율)]*월 톤파워</t>
    <phoneticPr fontId="23" type="noConversion"/>
  </si>
  <si>
    <t>sscl 제외</t>
    <phoneticPr fontId="23" type="noConversion"/>
  </si>
  <si>
    <t>※ 임가공 오더도 스크랩을 전산보고 함으로 제품생산량에 포함시킴</t>
    <phoneticPr fontId="23" type="noConversion"/>
  </si>
  <si>
    <t>성과개선 건수 담당자 5건, 소그룹 각 10건(소그룹 공통 1건 완료시 건수 포함)</t>
    <phoneticPr fontId="23" type="noConversion"/>
  </si>
  <si>
    <t>전체생산량</t>
    <phoneticPr fontId="23" type="noConversion"/>
  </si>
  <si>
    <t>실가동율</t>
    <phoneticPr fontId="23" type="noConversion"/>
  </si>
  <si>
    <t>19년</t>
    <phoneticPr fontId="23" type="noConversion"/>
  </si>
  <si>
    <t>고장건수</t>
    <phoneticPr fontId="23" type="noConversion"/>
  </si>
  <si>
    <t>월평균 건수</t>
    <phoneticPr fontId="23" type="noConversion"/>
  </si>
  <si>
    <t>월 목표 건수</t>
    <phoneticPr fontId="23" type="noConversion"/>
  </si>
  <si>
    <t>`</t>
    <phoneticPr fontId="23" type="noConversion"/>
  </si>
  <si>
    <t>5월</t>
    <phoneticPr fontId="23" type="noConversion"/>
  </si>
  <si>
    <t>FH 좌굴마크</t>
    <phoneticPr fontId="23" type="noConversion"/>
  </si>
  <si>
    <t>협력사 합계</t>
    <phoneticPr fontId="23" type="noConversion"/>
  </si>
  <si>
    <t>순재고중량</t>
    <phoneticPr fontId="23" type="noConversion"/>
  </si>
  <si>
    <t>6월</t>
    <phoneticPr fontId="23" type="noConversion"/>
  </si>
  <si>
    <t>수불부</t>
    <phoneticPr fontId="23" type="noConversion"/>
  </si>
  <si>
    <t>*. ERP → 수불부 조회 → 제품입 중량</t>
    <phoneticPr fontId="23" type="noConversion"/>
  </si>
  <si>
    <t>6월
개선금액</t>
    <phoneticPr fontId="23" type="noConversion"/>
  </si>
  <si>
    <t>6월
원단위</t>
    <phoneticPr fontId="23" type="noConversion"/>
  </si>
  <si>
    <t>구분 / 항목</t>
    <phoneticPr fontId="23" type="noConversion"/>
  </si>
  <si>
    <t>20년
가공비
누적</t>
    <phoneticPr fontId="23" type="noConversion"/>
  </si>
  <si>
    <t>20년
가공비
목표</t>
    <phoneticPr fontId="23" type="noConversion"/>
  </si>
  <si>
    <t>20년
가공비
월실적</t>
    <phoneticPr fontId="23" type="noConversion"/>
  </si>
  <si>
    <t>스크랩 단가 차이 30% 발생으로 월실적 일괄 1.3배 적용(7/15)</t>
    <phoneticPr fontId="23" type="noConversion"/>
  </si>
  <si>
    <t>19년실적</t>
    <phoneticPr fontId="23" type="noConversion"/>
  </si>
  <si>
    <t>생산1팀</t>
    <phoneticPr fontId="23" type="noConversion"/>
  </si>
  <si>
    <t>생산2팀</t>
    <phoneticPr fontId="23" type="noConversion"/>
  </si>
  <si>
    <t>실질
금액</t>
  </si>
  <si>
    <t>실질
금액</t>
    <phoneticPr fontId="23" type="noConversion"/>
  </si>
  <si>
    <t>실가동율
포함</t>
    <phoneticPr fontId="23" type="noConversion"/>
  </si>
  <si>
    <t>생산성</t>
    <phoneticPr fontId="23" type="noConversion"/>
  </si>
  <si>
    <t>개선금액</t>
    <phoneticPr fontId="23" type="noConversion"/>
  </si>
  <si>
    <t>원</t>
    <phoneticPr fontId="23" type="noConversion"/>
  </si>
  <si>
    <t>Roll Shop</t>
    <phoneticPr fontId="23" type="noConversion"/>
  </si>
  <si>
    <t>소모품비</t>
    <phoneticPr fontId="23" type="noConversion"/>
  </si>
  <si>
    <t>1CCL 포장</t>
    <phoneticPr fontId="23" type="noConversion"/>
  </si>
  <si>
    <t>개선금액</t>
    <phoneticPr fontId="23" type="noConversion"/>
  </si>
  <si>
    <t>1. CPL 실질 개선금액</t>
    <phoneticPr fontId="23" type="noConversion"/>
  </si>
  <si>
    <t>2. CRM 실질 개선금액</t>
    <phoneticPr fontId="23" type="noConversion"/>
  </si>
  <si>
    <t>3. CGL 실질 개선금액</t>
    <phoneticPr fontId="23" type="noConversion"/>
  </si>
  <si>
    <t>4. 1CCL 실질 개선금액</t>
    <phoneticPr fontId="23" type="noConversion"/>
  </si>
  <si>
    <t>생산성</t>
    <phoneticPr fontId="23" type="noConversion"/>
  </si>
  <si>
    <t>소모품비</t>
    <phoneticPr fontId="23" type="noConversion"/>
  </si>
  <si>
    <t>2CCL 포장</t>
    <phoneticPr fontId="23" type="noConversion"/>
  </si>
  <si>
    <t>개선 금액</t>
    <phoneticPr fontId="23" type="noConversion"/>
  </si>
  <si>
    <t>5. 2CCL 실질 개선금액</t>
    <phoneticPr fontId="23" type="noConversion"/>
  </si>
  <si>
    <t>기타</t>
    <phoneticPr fontId="23" type="noConversion"/>
  </si>
  <si>
    <t>6.  총합계</t>
    <phoneticPr fontId="23" type="noConversion"/>
  </si>
  <si>
    <t>사급 
(B,C급 포장재)</t>
    <phoneticPr fontId="34" type="noConversion"/>
  </si>
  <si>
    <t>구매 AL</t>
    <phoneticPr fontId="23" type="noConversion"/>
  </si>
  <si>
    <t>6월
실적</t>
    <phoneticPr fontId="23" type="noConversion"/>
  </si>
  <si>
    <t>kg/ton</t>
    <phoneticPr fontId="34" type="noConversion"/>
  </si>
  <si>
    <t>노트리밍</t>
    <phoneticPr fontId="23" type="noConversion"/>
  </si>
  <si>
    <t>누적
실적</t>
  </si>
  <si>
    <t>전체 생산량</t>
    <phoneticPr fontId="23" type="noConversion"/>
  </si>
  <si>
    <t>톤파워 보정</t>
    <phoneticPr fontId="23" type="noConversion"/>
  </si>
  <si>
    <t>CGL 보정</t>
    <phoneticPr fontId="23" type="noConversion"/>
  </si>
  <si>
    <t>1CCL 보정</t>
    <phoneticPr fontId="23" type="noConversion"/>
  </si>
  <si>
    <t>구분</t>
    <phoneticPr fontId="34" type="noConversion"/>
  </si>
  <si>
    <t>2020년</t>
    <phoneticPr fontId="34" type="noConversion"/>
  </si>
  <si>
    <t>1월</t>
    <phoneticPr fontId="34" type="noConversion"/>
  </si>
  <si>
    <t>누계</t>
    <phoneticPr fontId="34" type="noConversion"/>
  </si>
  <si>
    <t>톤파워</t>
    <phoneticPr fontId="34" type="noConversion"/>
  </si>
  <si>
    <t>평균두께</t>
    <phoneticPr fontId="34" type="noConversion"/>
  </si>
  <si>
    <t>평균폭</t>
    <phoneticPr fontId="34" type="noConversion"/>
  </si>
  <si>
    <t>Cross section</t>
    <phoneticPr fontId="34" type="noConversion"/>
  </si>
  <si>
    <t>보정율</t>
    <phoneticPr fontId="34" type="noConversion"/>
  </si>
  <si>
    <t>보정톤파워</t>
    <phoneticPr fontId="34" type="noConversion"/>
  </si>
  <si>
    <t>생산량</t>
    <phoneticPr fontId="34" type="noConversion"/>
  </si>
  <si>
    <t>성과개선금액</t>
    <phoneticPr fontId="34" type="noConversion"/>
  </si>
  <si>
    <t>톤파워</t>
    <phoneticPr fontId="23" type="noConversion"/>
  </si>
  <si>
    <t>가동율</t>
    <phoneticPr fontId="23" type="noConversion"/>
  </si>
  <si>
    <t>수율</t>
    <phoneticPr fontId="23" type="noConversion"/>
  </si>
  <si>
    <t>전력</t>
    <phoneticPr fontId="34" type="noConversion"/>
  </si>
  <si>
    <t>생철</t>
    <phoneticPr fontId="23" type="noConversion"/>
  </si>
  <si>
    <t>인출</t>
    <phoneticPr fontId="23" type="noConversion"/>
  </si>
  <si>
    <t>공정</t>
    <phoneticPr fontId="34" type="noConversion"/>
  </si>
  <si>
    <t>포장</t>
    <phoneticPr fontId="34" type="noConversion"/>
  </si>
  <si>
    <t>소모품비</t>
    <phoneticPr fontId="34" type="noConversion"/>
  </si>
  <si>
    <t>19년</t>
    <phoneticPr fontId="23" type="noConversion"/>
  </si>
  <si>
    <t>SLIT(ton)</t>
    <phoneticPr fontId="34" type="noConversion"/>
  </si>
  <si>
    <t>소재</t>
    <phoneticPr fontId="34" type="noConversion"/>
  </si>
  <si>
    <t>1월</t>
    <phoneticPr fontId="34" type="noConversion"/>
  </si>
  <si>
    <t>전력</t>
    <phoneticPr fontId="23" type="noConversion"/>
  </si>
  <si>
    <t>소모품비(공정)</t>
    <phoneticPr fontId="23" type="noConversion"/>
  </si>
  <si>
    <t>소모품비(포장)</t>
    <phoneticPr fontId="23" type="noConversion"/>
  </si>
  <si>
    <t>실적</t>
    <phoneticPr fontId="23" type="noConversion"/>
  </si>
  <si>
    <t>목표?</t>
    <phoneticPr fontId="23" type="noConversion"/>
  </si>
  <si>
    <t>수불부</t>
    <phoneticPr fontId="23" type="noConversion"/>
  </si>
  <si>
    <t>완제품</t>
    <phoneticPr fontId="23" type="noConversion"/>
  </si>
  <si>
    <t>기말중량</t>
    <phoneticPr fontId="23" type="noConversion"/>
  </si>
  <si>
    <t>19년 실적</t>
    <phoneticPr fontId="23" type="noConversion"/>
  </si>
  <si>
    <t>19년실적</t>
    <phoneticPr fontId="23" type="noConversion"/>
  </si>
  <si>
    <t>9월 41.61</t>
    <phoneticPr fontId="23" type="noConversion"/>
  </si>
  <si>
    <t>순서</t>
    <phoneticPr fontId="23" type="noConversion"/>
  </si>
  <si>
    <t>라인명</t>
    <phoneticPr fontId="23" type="noConversion"/>
  </si>
  <si>
    <t>소그룹명</t>
    <phoneticPr fontId="23" type="noConversion"/>
  </si>
  <si>
    <t>조장</t>
    <phoneticPr fontId="23" type="noConversion"/>
  </si>
  <si>
    <t>과제선정 일정</t>
    <phoneticPr fontId="23" type="noConversion"/>
  </si>
  <si>
    <t>장소</t>
    <phoneticPr fontId="23" type="noConversion"/>
  </si>
  <si>
    <t>CPL</t>
    <phoneticPr fontId="23" type="noConversion"/>
  </si>
  <si>
    <t>CRM</t>
    <phoneticPr fontId="23" type="noConversion"/>
  </si>
  <si>
    <t>CGL</t>
    <phoneticPr fontId="23" type="noConversion"/>
  </si>
  <si>
    <t>1CCL</t>
    <phoneticPr fontId="23" type="noConversion"/>
  </si>
  <si>
    <t>2CCL</t>
    <phoneticPr fontId="23" type="noConversion"/>
  </si>
  <si>
    <t>기계</t>
    <phoneticPr fontId="23" type="noConversion"/>
  </si>
  <si>
    <t>전기</t>
    <phoneticPr fontId="23" type="noConversion"/>
  </si>
  <si>
    <t>ARP</t>
    <phoneticPr fontId="23" type="noConversion"/>
  </si>
  <si>
    <t>Roll Shop</t>
    <phoneticPr fontId="23" type="noConversion"/>
  </si>
  <si>
    <t>1CCL 포장</t>
    <phoneticPr fontId="23" type="noConversion"/>
  </si>
  <si>
    <t>2CCL 포장</t>
    <phoneticPr fontId="23" type="noConversion"/>
  </si>
  <si>
    <t>시험실</t>
    <phoneticPr fontId="23" type="noConversion"/>
  </si>
  <si>
    <t>환경</t>
    <phoneticPr fontId="23" type="noConversion"/>
  </si>
  <si>
    <t>가온</t>
    <phoneticPr fontId="23" type="noConversion"/>
  </si>
  <si>
    <t>늘찬</t>
    <phoneticPr fontId="23" type="noConversion"/>
  </si>
  <si>
    <t>동심</t>
    <phoneticPr fontId="23" type="noConversion"/>
  </si>
  <si>
    <t>다크호스</t>
    <phoneticPr fontId="23" type="noConversion"/>
  </si>
  <si>
    <t>신화창조</t>
    <phoneticPr fontId="23" type="noConversion"/>
  </si>
  <si>
    <t>그린존</t>
    <phoneticPr fontId="23" type="noConversion"/>
  </si>
  <si>
    <t>터보</t>
    <phoneticPr fontId="23" type="noConversion"/>
  </si>
  <si>
    <t>세롤</t>
    <phoneticPr fontId="23" type="noConversion"/>
  </si>
  <si>
    <t>울프</t>
    <phoneticPr fontId="23" type="noConversion"/>
  </si>
  <si>
    <t>미르뫼</t>
    <phoneticPr fontId="23" type="noConversion"/>
  </si>
  <si>
    <t>카오스</t>
    <phoneticPr fontId="23" type="noConversion"/>
  </si>
  <si>
    <t>한걸음</t>
    <phoneticPr fontId="23" type="noConversion"/>
  </si>
  <si>
    <t>돌풍</t>
    <phoneticPr fontId="23" type="noConversion"/>
  </si>
  <si>
    <t>퍼펙트</t>
    <phoneticPr fontId="23" type="noConversion"/>
  </si>
  <si>
    <t>HOFF</t>
    <phoneticPr fontId="23" type="noConversion"/>
  </si>
  <si>
    <t>피닉스</t>
    <phoneticPr fontId="23" type="noConversion"/>
  </si>
  <si>
    <t>처음처럼</t>
    <phoneticPr fontId="23" type="noConversion"/>
  </si>
  <si>
    <t>레전드</t>
    <phoneticPr fontId="23" type="noConversion"/>
  </si>
  <si>
    <t>디딤돌</t>
    <phoneticPr fontId="23" type="noConversion"/>
  </si>
  <si>
    <t>이노베이션</t>
    <phoneticPr fontId="23" type="noConversion"/>
  </si>
  <si>
    <t>한마루</t>
    <phoneticPr fontId="23" type="noConversion"/>
  </si>
  <si>
    <t>레인보우</t>
    <phoneticPr fontId="23" type="noConversion"/>
  </si>
  <si>
    <t>제우스</t>
    <phoneticPr fontId="23" type="noConversion"/>
  </si>
  <si>
    <t>담당자</t>
    <phoneticPr fontId="23" type="noConversion"/>
  </si>
  <si>
    <t>황정연</t>
    <phoneticPr fontId="23" type="noConversion"/>
  </si>
  <si>
    <t>최대용</t>
    <phoneticPr fontId="23" type="noConversion"/>
  </si>
  <si>
    <t>장훈</t>
    <phoneticPr fontId="23" type="noConversion"/>
  </si>
  <si>
    <t>임경택</t>
    <phoneticPr fontId="23" type="noConversion"/>
  </si>
  <si>
    <t>정부선</t>
    <phoneticPr fontId="23" type="noConversion"/>
  </si>
  <si>
    <t>안봉찬</t>
    <phoneticPr fontId="23" type="noConversion"/>
  </si>
  <si>
    <t>이정석</t>
    <phoneticPr fontId="23" type="noConversion"/>
  </si>
  <si>
    <t>김상순</t>
    <phoneticPr fontId="23" type="noConversion"/>
  </si>
  <si>
    <t>이기호</t>
    <phoneticPr fontId="23" type="noConversion"/>
  </si>
  <si>
    <t>송용석</t>
    <phoneticPr fontId="23" type="noConversion"/>
  </si>
  <si>
    <t>SSCL</t>
    <phoneticPr fontId="23" type="noConversion"/>
  </si>
  <si>
    <t>차돌맹이</t>
    <phoneticPr fontId="23" type="noConversion"/>
  </si>
  <si>
    <t>2021년 소그룹 개선과제 선정 일정</t>
    <phoneticPr fontId="23" type="noConversion"/>
  </si>
  <si>
    <t>작성일 : 2020년 10월 14일</t>
    <phoneticPr fontId="23" type="noConversion"/>
  </si>
  <si>
    <t>2020년 11월 GL 공사시 소그룹 진행일정</t>
    <phoneticPr fontId="23" type="noConversion"/>
  </si>
  <si>
    <t>11월 1주</t>
    <phoneticPr fontId="23" type="noConversion"/>
  </si>
  <si>
    <t>11월 2주</t>
  </si>
  <si>
    <t>11월 3주</t>
  </si>
  <si>
    <t>11월 4주</t>
  </si>
  <si>
    <t>**. 혁신부문외 일정이 있을시 같이 작성 요망</t>
    <phoneticPr fontId="23" type="noConversion"/>
  </si>
  <si>
    <t>*. 하기휴가 일정시 주간계획에 작성 요망</t>
    <phoneticPr fontId="23" type="noConversion"/>
  </si>
  <si>
    <t>20년
가공비
9월실적</t>
    <phoneticPr fontId="23" type="noConversion"/>
  </si>
  <si>
    <t>19년
가공비
실적</t>
    <phoneticPr fontId="23" type="noConversion"/>
  </si>
  <si>
    <t>GI제품 4대 LOSS 개선 금액 목표</t>
    <phoneticPr fontId="23" type="noConversion"/>
  </si>
  <si>
    <t>CL제품 4대 LOSS 개선 금액 목표</t>
    <phoneticPr fontId="23" type="noConversion"/>
  </si>
  <si>
    <t xml:space="preserve">GI 제품 </t>
    <phoneticPr fontId="23" type="noConversion"/>
  </si>
  <si>
    <t>CGL 생산량 기준</t>
    <phoneticPr fontId="23" type="noConversion"/>
  </si>
  <si>
    <t>CL제품</t>
    <phoneticPr fontId="23" type="noConversion"/>
  </si>
  <si>
    <t>CCL 생산량 기준</t>
    <phoneticPr fontId="23" type="noConversion"/>
  </si>
  <si>
    <t>전체</t>
    <phoneticPr fontId="23" type="noConversion"/>
  </si>
  <si>
    <t>제품 생산량</t>
    <phoneticPr fontId="23" type="noConversion"/>
  </si>
  <si>
    <t>GI 반제품량</t>
    <phoneticPr fontId="23" type="noConversion"/>
  </si>
  <si>
    <t>반제품</t>
    <phoneticPr fontId="23" type="noConversion"/>
  </si>
  <si>
    <t>GI제품</t>
    <phoneticPr fontId="23" type="noConversion"/>
  </si>
  <si>
    <t>GI 반제품</t>
    <phoneticPr fontId="23" type="noConversion"/>
  </si>
  <si>
    <t>1월</t>
    <phoneticPr fontId="23" type="noConversion"/>
  </si>
  <si>
    <t>전라인 4대 지표 + 부재료 + 유틸리티 개선 목표</t>
    <phoneticPr fontId="23" type="noConversion"/>
  </si>
  <si>
    <t>20년 월누적</t>
    <phoneticPr fontId="23" type="noConversion"/>
  </si>
  <si>
    <t>GI제품 4대 지표 + 부재료 + 유틸리티 개선 목표</t>
  </si>
  <si>
    <t>GI제품 4대 지표 + 부재료 + 유틸리티 개선 목표</t>
    <phoneticPr fontId="23" type="noConversion"/>
  </si>
  <si>
    <t>CL제품 4대 지표 + 부재료 + 유틸리티 개선 목표</t>
  </si>
  <si>
    <t>CL제품 4대 지표 + 부재료 + 유틸리티 개선 목표</t>
    <phoneticPr fontId="23" type="noConversion"/>
  </si>
  <si>
    <t>라인명</t>
    <phoneticPr fontId="34" type="noConversion"/>
  </si>
  <si>
    <t>누적</t>
    <phoneticPr fontId="23" type="noConversion"/>
  </si>
  <si>
    <t>누적
개선금액</t>
    <phoneticPr fontId="23" type="noConversion"/>
  </si>
  <si>
    <t>누적
원단위</t>
    <phoneticPr fontId="23" type="noConversion"/>
  </si>
  <si>
    <t>누적
원단위</t>
    <phoneticPr fontId="23" type="noConversion"/>
  </si>
  <si>
    <t>월목표금액</t>
    <phoneticPr fontId="23" type="noConversion"/>
  </si>
  <si>
    <t>월목표 원단위</t>
    <phoneticPr fontId="23" type="noConversion"/>
  </si>
  <si>
    <t>월실적 개선금액</t>
    <phoneticPr fontId="23" type="noConversion"/>
  </si>
  <si>
    <t>월 원단위</t>
    <phoneticPr fontId="23" type="noConversion"/>
  </si>
  <si>
    <t>누적 원단위</t>
    <phoneticPr fontId="23" type="noConversion"/>
  </si>
  <si>
    <t>누적
원단위</t>
    <phoneticPr fontId="23" type="noConversion"/>
  </si>
  <si>
    <t>년목표시 CPL ~ CGL 2개월 정지로 원단위 차이 발생</t>
    <phoneticPr fontId="23" type="noConversion"/>
  </si>
  <si>
    <t>2019년 실적</t>
    <phoneticPr fontId="23" type="noConversion"/>
  </si>
  <si>
    <t>20년 상반기</t>
    <phoneticPr fontId="23" type="noConversion"/>
  </si>
  <si>
    <t>CCL(GI)</t>
    <phoneticPr fontId="23" type="noConversion"/>
  </si>
  <si>
    <t>10월
개선금액</t>
    <phoneticPr fontId="23" type="noConversion"/>
  </si>
  <si>
    <t>10월
원단위</t>
    <phoneticPr fontId="23" type="noConversion"/>
  </si>
  <si>
    <t>원가관리</t>
    <phoneticPr fontId="23" type="noConversion"/>
  </si>
  <si>
    <t>매출원장-매출중량</t>
    <phoneticPr fontId="23" type="noConversion"/>
  </si>
  <si>
    <t>부산물 중량</t>
    <phoneticPr fontId="23" type="noConversion"/>
  </si>
  <si>
    <t>21년 목표</t>
    <phoneticPr fontId="23" type="noConversion"/>
  </si>
  <si>
    <t>2. GI(A급) 평균가격 : 764,211원/톤</t>
    <phoneticPr fontId="23" type="noConversion"/>
  </si>
  <si>
    <t>4. 2CL(A급) 평균가격(AL포함) : 1,638,639 원/톤</t>
    <phoneticPr fontId="23" type="noConversion"/>
  </si>
  <si>
    <t>3. 1CL(A급) 평균가격(AL제외) : 1,050,944 원/톤</t>
    <phoneticPr fontId="23" type="noConversion"/>
  </si>
  <si>
    <t>20년</t>
  </si>
  <si>
    <t>1. 20년스크랩 평균 가격 : 323,933원/톤</t>
    <phoneticPr fontId="23" type="noConversion"/>
  </si>
  <si>
    <t>20년 개선금액</t>
  </si>
  <si>
    <t>2020년 계</t>
  </si>
  <si>
    <t>21년</t>
    <phoneticPr fontId="23" type="noConversion"/>
  </si>
  <si>
    <t>20년 실적</t>
    <phoneticPr fontId="23" type="noConversion"/>
  </si>
  <si>
    <t>20년
실적</t>
  </si>
  <si>
    <t>20년실적</t>
  </si>
  <si>
    <t>2021 투입</t>
    <phoneticPr fontId="23" type="noConversion"/>
  </si>
  <si>
    <t>21년 A급</t>
    <phoneticPr fontId="23" type="noConversion"/>
  </si>
  <si>
    <t>21년</t>
    <phoneticPr fontId="23" type="noConversion"/>
  </si>
  <si>
    <t>포장재</t>
    <phoneticPr fontId="23" type="noConversion"/>
  </si>
  <si>
    <t>21년 목표</t>
    <phoneticPr fontId="23" type="noConversion"/>
  </si>
  <si>
    <t>21년 목표</t>
    <phoneticPr fontId="23" type="noConversion"/>
  </si>
  <si>
    <t>21년</t>
    <phoneticPr fontId="23" type="noConversion"/>
  </si>
  <si>
    <t>20년
실적</t>
    <phoneticPr fontId="23" type="noConversion"/>
  </si>
  <si>
    <t>21년
목표</t>
    <phoneticPr fontId="23" type="noConversion"/>
  </si>
  <si>
    <t>21년
월목표</t>
    <phoneticPr fontId="23" type="noConversion"/>
  </si>
  <si>
    <t>21년
목표</t>
    <phoneticPr fontId="23" type="noConversion"/>
  </si>
  <si>
    <t>21년
월목표</t>
    <phoneticPr fontId="23" type="noConversion"/>
  </si>
  <si>
    <t>21년
원단위</t>
    <phoneticPr fontId="23" type="noConversion"/>
  </si>
  <si>
    <t>485,497원/ton</t>
  </si>
  <si>
    <t>485,497원/ton</t>
    <phoneticPr fontId="34" type="noConversion"/>
  </si>
  <si>
    <t>1,117,933원/hr</t>
    <phoneticPr fontId="34" type="noConversion"/>
  </si>
  <si>
    <t>1,235,300원/hr</t>
    <phoneticPr fontId="34" type="noConversion"/>
  </si>
  <si>
    <t>1,235,300원/hr</t>
    <phoneticPr fontId="23" type="noConversion"/>
  </si>
  <si>
    <t>1,235,300원/hr,1Pass기준</t>
    <phoneticPr fontId="34" type="noConversion"/>
  </si>
  <si>
    <t>2,265,654원/hr</t>
  </si>
  <si>
    <t>2,265,654원/hr</t>
    <phoneticPr fontId="23" type="noConversion"/>
  </si>
  <si>
    <t>21년
목표금액</t>
    <phoneticPr fontId="34" type="noConversion"/>
  </si>
  <si>
    <t>1,448,902원/hr</t>
  </si>
  <si>
    <t>1,448,902원/hr</t>
    <phoneticPr fontId="23" type="noConversion"/>
  </si>
  <si>
    <t>727,011원/ton</t>
  </si>
  <si>
    <t>727,011원/ton</t>
    <phoneticPr fontId="34" type="noConversion"/>
  </si>
  <si>
    <t>1,595,601원/hr</t>
  </si>
  <si>
    <t>1,595,601원/hr</t>
    <phoneticPr fontId="23" type="noConversion"/>
  </si>
  <si>
    <t>21년
목표금액</t>
    <phoneticPr fontId="23" type="noConversion"/>
  </si>
  <si>
    <t>21년
월개선</t>
    <phoneticPr fontId="23" type="noConversion"/>
  </si>
  <si>
    <t>21년
목표</t>
  </si>
  <si>
    <t>21년
목표</t>
    <phoneticPr fontId="23" type="noConversion"/>
  </si>
  <si>
    <t>21년 실적</t>
  </si>
  <si>
    <t>21년 실적</t>
    <phoneticPr fontId="23" type="noConversion"/>
  </si>
  <si>
    <t>보정 T/H</t>
    <phoneticPr fontId="23" type="noConversion"/>
  </si>
  <si>
    <t>보정 T/H</t>
    <phoneticPr fontId="23" type="noConversion"/>
  </si>
  <si>
    <t>2020년</t>
    <phoneticPr fontId="34" type="noConversion"/>
  </si>
  <si>
    <t>10월 누적</t>
    <phoneticPr fontId="23" type="noConversion"/>
  </si>
  <si>
    <t>목표금액</t>
    <phoneticPr fontId="23" type="noConversion"/>
  </si>
  <si>
    <t>2021년 1월 주요 지표 실적</t>
    <phoneticPr fontId="23" type="noConversion"/>
  </si>
  <si>
    <t>시효경과</t>
    <phoneticPr fontId="23" type="noConversion"/>
  </si>
  <si>
    <t>보호필름</t>
    <phoneticPr fontId="23" type="noConversion"/>
  </si>
  <si>
    <t>부자재
(재고
관리)</t>
    <phoneticPr fontId="23" type="noConversion"/>
  </si>
  <si>
    <t>단발 페인트
폐기량</t>
    <phoneticPr fontId="23" type="noConversion"/>
  </si>
  <si>
    <t>kg/ton</t>
    <phoneticPr fontId="34" type="noConversion"/>
  </si>
  <si>
    <t>%</t>
    <phoneticPr fontId="23" type="noConversion"/>
  </si>
  <si>
    <t>실적</t>
    <phoneticPr fontId="23" type="noConversion"/>
  </si>
  <si>
    <t>20년</t>
    <phoneticPr fontId="23" type="noConversion"/>
  </si>
  <si>
    <t>21년</t>
    <phoneticPr fontId="23" type="noConversion"/>
  </si>
  <si>
    <t>Mini Shear</t>
    <phoneticPr fontId="23" type="noConversion"/>
  </si>
  <si>
    <t>SLIT</t>
    <phoneticPr fontId="34" type="noConversion"/>
  </si>
  <si>
    <t>SHEET</t>
    <phoneticPr fontId="23" type="noConversion"/>
  </si>
  <si>
    <t>ton</t>
    <phoneticPr fontId="34" type="noConversion"/>
  </si>
  <si>
    <t>1. 2021년 성과개선 실적</t>
    <phoneticPr fontId="23" type="noConversion"/>
  </si>
  <si>
    <t>21년
원단위</t>
  </si>
  <si>
    <t>21년
원단위</t>
    <phoneticPr fontId="23" type="noConversion"/>
  </si>
  <si>
    <t>21년
월목표</t>
    <phoneticPr fontId="23" type="noConversion"/>
  </si>
  <si>
    <t>21년 라인별 실적</t>
    <phoneticPr fontId="23" type="noConversion"/>
  </si>
  <si>
    <t>1월
실적</t>
    <phoneticPr fontId="23" type="noConversion"/>
  </si>
  <si>
    <t>1월
개선금액</t>
    <phoneticPr fontId="23" type="noConversion"/>
  </si>
  <si>
    <t>1월
원단위</t>
    <phoneticPr fontId="23" type="noConversion"/>
  </si>
  <si>
    <t>20년
실적</t>
    <phoneticPr fontId="23" type="noConversion"/>
  </si>
  <si>
    <t>21년
목표</t>
    <phoneticPr fontId="23" type="noConversion"/>
  </si>
  <si>
    <t>연 24회 가동 및 S/D 기준</t>
    <phoneticPr fontId="23" type="noConversion"/>
  </si>
  <si>
    <t>17~19년</t>
    <phoneticPr fontId="23" type="noConversion"/>
  </si>
  <si>
    <t>21년
목표</t>
    <phoneticPr fontId="23" type="noConversion"/>
  </si>
  <si>
    <t>21년 목표</t>
    <phoneticPr fontId="23" type="noConversion"/>
  </si>
  <si>
    <t>21년
목표</t>
    <phoneticPr fontId="34" type="noConversion"/>
  </si>
  <si>
    <t>합계</t>
    <phoneticPr fontId="23" type="noConversion"/>
  </si>
  <si>
    <t>21년 
목표금액</t>
  </si>
  <si>
    <t>20년 월
금액목표</t>
    <phoneticPr fontId="23" type="noConversion"/>
  </si>
  <si>
    <t>21년 월
목표금액</t>
  </si>
  <si>
    <t>21년 
목표금액</t>
    <phoneticPr fontId="23" type="noConversion"/>
  </si>
  <si>
    <t>21년 월
목표금액</t>
    <phoneticPr fontId="23" type="noConversion"/>
  </si>
  <si>
    <t>20년 추정</t>
    <phoneticPr fontId="23" type="noConversion"/>
  </si>
  <si>
    <t>2021년 계</t>
    <phoneticPr fontId="23" type="noConversion"/>
  </si>
  <si>
    <t>스크랩량</t>
    <phoneticPr fontId="23" type="noConversion"/>
  </si>
  <si>
    <t>제품생산량</t>
    <phoneticPr fontId="23" type="noConversion"/>
  </si>
  <si>
    <t>1월</t>
    <phoneticPr fontId="23" type="noConversion"/>
  </si>
  <si>
    <t>2월</t>
    <phoneticPr fontId="23" type="noConversion"/>
  </si>
  <si>
    <t>누적</t>
    <phoneticPr fontId="23" type="noConversion"/>
  </si>
  <si>
    <t>제품생산량 기준 스크랩율</t>
    <phoneticPr fontId="23" type="noConversion"/>
  </si>
  <si>
    <t>포장지</t>
    <phoneticPr fontId="23" type="noConversion"/>
  </si>
  <si>
    <t>후프</t>
    <phoneticPr fontId="23" type="noConversion"/>
  </si>
  <si>
    <t>727,011원/ton</t>
    <phoneticPr fontId="23" type="noConversion"/>
  </si>
  <si>
    <t>1,263,034원/ton</t>
    <phoneticPr fontId="23" type="noConversion"/>
  </si>
  <si>
    <t>20년 실적</t>
    <phoneticPr fontId="23" type="noConversion"/>
  </si>
  <si>
    <t>21년 목표</t>
    <phoneticPr fontId="23" type="noConversion"/>
  </si>
  <si>
    <t>CPL 제조원가 절감금액 총합계</t>
  </si>
  <si>
    <t>CPL 제조원가 절감금액 총합계</t>
    <phoneticPr fontId="23" type="noConversion"/>
  </si>
  <si>
    <t>4대 지표 + 대표 부재료 + 유틸리티 개선 목표 외</t>
    <phoneticPr fontId="23" type="noConversion"/>
  </si>
  <si>
    <t>CRM 제조원가 절감금액 총합계</t>
    <phoneticPr fontId="23" type="noConversion"/>
  </si>
  <si>
    <t>CRM 제조원가 절감금액 총합계</t>
    <phoneticPr fontId="23" type="noConversion"/>
  </si>
  <si>
    <t>CGL 제조원가 절감금액 총합계</t>
    <phoneticPr fontId="23" type="noConversion"/>
  </si>
  <si>
    <t>CGL 제조원가 절감금액 총합계</t>
    <phoneticPr fontId="23" type="noConversion"/>
  </si>
  <si>
    <t>1CCL 제조원가 절감금액 총합계</t>
    <phoneticPr fontId="23" type="noConversion"/>
  </si>
  <si>
    <t>2CCL 제조원가 절감금액 총합계</t>
    <phoneticPr fontId="23" type="noConversion"/>
  </si>
  <si>
    <t>2021 목표</t>
    <phoneticPr fontId="23" type="noConversion"/>
  </si>
  <si>
    <t>21년목표금액</t>
    <phoneticPr fontId="23" type="noConversion"/>
  </si>
  <si>
    <t>20년 비용</t>
    <phoneticPr fontId="23" type="noConversion"/>
  </si>
  <si>
    <t>구분</t>
    <phoneticPr fontId="23" type="noConversion"/>
  </si>
  <si>
    <t>불량</t>
    <phoneticPr fontId="23" type="noConversion"/>
  </si>
  <si>
    <t>코일형</t>
    <phoneticPr fontId="23" type="noConversion"/>
  </si>
  <si>
    <t>쉬트형</t>
    <phoneticPr fontId="23" type="noConversion"/>
  </si>
  <si>
    <t>스크랩</t>
    <phoneticPr fontId="23" type="noConversion"/>
  </si>
  <si>
    <t>조업</t>
    <phoneticPr fontId="23" type="noConversion"/>
  </si>
  <si>
    <t>기계</t>
    <phoneticPr fontId="23" type="noConversion"/>
  </si>
  <si>
    <t>전기</t>
    <phoneticPr fontId="23" type="noConversion"/>
  </si>
  <si>
    <t>반품</t>
    <phoneticPr fontId="23" type="noConversion"/>
  </si>
  <si>
    <t>품질</t>
    <phoneticPr fontId="23" type="noConversion"/>
  </si>
  <si>
    <t>고객불만</t>
    <phoneticPr fontId="23" type="noConversion"/>
  </si>
  <si>
    <t>수율</t>
    <phoneticPr fontId="23" type="noConversion"/>
  </si>
  <si>
    <t>톤파워</t>
    <phoneticPr fontId="23" type="noConversion"/>
  </si>
  <si>
    <t>실가동율</t>
    <phoneticPr fontId="23" type="noConversion"/>
  </si>
  <si>
    <t>포장재</t>
    <phoneticPr fontId="23" type="noConversion"/>
  </si>
  <si>
    <t>통판</t>
    <phoneticPr fontId="23" type="noConversion"/>
  </si>
  <si>
    <t>LNG</t>
    <phoneticPr fontId="23" type="noConversion"/>
  </si>
  <si>
    <t>유틸리티</t>
    <phoneticPr fontId="23" type="noConversion"/>
  </si>
  <si>
    <t>전력</t>
    <phoneticPr fontId="23" type="noConversion"/>
  </si>
  <si>
    <t>부재료</t>
    <phoneticPr fontId="23" type="noConversion"/>
  </si>
  <si>
    <t>염산</t>
    <phoneticPr fontId="23" type="noConversion"/>
  </si>
  <si>
    <t>압연유</t>
    <phoneticPr fontId="23" type="noConversion"/>
  </si>
  <si>
    <t>아연부착량</t>
    <phoneticPr fontId="23" type="noConversion"/>
  </si>
  <si>
    <t>드로스</t>
    <phoneticPr fontId="23" type="noConversion"/>
  </si>
  <si>
    <t>#1 페인트</t>
    <phoneticPr fontId="23" type="noConversion"/>
  </si>
  <si>
    <t>#2 페인트</t>
    <phoneticPr fontId="23" type="noConversion"/>
  </si>
  <si>
    <t>톤파워 내용 동일, 두께별 용접 테이블 테스트, #1 탱크 5㎥ 이하 폐산 송부 펌프 Stop, 입측 코일 롤러 테이블 각도 변경, 
용접기 사이드 가이드 이탈 방지</t>
    <phoneticPr fontId="23" type="noConversion"/>
  </si>
  <si>
    <t>데미워터</t>
    <phoneticPr fontId="23" type="noConversion"/>
  </si>
  <si>
    <t>소모품비</t>
    <phoneticPr fontId="23" type="noConversion"/>
  </si>
  <si>
    <t xml:space="preserve"> 용접부 #2 STR ~ #3 TBR 진입시 감속 작업 구간 축소 및 미실시, Process 구간 Tension Map 수정으로 미산세 개선,
 용접기 전극대 개선 및 플래트너 표준 테이블 재설정으로 용접지연 방지, Entry Jog Speed 40 MPM → 45MPM 상향</t>
    <phoneticPr fontId="23" type="noConversion"/>
  </si>
  <si>
    <t xml:space="preserve">라인 가동 준비시간 매뉴얼 작성, </t>
    <phoneticPr fontId="23" type="noConversion"/>
  </si>
  <si>
    <t>루퍼 카 체인 도르레 개선, 출측 루퍼 Min. Limit시 출측구간만 정지하도록 변경</t>
    <phoneticPr fontId="23" type="noConversion"/>
  </si>
  <si>
    <t>코일 리프트 패드 재질 변경 및 관리</t>
    <phoneticPr fontId="23" type="noConversion"/>
  </si>
  <si>
    <t>SEA1017 전용 Stage 설정 및 주기 확인, 나이프 이송대차 개조</t>
    <phoneticPr fontId="23" type="noConversion"/>
  </si>
  <si>
    <t>불량, 스크랩 내용 동일</t>
    <phoneticPr fontId="23" type="noConversion"/>
  </si>
  <si>
    <t xml:space="preserve"> 스팀 응축수 재활용</t>
    <phoneticPr fontId="23" type="noConversion"/>
  </si>
  <si>
    <t>시간당 염산 사용량 표준 설정, ARP &amp; CPL 폐산 송부기준 정립</t>
    <phoneticPr fontId="23" type="noConversion"/>
  </si>
  <si>
    <t>Knife</t>
    <phoneticPr fontId="23" type="noConversion"/>
  </si>
  <si>
    <t>CGL 박게이지 생산량 감소 예상(500톤/월), 메인 드라이브 오프로 인한 절판 및 불량 감소(38.89톤), 내경 좌굴 개선(0.8톤)</t>
    <phoneticPr fontId="23" type="noConversion"/>
  </si>
  <si>
    <t>배관 소손 추가 개선 필요</t>
    <phoneticPr fontId="23" type="noConversion"/>
  </si>
  <si>
    <t>전기 엔코더 소손 추가 개선 필요</t>
    <phoneticPr fontId="23" type="noConversion"/>
  </si>
  <si>
    <t xml:space="preserve">W/R, IMR 교환시간 단축, TC100 HSS 압연롤 연속 사용 테스트, </t>
    <phoneticPr fontId="23" type="noConversion"/>
  </si>
  <si>
    <t>UTILITY</t>
  </si>
  <si>
    <t>UTILITY</t>
    <phoneticPr fontId="23" type="noConversion"/>
  </si>
  <si>
    <t>목표금액</t>
  </si>
  <si>
    <t>목표금액</t>
    <phoneticPr fontId="23" type="noConversion"/>
  </si>
  <si>
    <t>`</t>
    <phoneticPr fontId="23" type="noConversion"/>
  </si>
  <si>
    <t>PASS별 GAP COOLING 하부분사 방식 개선, ROLL COOLING 하부 L/H, R/H 체크밸브 설치, OFF GAUGE 길이 개선</t>
    <phoneticPr fontId="23" type="noConversion"/>
  </si>
  <si>
    <t>AIR BLOWER 흡입구 개선(유량 개선)</t>
    <phoneticPr fontId="23" type="noConversion"/>
  </si>
  <si>
    <t xml:space="preserve"> 비가동시 시스템 펌프 2대 → 1대 가동</t>
    <phoneticPr fontId="23" type="noConversion"/>
  </si>
  <si>
    <t>철분농도 간리로 투입원액량 절감(농도 기준 200 ± 50, 30분씩 가동/비가동)</t>
    <phoneticPr fontId="23" type="noConversion"/>
  </si>
  <si>
    <t>밴딩 블록 라이너 분리형으로 개선, H급 및 특이사항 코일 보관장소 확보,정보카드 CPL~CGL 3장 작성</t>
    <phoneticPr fontId="23" type="noConversion"/>
  </si>
  <si>
    <t>소모품비</t>
    <phoneticPr fontId="23" type="noConversion"/>
  </si>
  <si>
    <t>기어유</t>
    <phoneticPr fontId="23" type="noConversion"/>
  </si>
  <si>
    <t>SK → S-OIL 변경으로 40%(450만원) 절감</t>
    <phoneticPr fontId="23" type="noConversion"/>
  </si>
  <si>
    <t>과산세 발생시 오더 및 포장단중 확인후 CPL에서 분할후 PO 전달요청</t>
    <phoneticPr fontId="23" type="noConversion"/>
  </si>
  <si>
    <t>SERVO V/V 자체 검사(HYD' UNIT 배관 연장 후 압력 확인,W/R KEEPER 센서 장착으로 롤교체 시간 절감</t>
    <phoneticPr fontId="23" type="noConversion"/>
  </si>
  <si>
    <t>공업용수</t>
    <phoneticPr fontId="23" type="noConversion"/>
  </si>
  <si>
    <t xml:space="preserve">CLEANING RINSE 구간 공업용수 사용 가능성 검토, </t>
    <phoneticPr fontId="23" type="noConversion"/>
  </si>
  <si>
    <t>입,출측 마그네틱 적용에 따른 쏟아짐 방지, 입측 양모 패드 설치 및 프레임 제작</t>
    <phoneticPr fontId="23" type="noConversion"/>
  </si>
  <si>
    <t>신규 POT ROLL 및 ARM 조립 표준화, AIR KNIFE 끼임부 제거, 레벨러 백업롤 표면 연마 및 레벨 조정(WAVE)</t>
    <phoneticPr fontId="23" type="noConversion"/>
  </si>
  <si>
    <t>LIP 끝단 zeroing 실시 및 Lip Cleaner Tool 형상 개선, SPM 후단 진공 롤 설치</t>
    <phoneticPr fontId="23" type="noConversion"/>
  </si>
  <si>
    <t>TB/Roll 개선품 교체 진행(대수리)</t>
    <phoneticPr fontId="23" type="noConversion"/>
  </si>
  <si>
    <t>입측 전체 리셋 버튼 신설, P.O.R 코일 데이터 사라짐 현상 발생시 작업조건 리스트 관리, Pre-Cleaning 입측 센서 및 롤 해체</t>
    <phoneticPr fontId="23" type="noConversion"/>
  </si>
  <si>
    <t>TOP ROLL 온도 하향(220℃ 이하), PRE-COOLER 사용조건, DEMI WATER 보충 시작 레벨 상향,입측 전체 리셋 버튼 신설,
입측 빌드업 검사기준 수립,  ASH VENT량 최적화, COATER ROLL 초기 세팅값 설정</t>
    <phoneticPr fontId="23" type="noConversion"/>
  </si>
  <si>
    <t>BUR CHOCK GROUP 구분운영</t>
    <phoneticPr fontId="23" type="noConversion"/>
  </si>
  <si>
    <t>G/L Inductor 가동으로 3개년 열위 실적 적용</t>
    <phoneticPr fontId="23" type="noConversion"/>
  </si>
  <si>
    <t>F'ce 내부 Insulation 수리로 열손실 저감</t>
    <phoneticPr fontId="23" type="noConversion"/>
  </si>
  <si>
    <t>반제품 부착량 관리</t>
    <phoneticPr fontId="23" type="noConversion"/>
  </si>
  <si>
    <t>G/L 생산시 20% 소진</t>
    <phoneticPr fontId="23" type="noConversion"/>
  </si>
  <si>
    <t>소모품비</t>
    <phoneticPr fontId="23" type="noConversion"/>
  </si>
  <si>
    <t>N2</t>
    <phoneticPr fontId="23" type="noConversion"/>
  </si>
  <si>
    <t>공급방법 변경으로 신규 목표 수립</t>
    <phoneticPr fontId="23" type="noConversion"/>
  </si>
  <si>
    <t>Cr-free</t>
    <phoneticPr fontId="23" type="noConversion"/>
  </si>
  <si>
    <t>박판 생산량 감소로 원단위감소</t>
    <phoneticPr fontId="23" type="noConversion"/>
  </si>
  <si>
    <t>보호필름</t>
    <phoneticPr fontId="23" type="noConversion"/>
  </si>
  <si>
    <t>현행 2,000M 발주에서 1,000 ~ 3,000M 세분화, 잔량 보호필름 재제단 사용 시행</t>
    <phoneticPr fontId="23" type="noConversion"/>
  </si>
  <si>
    <t>입측 코일 데이터 OUT DIA. 계산 프로그램 적용 → 측정 값 오류 발생시 알람 설정, 입,출측 루퍼 Charging량 엠보 판넬 표시</t>
    <phoneticPr fontId="23" type="noConversion"/>
  </si>
  <si>
    <t>반제품 포장 테이프 변경(종이 테이프 → 은사 테이프), 인출코일 포장시 AL 원소재 방습제 재활용, 입측 인출코일 현황판 제작</t>
    <phoneticPr fontId="23" type="noConversion"/>
  </si>
  <si>
    <t>입측 스크랩 박스 개조를 통한 입측 쉬트 스크랩 포장자재 재활용, 소단중 스크랩 쉬트 포장재 절단 재사용(1CCL 포장반)</t>
    <phoneticPr fontId="23" type="noConversion"/>
  </si>
  <si>
    <t>수입 GI 포장방법 지정하여 계약에 반영(지관 사이즈, 보호판 두께 등), 수입 GI 품질 분석 실시, 소재 이송 명찰제 시행(H/M)</t>
  </si>
  <si>
    <t>De burring Unit 실린더 개조, 수입 소재 내권부 전량 작업진행 → 입측 Q-Stop 시간 변경, 엠보 설비 조인부 Pass 시간 단축</t>
    <phoneticPr fontId="23" type="noConversion"/>
  </si>
  <si>
    <t>신규 Finish Coating Pan 적용으로 폐기량 150kg → 80kg 저감, 호스 및 열교환기 내 페인트 사용(1.6kg), 펌핑기 하부 길이 연장</t>
    <phoneticPr fontId="23" type="noConversion"/>
  </si>
  <si>
    <t>엠보 Local 판넬 루퍼 잔량 표시, 입측 투입소재 외권부 지름 계산식 프로그램 적용 및 거리 센서 신설</t>
    <phoneticPr fontId="23" type="noConversion"/>
  </si>
  <si>
    <t>닥터 블레이드 관리 강화 → 매 정수시 그리스 주입, 엠보 단판테스트 기준 정립,펌핑기 페인트 리무버 활용으로 고착방지,
스위칭 작업 소폭에서 대폭 변경시 테스트 진행, 색차 민감 제품, 엠보 작업 Size별 월 1회 통합 작업</t>
    <phoneticPr fontId="23" type="noConversion"/>
  </si>
  <si>
    <t>케미컬 드라이어 온도 최적화(버너 4EA → 2EA), 케미컬 Top Feeding 작업 구현(청소시간 단축), 케미컬 팬 사이즈 축소</t>
    <phoneticPr fontId="23" type="noConversion"/>
  </si>
  <si>
    <t>소모품비</t>
    <phoneticPr fontId="23" type="noConversion"/>
  </si>
  <si>
    <t>톤파워 상향, 조업 비가동 감소</t>
    <phoneticPr fontId="23" type="noConversion"/>
  </si>
  <si>
    <t>공정</t>
    <phoneticPr fontId="23" type="noConversion"/>
  </si>
  <si>
    <t>조업 비가동 감소, #1 스테이지 스트레이너 설치로 탈지력 강화, Spary Bar 개선을 통한 탈지 능력 강화, 오일 스키머 설치 등</t>
    <phoneticPr fontId="23" type="noConversion"/>
  </si>
  <si>
    <t>보호필름</t>
    <phoneticPr fontId="23" type="noConversion"/>
  </si>
  <si>
    <t>1, 2CCL 공용 재고관리(창고 도입)를 통한 재고 축소, 지관 절단기 도입으로 폐지관 및 재생지관 사용 비율 증대</t>
    <phoneticPr fontId="23" type="noConversion"/>
  </si>
  <si>
    <t>자투리 필름 재고 발생시 D+7일 이내 재제단 실시(이력 관리 프로그램 개발), 과부족 입고시 개선요청 및 클레임 제기</t>
    <phoneticPr fontId="23" type="noConversion"/>
  </si>
  <si>
    <t>레벨러 전용 롤 클리너 설치로 덴트 유발 방지, 출측 루퍼 롤 클리너 신규 설치, 수입 소재 H/M제거를 위한 Flattner Roll 설치</t>
    <phoneticPr fontId="23" type="noConversion"/>
  </si>
  <si>
    <t>불량 유형별 A4 샘플 채취하여 CGL 검사자 교육매뉴얼 제작, Print 테스트 일지 전산화 공유로 단판 저감</t>
    <phoneticPr fontId="23" type="noConversion"/>
  </si>
  <si>
    <t>Quench Tank 내 이물질 제거 및 청소 방법 개선</t>
    <phoneticPr fontId="23" type="noConversion"/>
  </si>
  <si>
    <t>인출코일 발생시 1일이내 지포장 실시 및 인출일자 + 14일 내에 소진토록 업연 지속 요청(백청 방지)</t>
    <phoneticPr fontId="23" type="noConversion"/>
  </si>
  <si>
    <t>Battery Car 및 Skid, Coil Car Rest에 우레탄 패드 부착, CGL 출측수 외권부 권취 조정 요청, 이송시 내경링 필수 삽입,
내/외권부 H/M 약 5M는 출측에서 절단</t>
    <phoneticPr fontId="23" type="noConversion"/>
  </si>
  <si>
    <t>생산 1팀과 사전 협의하여 부적합 코일 발생시 사이즈 등 미리 협의함, 통판에 페인트 코팅 금지, 재고관리 프로그램 개발</t>
    <phoneticPr fontId="23" type="noConversion"/>
  </si>
  <si>
    <t>투입 검사시 투입 보류 코일은 특정일 지정하여 검사 실시, 전공정 정보카드 사전에 공유, CGL/CCL 검사원 주 3시간 교차근무</t>
    <phoneticPr fontId="23" type="noConversion"/>
  </si>
  <si>
    <t>프린트 제품별 1회 단판 테스트 기준, AL 동일 코팅롤일 경우 단판 미실시, 가전은 초도품외 단판 미실시</t>
    <phoneticPr fontId="23" type="noConversion"/>
  </si>
  <si>
    <t>가전 0.4T이하 제품 라인 스피드 70mpm 상향, AL TB/R, T/R 타입 파워 그립으로 전면교체, Print 설비 오버홀로 진동 방지를 
통한 스피드 상향, 클리어 저온경화 도료개발, Oven 벽체 및 노즐 재질 변경으로 온도상승시 변형 발생 방지</t>
    <phoneticPr fontId="23" type="noConversion"/>
  </si>
  <si>
    <t>피복/연마</t>
    <phoneticPr fontId="23" type="noConversion"/>
  </si>
  <si>
    <t>피복 지름 325mm → 330mm 점차적 상향 조정, 소폭 제품 생산시 기존 반출 롤 재사용</t>
    <phoneticPr fontId="23" type="noConversion"/>
  </si>
  <si>
    <t>프린트 롤</t>
    <phoneticPr fontId="23" type="noConversion"/>
  </si>
  <si>
    <t>적재 다이 신규 설계로 충격에 의한 찍힘 방지, 보호 패드 및 필름 개발을 ㅌ오한 도금 박리 발생 방지</t>
    <phoneticPr fontId="23" type="noConversion"/>
  </si>
  <si>
    <t>톤파워 상승, 정기/부정기 비가동 감소</t>
    <phoneticPr fontId="23" type="noConversion"/>
  </si>
  <si>
    <t>프린트 방화문 띠장 굵기 체크 리스트 작성, 레벨러 및 코팅롤 표면 품질 관리, 보호필름 계절별, 색상별 경시 변화 매뉴얼 작성</t>
    <phoneticPr fontId="23" type="noConversion"/>
  </si>
  <si>
    <t>CPL (PO 13,000톤, 반제품 269,410톤)</t>
    <phoneticPr fontId="23" type="noConversion"/>
  </si>
  <si>
    <t>CRM (F/H 267,910톤)</t>
    <phoneticPr fontId="23" type="noConversion"/>
  </si>
  <si>
    <t>CGL (GI 190,870톤, G/L 77,040톤, 제품 108,800톤)</t>
    <phoneticPr fontId="23" type="noConversion"/>
  </si>
  <si>
    <t>1CCL (162,010톤, RMP 125,810톤/PVDF 3,000톤/HPP 23,600톤/EMBO 9,600톤)</t>
    <phoneticPr fontId="23" type="noConversion"/>
  </si>
  <si>
    <t>2CCL (60,350톤, AL 10,000톤/PRINT&amp;LAMI 24,760톤/기타 25,590톤)</t>
    <phoneticPr fontId="23" type="noConversion"/>
  </si>
  <si>
    <t>포장지</t>
    <phoneticPr fontId="23" type="noConversion"/>
  </si>
  <si>
    <t>스크랩 재활용</t>
    <phoneticPr fontId="23" type="noConversion"/>
  </si>
  <si>
    <t>스크랩 재활용</t>
    <phoneticPr fontId="23" type="noConversion"/>
  </si>
  <si>
    <t>지관 연간 500만원 절감 예상 제외</t>
    <phoneticPr fontId="23" type="noConversion"/>
  </si>
  <si>
    <t>21년 실적</t>
    <phoneticPr fontId="34" type="noConversion"/>
  </si>
  <si>
    <t>923원/N㎦
(1.5% 저감)</t>
    <phoneticPr fontId="23" type="noConversion"/>
  </si>
  <si>
    <t>드로스 단가 아연의 80%, 손실비용은 20%</t>
    <phoneticPr fontId="23" type="noConversion"/>
  </si>
  <si>
    <t>655,671원/hr</t>
  </si>
  <si>
    <t>655,671원/hr</t>
    <phoneticPr fontId="23" type="noConversion"/>
  </si>
  <si>
    <t>323,933원/ton</t>
    <phoneticPr fontId="34" type="noConversion"/>
  </si>
  <si>
    <t>용접부 냉각 개선(구간표시, 노즐변경), #1,2 핀치롤 및 플래트너 회전상태 HMI 표시, 코일 텅 절단량 축소 작업, 
메이커별 원소재 문제 이력, 관리 및 개선 요청, 외부 슬리팅 제품 트리밍 최소화</t>
    <phoneticPr fontId="23" type="noConversion"/>
  </si>
  <si>
    <t>짝수 패스 월목표 12%(L/H R/H 쿨링 플레이트 정상화, 쉐이프미터 롤 레벨 조정),</t>
    <phoneticPr fontId="23" type="noConversion"/>
  </si>
  <si>
    <t>*. Bearing Reconditioning을 통한 소모품 비용 저감</t>
    <phoneticPr fontId="23" type="noConversion"/>
  </si>
  <si>
    <t>입,출측 루퍼 최소/최대 레벨 상향, 노쳐 아웃 스피드 상향, WELDER에서 스타트, 내부 연신율 기준 개정, PRE COOLER 표준화</t>
    <phoneticPr fontId="23" type="noConversion"/>
  </si>
  <si>
    <t>신규 Finish Coating Pan 적용으로 안료 스크레치 개선으로메탈릭 10%, 매트 5%, 가전 5% 스피드 상향, #2 열교환기 신규
제작으로 오븐 열량 향상 0.5T 이상 라인 스피드 10% 상향, 0.5T 이하 123MPM</t>
    <phoneticPr fontId="23" type="noConversion"/>
  </si>
  <si>
    <t xml:space="preserve">AL &amp; Print 제품 생산량 증가 → 원단위 증가 환경에서 감소 방안 지속적 발굴, 프라이머 두께 상향으로 탑 도막 부족분 상쇄,
3 Roll →Roll로 변경 진행(2Roll 변경시 팬잔량 발주량 120kg 하향조정), 1, 2CCL 페인트 재고 공유로 중복 발주 금지 </t>
    <phoneticPr fontId="23" type="noConversion"/>
  </si>
  <si>
    <t>완료
건수</t>
    <phoneticPr fontId="23" type="noConversion"/>
  </si>
  <si>
    <t>누적
실적</t>
    <phoneticPr fontId="23" type="noConversion"/>
  </si>
  <si>
    <t>달성율</t>
    <phoneticPr fontId="23" type="noConversion"/>
  </si>
  <si>
    <t>2021년 목표</t>
    <phoneticPr fontId="23" type="noConversion"/>
  </si>
  <si>
    <t>1. 혁신부문 2020년 실적 및 2021년 성과개선 목표</t>
    <phoneticPr fontId="23" type="noConversion"/>
  </si>
  <si>
    <t>실질 개선금액</t>
    <phoneticPr fontId="23" type="noConversion"/>
  </si>
  <si>
    <t>(단위 : 천원)</t>
    <phoneticPr fontId="23" type="noConversion"/>
  </si>
  <si>
    <t>22건</t>
    <phoneticPr fontId="23" type="noConversion"/>
  </si>
  <si>
    <t>재포장(출하)</t>
    <phoneticPr fontId="23" type="noConversion"/>
  </si>
  <si>
    <t>GI라인 증설로 
인한 적재공간 
감소에 따른 대책</t>
    <phoneticPr fontId="23" type="noConversion"/>
  </si>
  <si>
    <t>야간 출하로 인한
잔업 비용 및 작업자 피로도 증가</t>
    <phoneticPr fontId="23" type="noConversion"/>
  </si>
  <si>
    <t>제품, 반제품 이송 
증가에 따른 
비용증가</t>
    <phoneticPr fontId="23" type="noConversion"/>
  </si>
  <si>
    <t>21년 개선량</t>
    <phoneticPr fontId="23" type="noConversion"/>
  </si>
  <si>
    <t>시간
(Hr/Year)</t>
    <phoneticPr fontId="23" type="noConversion"/>
  </si>
  <si>
    <t>금액
(150코일/300평)</t>
    <phoneticPr fontId="23" type="noConversion"/>
  </si>
  <si>
    <t>평당 15000원, 12개월(15,000원*300평)</t>
    <phoneticPr fontId="23" type="noConversion"/>
  </si>
  <si>
    <t>금액
(천원)</t>
    <phoneticPr fontId="23" type="noConversion"/>
  </si>
  <si>
    <t>시간당 22,000원 월 46시간 단축, 12개월</t>
    <phoneticPr fontId="23" type="noConversion"/>
  </si>
  <si>
    <t>1월</t>
    <phoneticPr fontId="23" type="noConversion"/>
  </si>
  <si>
    <t>누적</t>
    <phoneticPr fontId="23" type="noConversion"/>
  </si>
  <si>
    <t>18년</t>
    <phoneticPr fontId="23" type="noConversion"/>
  </si>
  <si>
    <t>19년</t>
    <phoneticPr fontId="23" type="noConversion"/>
  </si>
  <si>
    <t>20년</t>
    <phoneticPr fontId="23" type="noConversion"/>
  </si>
  <si>
    <t>전체(금액)</t>
    <phoneticPr fontId="23" type="noConversion"/>
  </si>
  <si>
    <t>20년</t>
    <phoneticPr fontId="23" type="noConversion"/>
  </si>
  <si>
    <t>내부(건수)</t>
    <phoneticPr fontId="23" type="noConversion"/>
  </si>
  <si>
    <t>2020년</t>
    <phoneticPr fontId="23" type="noConversion"/>
  </si>
  <si>
    <t>2021년</t>
    <phoneticPr fontId="23" type="noConversion"/>
  </si>
  <si>
    <t>2022년</t>
    <phoneticPr fontId="23" type="noConversion"/>
  </si>
  <si>
    <t>20년
상반기</t>
    <phoneticPr fontId="23" type="noConversion"/>
  </si>
  <si>
    <t>21년
상반기</t>
    <phoneticPr fontId="23" type="noConversion"/>
  </si>
  <si>
    <t>20년
하반기</t>
    <phoneticPr fontId="23" type="noConversion"/>
  </si>
  <si>
    <t>20년 실적</t>
  </si>
  <si>
    <t>20년 실적</t>
    <phoneticPr fontId="23" type="noConversion"/>
  </si>
  <si>
    <t>20년 실적</t>
    <phoneticPr fontId="23" type="noConversion"/>
  </si>
  <si>
    <t>21년 목표</t>
  </si>
  <si>
    <t>20년 쉬트 스크랩</t>
    <phoneticPr fontId="23" type="noConversion"/>
  </si>
  <si>
    <t>21년 쉬트스캐랩</t>
    <phoneticPr fontId="23" type="noConversion"/>
  </si>
  <si>
    <t>21년</t>
  </si>
  <si>
    <t>완료
건수</t>
    <phoneticPr fontId="23" type="noConversion"/>
  </si>
  <si>
    <t>진행율</t>
    <phoneticPr fontId="23" type="noConversion"/>
  </si>
  <si>
    <t>달성율</t>
    <phoneticPr fontId="23" type="noConversion"/>
  </si>
  <si>
    <t>생산팀</t>
    <phoneticPr fontId="23" type="noConversion"/>
  </si>
  <si>
    <t>설비팀</t>
    <phoneticPr fontId="23" type="noConversion"/>
  </si>
  <si>
    <t>업무
지원팀</t>
    <phoneticPr fontId="23" type="noConversion"/>
  </si>
  <si>
    <t>공장 합계</t>
    <phoneticPr fontId="23" type="noConversion"/>
  </si>
  <si>
    <t>목표
건수</t>
    <phoneticPr fontId="23" type="noConversion"/>
  </si>
  <si>
    <t>목표
금액</t>
    <phoneticPr fontId="23" type="noConversion"/>
  </si>
  <si>
    <t>2020년 실적</t>
    <phoneticPr fontId="23" type="noConversion"/>
  </si>
  <si>
    <t>CPL</t>
    <phoneticPr fontId="23" type="noConversion"/>
  </si>
  <si>
    <t>CRM</t>
    <phoneticPr fontId="23" type="noConversion"/>
  </si>
  <si>
    <t>CGL</t>
    <phoneticPr fontId="23" type="noConversion"/>
  </si>
  <si>
    <t>1CCL</t>
    <phoneticPr fontId="23" type="noConversion"/>
  </si>
  <si>
    <t>2CCL</t>
    <phoneticPr fontId="23" type="noConversion"/>
  </si>
  <si>
    <t>1.2억</t>
    <phoneticPr fontId="23" type="noConversion"/>
  </si>
  <si>
    <t>1000만원</t>
    <phoneticPr fontId="23" type="noConversion"/>
  </si>
  <si>
    <t>-2000만원</t>
    <phoneticPr fontId="23" type="noConversion"/>
  </si>
  <si>
    <t>*. HR Maker별 문제 이력관리 및 외부 슬리팅 제품 트리밍 최소화 등 스크랩율 개선</t>
    <phoneticPr fontId="23" type="noConversion"/>
  </si>
  <si>
    <t>*. 폐염산 과입고 조정을 통한 LNG 사용량 절감(월 2회 → 4회)</t>
    <phoneticPr fontId="23" type="noConversion"/>
  </si>
  <si>
    <t>*. 짝수 패스 월목표 12%(L/H R/H 쿨링 플레이트 정상화, 쉐이프미터 롤 레벨 조정)</t>
    <phoneticPr fontId="23" type="noConversion"/>
  </si>
  <si>
    <t>*. GL 설비 조기 안정화, 입,출측 루퍼 개선 및 연신율 기준 개정을 통한 톤파워 향상</t>
    <phoneticPr fontId="23" type="noConversion"/>
  </si>
  <si>
    <t>*. 소단중 코일형 스크랩 포장자재 200톤 활용, 포장지/후프 사용량 절감</t>
    <phoneticPr fontId="23" type="noConversion"/>
  </si>
  <si>
    <t xml:space="preserve">*. 3 Roll → 2Roll로 변경 개선, 저온 도료 개발을 통한 라인 스피드 향상 </t>
    <phoneticPr fontId="23" type="noConversion"/>
  </si>
  <si>
    <t xml:space="preserve">*. 신규 Finish Coating Pan 개선, #2 열교환기 신규 제작을 통한 라인 스피드 향상 </t>
    <phoneticPr fontId="23" type="noConversion"/>
  </si>
  <si>
    <t>*. 포장자재 스크랩 재활용, 포장지/후프 사용량 저감, 지관 절단기 적극활용</t>
    <phoneticPr fontId="23" type="noConversion"/>
  </si>
  <si>
    <t>*. CPL SIDE TRIMMER OVERHAUL 통한 정상화, 2CCL 폐열 보일러 적용으로 에너지 재활용</t>
    <phoneticPr fontId="23" type="noConversion"/>
  </si>
  <si>
    <t>*. CGL LOOPER 차징량 확대 사용, 1CCL AFTER BURNER 개선</t>
    <phoneticPr fontId="23" type="noConversion"/>
  </si>
  <si>
    <t>*. LAMI WATER 재활용(TANK) 펌프, 필터 설치, COMPRESSOR AIR OFF로 전력비 절감</t>
    <phoneticPr fontId="23" type="noConversion"/>
  </si>
  <si>
    <t>*. 약품 원단위 절감, 침전조 집수조 재반송 중화개선, 부상조 함수율 개선 등</t>
    <phoneticPr fontId="23" type="noConversion"/>
  </si>
  <si>
    <t>*. 제품 출하량 원단위, 제품/반제품 이송비용 원단위, 체류시간 원단위 지표 표준화</t>
    <phoneticPr fontId="23" type="noConversion"/>
  </si>
  <si>
    <t>가동율, 수율, 부재료, 유틸리티, 재처리, 소모품비, 포장비(중복 제외)</t>
    <phoneticPr fontId="23" type="noConversion"/>
  </si>
  <si>
    <t>라인별 가공비</t>
    <phoneticPr fontId="23" type="noConversion"/>
  </si>
  <si>
    <t>2019 실적</t>
    <phoneticPr fontId="23" type="noConversion"/>
  </si>
  <si>
    <t>2020 실적</t>
    <phoneticPr fontId="23" type="noConversion"/>
  </si>
  <si>
    <t>2021 목표</t>
    <phoneticPr fontId="23" type="noConversion"/>
  </si>
  <si>
    <t>증가
건수</t>
    <phoneticPr fontId="23" type="noConversion"/>
  </si>
  <si>
    <t>증가
금액</t>
    <phoneticPr fontId="23" type="noConversion"/>
  </si>
  <si>
    <r>
      <t xml:space="preserve">17,200 </t>
    </r>
    <r>
      <rPr>
        <b/>
        <sz val="12"/>
        <color rgb="FF0000FF"/>
        <rFont val="돋움"/>
        <family val="3"/>
        <charset val="129"/>
      </rPr>
      <t>(18,544)</t>
    </r>
    <phoneticPr fontId="23" type="noConversion"/>
  </si>
  <si>
    <r>
      <t xml:space="preserve">21,013 </t>
    </r>
    <r>
      <rPr>
        <b/>
        <sz val="12"/>
        <color rgb="FF0000FF"/>
        <rFont val="돋움"/>
        <family val="3"/>
        <charset val="129"/>
      </rPr>
      <t>(25,080)</t>
    </r>
    <phoneticPr fontId="23" type="noConversion"/>
  </si>
  <si>
    <r>
      <t xml:space="preserve">55,151 </t>
    </r>
    <r>
      <rPr>
        <b/>
        <sz val="12"/>
        <color rgb="FF0000FF"/>
        <rFont val="돋움"/>
        <family val="3"/>
        <charset val="129"/>
      </rPr>
      <t>(57,139)</t>
    </r>
    <phoneticPr fontId="23" type="noConversion"/>
  </si>
  <si>
    <t>1. 2020년 성과개선 실적</t>
    <phoneticPr fontId="23" type="noConversion"/>
  </si>
  <si>
    <t>구분</t>
    <phoneticPr fontId="23" type="noConversion"/>
  </si>
  <si>
    <t>생산팀</t>
    <phoneticPr fontId="23" type="noConversion"/>
  </si>
  <si>
    <t>CPL</t>
    <phoneticPr fontId="23" type="noConversion"/>
  </si>
  <si>
    <t>업무
지원팀</t>
    <phoneticPr fontId="23" type="noConversion"/>
  </si>
  <si>
    <t>1. 2018~2020년 성과개선 실적</t>
    <phoneticPr fontId="23" type="noConversion"/>
  </si>
  <si>
    <t>실시건수</t>
  </si>
  <si>
    <t>달성율</t>
  </si>
  <si>
    <t>달성율</t>
    <phoneticPr fontId="23" type="noConversion"/>
  </si>
  <si>
    <r>
      <rPr>
        <b/>
        <sz val="11"/>
        <color rgb="FFFFFFFF"/>
        <rFont val="돋움"/>
        <family val="3"/>
        <charset val="129"/>
      </rPr>
      <t>목표</t>
    </r>
    <r>
      <rPr>
        <b/>
        <sz val="11"/>
        <color rgb="FFFFFFFF"/>
        <rFont val="돋움"/>
        <family val="3"/>
        <charset val="129"/>
      </rPr>
      <t>건수</t>
    </r>
    <phoneticPr fontId="23" type="noConversion"/>
  </si>
  <si>
    <t>합계</t>
    <phoneticPr fontId="23" type="noConversion"/>
  </si>
  <si>
    <t>목표금액</t>
    <phoneticPr fontId="23" type="noConversion"/>
  </si>
  <si>
    <t>누적실적</t>
    <phoneticPr fontId="23" type="noConversion"/>
  </si>
  <si>
    <t>구분</t>
    <phoneticPr fontId="23" type="noConversion"/>
  </si>
  <si>
    <t>진행내용</t>
    <phoneticPr fontId="23" type="noConversion"/>
  </si>
  <si>
    <t>1. 건수 미달사항
   1) CPL ~ CRM 4대 LOSS 1과제당 소과제 3~6개로 구성되어
      있으나, 전체 소과제 미완료로 완료건수 미달됨
   2) SSCL Mini-Shear 안정화 및 2교대 작업 증가로 성과개선
       과제 진행이 어려움</t>
    <phoneticPr fontId="23" type="noConversion"/>
  </si>
  <si>
    <t>수율 미달 97.87%(목표 98%) -1.5억, 재처리 -0.5억</t>
    <phoneticPr fontId="23" type="noConversion"/>
  </si>
  <si>
    <t>톤파워 증가(48 → 49.26) +1.5억, 소모품비 +2억</t>
    <phoneticPr fontId="23" type="noConversion"/>
  </si>
  <si>
    <t>보정톤파워 목표 미달 -2.5억, 수율 목표미달 +0.3억, 
아연 부착율 -0.9억, Dross -1.2억, LNG -1.2억, 사급자재 -4.6억
전력 +1.7억, 전처리제 +0.8억, 소모품비 +2.2억</t>
    <phoneticPr fontId="23" type="noConversion"/>
  </si>
  <si>
    <t>톤파워 목표미달 -1억, 가동율 목표미달 -1.8억, LNG 목표미달 -3억</t>
    <phoneticPr fontId="23" type="noConversion"/>
  </si>
  <si>
    <t>21년</t>
    <phoneticPr fontId="23" type="noConversion"/>
  </si>
  <si>
    <t>미달금액</t>
    <phoneticPr fontId="23" type="noConversion"/>
  </si>
  <si>
    <t>미달건수</t>
    <phoneticPr fontId="23" type="noConversion"/>
  </si>
  <si>
    <t>21년 주요 개선내용</t>
    <phoneticPr fontId="23" type="noConversion"/>
  </si>
  <si>
    <t>114→107원/kg</t>
    <phoneticPr fontId="23" type="noConversion"/>
  </si>
  <si>
    <t>560000원/EA</t>
    <phoneticPr fontId="23" type="noConversion"/>
  </si>
  <si>
    <t>20년 448원/kg
19년 458원/kg</t>
    <phoneticPr fontId="34" type="noConversion"/>
  </si>
  <si>
    <t>20년 4,148원</t>
    <phoneticPr fontId="23" type="noConversion"/>
  </si>
  <si>
    <t>신나제외</t>
    <phoneticPr fontId="23" type="noConversion"/>
  </si>
  <si>
    <t>신나포함</t>
    <phoneticPr fontId="23" type="noConversion"/>
  </si>
  <si>
    <t>3,913원</t>
    <phoneticPr fontId="23" type="noConversion"/>
  </si>
  <si>
    <t>20년 6,329원</t>
    <phoneticPr fontId="23" type="noConversion"/>
  </si>
  <si>
    <t>5,475원</t>
    <phoneticPr fontId="23" type="noConversion"/>
  </si>
  <si>
    <t>110원/kwh</t>
  </si>
  <si>
    <t>110원/kwh</t>
    <phoneticPr fontId="34" type="noConversion"/>
  </si>
  <si>
    <t>110원/kwh</t>
    <phoneticPr fontId="23" type="noConversion"/>
  </si>
  <si>
    <t>504.3원/N㎥</t>
  </si>
  <si>
    <t>504.3원/N㎥</t>
    <phoneticPr fontId="34" type="noConversion"/>
  </si>
  <si>
    <t>504.3원/N㎥</t>
    <phoneticPr fontId="34" type="noConversion"/>
  </si>
  <si>
    <t>114→107원/kg</t>
  </si>
  <si>
    <t>20년 2,298원</t>
    <phoneticPr fontId="23" type="noConversion"/>
  </si>
  <si>
    <t>20년 2,298원</t>
    <phoneticPr fontId="23" type="noConversion"/>
  </si>
  <si>
    <t>3228.24원/kg</t>
    <phoneticPr fontId="34" type="noConversion"/>
  </si>
  <si>
    <t>3228.24원/kg</t>
    <phoneticPr fontId="23" type="noConversion"/>
  </si>
  <si>
    <t>645.648원(20%)</t>
    <phoneticPr fontId="34" type="noConversion"/>
  </si>
  <si>
    <t>645.648원(20%)</t>
    <phoneticPr fontId="23" type="noConversion"/>
  </si>
  <si>
    <t>20년단가 3,913원/kg</t>
    <phoneticPr fontId="23" type="noConversion"/>
  </si>
  <si>
    <t>20년단가 5,475원/kg</t>
    <phoneticPr fontId="23" type="noConversion"/>
  </si>
  <si>
    <t>3,913원/kg</t>
    <phoneticPr fontId="23" type="noConversion"/>
  </si>
  <si>
    <t>5,475원/kg</t>
    <phoneticPr fontId="23" type="noConversion"/>
  </si>
  <si>
    <t>SSCL</t>
    <phoneticPr fontId="23" type="noConversion"/>
  </si>
  <si>
    <t>계획시간 기준</t>
    <phoneticPr fontId="23" type="noConversion"/>
  </si>
  <si>
    <t>SSCL</t>
    <phoneticPr fontId="23" type="noConversion"/>
  </si>
  <si>
    <t>Slit/Sheet</t>
    <phoneticPr fontId="23" type="noConversion"/>
  </si>
  <si>
    <t>1,185,999원/ton</t>
    <phoneticPr fontId="23" type="noConversion"/>
  </si>
  <si>
    <t>1,185,999원/ton</t>
    <phoneticPr fontId="23" type="noConversion"/>
  </si>
  <si>
    <t>비고) 2CCL PRODUCT MIX.에 따른 비중 AL 3배, PRINT 1.3배 적용시,</t>
  </si>
  <si>
    <r>
      <t>            </t>
    </r>
    <r>
      <rPr>
        <b/>
        <sz val="10"/>
        <rFont val="굴림체"/>
        <family val="3"/>
        <charset val="129"/>
      </rPr>
      <t>18년 129,339원, 19년 132,363원, 20년 134,782원, 21년 125,021원</t>
    </r>
    <r>
      <rPr>
        <b/>
        <sz val="10"/>
        <color rgb="FF0000FF"/>
        <rFont val="굴림체"/>
        <family val="3"/>
        <charset val="129"/>
      </rPr>
      <t>(-9,760원)</t>
    </r>
  </si>
  <si>
    <t>21년 목표</t>
    <phoneticPr fontId="23" type="noConversion"/>
  </si>
  <si>
    <t>합계</t>
    <phoneticPr fontId="23" type="noConversion"/>
  </si>
  <si>
    <t>소재</t>
  </si>
  <si>
    <t>시간</t>
  </si>
  <si>
    <t>20년 기준</t>
    <phoneticPr fontId="23" type="noConversion"/>
  </si>
  <si>
    <t>19년 기준</t>
    <phoneticPr fontId="23" type="noConversion"/>
  </si>
  <si>
    <t>21년 중점관리 지표(공장장 실)</t>
    <phoneticPr fontId="23" type="noConversion"/>
  </si>
  <si>
    <t>쉬트스크랩 재활용 중량</t>
    <phoneticPr fontId="23" type="noConversion"/>
  </si>
  <si>
    <t>2020년 목표</t>
    <phoneticPr fontId="23" type="noConversion"/>
  </si>
  <si>
    <t>20년</t>
    <phoneticPr fontId="23" type="noConversion"/>
  </si>
  <si>
    <t>누적</t>
    <phoneticPr fontId="23" type="noConversion"/>
  </si>
  <si>
    <t>21년 실적</t>
    <phoneticPr fontId="34" type="noConversion"/>
  </si>
  <si>
    <t>실제</t>
    <phoneticPr fontId="23" type="noConversion"/>
  </si>
  <si>
    <t>1월 실제</t>
    <phoneticPr fontId="23" type="noConversion"/>
  </si>
  <si>
    <t>2018년</t>
  </si>
  <si>
    <t>2019년</t>
  </si>
  <si>
    <t>2020년</t>
  </si>
  <si>
    <t>누계</t>
  </si>
  <si>
    <t>제품</t>
  </si>
  <si>
    <t>AL</t>
  </si>
  <si>
    <t>%</t>
    <phoneticPr fontId="23" type="noConversion"/>
  </si>
  <si>
    <t>PRINT</t>
  </si>
  <si>
    <t>그외</t>
  </si>
  <si>
    <t>TOTAL</t>
  </si>
  <si>
    <t>제품별
보정
생산량</t>
    <phoneticPr fontId="34" type="noConversion"/>
  </si>
  <si>
    <t>AL</t>
    <phoneticPr fontId="34" type="noConversion"/>
  </si>
  <si>
    <t>PRINT</t>
    <phoneticPr fontId="34" type="noConversion"/>
  </si>
  <si>
    <t>그외</t>
    <phoneticPr fontId="34" type="noConversion"/>
  </si>
  <si>
    <t>보정 TON/HR</t>
    <phoneticPr fontId="34" type="noConversion"/>
  </si>
  <si>
    <t>목표</t>
    <phoneticPr fontId="23" type="noConversion"/>
  </si>
  <si>
    <t>21년</t>
    <phoneticPr fontId="23" type="noConversion"/>
  </si>
  <si>
    <t>월목표</t>
    <phoneticPr fontId="23" type="noConversion"/>
  </si>
  <si>
    <t>생산량 OR 제품비중</t>
    <phoneticPr fontId="23" type="noConversion"/>
  </si>
  <si>
    <t>20년 월 591시간</t>
    <phoneticPr fontId="23" type="noConversion"/>
  </si>
  <si>
    <t>20년 시간당 13,620원</t>
    <phoneticPr fontId="23" type="noConversion"/>
  </si>
  <si>
    <t>20년 월 19.2시간</t>
    <phoneticPr fontId="23" type="noConversion"/>
  </si>
  <si>
    <t>시간
(Hr/Month)</t>
    <phoneticPr fontId="23" type="noConversion"/>
  </si>
  <si>
    <t>성과개선 금액</t>
    <phoneticPr fontId="23" type="noConversion"/>
  </si>
  <si>
    <t>추가개선금액</t>
    <phoneticPr fontId="23" type="noConversion"/>
  </si>
  <si>
    <t>원단위 절감</t>
    <phoneticPr fontId="23" type="noConversion"/>
  </si>
  <si>
    <t>침전조 Filter Press 파손 개선</t>
    <phoneticPr fontId="23" type="noConversion"/>
  </si>
  <si>
    <t>부상조 탈수 함수율 개선</t>
    <phoneticPr fontId="23" type="noConversion"/>
  </si>
  <si>
    <t>부상조 배관 막힘 개선</t>
    <phoneticPr fontId="23" type="noConversion"/>
  </si>
  <si>
    <t>침전조 집수조 재반송 중화개선</t>
    <phoneticPr fontId="23" type="noConversion"/>
  </si>
  <si>
    <t>1차 침전조 슬러지 배관 누수개선</t>
    <phoneticPr fontId="23" type="noConversion"/>
  </si>
  <si>
    <t>산세라인 염산 운전 드레인</t>
    <phoneticPr fontId="23" type="noConversion"/>
  </si>
  <si>
    <t>재활용품 처리비용 절감</t>
    <phoneticPr fontId="23" type="noConversion"/>
  </si>
  <si>
    <t>비고</t>
    <phoneticPr fontId="23" type="noConversion"/>
  </si>
  <si>
    <t>펌프 위치개선, 연결 타입개선, 배관 진동방지 개선</t>
    <phoneticPr fontId="23" type="noConversion"/>
  </si>
  <si>
    <t>탈수기 여과포 타입개선, 여과판 개선</t>
    <phoneticPr fontId="23" type="noConversion"/>
  </si>
  <si>
    <t>배관 막힘 예방, 스케일 제거 방법 개선</t>
    <phoneticPr fontId="23" type="noConversion"/>
  </si>
  <si>
    <t>폐수 약품화 연결시 집수조 반송</t>
    <phoneticPr fontId="23" type="noConversion"/>
  </si>
  <si>
    <t>교체공사 진행방법 개선, 교체배관 직격 변경 개선</t>
    <phoneticPr fontId="23" type="noConversion"/>
  </si>
  <si>
    <t>재활용품 처리비 절감 톤당 210,000원</t>
    <phoneticPr fontId="23" type="noConversion"/>
  </si>
  <si>
    <t>CPL 시운전 염산 완충조 이송중화 140톤, 희황산 20톤 절감
톤당 110원/kg</t>
    <phoneticPr fontId="23" type="noConversion"/>
  </si>
  <si>
    <t>20년</t>
    <phoneticPr fontId="23" type="noConversion"/>
  </si>
  <si>
    <t>20% 절감</t>
    <phoneticPr fontId="23" type="noConversion"/>
  </si>
  <si>
    <t>20% 절감</t>
    <phoneticPr fontId="34" type="noConversion"/>
  </si>
  <si>
    <t>20% 절감</t>
    <phoneticPr fontId="23" type="noConversion"/>
  </si>
  <si>
    <t>40% 절감</t>
    <phoneticPr fontId="23" type="noConversion"/>
  </si>
  <si>
    <t>수동입력</t>
    <phoneticPr fontId="23" type="noConversion"/>
  </si>
  <si>
    <t>수동입력</t>
    <phoneticPr fontId="23" type="noConversion"/>
  </si>
  <si>
    <r>
      <t xml:space="preserve">65,152 </t>
    </r>
    <r>
      <rPr>
        <b/>
        <sz val="12"/>
        <color rgb="FF0000FF"/>
        <rFont val="돋움"/>
        <family val="3"/>
        <charset val="129"/>
      </rPr>
      <t>(74,382)</t>
    </r>
    <phoneticPr fontId="23" type="noConversion"/>
  </si>
  <si>
    <r>
      <t xml:space="preserve">195,000 </t>
    </r>
    <r>
      <rPr>
        <b/>
        <sz val="12"/>
        <color rgb="FF0000FF"/>
        <rFont val="돋움"/>
        <family val="3"/>
        <charset val="129"/>
      </rPr>
      <t>(200,602)</t>
    </r>
    <phoneticPr fontId="23" type="noConversion"/>
  </si>
  <si>
    <t>3월 성과개선 보고회 내용 정리</t>
    <phoneticPr fontId="23" type="noConversion"/>
  </si>
  <si>
    <t>작성일 : 2021년 3월 18일(목)</t>
    <phoneticPr fontId="23" type="noConversion"/>
  </si>
  <si>
    <t>1. CGL GL POT 증설 후 빠른 안정화를 위해서 연계라인 및 설비팀과
    적극적인 협업 진행이 필요함
2. 주 52시간 근무제 실시로 인한 침체된 혁신활동을 활성화 시키기 위해
   그룹 제안에 관한 설명회를 3월에 실시 예정입니다.(소그룹 발표 등)</t>
    <phoneticPr fontId="23" type="noConversion"/>
  </si>
  <si>
    <t>1. 염산 탱크 교체 후 발생된 린스 얼룩에 대한 문제를 노즐 각도와 
   유량을 조절하여 해결함
2. 추가적인 문제들도 점차적으로 설비팀과 협업하여 해결해 나갈 예정임</t>
    <phoneticPr fontId="23" type="noConversion"/>
  </si>
  <si>
    <t>1. 계휴기간동안 전체 소그룹의 활발한 3정 5S 및 설비초기청소가 우수함</t>
    <phoneticPr fontId="23" type="noConversion"/>
  </si>
  <si>
    <t>1. GL 설비 안정화를 최우선으로 설비 적응(안전, 오작동 등)을 완료한 뒤
    성과개선 진행 예정임
2. CGL 작업조건 등록/관리 전산을 통해 세부 분석을 통한 빠른 문제 
    해결을 실시 예정임
3. 톤파워 관련 3개 소그룹 전체 과제를 선정하여 모든 팀원이 관심을
    가지고 개선할 수 있도록 적용함 → 타라인도 적용 검토 요망</t>
    <phoneticPr fontId="23" type="noConversion"/>
  </si>
  <si>
    <t>1. 탈지구간 Self Cleaning 노즐 도입(3/18), 2CCL 3/17 54곳 중 2곳 적용
   완료 추가 진행 예정, CGL도 적용 검토 요망
2. 생산성 향상을 위해 기존 라인 스피드 설정 기준을 두께 → 톤파워로
    변경(RMP 1.5% 증가예상), 10MPM 향상을 위한 색상별 작업기준 
    재설정 등 다방면으로 검토후 진행 예정임</t>
    <phoneticPr fontId="23" type="noConversion"/>
  </si>
  <si>
    <t>1. 페인트 폐기량 축소를 위해 PAN 신규 제작 진행 중이나 업체 물량이
   많아서 제작 대기중임
2. 지관 절단기 도입하여 2달만에 1,700만원 절감으로 투자비용 
   1,950만원 3달 이내에 회수 예상됨
3. 가전 저온 경화 프라이머 개발을 통해 20년 톤파워 14.07톤/Hr → 
    15.63톤/Hr 연간 효과금액 1.5억 예상됨(0.8T W168 월 1200톤 기준)</t>
    <phoneticPr fontId="23" type="noConversion"/>
  </si>
  <si>
    <t>1. CGL SPM H.P.U 유량개선, CPL #1, 2 P.O.R Segment Liner 고정볼트
    개선 등으로 0.6억 개선 실시함
2. 2CCL Belt Wrapper 신작, 2CCL 폐열 보일러 적용, 1CCL After Burner
   개선관련 성과개선 진행 중임</t>
    <phoneticPr fontId="23" type="noConversion"/>
  </si>
  <si>
    <t>구분</t>
    <phoneticPr fontId="23" type="noConversion"/>
  </si>
  <si>
    <t>건수</t>
    <phoneticPr fontId="23" type="noConversion"/>
  </si>
  <si>
    <t>금액</t>
    <phoneticPr fontId="23" type="noConversion"/>
  </si>
  <si>
    <t>재무효과</t>
    <phoneticPr fontId="23" type="noConversion"/>
  </si>
  <si>
    <t>20년 실적</t>
    <phoneticPr fontId="23" type="noConversion"/>
  </si>
  <si>
    <t>21년 실적</t>
    <phoneticPr fontId="23" type="noConversion"/>
  </si>
  <si>
    <t>128건</t>
    <phoneticPr fontId="23" type="noConversion"/>
  </si>
  <si>
    <t>47.9억</t>
    <phoneticPr fontId="23" type="noConversion"/>
  </si>
  <si>
    <t>33.8억</t>
    <phoneticPr fontId="23" type="noConversion"/>
  </si>
  <si>
    <t>156건</t>
    <phoneticPr fontId="23" type="noConversion"/>
  </si>
  <si>
    <t>47.5억</t>
    <phoneticPr fontId="23" type="noConversion"/>
  </si>
  <si>
    <t>20.3억</t>
    <phoneticPr fontId="23" type="noConversion"/>
  </si>
  <si>
    <t>* 당사 : 13개 소그룹 / 협력사 : 12개 소그룹</t>
    <phoneticPr fontId="23" type="noConversion"/>
  </si>
  <si>
    <t>CPL</t>
    <phoneticPr fontId="23" type="noConversion"/>
  </si>
  <si>
    <t>CRM</t>
    <phoneticPr fontId="23" type="noConversion"/>
  </si>
  <si>
    <t>CGL</t>
    <phoneticPr fontId="23" type="noConversion"/>
  </si>
  <si>
    <t>1CCL</t>
    <phoneticPr fontId="23" type="noConversion"/>
  </si>
  <si>
    <t>2CCL</t>
    <phoneticPr fontId="23" type="noConversion"/>
  </si>
  <si>
    <t>SSCL</t>
    <phoneticPr fontId="23" type="noConversion"/>
  </si>
  <si>
    <t>HR MAKER별 품질관리로 수율 98% 달성</t>
    <phoneticPr fontId="23" type="noConversion"/>
  </si>
  <si>
    <r>
      <t>짝수 패스 월 12% 달성</t>
    </r>
    <r>
      <rPr>
        <sz val="9"/>
        <rFont val="맑은 고딕"/>
        <family val="3"/>
        <charset val="129"/>
        <scheme val="minor"/>
      </rPr>
      <t>(L.H, R.H COOLING PLATE 정상화, SHAPE METER ROLL LEVEL 조정)</t>
    </r>
    <phoneticPr fontId="23" type="noConversion"/>
  </si>
  <si>
    <t>GL 설비 조기 안정화</t>
    <phoneticPr fontId="23" type="noConversion"/>
  </si>
  <si>
    <t>AFTER BURNER #2 열교환기 신규 제작을 통한 톤파워 향상</t>
    <phoneticPr fontId="23" type="noConversion"/>
  </si>
  <si>
    <t>저온 도료 개발을 통한 톤파워 향상</t>
    <phoneticPr fontId="23" type="noConversion"/>
  </si>
  <si>
    <t>지관 절단기 도입을 통한 부자재 비용 절감</t>
    <phoneticPr fontId="23" type="noConversion"/>
  </si>
  <si>
    <t>21년 성과개선 주요 과제</t>
    <phoneticPr fontId="23" type="noConversion"/>
  </si>
  <si>
    <t>2021년</t>
    <phoneticPr fontId="34" type="noConversion"/>
  </si>
  <si>
    <t>GL 생산량</t>
    <phoneticPr fontId="23" type="noConversion"/>
  </si>
  <si>
    <t>GL 불량</t>
    <phoneticPr fontId="23" type="noConversion"/>
  </si>
  <si>
    <t>GL 스크랩</t>
    <phoneticPr fontId="23" type="noConversion"/>
  </si>
  <si>
    <t>가동시간</t>
    <phoneticPr fontId="23" type="noConversion"/>
  </si>
  <si>
    <t>3월
개선건수</t>
    <phoneticPr fontId="2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</si>
</sst>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75">
    <numFmt numFmtId="42" formatCode="_-&quot;₩&quot;* #,##0_-;\-&quot;₩&quot;* #,##0_-;_-&quot;₩&quot;* &quot;-&quot;_-;_-@_-"/>
    <numFmt numFmtId="41" formatCode="_-* #,##0_-;\-* #,##0_-;_-* &quot;-&quot;_-;_-@_-"/>
    <numFmt numFmtId="43" formatCode="_-* #,##0.00_-;\-* #,##0.00_-;_-* &quot;-&quot;??_-;_-@_-"/>
    <numFmt numFmtId="176" formatCode="0.00_ "/>
    <numFmt numFmtId="177" formatCode="#,##0_ "/>
    <numFmt numFmtId="178" formatCode="0_);[Red]\(0\)"/>
    <numFmt numFmtId="179" formatCode="#,##0.00_ "/>
    <numFmt numFmtId="180" formatCode="_-* #,##0_-;\-* #,##0_-;_-* &quot;-&quot;??_-;_-@_-"/>
    <numFmt numFmtId="181" formatCode="_-* #,##0.00_-;\-* #,##0.00_-;_-* &quot;-&quot;_-;_-@_-"/>
    <numFmt numFmtId="182" formatCode="0.00;_焂"/>
    <numFmt numFmtId="183" formatCode="0.00_);[Red]\(0.00\)"/>
    <numFmt numFmtId="184" formatCode="0.000;\-0.000"/>
    <numFmt numFmtId="185" formatCode="0_ "/>
    <numFmt numFmtId="186" formatCode="#,##0.0_ "/>
    <numFmt numFmtId="187" formatCode="#,##0_);[Red]\(#,##0\)"/>
    <numFmt numFmtId="188" formatCode="0.0%"/>
    <numFmt numFmtId="189" formatCode="0.000"/>
    <numFmt numFmtId="190" formatCode="0.00000"/>
    <numFmt numFmtId="191" formatCode="_ * #,##0_ ;_ * \-#,##0_ ;_ * &quot;-&quot;_ ;_ @_ "/>
    <numFmt numFmtId="192" formatCode="_ * #,##0.00_ ;_ * \-#,##0.00_ ;_ * &quot;-&quot;??_ ;_ @_ "/>
    <numFmt numFmtId="193" formatCode="&quot;₩&quot;#,##0"/>
    <numFmt numFmtId="194" formatCode="_ * #,##0.000_ ;_ * \-#,##0.000_ ;_ * &quot;-&quot;_ ;_ @_ "/>
    <numFmt numFmtId="195" formatCode="&quot;kr&quot;\ #,##0;&quot;kr&quot;\ \-#,##0"/>
    <numFmt numFmtId="196" formatCode="\$#,##0.00"/>
    <numFmt numFmtId="197" formatCode="0.0000%"/>
    <numFmt numFmtId="198" formatCode="_(&quot;$&quot;* #,##0_);_(&quot;$&quot;* \(#,##0\);_(&quot;$&quot;* &quot;-&quot;_);_(@_)"/>
    <numFmt numFmtId="199" formatCode="_(&quot;$&quot;* #,##0.00_);_(&quot;$&quot;* \(#,##0.00\);_(&quot;$&quot;* &quot;-&quot;??_);_(@_)"/>
    <numFmt numFmtId="200" formatCode="#.##"/>
    <numFmt numFmtId="201" formatCode="#,##0.000;[Red]&quot;-&quot;#,##0.000"/>
    <numFmt numFmtId="202" formatCode="#,##0\ \ \ \ \ "/>
    <numFmt numFmtId="203" formatCode="\$#.00"/>
    <numFmt numFmtId="204" formatCode="%#.00"/>
    <numFmt numFmtId="205" formatCode="#,##0&quot;  &quot;"/>
    <numFmt numFmtId="206" formatCode="\-\2\2\4&quot; &quot;"/>
    <numFmt numFmtId="207" formatCode="\-\1&quot; &quot;"/>
    <numFmt numFmtId="208" formatCode="\-\1\4\4&quot; &quot;"/>
    <numFmt numFmtId="209" formatCode="\-\2\2\5&quot; &quot;"/>
    <numFmt numFmtId="210" formatCode="\1\4\4&quot; &quot;"/>
    <numFmt numFmtId="211" formatCode="#,##0.0&quot;     &quot;"/>
    <numFmt numFmtId="212" formatCode="&quot; &quot;@"/>
    <numFmt numFmtId="213" formatCode="yy&quot;년&quot;\ mm&quot;월&quot;\ dd&quot;일 &quot;"/>
    <numFmt numFmtId="214" formatCode="&quot;₩&quot;#,##0;&quot;₩&quot;&quot;₩&quot;\!\-#,##0"/>
    <numFmt numFmtId="215" formatCode="##,##0"/>
    <numFmt numFmtId="216" formatCode="&quot;₩&quot;\ #,##0.00;[Red]&quot;₩&quot;\ \-#,##0.00"/>
    <numFmt numFmtId="217" formatCode="&quot;RM&quot;#,##0.00_);[Red]\(&quot;RM&quot;#,##0.00\)"/>
    <numFmt numFmtId="218" formatCode="_(&quot;RM&quot;* #,##0.00_);_(&quot;RM&quot;* \(#,##0.00\);_(&quot;RM&quot;* &quot;-&quot;??_);_(@_)"/>
    <numFmt numFmtId="219" formatCode="_(* #,##0_);_(* \(#,##0\);_(* &quot;-&quot;_);_(@_)"/>
    <numFmt numFmtId="220" formatCode="&quot;$&quot;#,##0"/>
    <numFmt numFmtId="221" formatCode="0.000000000000000000%"/>
    <numFmt numFmtId="222" formatCode="0.00000000000000000%"/>
    <numFmt numFmtId="223" formatCode="#,##0_ ;[Red]\-#,##0\ "/>
    <numFmt numFmtId="224" formatCode="0.0000000000000_ "/>
    <numFmt numFmtId="225" formatCode="0.0"/>
    <numFmt numFmtId="226" formatCode="#,##0.00_);[Red]\(#,##0.00\)"/>
    <numFmt numFmtId="227" formatCode="#,##0.0"/>
    <numFmt numFmtId="228" formatCode="0.0_);[Red]\(0.0\)"/>
    <numFmt numFmtId="229" formatCode="0.00000000000000_ "/>
    <numFmt numFmtId="230" formatCode="0.0_ "/>
    <numFmt numFmtId="231" formatCode="#,##0.0_);[Red]\(#,##0.0\)"/>
    <numFmt numFmtId="232" formatCode="0.000_ "/>
    <numFmt numFmtId="233" formatCode="#,##0.0000_ "/>
    <numFmt numFmtId="234" formatCode="#,##0.000000000000_);[Red]\(#,##0.000000000000\)"/>
    <numFmt numFmtId="235" formatCode="&quot;₩&quot;#,##0_);[Red]\(&quot;₩&quot;#,##0\)"/>
    <numFmt numFmtId="236" formatCode="#,##0.000_ "/>
    <numFmt numFmtId="237" formatCode="0.000_);[Red]\(0.000\)"/>
    <numFmt numFmtId="238" formatCode="0_ ;[Red]\-0\ "/>
    <numFmt numFmtId="239" formatCode="_-* #,##0.000_-;\-* #,##0.000_-;_-* &quot;-&quot;???_-;_-@_-"/>
    <numFmt numFmtId="240" formatCode="&quot;Level &quot;0"/>
    <numFmt numFmtId="241" formatCode="0.0000_);[Red]\(0.0000\)"/>
    <numFmt numFmtId="242" formatCode="0.000000000_ "/>
    <numFmt numFmtId="243" formatCode="#,##0.00_ ;[Red]\-#,##0.00\ "/>
    <numFmt numFmtId="244" formatCode="0.00000000_ "/>
    <numFmt numFmtId="245" formatCode="#,##0.0_ ;[Red]\-#,##0.0\ "/>
    <numFmt numFmtId="246" formatCode="0.0_ ;[Red]\-0.0\ "/>
    <numFmt numFmtId="247" formatCode="#,##0.000_);[Red]\(#,##0.000\)"/>
  </numFmts>
  <fonts count="276">
    <font>
      <sz val="11"/>
      <name val="돋움"/>
      <family val="3"/>
      <charset val="129"/>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name val="돋움"/>
      <family val="3"/>
      <charset val="129"/>
    </font>
    <font>
      <sz val="8"/>
      <name val="돋움"/>
      <family val="3"/>
      <charset val="129"/>
    </font>
    <font>
      <sz val="10"/>
      <name val="굴림체"/>
      <family val="3"/>
      <charset val="129"/>
    </font>
    <font>
      <sz val="8"/>
      <name val="맑은 고딕"/>
      <family val="3"/>
      <charset val="129"/>
    </font>
    <font>
      <sz val="10"/>
      <name val="맑은 고딕"/>
      <family val="3"/>
      <charset val="129"/>
      <scheme val="minor"/>
    </font>
    <font>
      <sz val="12"/>
      <color rgb="FF000000"/>
      <name val="맑은 고딕"/>
      <family val="3"/>
      <charset val="129"/>
      <scheme val="minor"/>
    </font>
    <font>
      <sz val="8"/>
      <name val="맑은 고딕"/>
      <family val="3"/>
      <charset val="129"/>
      <scheme val="minor"/>
    </font>
    <font>
      <sz val="11"/>
      <name val="맑은 고딕"/>
      <family val="3"/>
      <charset val="129"/>
      <scheme val="minor"/>
    </font>
    <font>
      <b/>
      <sz val="12"/>
      <name val="맑은 고딕"/>
      <family val="3"/>
      <charset val="129"/>
      <scheme val="minor"/>
    </font>
    <font>
      <b/>
      <sz val="8"/>
      <name val="맑은 고딕"/>
      <family val="3"/>
      <charset val="129"/>
      <scheme val="minor"/>
    </font>
    <font>
      <b/>
      <sz val="9"/>
      <name val="맑은 고딕"/>
      <family val="3"/>
      <charset val="129"/>
      <scheme val="minor"/>
    </font>
    <font>
      <b/>
      <sz val="10"/>
      <name val="맑은 고딕"/>
      <family val="3"/>
      <charset val="129"/>
      <scheme val="minor"/>
    </font>
    <font>
      <sz val="8"/>
      <name val="맑은 고딕"/>
      <family val="2"/>
      <charset val="129"/>
      <scheme val="minor"/>
    </font>
    <font>
      <b/>
      <sz val="11"/>
      <name val="맑은 고딕"/>
      <family val="3"/>
      <charset val="129"/>
      <scheme val="minor"/>
    </font>
    <font>
      <b/>
      <sz val="10"/>
      <color theme="1"/>
      <name val="맑은 고딕"/>
      <family val="3"/>
      <charset val="129"/>
      <scheme val="minor"/>
    </font>
    <font>
      <sz val="8"/>
      <color rgb="FFFF0000"/>
      <name val="맑은 고딕"/>
      <family val="3"/>
      <charset val="129"/>
      <scheme val="minor"/>
    </font>
    <font>
      <sz val="9"/>
      <color indexed="8"/>
      <name val="굴림"/>
      <family val="3"/>
      <charset val="129"/>
    </font>
    <font>
      <b/>
      <sz val="14"/>
      <color theme="0"/>
      <name val="맑은 고딕"/>
      <family val="3"/>
      <charset val="129"/>
      <scheme val="minor"/>
    </font>
    <font>
      <sz val="8"/>
      <color rgb="FF000000"/>
      <name val="맑은 고딕"/>
      <family val="3"/>
      <charset val="129"/>
    </font>
    <font>
      <sz val="10"/>
      <color theme="1"/>
      <name val="맑은 고딕"/>
      <family val="3"/>
      <charset val="129"/>
      <scheme val="minor"/>
    </font>
    <font>
      <sz val="11"/>
      <color indexed="10"/>
      <name val="돋움"/>
      <family val="3"/>
      <charset val="129"/>
    </font>
    <font>
      <sz val="11"/>
      <color indexed="14"/>
      <name val="돋움"/>
      <family val="3"/>
      <charset val="129"/>
    </font>
    <font>
      <sz val="10"/>
      <name val="돋움"/>
      <family val="3"/>
      <charset val="129"/>
    </font>
    <font>
      <b/>
      <sz val="10"/>
      <name val="돋움"/>
      <family val="3"/>
      <charset val="129"/>
    </font>
    <font>
      <b/>
      <sz val="11"/>
      <name val="돋움"/>
      <family val="3"/>
      <charset val="129"/>
    </font>
    <font>
      <sz val="10"/>
      <color indexed="10"/>
      <name val="돋움"/>
      <family val="3"/>
      <charset val="129"/>
    </font>
    <font>
      <b/>
      <sz val="10"/>
      <color indexed="10"/>
      <name val="돋움"/>
      <family val="3"/>
      <charset val="129"/>
    </font>
    <font>
      <sz val="10"/>
      <color indexed="8"/>
      <name val="돋움"/>
      <family val="3"/>
      <charset val="129"/>
    </font>
    <font>
      <b/>
      <sz val="12"/>
      <color rgb="FFFFFF00"/>
      <name val="맑은 고딕"/>
      <family val="3"/>
      <charset val="129"/>
    </font>
    <font>
      <sz val="10"/>
      <name val="맑은 고딕"/>
      <family val="3"/>
      <charset val="129"/>
    </font>
    <font>
      <sz val="10"/>
      <color rgb="FF0070C0"/>
      <name val="돋움"/>
      <family val="3"/>
      <charset val="129"/>
    </font>
    <font>
      <b/>
      <sz val="12"/>
      <color rgb="FFFF0000"/>
      <name val="맑은 고딕"/>
      <family val="3"/>
      <charset val="129"/>
    </font>
    <font>
      <b/>
      <sz val="10"/>
      <color rgb="FF0070C0"/>
      <name val="돋움"/>
      <family val="3"/>
      <charset val="129"/>
    </font>
    <font>
      <b/>
      <sz val="9"/>
      <color indexed="12"/>
      <name val="굴림"/>
      <family val="3"/>
      <charset val="129"/>
    </font>
    <font>
      <sz val="10"/>
      <name val="Arial"/>
      <family val="2"/>
    </font>
    <font>
      <sz val="18"/>
      <name val="Arial"/>
      <family val="2"/>
    </font>
    <font>
      <sz val="11"/>
      <color theme="1"/>
      <name val="맑은 고딕"/>
      <family val="3"/>
      <charset val="129"/>
      <scheme val="minor"/>
    </font>
    <font>
      <sz val="12"/>
      <color rgb="FF000000"/>
      <name val="맑은 고딕"/>
      <family val="3"/>
      <charset val="129"/>
    </font>
    <font>
      <sz val="10"/>
      <color indexed="8"/>
      <name val="Arial"/>
      <family val="2"/>
    </font>
    <font>
      <sz val="9"/>
      <name val="굴림"/>
      <family val="3"/>
    </font>
    <font>
      <sz val="11"/>
      <name val="굴림체"/>
      <family val="3"/>
      <charset val="129"/>
    </font>
    <font>
      <sz val="12"/>
      <name val="굴림체"/>
      <family val="3"/>
      <charset val="129"/>
    </font>
    <font>
      <sz val="12"/>
      <name val="바탕체"/>
      <family val="1"/>
      <charset val="129"/>
    </font>
    <font>
      <sz val="10"/>
      <name val="MS Sans Serif"/>
      <family val="2"/>
    </font>
    <font>
      <b/>
      <sz val="22"/>
      <name val="바탕체"/>
      <family val="1"/>
      <charset val="129"/>
    </font>
    <font>
      <sz val="12"/>
      <name val="돋움체"/>
      <family val="3"/>
      <charset val="129"/>
    </font>
    <font>
      <sz val="12"/>
      <color indexed="22"/>
      <name val="바탕체"/>
      <family val="1"/>
      <charset val="129"/>
    </font>
    <font>
      <b/>
      <sz val="18"/>
      <color indexed="22"/>
      <name val="바탕체"/>
      <family val="1"/>
      <charset val="129"/>
    </font>
    <font>
      <b/>
      <sz val="15"/>
      <color indexed="22"/>
      <name val="바탕체"/>
      <family val="1"/>
      <charset val="129"/>
    </font>
    <font>
      <u/>
      <sz val="7.5"/>
      <color indexed="36"/>
      <name val="Arial"/>
      <family val="2"/>
    </font>
    <font>
      <sz val="14"/>
      <name val="뼻뮝"/>
      <family val="3"/>
      <charset val="129"/>
    </font>
    <font>
      <sz val="10"/>
      <name val="돋움체"/>
      <family val="3"/>
      <charset val="129"/>
    </font>
    <font>
      <sz val="8"/>
      <name val="Times New Roman"/>
      <family val="1"/>
    </font>
    <font>
      <sz val="10"/>
      <name val="굴림"/>
      <family val="3"/>
      <charset val="129"/>
    </font>
    <font>
      <b/>
      <sz val="12"/>
      <name val="Arial MT"/>
      <family val="2"/>
    </font>
    <font>
      <sz val="12"/>
      <name val="¹UAAA¼"/>
      <family val="3"/>
      <charset val="129"/>
    </font>
    <font>
      <sz val="9"/>
      <name val="Times New Roman"/>
      <family val="1"/>
    </font>
    <font>
      <b/>
      <sz val="10"/>
      <name val="Helv"/>
      <family val="2"/>
    </font>
    <font>
      <sz val="1"/>
      <color indexed="8"/>
      <name val="Courier"/>
      <family val="3"/>
    </font>
    <font>
      <sz val="12"/>
      <name val="Arial MT"/>
      <family val="2"/>
    </font>
    <font>
      <sz val="10"/>
      <name val="MS Serif"/>
      <family val="1"/>
    </font>
    <font>
      <b/>
      <sz val="9"/>
      <name val="Helv"/>
      <family val="2"/>
    </font>
    <font>
      <sz val="10"/>
      <color indexed="16"/>
      <name val="MS Serif"/>
      <family val="1"/>
    </font>
    <font>
      <sz val="12"/>
      <color indexed="24"/>
      <name val="Arial"/>
      <family val="2"/>
    </font>
    <font>
      <u/>
      <sz val="14"/>
      <color indexed="36"/>
      <name val="Cordia New"/>
      <family val="2"/>
    </font>
    <font>
      <sz val="10"/>
      <name val="Geneva"/>
      <family val="2"/>
    </font>
    <font>
      <sz val="8"/>
      <name val="Arial"/>
      <family val="2"/>
    </font>
    <font>
      <b/>
      <sz val="12"/>
      <name val="Helv"/>
      <family val="2"/>
    </font>
    <font>
      <b/>
      <sz val="12"/>
      <name val="Arial"/>
      <family val="2"/>
    </font>
    <font>
      <b/>
      <sz val="18"/>
      <name val="Arial"/>
      <family val="2"/>
    </font>
    <font>
      <b/>
      <sz val="8"/>
      <name val="MS Sans Serif"/>
      <family val="2"/>
    </font>
    <font>
      <u/>
      <sz val="8"/>
      <color indexed="12"/>
      <name val="Times New Roman"/>
      <family val="1"/>
    </font>
    <font>
      <sz val="14"/>
      <name val="Helv"/>
      <family val="2"/>
    </font>
    <font>
      <sz val="12"/>
      <name val="Helv"/>
      <family val="2"/>
    </font>
    <font>
      <sz val="24"/>
      <name val="Helv"/>
      <family val="2"/>
    </font>
    <font>
      <b/>
      <sz val="11"/>
      <name val="Helv"/>
      <family val="2"/>
    </font>
    <font>
      <sz val="7"/>
      <name val="Small Fonts"/>
      <family val="2"/>
    </font>
    <font>
      <sz val="8"/>
      <name val="Wingdings"/>
      <charset val="2"/>
    </font>
    <font>
      <sz val="10"/>
      <color indexed="39"/>
      <name val="Arial"/>
      <family val="2"/>
    </font>
    <font>
      <b/>
      <sz val="10"/>
      <color indexed="8"/>
      <name val="Arial"/>
      <family val="2"/>
    </font>
    <font>
      <b/>
      <sz val="12"/>
      <color indexed="8"/>
      <name val="Arial"/>
      <family val="2"/>
    </font>
    <font>
      <b/>
      <sz val="16"/>
      <color indexed="23"/>
      <name val="Arial"/>
      <family val="2"/>
    </font>
    <font>
      <sz val="10"/>
      <color indexed="10"/>
      <name val="Arial"/>
      <family val="2"/>
    </font>
    <font>
      <sz val="8"/>
      <name val="MS Sans Serif"/>
      <family val="2"/>
    </font>
    <font>
      <sz val="8"/>
      <name val="Helv"/>
      <family val="2"/>
    </font>
    <font>
      <b/>
      <sz val="8"/>
      <color indexed="8"/>
      <name val="Helv"/>
      <family val="2"/>
    </font>
    <font>
      <b/>
      <u/>
      <sz val="13"/>
      <name val="굴림체"/>
      <family val="3"/>
      <charset val="129"/>
    </font>
    <font>
      <sz val="8"/>
      <name val="바탕체"/>
      <family val="1"/>
      <charset val="129"/>
    </font>
    <font>
      <sz val="9"/>
      <name val="굴림"/>
      <family val="3"/>
      <charset val="129"/>
    </font>
    <font>
      <sz val="11"/>
      <color indexed="9"/>
      <name val="Calibri"/>
      <family val="2"/>
    </font>
    <font>
      <sz val="11"/>
      <color indexed="8"/>
      <name val="Calibri"/>
      <family val="2"/>
    </font>
    <font>
      <sz val="11"/>
      <color indexed="37"/>
      <name val="Calibri"/>
      <family val="2"/>
    </font>
    <font>
      <b/>
      <sz val="11"/>
      <color indexed="17"/>
      <name val="Calibri"/>
      <family val="2"/>
    </font>
    <font>
      <b/>
      <sz val="11"/>
      <color indexed="9"/>
      <name val="Calibri"/>
      <family val="2"/>
    </font>
    <font>
      <b/>
      <sz val="11"/>
      <color indexed="8"/>
      <name val="Calibri"/>
      <family val="2"/>
    </font>
    <font>
      <b/>
      <sz val="11"/>
      <color indexed="62"/>
      <name val="Calibri"/>
      <family val="2"/>
    </font>
    <font>
      <sz val="11"/>
      <color indexed="48"/>
      <name val="Calibri"/>
      <family val="2"/>
    </font>
    <font>
      <sz val="11"/>
      <color indexed="17"/>
      <name val="Calibri"/>
      <family val="2"/>
    </font>
    <font>
      <b/>
      <sz val="11"/>
      <color indexed="63"/>
      <name val="Calibri"/>
      <family val="2"/>
    </font>
    <font>
      <b/>
      <sz val="8"/>
      <name val="Arial"/>
      <family val="2"/>
    </font>
    <font>
      <b/>
      <sz val="18"/>
      <color indexed="62"/>
      <name val="Cambria"/>
      <family val="1"/>
    </font>
    <font>
      <sz val="11"/>
      <color indexed="14"/>
      <name val="Calibri"/>
      <family val="2"/>
    </font>
    <font>
      <b/>
      <u/>
      <sz val="28"/>
      <name val="돋움"/>
      <family val="3"/>
      <charset val="129"/>
    </font>
    <font>
      <sz val="12"/>
      <name val="돋움"/>
      <family val="3"/>
      <charset val="129"/>
    </font>
    <font>
      <sz val="10"/>
      <color indexed="16"/>
      <name val="돋움"/>
      <family val="3"/>
      <charset val="129"/>
    </font>
    <font>
      <b/>
      <sz val="10"/>
      <color indexed="16"/>
      <name val="돋움"/>
      <family val="3"/>
      <charset val="129"/>
    </font>
    <font>
      <b/>
      <sz val="10"/>
      <color theme="5" tint="-0.249977111117893"/>
      <name val="돋움"/>
      <family val="3"/>
      <charset val="129"/>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1"/>
      <color indexed="8"/>
      <name val="맑은 고딕"/>
      <family val="3"/>
      <charset val="129"/>
    </font>
    <font>
      <b/>
      <sz val="11"/>
      <color indexed="8"/>
      <name val="맑은 고딕"/>
      <family val="3"/>
      <charset val="129"/>
    </font>
    <font>
      <sz val="11"/>
      <name val="굴림"/>
      <family val="3"/>
      <charset val="129"/>
    </font>
    <font>
      <sz val="10"/>
      <name val="Helv"/>
      <family val="2"/>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sz val="11"/>
      <color indexed="62"/>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10"/>
      <color theme="1"/>
      <name val="맑은 고딕"/>
      <family val="2"/>
      <charset val="129"/>
      <scheme val="minor"/>
    </font>
    <font>
      <sz val="11"/>
      <color indexed="16"/>
      <name val="돋움"/>
      <family val="3"/>
      <charset val="129"/>
    </font>
    <font>
      <sz val="11"/>
      <color rgb="FF000000"/>
      <name val="맑은 고딕"/>
      <family val="3"/>
      <charset val="129"/>
      <scheme val="minor"/>
    </font>
    <font>
      <sz val="12"/>
      <color rgb="FF000000"/>
      <name val="Arial"/>
      <family val="2"/>
    </font>
    <font>
      <b/>
      <sz val="11"/>
      <color rgb="FFFF0000"/>
      <name val="맑은 고딕"/>
      <family val="3"/>
      <charset val="129"/>
      <scheme val="minor"/>
    </font>
    <font>
      <b/>
      <sz val="14"/>
      <color theme="1"/>
      <name val="맑은 고딕"/>
      <family val="3"/>
      <charset val="129"/>
      <scheme val="minor"/>
    </font>
    <font>
      <sz val="12"/>
      <color theme="1"/>
      <name val="맑은 고딕"/>
      <family val="3"/>
      <charset val="129"/>
      <scheme val="minor"/>
    </font>
    <font>
      <sz val="10"/>
      <color theme="1"/>
      <name val="굴림체"/>
      <family val="3"/>
      <charset val="129"/>
    </font>
    <font>
      <b/>
      <sz val="11"/>
      <color theme="1"/>
      <name val="맑은 고딕"/>
      <family val="3"/>
      <charset val="129"/>
      <scheme val="minor"/>
    </font>
    <font>
      <sz val="12"/>
      <name val="맑은 고딕"/>
      <family val="3"/>
      <charset val="129"/>
      <scheme val="minor"/>
    </font>
    <font>
      <b/>
      <sz val="14"/>
      <name val="맑은 고딕"/>
      <family val="3"/>
      <charset val="129"/>
      <scheme val="minor"/>
    </font>
    <font>
      <sz val="11"/>
      <color rgb="FF000000"/>
      <name val="맑은 고딕"/>
      <family val="3"/>
      <charset val="129"/>
    </font>
    <font>
      <b/>
      <sz val="10"/>
      <color theme="0"/>
      <name val="돋움"/>
      <family val="3"/>
      <charset val="129"/>
    </font>
    <font>
      <b/>
      <sz val="11"/>
      <color theme="0"/>
      <name val="맑은 고딕"/>
      <family val="3"/>
      <charset val="129"/>
      <scheme val="minor"/>
    </font>
    <font>
      <sz val="11"/>
      <color theme="0"/>
      <name val="맑은 고딕"/>
      <family val="3"/>
      <charset val="129"/>
      <scheme val="minor"/>
    </font>
    <font>
      <b/>
      <sz val="11"/>
      <color rgb="FF000000"/>
      <name val="맑은 고딕"/>
      <family val="3"/>
      <charset val="129"/>
      <scheme val="minor"/>
    </font>
    <font>
      <sz val="12"/>
      <color rgb="FF000000"/>
      <name val="Calibri"/>
      <family val="2"/>
    </font>
    <font>
      <b/>
      <sz val="11"/>
      <color indexed="8"/>
      <name val="맑은 고딕"/>
      <family val="3"/>
      <charset val="129"/>
      <scheme val="minor"/>
    </font>
    <font>
      <sz val="11"/>
      <color indexed="8"/>
      <name val="맑은 고딕"/>
      <family val="3"/>
      <charset val="129"/>
      <scheme val="minor"/>
    </font>
    <font>
      <sz val="11"/>
      <color theme="1"/>
      <name val="맑은 고딕"/>
      <family val="3"/>
      <charset val="129"/>
      <scheme val="major"/>
    </font>
    <font>
      <b/>
      <sz val="10"/>
      <color theme="1"/>
      <name val="굴림체"/>
      <family val="3"/>
      <charset val="129"/>
    </font>
    <font>
      <b/>
      <sz val="12"/>
      <name val="돋움"/>
      <family val="3"/>
      <charset val="129"/>
    </font>
    <font>
      <sz val="11"/>
      <color rgb="FF0000FF"/>
      <name val="맑은 고딕"/>
      <family val="3"/>
      <charset val="129"/>
      <scheme val="minor"/>
    </font>
    <font>
      <sz val="11"/>
      <color rgb="FFFF0000"/>
      <name val="맑은 고딕"/>
      <family val="3"/>
      <charset val="129"/>
      <scheme val="minor"/>
    </font>
    <font>
      <sz val="16"/>
      <color indexed="8"/>
      <name val="굴림"/>
      <family val="3"/>
      <charset val="129"/>
    </font>
    <font>
      <sz val="16"/>
      <name val="굴림"/>
      <family val="3"/>
      <charset val="129"/>
    </font>
    <font>
      <sz val="10"/>
      <color theme="1"/>
      <name val="맑은 고딕"/>
      <family val="3"/>
      <charset val="129"/>
      <scheme val="major"/>
    </font>
    <font>
      <sz val="9"/>
      <color theme="1"/>
      <name val="굴림체"/>
      <family val="3"/>
      <charset val="129"/>
    </font>
    <font>
      <sz val="10"/>
      <color rgb="FF000000"/>
      <name val="맑은 고딕"/>
      <family val="3"/>
      <charset val="129"/>
    </font>
    <font>
      <b/>
      <u/>
      <sz val="20"/>
      <color theme="1"/>
      <name val="맑은 고딕"/>
      <family val="3"/>
      <charset val="129"/>
      <scheme val="minor"/>
    </font>
    <font>
      <sz val="8"/>
      <color rgb="FFFF0000"/>
      <name val="맑은 고딕"/>
      <family val="3"/>
      <charset val="129"/>
    </font>
    <font>
      <b/>
      <sz val="24"/>
      <color theme="0"/>
      <name val="돋움"/>
      <family val="3"/>
      <charset val="129"/>
    </font>
    <font>
      <sz val="9"/>
      <name val="돋움"/>
      <family val="3"/>
      <charset val="129"/>
    </font>
    <font>
      <sz val="11"/>
      <name val="맑은 고딕"/>
      <family val="3"/>
      <charset val="129"/>
      <scheme val="major"/>
    </font>
    <font>
      <sz val="12"/>
      <color rgb="FF0000FF"/>
      <name val="맑은 고딕"/>
      <family val="3"/>
      <charset val="129"/>
      <scheme val="minor"/>
    </font>
    <font>
      <b/>
      <sz val="14"/>
      <color rgb="FF000000"/>
      <name val="맑은 고딕"/>
      <family val="3"/>
      <charset val="129"/>
      <scheme val="major"/>
    </font>
    <font>
      <b/>
      <sz val="14"/>
      <color rgb="FF000000"/>
      <name val="맑은 고딕"/>
      <family val="3"/>
      <charset val="129"/>
      <scheme val="minor"/>
    </font>
    <font>
      <b/>
      <sz val="9"/>
      <color rgb="FF000000"/>
      <name val="맑은 고딕"/>
      <family val="3"/>
      <charset val="129"/>
      <scheme val="minor"/>
    </font>
    <font>
      <b/>
      <sz val="11"/>
      <color rgb="FF000000"/>
      <name val="맑은 고딕"/>
      <family val="3"/>
      <charset val="129"/>
    </font>
    <font>
      <sz val="10"/>
      <color theme="1"/>
      <name val="맑은 고딕"/>
      <family val="2"/>
      <charset val="129"/>
    </font>
    <font>
      <sz val="8"/>
      <color rgb="FF0000FF"/>
      <name val="맑은 고딕"/>
      <family val="3"/>
      <charset val="129"/>
      <scheme val="minor"/>
    </font>
    <font>
      <b/>
      <sz val="8"/>
      <color rgb="FF0000FF"/>
      <name val="맑은 고딕"/>
      <family val="3"/>
      <charset val="129"/>
      <scheme val="minor"/>
    </font>
    <font>
      <b/>
      <sz val="11"/>
      <color rgb="FFFF0000"/>
      <name val="돋움"/>
      <family val="3"/>
      <charset val="129"/>
    </font>
    <font>
      <b/>
      <sz val="14"/>
      <color rgb="FFFF0000"/>
      <name val="맑은 고딕"/>
      <family val="3"/>
      <charset val="129"/>
      <scheme val="minor"/>
    </font>
    <font>
      <sz val="10"/>
      <color rgb="FFFF0000"/>
      <name val="돋움"/>
      <family val="3"/>
      <charset val="129"/>
    </font>
    <font>
      <b/>
      <sz val="20"/>
      <name val="맑은 고딕"/>
      <family val="3"/>
      <charset val="129"/>
      <scheme val="minor"/>
    </font>
    <font>
      <b/>
      <sz val="10"/>
      <color rgb="FF0000FF"/>
      <name val="돋움"/>
      <family val="3"/>
      <charset val="129"/>
    </font>
    <font>
      <b/>
      <sz val="11"/>
      <color rgb="FF0000FF"/>
      <name val="맑은 고딕"/>
      <family val="3"/>
      <charset val="129"/>
      <scheme val="minor"/>
    </font>
    <font>
      <b/>
      <sz val="10"/>
      <color rgb="FFFF0000"/>
      <name val="맑은 고딕"/>
      <family val="3"/>
      <charset val="129"/>
      <scheme val="minor"/>
    </font>
    <font>
      <sz val="11"/>
      <color rgb="FFFF0000"/>
      <name val="돋움"/>
      <family val="3"/>
      <charset val="129"/>
    </font>
    <font>
      <sz val="9"/>
      <color indexed="81"/>
      <name val="Tahoma"/>
      <family val="2"/>
    </font>
    <font>
      <b/>
      <sz val="9"/>
      <color indexed="81"/>
      <name val="Tahoma"/>
      <family val="2"/>
    </font>
    <font>
      <sz val="9"/>
      <color indexed="81"/>
      <name val="돋움"/>
      <family val="3"/>
      <charset val="129"/>
    </font>
    <font>
      <b/>
      <sz val="10"/>
      <color theme="0"/>
      <name val="맑은 고딕"/>
      <family val="3"/>
      <charset val="129"/>
      <scheme val="minor"/>
    </font>
    <font>
      <sz val="10"/>
      <color rgb="FFFF0000"/>
      <name val="맑은 고딕"/>
      <family val="3"/>
      <charset val="129"/>
      <scheme val="minor"/>
    </font>
    <font>
      <b/>
      <sz val="11"/>
      <color theme="0"/>
      <name val="맑은 고딕"/>
      <family val="3"/>
      <charset val="129"/>
      <scheme val="major"/>
    </font>
    <font>
      <b/>
      <sz val="12"/>
      <color rgb="FFFFFFFF"/>
      <name val="맑은 고딕"/>
      <family val="3"/>
      <charset val="129"/>
    </font>
    <font>
      <b/>
      <sz val="11"/>
      <color rgb="FF0000FF"/>
      <name val="맑은 고딕"/>
      <family val="3"/>
      <charset val="129"/>
    </font>
    <font>
      <b/>
      <sz val="11"/>
      <color rgb="FFFF0000"/>
      <name val="맑은 고딕"/>
      <family val="3"/>
      <charset val="129"/>
    </font>
    <font>
      <b/>
      <sz val="11"/>
      <color rgb="FFFF0000"/>
      <name val="Arial"/>
      <family val="2"/>
    </font>
    <font>
      <b/>
      <sz val="11"/>
      <name val="맑은 고딕"/>
      <family val="3"/>
      <charset val="129"/>
    </font>
    <font>
      <sz val="11"/>
      <color theme="0"/>
      <name val="맑은 고딕"/>
      <family val="3"/>
      <charset val="129"/>
      <scheme val="major"/>
    </font>
    <font>
      <b/>
      <sz val="11"/>
      <color rgb="FFFF0000"/>
      <name val="맑은 고딕"/>
      <family val="3"/>
      <charset val="129"/>
      <scheme val="major"/>
    </font>
    <font>
      <b/>
      <sz val="11"/>
      <color rgb="FF0000FF"/>
      <name val="맑은 고딕"/>
      <family val="3"/>
      <charset val="129"/>
      <scheme val="major"/>
    </font>
    <font>
      <sz val="9"/>
      <color theme="1"/>
      <name val="맑은 고딕"/>
      <family val="3"/>
      <charset val="129"/>
      <scheme val="minor"/>
    </font>
    <font>
      <sz val="9"/>
      <name val="맑은 고딕"/>
      <family val="3"/>
      <charset val="129"/>
      <scheme val="minor"/>
    </font>
    <font>
      <b/>
      <sz val="11"/>
      <name val="맑은 고딕"/>
      <family val="3"/>
      <charset val="129"/>
      <scheme val="major"/>
    </font>
    <font>
      <b/>
      <sz val="9"/>
      <name val="맑은 고딕"/>
      <family val="3"/>
      <charset val="129"/>
      <scheme val="major"/>
    </font>
    <font>
      <sz val="9"/>
      <name val="맑은 고딕"/>
      <family val="3"/>
      <charset val="129"/>
      <scheme val="major"/>
    </font>
    <font>
      <b/>
      <sz val="9"/>
      <name val="Arial"/>
      <family val="2"/>
    </font>
    <font>
      <sz val="9"/>
      <name val="Arial"/>
      <family val="2"/>
    </font>
    <font>
      <sz val="9"/>
      <color rgb="FFFF0000"/>
      <name val="맑은 고딕"/>
      <family val="3"/>
      <charset val="129"/>
      <scheme val="minor"/>
    </font>
    <font>
      <b/>
      <sz val="10"/>
      <name val="맑은 고딕"/>
      <family val="3"/>
      <charset val="129"/>
      <scheme val="major"/>
    </font>
    <font>
      <sz val="9"/>
      <color theme="1"/>
      <name val="맑은 고딕"/>
      <family val="2"/>
      <charset val="129"/>
      <scheme val="minor"/>
    </font>
    <font>
      <sz val="10"/>
      <name val="맑은 고딕"/>
      <family val="3"/>
      <charset val="129"/>
      <scheme val="major"/>
    </font>
    <font>
      <b/>
      <sz val="11"/>
      <color theme="0"/>
      <name val="돋움"/>
      <family val="3"/>
      <charset val="129"/>
    </font>
    <font>
      <b/>
      <sz val="10"/>
      <color rgb="FFC00000"/>
      <name val="돋움"/>
      <family val="3"/>
      <charset val="129"/>
    </font>
    <font>
      <sz val="10"/>
      <color rgb="FFC00000"/>
      <name val="돋움"/>
      <family val="3"/>
      <charset val="129"/>
    </font>
    <font>
      <sz val="11"/>
      <color rgb="FFC00000"/>
      <name val="돋움"/>
      <family val="3"/>
      <charset val="129"/>
    </font>
    <font>
      <sz val="10"/>
      <color rgb="FF0000FF"/>
      <name val="돋움"/>
      <family val="3"/>
      <charset val="129"/>
    </font>
    <font>
      <sz val="11"/>
      <color rgb="FF0000FF"/>
      <name val="돋움"/>
      <family val="3"/>
      <charset val="129"/>
    </font>
    <font>
      <b/>
      <sz val="11"/>
      <color theme="0" tint="-4.9989318521683403E-2"/>
      <name val="맑은 고딕"/>
      <family val="3"/>
      <charset val="129"/>
      <scheme val="major"/>
    </font>
    <font>
      <b/>
      <sz val="10"/>
      <name val="Arial"/>
      <family val="2"/>
    </font>
    <font>
      <b/>
      <sz val="11"/>
      <name val="Arial"/>
      <family val="2"/>
    </font>
    <font>
      <sz val="9.5"/>
      <name val="돋움"/>
      <family val="3"/>
      <charset val="129"/>
    </font>
    <font>
      <b/>
      <sz val="9"/>
      <color indexed="81"/>
      <name val="돋움"/>
      <family val="3"/>
      <charset val="129"/>
    </font>
    <font>
      <b/>
      <sz val="12"/>
      <color theme="0"/>
      <name val="맑은 고딕"/>
      <family val="3"/>
      <charset val="129"/>
      <scheme val="minor"/>
    </font>
    <font>
      <b/>
      <sz val="12"/>
      <color theme="0"/>
      <name val="맑은 고딕"/>
      <family val="3"/>
      <charset val="129"/>
    </font>
    <font>
      <b/>
      <sz val="12"/>
      <color theme="0"/>
      <name val="돋움"/>
      <family val="3"/>
      <charset val="129"/>
    </font>
    <font>
      <sz val="10"/>
      <color theme="1"/>
      <name val="굴림"/>
      <family val="3"/>
      <charset val="129"/>
    </font>
    <font>
      <b/>
      <sz val="10"/>
      <color rgb="FF0000FF"/>
      <name val="굴림"/>
      <family val="3"/>
      <charset val="129"/>
    </font>
    <font>
      <b/>
      <sz val="9"/>
      <name val="돋움"/>
      <family val="3"/>
      <charset val="129"/>
    </font>
    <font>
      <b/>
      <sz val="10"/>
      <color theme="1"/>
      <name val="굴림"/>
      <family val="3"/>
      <charset val="129"/>
    </font>
    <font>
      <b/>
      <sz val="12"/>
      <color theme="1"/>
      <name val="맑은 고딕"/>
      <family val="3"/>
      <charset val="129"/>
      <scheme val="minor"/>
    </font>
    <font>
      <sz val="10"/>
      <color theme="1"/>
      <name val="맑은 고딕"/>
      <family val="3"/>
      <charset val="129"/>
    </font>
    <font>
      <b/>
      <sz val="8"/>
      <name val="맑은 고딕"/>
      <family val="3"/>
      <charset val="129"/>
      <scheme val="major"/>
    </font>
    <font>
      <b/>
      <sz val="12"/>
      <color rgb="FFFF0000"/>
      <name val="맑은 고딕"/>
      <family val="3"/>
      <charset val="129"/>
      <scheme val="minor"/>
    </font>
    <font>
      <sz val="11"/>
      <color rgb="FFFF0000"/>
      <name val="맑은 고딕"/>
      <family val="3"/>
      <charset val="129"/>
      <scheme val="major"/>
    </font>
    <font>
      <b/>
      <sz val="20"/>
      <name val="돋움"/>
      <family val="3"/>
      <charset val="129"/>
    </font>
    <font>
      <b/>
      <sz val="28"/>
      <name val="돋움"/>
      <family val="3"/>
      <charset val="129"/>
    </font>
    <font>
      <b/>
      <sz val="11"/>
      <color rgb="FF0000FF"/>
      <name val="돋움"/>
      <family val="3"/>
      <charset val="129"/>
    </font>
    <font>
      <b/>
      <sz val="11"/>
      <color theme="1"/>
      <name val="맑은 고딕"/>
      <family val="3"/>
      <charset val="129"/>
      <scheme val="major"/>
    </font>
    <font>
      <b/>
      <sz val="10"/>
      <color rgb="FF000000"/>
      <name val="맑은 고딕"/>
      <family val="3"/>
      <charset val="129"/>
      <scheme val="minor"/>
    </font>
    <font>
      <b/>
      <sz val="12"/>
      <color rgb="FF0000FF"/>
      <name val="돋움"/>
      <family val="3"/>
      <charset val="129"/>
    </font>
    <font>
      <b/>
      <sz val="11"/>
      <color rgb="FFFFFFFF"/>
      <name val="Arial"/>
      <family val="2"/>
    </font>
    <font>
      <b/>
      <sz val="11"/>
      <color rgb="FFFFFFFF"/>
      <name val="맑은 고딕"/>
      <family val="3"/>
      <charset val="129"/>
    </font>
    <font>
      <b/>
      <sz val="11"/>
      <color rgb="FFFFFFFF"/>
      <name val="돋움"/>
      <family val="3"/>
      <charset val="129"/>
    </font>
    <font>
      <b/>
      <sz val="11"/>
      <color theme="0"/>
      <name val="맑은 고딕"/>
      <family val="3"/>
      <charset val="129"/>
    </font>
    <font>
      <sz val="11"/>
      <name val="맑은 고딕"/>
      <family val="3"/>
      <charset val="129"/>
    </font>
    <font>
      <b/>
      <sz val="10"/>
      <name val="굴림체"/>
      <family val="3"/>
      <charset val="129"/>
    </font>
    <font>
      <b/>
      <sz val="10"/>
      <color rgb="FF0000FF"/>
      <name val="굴림체"/>
      <family val="3"/>
      <charset val="129"/>
    </font>
    <font>
      <b/>
      <sz val="8"/>
      <color rgb="FFFF0000"/>
      <name val="맑은 고딕"/>
      <family val="3"/>
      <charset val="129"/>
      <scheme val="minor"/>
    </font>
  </fonts>
  <fills count="150">
    <fill>
      <patternFill patternType="none"/>
    </fill>
    <fill>
      <patternFill patternType="gray125"/>
    </fill>
    <fill>
      <patternFill patternType="solid">
        <fgColor indexed="43"/>
        <bgColor indexed="64"/>
      </patternFill>
    </fill>
    <fill>
      <patternFill patternType="solid">
        <fgColor rgb="FFFFFF00"/>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bgColor indexed="64"/>
      </patternFill>
    </fill>
    <fill>
      <patternFill patternType="solid">
        <fgColor theme="5" tint="0.59999389629810485"/>
        <bgColor indexed="64"/>
      </patternFill>
    </fill>
    <fill>
      <patternFill patternType="solid">
        <fgColor rgb="FF7030A0"/>
        <bgColor indexed="64"/>
      </patternFill>
    </fill>
    <fill>
      <patternFill patternType="solid">
        <fgColor indexed="26"/>
      </patternFill>
    </fill>
    <fill>
      <patternFill patternType="solid">
        <fgColor indexed="9"/>
      </patternFill>
    </fill>
    <fill>
      <patternFill patternType="solid">
        <fgColor indexed="31"/>
      </patternFill>
    </fill>
    <fill>
      <patternFill patternType="solid">
        <fgColor rgb="FFFFFFCC"/>
        <bgColor indexed="64"/>
      </patternFill>
    </fill>
    <fill>
      <patternFill patternType="solid">
        <fgColor rgb="FF00206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9"/>
        <bgColor indexed="64"/>
      </patternFill>
    </fill>
    <fill>
      <patternFill patternType="darkVertical"/>
    </fill>
    <fill>
      <patternFill patternType="solid">
        <fgColor indexed="31"/>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22"/>
        <bgColor indexed="35"/>
      </patternFill>
    </fill>
    <fill>
      <patternFill patternType="solid">
        <fgColor indexed="35"/>
        <bgColor indexed="64"/>
      </patternFill>
    </fill>
    <fill>
      <patternFill patternType="solid">
        <fgColor indexed="54"/>
        <bgColor indexed="64"/>
      </patternFill>
    </fill>
    <fill>
      <patternFill patternType="solid">
        <fgColor indexed="23"/>
        <bgColor indexed="64"/>
      </patternFill>
    </fill>
    <fill>
      <patternFill patternType="solid">
        <fgColor indexed="55"/>
        <bgColor indexed="64"/>
      </patternFill>
    </fill>
    <fill>
      <patternFill patternType="solid">
        <fgColor indexed="22"/>
        <bgColor indexed="64"/>
      </patternFill>
    </fill>
    <fill>
      <patternFill patternType="solid">
        <fgColor indexed="26"/>
        <bgColor indexed="64"/>
      </patternFill>
    </fill>
    <fill>
      <patternFill patternType="solid">
        <fgColor indexed="48"/>
        <bgColor indexed="48"/>
      </patternFill>
    </fill>
    <fill>
      <patternFill patternType="solid">
        <fgColor indexed="61"/>
        <bgColor indexed="61"/>
      </patternFill>
    </fill>
    <fill>
      <patternFill patternType="solid">
        <fgColor indexed="22"/>
        <bgColor indexed="22"/>
      </patternFill>
    </fill>
    <fill>
      <patternFill patternType="solid">
        <fgColor indexed="58"/>
        <bgColor indexed="58"/>
      </patternFill>
    </fill>
    <fill>
      <patternFill patternType="solid">
        <fgColor indexed="25"/>
        <bgColor indexed="25"/>
      </patternFill>
    </fill>
    <fill>
      <patternFill patternType="solid">
        <fgColor indexed="31"/>
        <bgColor indexed="31"/>
      </patternFill>
    </fill>
    <fill>
      <patternFill patternType="solid">
        <fgColor indexed="40"/>
        <bgColor indexed="40"/>
      </patternFill>
    </fill>
    <fill>
      <patternFill patternType="solid">
        <fgColor indexed="45"/>
        <bgColor indexed="45"/>
      </patternFill>
    </fill>
    <fill>
      <patternFill patternType="solid">
        <fgColor indexed="57"/>
        <bgColor indexed="57"/>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indexed="18"/>
        <bgColor indexed="18"/>
      </patternFill>
    </fill>
    <fill>
      <patternFill patternType="solid">
        <fgColor indexed="55"/>
        <bgColor indexed="55"/>
      </patternFill>
    </fill>
    <fill>
      <patternFill patternType="solid">
        <fgColor indexed="41"/>
        <bgColor indexed="41"/>
      </patternFill>
    </fill>
    <fill>
      <patternFill patternType="solid">
        <fgColor indexed="54"/>
        <bgColor indexed="54"/>
      </patternFill>
    </fill>
    <fill>
      <patternFill patternType="solid">
        <fgColor indexed="53"/>
        <bgColor indexed="53"/>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solid">
        <fgColor indexed="35"/>
        <bgColor indexed="35"/>
      </patternFill>
    </fill>
    <fill>
      <patternFill patternType="lightUp">
        <fgColor indexed="9"/>
        <bgColor indexed="24"/>
      </patternFill>
    </fill>
    <fill>
      <patternFill patternType="lightUp">
        <fgColor indexed="9"/>
        <bgColor indexed="12"/>
      </patternFill>
    </fill>
    <fill>
      <patternFill patternType="lightUp">
        <fgColor indexed="9"/>
        <bgColor indexed="57"/>
      </patternFill>
    </fill>
    <fill>
      <patternFill patternType="solid">
        <fgColor indexed="54"/>
      </patternFill>
    </fill>
    <fill>
      <patternFill patternType="solid">
        <fgColor indexed="2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55"/>
      </patternFill>
    </fill>
    <fill>
      <patternFill patternType="solid">
        <fgColor rgb="FF92D050"/>
        <bgColor indexed="64"/>
      </patternFill>
    </fill>
    <fill>
      <patternFill patternType="solid">
        <fgColor theme="6" tint="0.39994506668294322"/>
        <bgColor indexed="64"/>
      </patternFill>
    </fill>
    <fill>
      <patternFill patternType="solid">
        <fgColor theme="9"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D9D9D9"/>
        <bgColor indexed="64"/>
      </patternFill>
    </fill>
    <fill>
      <patternFill patternType="solid">
        <fgColor rgb="FFFFFF00"/>
        <bgColor indexed="9"/>
      </patternFill>
    </fill>
    <fill>
      <patternFill patternType="solid">
        <fgColor rgb="FFFFFF00"/>
        <bgColor indexed="8"/>
      </patternFill>
    </fill>
    <fill>
      <patternFill patternType="solid">
        <fgColor indexed="9"/>
        <bgColor indexed="8"/>
      </patternFill>
    </fill>
    <fill>
      <patternFill patternType="solid">
        <fgColor theme="0"/>
        <bgColor indexed="8"/>
      </patternFill>
    </fill>
    <fill>
      <patternFill patternType="solid">
        <fgColor theme="0"/>
        <bgColor indexed="9"/>
      </patternFill>
    </fill>
    <fill>
      <patternFill patternType="solid">
        <fgColor theme="1" tint="0.249977111117893"/>
        <bgColor indexed="64"/>
      </patternFill>
    </fill>
    <fill>
      <patternFill patternType="solid">
        <fgColor theme="1" tint="0.499984740745262"/>
        <bgColor indexed="64"/>
      </patternFill>
    </fill>
    <fill>
      <patternFill patternType="solid">
        <fgColor theme="1" tint="0.34998626667073579"/>
        <bgColor indexed="64"/>
      </patternFill>
    </fill>
    <fill>
      <patternFill patternType="solid">
        <fgColor theme="1" tint="0.14999847407452621"/>
        <bgColor indexed="64"/>
      </patternFill>
    </fill>
    <fill>
      <patternFill patternType="solid">
        <fgColor theme="9"/>
        <bgColor indexed="64"/>
      </patternFill>
    </fill>
    <fill>
      <patternFill patternType="solid">
        <fgColor rgb="FF00FF00"/>
        <bgColor indexed="64"/>
      </patternFill>
    </fill>
    <fill>
      <patternFill patternType="solid">
        <fgColor theme="9" tint="0.39997558519241921"/>
        <bgColor indexed="64"/>
      </patternFill>
    </fill>
    <fill>
      <patternFill patternType="solid">
        <fgColor rgb="FFFAC090"/>
        <bgColor indexed="64"/>
      </patternFill>
    </fill>
    <fill>
      <patternFill patternType="solid">
        <fgColor rgb="FFFCD5B5"/>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1" tint="4.9989318521683403E-2"/>
        <bgColor indexed="64"/>
      </patternFill>
    </fill>
    <fill>
      <patternFill patternType="solid">
        <fgColor theme="3" tint="0.59999389629810485"/>
        <bgColor indexed="64"/>
      </patternFill>
    </fill>
    <fill>
      <patternFill patternType="solid">
        <fgColor rgb="FF404040"/>
        <bgColor indexed="64"/>
      </patternFill>
    </fill>
    <fill>
      <patternFill patternType="solid">
        <fgColor rgb="FF262626"/>
        <bgColor indexed="64"/>
      </patternFill>
    </fill>
    <fill>
      <patternFill patternType="solid">
        <fgColor rgb="FFFFFF99"/>
        <bgColor indexed="64"/>
      </patternFill>
    </fill>
  </fills>
  <borders count="788">
    <border>
      <left/>
      <right/>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bottom style="hair">
        <color indexed="64"/>
      </bottom>
      <diagonal/>
    </border>
    <border>
      <left/>
      <right style="thin">
        <color indexed="64"/>
      </right>
      <top/>
      <bottom style="thin">
        <color indexed="64"/>
      </bottom>
      <diagonal/>
    </border>
    <border>
      <left style="hair">
        <color indexed="64"/>
      </left>
      <right/>
      <top style="thin">
        <color indexed="64"/>
      </top>
      <bottom style="hair">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hair">
        <color indexed="64"/>
      </left>
      <right/>
      <top style="thin">
        <color indexed="64"/>
      </top>
      <bottom style="thin">
        <color indexed="64"/>
      </bottom>
      <diagonal/>
    </border>
    <border>
      <left/>
      <right style="hair">
        <color indexed="64"/>
      </right>
      <top style="hair">
        <color indexed="64"/>
      </top>
      <bottom style="hair">
        <color indexed="64"/>
      </bottom>
      <diagonal/>
    </border>
    <border>
      <left style="thin">
        <color indexed="64"/>
      </left>
      <right style="hair">
        <color indexed="64"/>
      </right>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top style="thin">
        <color indexed="64"/>
      </top>
      <bottom style="thin">
        <color indexed="64"/>
      </bottom>
      <diagonal/>
    </border>
    <border>
      <left/>
      <right style="hair">
        <color indexed="64"/>
      </right>
      <top style="thin">
        <color indexed="64"/>
      </top>
      <bottom style="thin">
        <color indexed="64"/>
      </bottom>
      <diagonal/>
    </border>
    <border>
      <left/>
      <right/>
      <top/>
      <bottom style="thin">
        <color indexed="64"/>
      </bottom>
      <diagonal/>
    </border>
    <border>
      <left style="thin">
        <color indexed="64"/>
      </left>
      <right style="hair">
        <color indexed="64"/>
      </right>
      <top style="thin">
        <color indexed="64"/>
      </top>
      <bottom/>
      <diagonal/>
    </border>
    <border>
      <left style="thin">
        <color indexed="64"/>
      </left>
      <right style="hair">
        <color indexed="64"/>
      </right>
      <top/>
      <bottom style="thin">
        <color indexed="64"/>
      </bottom>
      <diagonal/>
    </border>
    <border>
      <left style="thin">
        <color indexed="64"/>
      </left>
      <right/>
      <top/>
      <bottom style="thin">
        <color indexed="64"/>
      </bottom>
      <diagonal/>
    </border>
    <border>
      <left/>
      <right style="hair">
        <color indexed="64"/>
      </right>
      <top/>
      <bottom style="thin">
        <color indexed="64"/>
      </bottom>
      <diagonal/>
    </border>
    <border>
      <left style="hair">
        <color indexed="64"/>
      </left>
      <right style="thin">
        <color indexed="64"/>
      </right>
      <top/>
      <bottom style="thin">
        <color indexed="64"/>
      </bottom>
      <diagonal/>
    </border>
    <border>
      <left style="thin">
        <color indexed="64"/>
      </left>
      <right/>
      <top/>
      <bottom/>
      <diagonal/>
    </border>
    <border>
      <left style="hair">
        <color indexed="64"/>
      </left>
      <right/>
      <top/>
      <bottom style="hair">
        <color indexed="64"/>
      </bottom>
      <diagonal/>
    </border>
    <border>
      <left style="hair">
        <color indexed="64"/>
      </left>
      <right/>
      <top style="hair">
        <color indexed="64"/>
      </top>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bottom style="double">
        <color indexed="64"/>
      </bottom>
      <diagonal/>
    </border>
    <border>
      <left style="medium">
        <color indexed="64"/>
      </left>
      <right style="medium">
        <color indexed="64"/>
      </right>
      <top style="double">
        <color indexed="64"/>
      </top>
      <bottom style="double">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uble">
        <color indexed="64"/>
      </top>
      <bottom style="dotted">
        <color indexed="64"/>
      </bottom>
      <diagonal/>
    </border>
    <border>
      <left style="medium">
        <color indexed="64"/>
      </left>
      <right style="medium">
        <color indexed="64"/>
      </right>
      <top style="dotted">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hair">
        <color indexed="64"/>
      </left>
      <right/>
      <top style="thin">
        <color indexed="64"/>
      </top>
      <bottom/>
      <diagonal/>
    </border>
    <border>
      <left/>
      <right style="medium">
        <color indexed="64"/>
      </right>
      <top style="medium">
        <color indexed="64"/>
      </top>
      <bottom style="thin">
        <color indexed="64"/>
      </bottom>
      <diagonal/>
    </border>
    <border>
      <left style="dotted">
        <color indexed="64"/>
      </left>
      <right style="medium">
        <color indexed="64"/>
      </right>
      <top/>
      <bottom style="medium">
        <color indexed="64"/>
      </bottom>
      <diagonal/>
    </border>
    <border>
      <left style="dotted">
        <color indexed="64"/>
      </left>
      <right style="medium">
        <color indexed="64"/>
      </right>
      <top style="dotted">
        <color indexed="64"/>
      </top>
      <bottom style="dotted">
        <color indexed="64"/>
      </bottom>
      <diagonal/>
    </border>
    <border>
      <left style="dotted">
        <color indexed="64"/>
      </left>
      <right style="medium">
        <color indexed="64"/>
      </right>
      <top style="dotted">
        <color indexed="64"/>
      </top>
      <bottom style="double">
        <color indexed="64"/>
      </bottom>
      <diagonal/>
    </border>
    <border>
      <left style="dotted">
        <color indexed="64"/>
      </left>
      <right style="medium">
        <color indexed="64"/>
      </right>
      <top style="double">
        <color indexed="64"/>
      </top>
      <bottom style="double">
        <color indexed="64"/>
      </bottom>
      <diagonal/>
    </border>
    <border>
      <left style="medium">
        <color indexed="64"/>
      </left>
      <right/>
      <top style="medium">
        <color indexed="64"/>
      </top>
      <bottom style="thin">
        <color indexed="64"/>
      </bottom>
      <diagonal/>
    </border>
    <border>
      <left style="medium">
        <color indexed="64"/>
      </left>
      <right style="thin">
        <color indexed="64"/>
      </right>
      <top/>
      <bottom style="dotted">
        <color indexed="64"/>
      </bottom>
      <diagonal/>
    </border>
    <border>
      <left style="thin">
        <color indexed="64"/>
      </left>
      <right style="thin">
        <color indexed="64"/>
      </right>
      <top/>
      <bottom style="dotted">
        <color indexed="64"/>
      </bottom>
      <diagonal/>
    </border>
    <border>
      <left/>
      <right style="thin">
        <color indexed="64"/>
      </right>
      <top/>
      <bottom style="dotted">
        <color indexed="64"/>
      </bottom>
      <diagonal/>
    </border>
    <border>
      <left style="thin">
        <color indexed="64"/>
      </left>
      <right style="medium">
        <color indexed="64"/>
      </right>
      <top/>
      <bottom/>
      <diagonal/>
    </border>
    <border>
      <left style="medium">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top style="dotted">
        <color indexed="64"/>
      </top>
      <bottom style="dotted">
        <color indexed="64"/>
      </bottom>
      <diagonal/>
    </border>
    <border>
      <left style="thin">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thin">
        <color indexed="64"/>
      </right>
      <top style="dotted">
        <color indexed="64"/>
      </top>
      <bottom/>
      <diagonal/>
    </border>
    <border>
      <left style="thin">
        <color indexed="64"/>
      </left>
      <right style="thin">
        <color indexed="64"/>
      </right>
      <top style="dotted">
        <color indexed="64"/>
      </top>
      <bottom/>
      <diagonal/>
    </border>
    <border>
      <left style="thin">
        <color indexed="64"/>
      </left>
      <right/>
      <top style="dotted">
        <color indexed="64"/>
      </top>
      <bottom/>
      <diagonal/>
    </border>
    <border>
      <left style="thin">
        <color indexed="64"/>
      </left>
      <right style="medium">
        <color indexed="64"/>
      </right>
      <top style="dotted">
        <color indexed="64"/>
      </top>
      <bottom/>
      <diagonal/>
    </border>
    <border>
      <left/>
      <right style="thin">
        <color indexed="64"/>
      </right>
      <top style="dotted">
        <color indexed="64"/>
      </top>
      <bottom/>
      <diagonal/>
    </border>
    <border>
      <left style="medium">
        <color indexed="64"/>
      </left>
      <right style="thin">
        <color indexed="64"/>
      </right>
      <top style="double">
        <color indexed="64"/>
      </top>
      <bottom style="dotted">
        <color indexed="64"/>
      </bottom>
      <diagonal/>
    </border>
    <border>
      <left style="thin">
        <color indexed="64"/>
      </left>
      <right style="thin">
        <color indexed="64"/>
      </right>
      <top style="double">
        <color indexed="64"/>
      </top>
      <bottom style="dotted">
        <color indexed="64"/>
      </bottom>
      <diagonal/>
    </border>
    <border>
      <left style="thin">
        <color indexed="64"/>
      </left>
      <right/>
      <top style="double">
        <color indexed="64"/>
      </top>
      <bottom style="dotted">
        <color indexed="64"/>
      </bottom>
      <diagonal/>
    </border>
    <border>
      <left/>
      <right style="thin">
        <color indexed="64"/>
      </right>
      <top style="double">
        <color indexed="64"/>
      </top>
      <bottom style="dotted">
        <color indexed="64"/>
      </bottom>
      <diagonal/>
    </border>
    <border>
      <left style="medium">
        <color indexed="64"/>
      </left>
      <right style="dotted">
        <color indexed="64"/>
      </right>
      <top style="double">
        <color indexed="64"/>
      </top>
      <bottom style="double">
        <color indexed="64"/>
      </bottom>
      <diagonal/>
    </border>
    <border>
      <left style="thin">
        <color rgb="FF000000"/>
      </left>
      <right style="thin">
        <color rgb="FF000000"/>
      </right>
      <top style="thin">
        <color rgb="FF000000"/>
      </top>
      <bottom style="hair">
        <color rgb="FF000000"/>
      </bottom>
      <diagonal/>
    </border>
    <border>
      <left style="thin">
        <color rgb="FF000000"/>
      </left>
      <right style="thin">
        <color rgb="FF000000"/>
      </right>
      <top style="hair">
        <color rgb="FF000000"/>
      </top>
      <bottom style="thin">
        <color rgb="FF000000"/>
      </bottom>
      <diagonal/>
    </border>
    <border>
      <left/>
      <right style="thin">
        <color indexed="64"/>
      </right>
      <top/>
      <bottom/>
      <diagonal/>
    </border>
    <border>
      <left style="medium">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style="thin">
        <color indexed="64"/>
      </left>
      <right style="medium">
        <color indexed="64"/>
      </right>
      <top/>
      <bottom style="double">
        <color indexed="64"/>
      </bottom>
      <diagonal/>
    </border>
    <border>
      <left/>
      <right style="thin">
        <color indexed="64"/>
      </right>
      <top style="double">
        <color indexed="64"/>
      </top>
      <bottom style="double">
        <color indexed="64"/>
      </bottom>
      <diagonal/>
    </border>
    <border>
      <left style="thin">
        <color indexed="64"/>
      </left>
      <right style="medium">
        <color indexed="64"/>
      </right>
      <top style="double">
        <color indexed="64"/>
      </top>
      <bottom style="double">
        <color indexed="64"/>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bottom style="double">
        <color indexed="64"/>
      </bottom>
      <diagonal/>
    </border>
    <border>
      <left style="medium">
        <color indexed="64"/>
      </left>
      <right style="medium">
        <color indexed="64"/>
      </right>
      <top/>
      <bottom/>
      <diagonal/>
    </border>
    <border>
      <left style="medium">
        <color indexed="64"/>
      </left>
      <right style="thin">
        <color indexed="64"/>
      </right>
      <top/>
      <bottom/>
      <diagonal/>
    </border>
    <border>
      <left style="medium">
        <color indexed="64"/>
      </left>
      <right style="medium">
        <color indexed="64"/>
      </right>
      <top style="double">
        <color indexed="64"/>
      </top>
      <bottom style="medium">
        <color indexed="64"/>
      </bottom>
      <diagonal/>
    </border>
    <border>
      <left style="medium">
        <color indexed="64"/>
      </left>
      <right style="thin">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style="medium">
        <color indexed="64"/>
      </right>
      <top style="hair">
        <color indexed="64"/>
      </top>
      <bottom style="hair">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right/>
      <top style="double">
        <color indexed="64"/>
      </top>
      <bottom/>
      <diagonal/>
    </border>
    <border>
      <left/>
      <right/>
      <top style="double">
        <color indexed="64"/>
      </top>
      <bottom style="double">
        <color indexed="64"/>
      </bottom>
      <diagonal/>
    </border>
    <border>
      <left/>
      <right/>
      <top style="medium">
        <color indexed="64"/>
      </top>
      <bottom style="medium">
        <color indexed="64"/>
      </bottom>
      <diagonal/>
    </border>
    <border>
      <left/>
      <right/>
      <top/>
      <bottom style="medium">
        <color indexed="64"/>
      </bottom>
      <diagonal/>
    </border>
    <border>
      <left style="thin">
        <color indexed="63"/>
      </left>
      <right style="thin">
        <color indexed="63"/>
      </right>
      <top style="thin">
        <color indexed="64"/>
      </top>
      <bottom style="thin">
        <color indexed="63"/>
      </bottom>
      <diagonal/>
    </border>
    <border>
      <left style="thin">
        <color indexed="18"/>
      </left>
      <right style="thin">
        <color indexed="18"/>
      </right>
      <top style="thin">
        <color indexed="18"/>
      </top>
      <bottom style="thin">
        <color indexed="18"/>
      </bottom>
      <diagonal/>
    </border>
    <border>
      <left style="double">
        <color indexed="63"/>
      </left>
      <right style="double">
        <color indexed="63"/>
      </right>
      <top style="double">
        <color indexed="63"/>
      </top>
      <bottom style="double">
        <color indexed="63"/>
      </bottom>
      <diagonal/>
    </border>
    <border>
      <left/>
      <right/>
      <top/>
      <bottom style="medium">
        <color indexed="58"/>
      </bottom>
      <diagonal/>
    </border>
    <border>
      <left/>
      <right/>
      <top/>
      <bottom style="double">
        <color indexed="17"/>
      </bottom>
      <diagonal/>
    </border>
    <border>
      <left style="thin">
        <color indexed="54"/>
      </left>
      <right/>
      <top style="thin">
        <color indexed="54"/>
      </top>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bottom style="double">
        <color indexed="64"/>
      </bottom>
      <diagonal/>
    </border>
    <border>
      <left/>
      <right style="medium">
        <color indexed="64"/>
      </right>
      <top style="double">
        <color indexed="64"/>
      </top>
      <bottom style="double">
        <color indexed="64"/>
      </bottom>
      <diagonal/>
    </border>
    <border>
      <left style="dotted">
        <color indexed="64"/>
      </left>
      <right style="medium">
        <color indexed="64"/>
      </right>
      <top/>
      <bottom/>
      <diagonal/>
    </border>
    <border>
      <left/>
      <right style="medium">
        <color indexed="64"/>
      </right>
      <top style="double">
        <color indexed="64"/>
      </top>
      <bottom style="medium">
        <color indexed="64"/>
      </bottom>
      <diagonal/>
    </border>
    <border>
      <left/>
      <right/>
      <top style="double">
        <color indexed="64"/>
      </top>
      <bottom style="medium">
        <color indexed="64"/>
      </bottom>
      <diagonal/>
    </border>
    <border>
      <left style="dotted">
        <color indexed="64"/>
      </left>
      <right style="medium">
        <color indexed="64"/>
      </right>
      <top style="double">
        <color indexed="64"/>
      </top>
      <bottom style="medium">
        <color indexed="64"/>
      </bottom>
      <diagonal/>
    </border>
    <border>
      <left style="medium">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top style="medium">
        <color indexed="64"/>
      </top>
      <bottom style="hair">
        <color indexed="64"/>
      </bottom>
      <diagonal/>
    </border>
    <border>
      <left style="thin">
        <color indexed="64"/>
      </left>
      <right style="medium">
        <color indexed="64"/>
      </right>
      <top style="medium">
        <color indexed="64"/>
      </top>
      <bottom/>
      <diagonal/>
    </border>
    <border>
      <left style="thin">
        <color indexed="64"/>
      </left>
      <right style="medium">
        <color indexed="64"/>
      </right>
      <top style="medium">
        <color indexed="64"/>
      </top>
      <bottom style="hair">
        <color indexed="64"/>
      </bottom>
      <diagonal/>
    </border>
    <border>
      <left/>
      <right style="medium">
        <color indexed="64"/>
      </right>
      <top style="medium">
        <color indexed="64"/>
      </top>
      <bottom style="hair">
        <color indexed="64"/>
      </bottom>
      <diagonal/>
    </border>
    <border>
      <left style="dotted">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medium">
        <color indexed="64"/>
      </right>
      <top style="hair">
        <color indexed="64"/>
      </top>
      <bottom style="double">
        <color indexed="64"/>
      </bottom>
      <diagonal/>
    </border>
    <border>
      <left style="medium">
        <color indexed="64"/>
      </left>
      <right style="thin">
        <color indexed="64"/>
      </right>
      <top style="hair">
        <color indexed="64"/>
      </top>
      <bottom style="double">
        <color indexed="64"/>
      </bottom>
      <diagonal/>
    </border>
    <border>
      <left/>
      <right style="thin">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right style="medium">
        <color indexed="64"/>
      </right>
      <top style="hair">
        <color indexed="64"/>
      </top>
      <bottom style="double">
        <color indexed="64"/>
      </bottom>
      <diagonal/>
    </border>
    <border>
      <left style="medium">
        <color indexed="64"/>
      </left>
      <right style="medium">
        <color indexed="64"/>
      </right>
      <top/>
      <bottom style="dotted">
        <color indexed="64"/>
      </bottom>
      <diagonal/>
    </border>
    <border>
      <left style="dotted">
        <color indexed="64"/>
      </left>
      <right style="medium">
        <color indexed="64"/>
      </right>
      <top/>
      <bottom style="dotted">
        <color indexed="64"/>
      </bottom>
      <diagonal/>
    </border>
    <border>
      <left/>
      <right style="medium">
        <color indexed="64"/>
      </right>
      <top style="dotted">
        <color indexed="64"/>
      </top>
      <bottom style="dotted">
        <color indexed="64"/>
      </bottom>
      <diagonal/>
    </border>
    <border>
      <left style="medium">
        <color indexed="64"/>
      </left>
      <right style="medium">
        <color indexed="64"/>
      </right>
      <top style="dotted">
        <color indexed="64"/>
      </top>
      <bottom style="double">
        <color indexed="64"/>
      </bottom>
      <diagonal/>
    </border>
    <border>
      <left style="medium">
        <color indexed="64"/>
      </left>
      <right style="thin">
        <color indexed="64"/>
      </right>
      <top style="dotted">
        <color indexed="64"/>
      </top>
      <bottom style="double">
        <color indexed="64"/>
      </bottom>
      <diagonal/>
    </border>
    <border>
      <left/>
      <right style="thin">
        <color indexed="64"/>
      </right>
      <top style="dotted">
        <color indexed="64"/>
      </top>
      <bottom style="double">
        <color indexed="64"/>
      </bottom>
      <diagonal/>
    </border>
    <border>
      <left style="thin">
        <color indexed="64"/>
      </left>
      <right style="thin">
        <color indexed="64"/>
      </right>
      <top style="dotted">
        <color indexed="64"/>
      </top>
      <bottom style="double">
        <color indexed="64"/>
      </bottom>
      <diagonal/>
    </border>
    <border>
      <left style="thin">
        <color indexed="64"/>
      </left>
      <right/>
      <top style="dotted">
        <color indexed="64"/>
      </top>
      <bottom style="double">
        <color indexed="64"/>
      </bottom>
      <diagonal/>
    </border>
    <border>
      <left/>
      <right style="medium">
        <color indexed="64"/>
      </right>
      <top style="dotted">
        <color indexed="64"/>
      </top>
      <bottom style="double">
        <color indexed="64"/>
      </bottom>
      <diagonal/>
    </border>
    <border>
      <left/>
      <right style="medium">
        <color indexed="64"/>
      </right>
      <top style="dotted">
        <color indexed="64"/>
      </top>
      <bottom/>
      <diagonal/>
    </border>
    <border>
      <left style="dotted">
        <color indexed="64"/>
      </left>
      <right style="medium">
        <color indexed="64"/>
      </right>
      <top style="dotted">
        <color indexed="64"/>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thin">
        <color indexed="18"/>
      </left>
      <right style="thin">
        <color indexed="18"/>
      </right>
      <top style="thin">
        <color indexed="18"/>
      </top>
      <bottom style="thin">
        <color indexed="18"/>
      </bottom>
      <diagonal/>
    </border>
    <border>
      <left style="thin">
        <color indexed="54"/>
      </left>
      <right/>
      <top style="thin">
        <color indexed="5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thin">
        <color indexed="18"/>
      </left>
      <right style="thin">
        <color indexed="18"/>
      </right>
      <top style="thin">
        <color indexed="18"/>
      </top>
      <bottom style="thin">
        <color indexed="18"/>
      </bottom>
      <diagonal/>
    </border>
    <border>
      <left style="thin">
        <color indexed="54"/>
      </left>
      <right/>
      <top style="thin">
        <color indexed="5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18"/>
      </left>
      <right style="thin">
        <color indexed="18"/>
      </right>
      <top style="thin">
        <color indexed="18"/>
      </top>
      <bottom style="thin">
        <color indexed="18"/>
      </bottom>
      <diagonal/>
    </border>
    <border>
      <left style="thin">
        <color indexed="63"/>
      </left>
      <right style="thin">
        <color indexed="63"/>
      </right>
      <top style="thin">
        <color indexed="63"/>
      </top>
      <bottom style="thin">
        <color indexed="63"/>
      </bottom>
      <diagonal/>
    </border>
    <border>
      <left style="thin">
        <color indexed="54"/>
      </left>
      <right/>
      <top style="thin">
        <color indexed="5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bottom style="medium">
        <color auto="1"/>
      </bottom>
      <diagonal/>
    </border>
    <border>
      <left/>
      <right style="thin">
        <color rgb="FF000000"/>
      </right>
      <top style="thin">
        <color rgb="FF000000"/>
      </top>
      <bottom style="thin">
        <color rgb="FF000000"/>
      </bottom>
      <diagonal/>
    </border>
    <border>
      <left style="medium">
        <color indexed="64"/>
      </left>
      <right style="dotted">
        <color indexed="64"/>
      </right>
      <top/>
      <bottom style="dotted">
        <color indexed="64"/>
      </bottom>
      <diagonal/>
    </border>
    <border>
      <left style="medium">
        <color indexed="64"/>
      </left>
      <right style="dotted">
        <color indexed="64"/>
      </right>
      <top style="dotted">
        <color indexed="64"/>
      </top>
      <bottom style="double">
        <color indexed="64"/>
      </bottom>
      <diagonal/>
    </border>
    <border>
      <left style="medium">
        <color indexed="64"/>
      </left>
      <right style="dotted">
        <color indexed="64"/>
      </right>
      <top style="dotted">
        <color indexed="64"/>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dotted">
        <color indexed="64"/>
      </right>
      <top style="double">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thin">
        <color auto="1"/>
      </left>
      <right style="thin">
        <color auto="1"/>
      </right>
      <top style="thin">
        <color auto="1"/>
      </top>
      <bottom style="thin">
        <color auto="1"/>
      </bottom>
      <diagonal/>
    </border>
    <border>
      <left style="medium">
        <color rgb="FF000000"/>
      </left>
      <right style="medium">
        <color rgb="FF000000"/>
      </right>
      <top style="medium">
        <color rgb="FF000000"/>
      </top>
      <bottom style="medium">
        <color rgb="FF000000"/>
      </bottom>
      <diagonal/>
    </border>
    <border>
      <left style="thin">
        <color auto="1"/>
      </left>
      <right style="thin">
        <color auto="1"/>
      </right>
      <top style="thin">
        <color auto="1"/>
      </top>
      <bottom/>
      <diagonal/>
    </border>
    <border>
      <left/>
      <right style="thin">
        <color indexed="64"/>
      </right>
      <top style="thin">
        <color indexed="64"/>
      </top>
      <bottom/>
      <diagonal/>
    </border>
    <border>
      <left style="medium">
        <color rgb="FF7F7F7F"/>
      </left>
      <right style="medium">
        <color rgb="FF7F7F7F"/>
      </right>
      <top style="medium">
        <color rgb="FF7F7F7F"/>
      </top>
      <bottom style="medium">
        <color rgb="FF7F7F7F"/>
      </bottom>
      <diagonal/>
    </border>
    <border>
      <left style="medium">
        <color auto="1"/>
      </left>
      <right style="thin">
        <color auto="1"/>
      </right>
      <top/>
      <bottom style="thin">
        <color auto="1"/>
      </bottom>
      <diagonal/>
    </border>
    <border>
      <left style="thin">
        <color auto="1"/>
      </left>
      <right style="medium">
        <color auto="1"/>
      </right>
      <top style="hair">
        <color auto="1"/>
      </top>
      <bottom style="thin">
        <color auto="1"/>
      </bottom>
      <diagonal/>
    </border>
    <border>
      <left style="thin">
        <color auto="1"/>
      </left>
      <right/>
      <top style="thin">
        <color auto="1"/>
      </top>
      <bottom/>
      <diagonal/>
    </border>
    <border>
      <left style="thin">
        <color auto="1"/>
      </left>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hair">
        <color auto="1"/>
      </left>
      <right style="hair">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diagonal/>
    </border>
    <border>
      <left/>
      <right style="medium">
        <color indexed="64"/>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64"/>
      </top>
      <bottom style="thin">
        <color indexed="64"/>
      </bottom>
      <diagonal/>
    </border>
    <border>
      <left style="thin">
        <color indexed="63"/>
      </left>
      <right style="thin">
        <color indexed="63"/>
      </right>
      <top style="thin">
        <color indexed="64"/>
      </top>
      <bottom style="thin">
        <color indexed="63"/>
      </bottom>
      <diagonal/>
    </border>
    <border>
      <left style="thin">
        <color auto="1"/>
      </left>
      <right style="thin">
        <color auto="1"/>
      </right>
      <top style="thin">
        <color auto="1"/>
      </top>
      <bottom style="thin">
        <color auto="1"/>
      </bottom>
      <diagonal/>
    </border>
    <border>
      <left style="thin">
        <color indexed="18"/>
      </left>
      <right style="thin">
        <color indexed="18"/>
      </right>
      <top style="thin">
        <color indexed="18"/>
      </top>
      <bottom style="thin">
        <color indexed="18"/>
      </bottom>
      <diagonal/>
    </border>
    <border>
      <left style="thin">
        <color indexed="54"/>
      </left>
      <right/>
      <top style="thin">
        <color indexed="54"/>
      </top>
      <bottom/>
      <diagonal/>
    </border>
    <border>
      <left style="thin">
        <color indexed="18"/>
      </left>
      <right style="thin">
        <color indexed="18"/>
      </right>
      <top style="thin">
        <color indexed="18"/>
      </top>
      <bottom style="thin">
        <color indexed="1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hair">
        <color indexed="64"/>
      </left>
      <right style="hair">
        <color indexed="64"/>
      </right>
      <top/>
      <bottom/>
      <diagonal/>
    </border>
    <border>
      <left style="thin">
        <color auto="1"/>
      </left>
      <right style="medium">
        <color auto="1"/>
      </right>
      <top style="thin">
        <color auto="1"/>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rgb="FF000000"/>
      </left>
      <right style="thin">
        <color rgb="FF000000"/>
      </right>
      <top style="hair">
        <color rgb="FF000000"/>
      </top>
      <bottom style="hair">
        <color rgb="FF000000"/>
      </bottom>
      <diagonal/>
    </border>
    <border>
      <left style="thin">
        <color rgb="FF000000"/>
      </left>
      <right/>
      <top style="thin">
        <color rgb="FF000000"/>
      </top>
      <bottom style="hair">
        <color rgb="FF000000"/>
      </bottom>
      <diagonal/>
    </border>
    <border>
      <left style="thin">
        <color rgb="FF000000"/>
      </left>
      <right/>
      <top style="hair">
        <color rgb="FF000000"/>
      </top>
      <bottom style="hair">
        <color rgb="FF000000"/>
      </bottom>
      <diagonal/>
    </border>
    <border>
      <left style="thin">
        <color rgb="FF000000"/>
      </left>
      <right/>
      <top style="hair">
        <color rgb="FF000000"/>
      </top>
      <bottom style="thin">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style="thin">
        <color rgb="FF000000"/>
      </right>
      <top style="hair">
        <color rgb="FF000000"/>
      </top>
      <bottom style="thin">
        <color rgb="FF000000"/>
      </bottom>
      <diagonal/>
    </border>
    <border>
      <left style="medium">
        <color auto="1"/>
      </left>
      <right style="thin">
        <color auto="1"/>
      </right>
      <top style="thin">
        <color auto="1"/>
      </top>
      <bottom/>
      <diagonal/>
    </border>
    <border>
      <left style="medium">
        <color indexed="64"/>
      </left>
      <right style="thin">
        <color auto="1"/>
      </right>
      <top style="medium">
        <color indexed="64"/>
      </top>
      <bottom/>
      <diagonal/>
    </border>
    <border>
      <left style="thin">
        <color auto="1"/>
      </left>
      <right style="thin">
        <color auto="1"/>
      </right>
      <top style="thin">
        <color auto="1"/>
      </top>
      <bottom style="thin">
        <color auto="1"/>
      </bottom>
      <diagonal/>
    </border>
    <border>
      <left/>
      <right style="medium">
        <color indexed="64"/>
      </right>
      <top style="thin">
        <color indexed="64"/>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medium">
        <color auto="1"/>
      </top>
      <bottom/>
      <diagonal/>
    </border>
    <border>
      <left/>
      <right/>
      <top style="thin">
        <color auto="1"/>
      </top>
      <bottom style="thin">
        <color auto="1"/>
      </bottom>
      <diagonal/>
    </border>
    <border>
      <left style="hair">
        <color auto="1"/>
      </left>
      <right/>
      <top style="medium">
        <color auto="1"/>
      </top>
      <bottom style="medium">
        <color auto="1"/>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dotted">
        <color indexed="64"/>
      </right>
      <top style="thin">
        <color indexed="64"/>
      </top>
      <bottom style="double">
        <color indexed="64"/>
      </bottom>
      <diagonal/>
    </border>
    <border>
      <left/>
      <right style="medium">
        <color indexed="64"/>
      </right>
      <top style="thin">
        <color indexed="64"/>
      </top>
      <bottom style="double">
        <color indexed="64"/>
      </bottom>
      <diagonal/>
    </border>
    <border>
      <left style="thin">
        <color indexed="64"/>
      </left>
      <right style="thin">
        <color indexed="64"/>
      </right>
      <top style="thin">
        <color indexed="64"/>
      </top>
      <bottom style="hair">
        <color indexed="64"/>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style="medium">
        <color auto="1"/>
      </bottom>
      <diagonal/>
    </border>
    <border>
      <left/>
      <right style="thin">
        <color auto="1"/>
      </right>
      <top style="medium">
        <color auto="1"/>
      </top>
      <bottom style="medium">
        <color auto="1"/>
      </bottom>
      <diagonal/>
    </border>
    <border>
      <left style="medium">
        <color indexed="64"/>
      </left>
      <right style="medium">
        <color indexed="64"/>
      </right>
      <top style="medium">
        <color indexed="64"/>
      </top>
      <bottom style="medium">
        <color indexed="64"/>
      </bottom>
      <diagonal/>
    </border>
    <border>
      <left style="hair">
        <color indexed="64"/>
      </left>
      <right/>
      <top style="thin">
        <color indexed="64"/>
      </top>
      <bottom style="thin">
        <color indexed="64"/>
      </bottom>
      <diagonal/>
    </border>
    <border>
      <left style="hair">
        <color indexed="64"/>
      </left>
      <right style="hair">
        <color indexed="64"/>
      </right>
      <top style="thin">
        <color indexed="64"/>
      </top>
      <bottom style="thin">
        <color auto="1"/>
      </bottom>
      <diagonal/>
    </border>
    <border>
      <left style="hair">
        <color indexed="64"/>
      </left>
      <right style="hair">
        <color indexed="64"/>
      </right>
      <top style="thin">
        <color indexed="64"/>
      </top>
      <bottom style="medium">
        <color auto="1"/>
      </bottom>
      <diagonal/>
    </border>
    <border>
      <left/>
      <right style="thin">
        <color indexed="64"/>
      </right>
      <top style="thin">
        <color indexed="64"/>
      </top>
      <bottom/>
      <diagonal/>
    </border>
    <border>
      <left style="thin">
        <color auto="1"/>
      </left>
      <right/>
      <top style="thin">
        <color auto="1"/>
      </top>
      <bottom/>
      <diagonal/>
    </border>
    <border>
      <left style="thin">
        <color auto="1"/>
      </left>
      <right style="medium">
        <color indexed="64"/>
      </right>
      <top style="thin">
        <color auto="1"/>
      </top>
      <bottom style="hair">
        <color auto="1"/>
      </bottom>
      <diagonal/>
    </border>
    <border>
      <left style="hair">
        <color indexed="64"/>
      </left>
      <right/>
      <top/>
      <bottom/>
      <diagonal/>
    </border>
    <border>
      <left style="medium">
        <color indexed="64"/>
      </left>
      <right style="hair">
        <color indexed="64"/>
      </right>
      <top style="thin">
        <color indexed="64"/>
      </top>
      <bottom style="thin">
        <color indexed="64"/>
      </bottom>
      <diagonal/>
    </border>
    <border>
      <left style="medium">
        <color indexed="64"/>
      </left>
      <right style="hair">
        <color indexed="64"/>
      </right>
      <top style="thin">
        <color indexed="64"/>
      </top>
      <bottom style="hair">
        <color indexed="64"/>
      </bottom>
      <diagonal/>
    </border>
    <border>
      <left style="medium">
        <color indexed="64"/>
      </left>
      <right style="hair">
        <color indexed="64"/>
      </right>
      <top/>
      <bottom/>
      <diagonal/>
    </border>
    <border>
      <left style="medium">
        <color indexed="64"/>
      </left>
      <right style="hair">
        <color indexed="64"/>
      </right>
      <top style="hair">
        <color indexed="64"/>
      </top>
      <bottom style="thin">
        <color indexed="64"/>
      </bottom>
      <diagonal/>
    </border>
    <border>
      <left style="medium">
        <color indexed="64"/>
      </left>
      <right style="hair">
        <color indexed="64"/>
      </right>
      <top style="thin">
        <color indexed="64"/>
      </top>
      <bottom style="medium">
        <color auto="1"/>
      </bottom>
      <diagonal/>
    </border>
    <border>
      <left style="medium">
        <color indexed="64"/>
      </left>
      <right style="hair">
        <color auto="1"/>
      </right>
      <top style="medium">
        <color auto="1"/>
      </top>
      <bottom style="medium">
        <color indexed="64"/>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thin">
        <color indexed="64"/>
      </bottom>
      <diagonal/>
    </border>
    <border>
      <left style="medium">
        <color indexed="64"/>
      </left>
      <right style="medium">
        <color indexed="64"/>
      </right>
      <top style="thin">
        <color indexed="64"/>
      </top>
      <bottom style="medium">
        <color auto="1"/>
      </bottom>
      <diagonal/>
    </border>
    <border>
      <left style="thin">
        <color indexed="64"/>
      </left>
      <right style="medium">
        <color indexed="64"/>
      </right>
      <top/>
      <bottom style="hair">
        <color indexed="64"/>
      </bottom>
      <diagonal/>
    </border>
    <border>
      <left style="medium">
        <color indexed="64"/>
      </left>
      <right style="medium">
        <color indexed="64"/>
      </right>
      <top/>
      <bottom style="thin">
        <color indexed="64"/>
      </bottom>
      <diagonal/>
    </border>
    <border>
      <left style="medium">
        <color indexed="64"/>
      </left>
      <right/>
      <top/>
      <bottom/>
      <diagonal/>
    </border>
    <border>
      <left style="medium">
        <color indexed="64"/>
      </left>
      <right style="hair">
        <color indexed="64"/>
      </right>
      <top/>
      <bottom style="thin">
        <color indexed="64"/>
      </bottom>
      <diagonal/>
    </border>
    <border>
      <left style="medium">
        <color indexed="64"/>
      </left>
      <right style="thin">
        <color auto="1"/>
      </right>
      <top style="thin">
        <color indexed="64"/>
      </top>
      <bottom style="thin">
        <color indexed="64"/>
      </bottom>
      <diagonal/>
    </border>
    <border>
      <left style="thin">
        <color auto="1"/>
      </left>
      <right/>
      <top style="hair">
        <color auto="1"/>
      </top>
      <bottom style="thin">
        <color auto="1"/>
      </bottom>
      <diagonal/>
    </border>
    <border>
      <left style="thin">
        <color rgb="FF000000"/>
      </left>
      <right/>
      <top style="thin">
        <color rgb="FF000000"/>
      </top>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medium">
        <color indexed="64"/>
      </right>
      <top style="thin">
        <color auto="1"/>
      </top>
      <bottom style="thin">
        <color auto="1"/>
      </bottom>
      <diagonal/>
    </border>
    <border>
      <left style="medium">
        <color indexed="64"/>
      </left>
      <right style="thin">
        <color auto="1"/>
      </right>
      <top style="thin">
        <color indexed="64"/>
      </top>
      <bottom style="thin">
        <color indexed="64"/>
      </bottom>
      <diagonal/>
    </border>
    <border>
      <left style="medium">
        <color indexed="64"/>
      </left>
      <right style="hair">
        <color indexed="64"/>
      </right>
      <top style="thin">
        <color indexed="64"/>
      </top>
      <bottom/>
      <diagonal/>
    </border>
    <border>
      <left style="hair">
        <color indexed="64"/>
      </left>
      <right style="hair">
        <color indexed="64"/>
      </right>
      <top style="thin">
        <color indexed="64"/>
      </top>
      <bottom/>
      <diagonal/>
    </border>
    <border>
      <left style="medium">
        <color indexed="64"/>
      </left>
      <right style="thin">
        <color auto="1"/>
      </right>
      <top style="thin">
        <color indexed="64"/>
      </top>
      <bottom/>
      <diagonal/>
    </border>
    <border>
      <left style="medium">
        <color indexed="64"/>
      </left>
      <right style="hair">
        <color indexed="64"/>
      </right>
      <top style="medium">
        <color indexed="64"/>
      </top>
      <bottom style="thin">
        <color indexed="64"/>
      </bottom>
      <diagonal/>
    </border>
    <border>
      <left style="hair">
        <color indexed="64"/>
      </left>
      <right style="hair">
        <color indexed="64"/>
      </right>
      <top style="medium">
        <color indexed="64"/>
      </top>
      <bottom style="thin">
        <color auto="1"/>
      </bottom>
      <diagonal/>
    </border>
    <border>
      <left style="hair">
        <color indexed="64"/>
      </left>
      <right/>
      <top style="medium">
        <color indexed="64"/>
      </top>
      <bottom style="thin">
        <color indexed="64"/>
      </bottom>
      <diagonal/>
    </border>
    <border>
      <left style="thin">
        <color auto="1"/>
      </left>
      <right style="medium">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medium">
        <color indexed="64"/>
      </left>
      <right style="medium">
        <color indexed="64"/>
      </right>
      <top style="thin">
        <color auto="1"/>
      </top>
      <bottom/>
      <diagonal/>
    </border>
    <border>
      <left style="thin">
        <color auto="1"/>
      </left>
      <right style="medium">
        <color auto="1"/>
      </right>
      <top/>
      <bottom/>
      <diagonal/>
    </border>
    <border>
      <left style="thin">
        <color auto="1"/>
      </left>
      <right/>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auto="1"/>
      </left>
      <right/>
      <top style="medium">
        <color indexed="64"/>
      </top>
      <bottom/>
      <diagonal/>
    </border>
    <border>
      <left style="thin">
        <color auto="1"/>
      </left>
      <right style="medium">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style="hair">
        <color indexed="64"/>
      </top>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thin">
        <color auto="1"/>
      </left>
      <right/>
      <top style="hair">
        <color auto="1"/>
      </top>
      <bottom/>
      <diagonal/>
    </border>
    <border>
      <left style="medium">
        <color indexed="64"/>
      </left>
      <right style="medium">
        <color indexed="64"/>
      </right>
      <top/>
      <bottom style="hair">
        <color indexed="64"/>
      </bottom>
      <diagonal/>
    </border>
    <border>
      <left style="medium">
        <color indexed="64"/>
      </left>
      <right style="hair">
        <color indexed="64"/>
      </right>
      <top/>
      <bottom style="hair">
        <color indexed="64"/>
      </bottom>
      <diagonal/>
    </border>
    <border>
      <left style="thin">
        <color auto="1"/>
      </left>
      <right/>
      <top/>
      <bottom style="hair">
        <color auto="1"/>
      </bottom>
      <diagonal/>
    </border>
    <border>
      <left style="medium">
        <color indexed="64"/>
      </left>
      <right style="hair">
        <color auto="1"/>
      </right>
      <top/>
      <bottom style="medium">
        <color indexed="64"/>
      </bottom>
      <diagonal/>
    </border>
    <border>
      <left style="hair">
        <color auto="1"/>
      </left>
      <right style="hair">
        <color auto="1"/>
      </right>
      <top/>
      <bottom style="medium">
        <color auto="1"/>
      </bottom>
      <diagonal/>
    </border>
    <border>
      <left style="hair">
        <color auto="1"/>
      </left>
      <right/>
      <top/>
      <bottom style="medium">
        <color auto="1"/>
      </bottom>
      <diagonal/>
    </border>
    <border>
      <left style="medium">
        <color indexed="64"/>
      </left>
      <right style="hair">
        <color auto="1"/>
      </right>
      <top style="medium">
        <color indexed="64"/>
      </top>
      <bottom/>
      <diagonal/>
    </border>
    <border>
      <left style="hair">
        <color indexed="64"/>
      </left>
      <right style="hair">
        <color indexed="64"/>
      </right>
      <top style="medium">
        <color indexed="64"/>
      </top>
      <bottom/>
      <diagonal/>
    </border>
    <border>
      <left style="hair">
        <color indexed="64"/>
      </left>
      <right/>
      <top style="medium">
        <color indexed="64"/>
      </top>
      <bottom/>
      <diagonal/>
    </border>
    <border>
      <left/>
      <right style="thin">
        <color indexed="64"/>
      </right>
      <top style="medium">
        <color indexed="64"/>
      </top>
      <bottom/>
      <diagonal/>
    </border>
    <border>
      <left style="thin">
        <color auto="1"/>
      </left>
      <right style="medium">
        <color auto="1"/>
      </right>
      <top style="hair">
        <color auto="1"/>
      </top>
      <bottom/>
      <diagonal/>
    </border>
    <border>
      <left style="medium">
        <color indexed="64"/>
      </left>
      <right style="thin">
        <color auto="1"/>
      </right>
      <top style="thin">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thin">
        <color auto="1"/>
      </left>
      <right style="medium">
        <color indexed="64"/>
      </right>
      <top style="hair">
        <color auto="1"/>
      </top>
      <bottom style="medium">
        <color indexed="64"/>
      </bottom>
      <diagonal/>
    </border>
    <border>
      <left style="medium">
        <color indexed="64"/>
      </left>
      <right style="dotted">
        <color indexed="64"/>
      </right>
      <top style="medium">
        <color indexed="64"/>
      </top>
      <bottom/>
      <diagonal/>
    </border>
    <border>
      <left style="dotted">
        <color indexed="64"/>
      </left>
      <right style="medium">
        <color indexed="64"/>
      </right>
      <top style="medium">
        <color indexed="64"/>
      </top>
      <bottom/>
      <diagonal/>
    </border>
    <border>
      <left style="medium">
        <color indexed="64"/>
      </left>
      <right style="dotted">
        <color indexed="64"/>
      </right>
      <top/>
      <bottom style="hair">
        <color indexed="64"/>
      </bottom>
      <diagonal/>
    </border>
    <border>
      <left style="dotted">
        <color indexed="64"/>
      </left>
      <right style="medium">
        <color indexed="64"/>
      </right>
      <top/>
      <bottom style="hair">
        <color indexed="64"/>
      </bottom>
      <diagonal/>
    </border>
    <border>
      <left style="thin">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dotted">
        <color indexed="64"/>
      </right>
      <top style="dashed">
        <color indexed="64"/>
      </top>
      <bottom style="dashed">
        <color indexed="64"/>
      </bottom>
      <diagonal/>
    </border>
    <border>
      <left style="dotted">
        <color indexed="64"/>
      </left>
      <right style="medium">
        <color indexed="64"/>
      </right>
      <top style="dashed">
        <color indexed="64"/>
      </top>
      <bottom style="dashed">
        <color indexed="64"/>
      </bottom>
      <diagonal/>
    </border>
    <border>
      <left/>
      <right/>
      <top style="thin">
        <color indexed="64"/>
      </top>
      <bottom/>
      <diagonal/>
    </border>
    <border>
      <left style="thin">
        <color indexed="64"/>
      </left>
      <right style="medium">
        <color indexed="64"/>
      </right>
      <top style="double">
        <color indexed="64"/>
      </top>
      <bottom style="dotted">
        <color indexed="64"/>
      </bottom>
      <diagonal/>
    </border>
    <border>
      <left style="medium">
        <color indexed="64"/>
      </left>
      <right/>
      <top style="medium">
        <color indexed="64"/>
      </top>
      <bottom/>
      <diagonal/>
    </border>
    <border>
      <left style="medium">
        <color indexed="64"/>
      </left>
      <right style="medium">
        <color indexed="64"/>
      </right>
      <top style="thin">
        <color auto="1"/>
      </top>
      <bottom/>
      <diagonal/>
    </border>
    <border>
      <left style="medium">
        <color auto="1"/>
      </left>
      <right style="hair">
        <color auto="1"/>
      </right>
      <top style="thin">
        <color auto="1"/>
      </top>
      <bottom/>
      <diagonal/>
    </border>
    <border>
      <left style="hair">
        <color auto="1"/>
      </left>
      <right/>
      <top style="thin">
        <color indexed="64"/>
      </top>
      <bottom/>
      <diagonal/>
    </border>
    <border>
      <left style="medium">
        <color indexed="64"/>
      </left>
      <right style="thin">
        <color auto="1"/>
      </right>
      <top style="thin">
        <color indexed="64"/>
      </top>
      <bottom style="thin">
        <color indexed="64"/>
      </bottom>
      <diagonal/>
    </border>
    <border>
      <left style="thin">
        <color auto="1"/>
      </left>
      <right style="medium">
        <color auto="1"/>
      </right>
      <top style="thin">
        <color auto="1"/>
      </top>
      <bottom style="thin">
        <color auto="1"/>
      </bottom>
      <diagonal/>
    </border>
    <border>
      <left style="thin">
        <color auto="1"/>
      </left>
      <right/>
      <top style="thin">
        <color auto="1"/>
      </top>
      <bottom style="thin">
        <color auto="1"/>
      </bottom>
      <diagonal/>
    </border>
    <border>
      <left style="hair">
        <color indexed="64"/>
      </left>
      <right style="hair">
        <color indexed="64"/>
      </right>
      <top style="thin">
        <color indexed="64"/>
      </top>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indexed="64"/>
      </left>
      <right style="medium">
        <color indexed="64"/>
      </right>
      <top style="thin">
        <color auto="1"/>
      </top>
      <bottom style="thin">
        <color auto="1"/>
      </bottom>
      <diagonal/>
    </border>
    <border>
      <left style="thin">
        <color auto="1"/>
      </left>
      <right style="thin">
        <color auto="1"/>
      </right>
      <top style="thin">
        <color auto="1"/>
      </top>
      <bottom style="thin">
        <color auto="1"/>
      </bottom>
      <diagonal/>
    </border>
    <border>
      <left style="thick">
        <color rgb="FFFF0000"/>
      </left>
      <right style="thick">
        <color rgb="FFFF0000"/>
      </right>
      <top style="thick">
        <color rgb="FFFF0000"/>
      </top>
      <bottom style="thin">
        <color rgb="FF000000"/>
      </bottom>
      <diagonal/>
    </border>
    <border>
      <left style="thick">
        <color rgb="FFFF0000"/>
      </left>
      <right style="thick">
        <color rgb="FFFF0000"/>
      </right>
      <top style="hair">
        <color rgb="FF000000"/>
      </top>
      <bottom style="hair">
        <color rgb="FF000000"/>
      </bottom>
      <diagonal/>
    </border>
    <border>
      <left style="thick">
        <color rgb="FFFF0000"/>
      </left>
      <right style="thick">
        <color rgb="FFFF0000"/>
      </right>
      <top style="thin">
        <color rgb="FF000000"/>
      </top>
      <bottom style="thick">
        <color rgb="FFFF0000"/>
      </bottom>
      <diagonal/>
    </border>
    <border>
      <left style="thin">
        <color auto="1"/>
      </left>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indexed="64"/>
      </left>
      <right/>
      <top style="hair">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hair">
        <color indexed="64"/>
      </bottom>
      <diagonal/>
    </border>
    <border>
      <left/>
      <right/>
      <top style="hair">
        <color indexed="64"/>
      </top>
      <bottom style="thin">
        <color indexed="64"/>
      </bottom>
      <diagonal/>
    </border>
    <border>
      <left/>
      <right style="medium">
        <color indexed="64"/>
      </right>
      <top style="medium">
        <color indexed="64"/>
      </top>
      <bottom style="medium">
        <color indexed="64"/>
      </bottom>
      <diagonal/>
    </border>
    <border>
      <left/>
      <right style="thin">
        <color rgb="FF000000"/>
      </right>
      <top style="thin">
        <color rgb="FF000000"/>
      </top>
      <bottom/>
      <diagonal/>
    </border>
    <border>
      <left style="medium">
        <color indexed="64"/>
      </left>
      <right style="dotted">
        <color indexed="64"/>
      </right>
      <top style="dotted">
        <color auto="1"/>
      </top>
      <bottom style="dotted">
        <color auto="1"/>
      </bottom>
      <diagonal/>
    </border>
    <border>
      <left style="dotted">
        <color indexed="64"/>
      </left>
      <right style="medium">
        <color indexed="64"/>
      </right>
      <top style="double">
        <color indexed="64"/>
      </top>
      <bottom/>
      <diagonal/>
    </border>
    <border>
      <left style="thin">
        <color rgb="FF000000"/>
      </left>
      <right style="thin">
        <color rgb="FF000000"/>
      </right>
      <top style="thin">
        <color auto="1"/>
      </top>
      <bottom style="hair">
        <color rgb="FF000000"/>
      </bottom>
      <diagonal/>
    </border>
    <border>
      <left style="thick">
        <color rgb="FFFF0000"/>
      </left>
      <right style="thick">
        <color rgb="FFFF0000"/>
      </right>
      <top style="hair">
        <color rgb="FF000000"/>
      </top>
      <bottom style="thin">
        <color rgb="FF000000"/>
      </bottom>
      <diagonal/>
    </border>
    <border>
      <left style="medium">
        <color indexed="64"/>
      </left>
      <right style="medium">
        <color indexed="64"/>
      </right>
      <top style="thin">
        <color indexed="64"/>
      </top>
      <bottom style="medium">
        <color auto="1"/>
      </bottom>
      <diagonal/>
    </border>
    <border>
      <left style="medium">
        <color indexed="64"/>
      </left>
      <right style="hair">
        <color indexed="64"/>
      </right>
      <top style="thin">
        <color indexed="64"/>
      </top>
      <bottom style="medium">
        <color auto="1"/>
      </bottom>
      <diagonal/>
    </border>
    <border>
      <left style="hair">
        <color indexed="64"/>
      </left>
      <right style="hair">
        <color indexed="64"/>
      </right>
      <top style="thin">
        <color indexed="64"/>
      </top>
      <bottom style="medium">
        <color auto="1"/>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bottom style="thin">
        <color indexed="64"/>
      </bottom>
      <diagonal/>
    </border>
    <border>
      <left style="medium">
        <color indexed="64"/>
      </left>
      <right/>
      <top style="hair">
        <color indexed="64"/>
      </top>
      <bottom style="thin">
        <color indexed="64"/>
      </bottom>
      <diagonal/>
    </border>
    <border>
      <left style="medium">
        <color indexed="64"/>
      </left>
      <right style="thin">
        <color auto="1"/>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auto="1"/>
      </left>
      <right style="hair">
        <color auto="1"/>
      </right>
      <top style="thin">
        <color auto="1"/>
      </top>
      <bottom style="medium">
        <color indexed="64"/>
      </bottom>
      <diagonal/>
    </border>
    <border>
      <left style="thin">
        <color indexed="64"/>
      </left>
      <right/>
      <top style="thin">
        <color indexed="64"/>
      </top>
      <bottom style="hair">
        <color indexed="64"/>
      </bottom>
      <diagonal/>
    </border>
    <border>
      <left style="thin">
        <color indexed="64"/>
      </left>
      <right/>
      <top style="thin">
        <color auto="1"/>
      </top>
      <bottom style="medium">
        <color indexed="64"/>
      </bottom>
      <diagonal/>
    </border>
    <border>
      <left/>
      <right style="thin">
        <color auto="1"/>
      </right>
      <top style="thin">
        <color auto="1"/>
      </top>
      <bottom style="thin">
        <color auto="1"/>
      </bottom>
      <diagonal/>
    </border>
    <border>
      <left style="thin">
        <color indexed="64"/>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18"/>
      </left>
      <right style="thin">
        <color indexed="18"/>
      </right>
      <top style="thin">
        <color indexed="18"/>
      </top>
      <bottom style="thin">
        <color indexed="18"/>
      </bottom>
      <diagonal/>
    </border>
    <border>
      <left style="thin">
        <color indexed="54"/>
      </left>
      <right/>
      <top style="thin">
        <color indexed="54"/>
      </top>
      <bottom/>
      <diagonal/>
    </border>
    <border>
      <left style="thin">
        <color indexed="63"/>
      </left>
      <right style="thin">
        <color indexed="63"/>
      </right>
      <top style="thin">
        <color indexed="63"/>
      </top>
      <bottom style="thin">
        <color indexed="63"/>
      </bottom>
      <diagonal/>
    </border>
    <border>
      <left style="thin">
        <color indexed="18"/>
      </left>
      <right style="thin">
        <color indexed="18"/>
      </right>
      <top style="thin">
        <color indexed="18"/>
      </top>
      <bottom style="thin">
        <color indexed="18"/>
      </bottom>
      <diagonal/>
    </border>
    <border>
      <left style="thin">
        <color indexed="54"/>
      </left>
      <right/>
      <top style="thin">
        <color indexed="5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thin">
        <color indexed="18"/>
      </left>
      <right style="thin">
        <color indexed="18"/>
      </right>
      <top style="thin">
        <color indexed="18"/>
      </top>
      <bottom style="thin">
        <color indexed="18"/>
      </bottom>
      <diagonal/>
    </border>
    <border>
      <left style="thin">
        <color indexed="54"/>
      </left>
      <right/>
      <top style="thin">
        <color indexed="5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auto="1"/>
      </top>
      <bottom style="thin">
        <color auto="1"/>
      </bottom>
      <diagonal/>
    </border>
    <border>
      <left/>
      <right/>
      <top style="thin">
        <color indexed="64"/>
      </top>
      <bottom style="medium">
        <color indexed="64"/>
      </bottom>
      <diagonal/>
    </border>
    <border>
      <left style="thin">
        <color auto="1"/>
      </left>
      <right style="medium">
        <color indexed="64"/>
      </right>
      <top style="thin">
        <color indexed="64"/>
      </top>
      <bottom style="medium">
        <color indexed="64"/>
      </bottom>
      <diagonal/>
    </border>
    <border>
      <left style="thin">
        <color auto="1"/>
      </left>
      <right style="medium">
        <color indexed="64"/>
      </right>
      <top style="thin">
        <color auto="1"/>
      </top>
      <bottom style="thin">
        <color auto="1"/>
      </bottom>
      <diagonal/>
    </border>
    <border>
      <left style="hair">
        <color indexed="64"/>
      </left>
      <right/>
      <top style="thin">
        <color auto="1"/>
      </top>
      <bottom style="thin">
        <color auto="1"/>
      </bottom>
      <diagonal/>
    </border>
    <border>
      <left style="hair">
        <color indexed="64"/>
      </left>
      <right/>
      <top style="thin">
        <color auto="1"/>
      </top>
      <bottom/>
      <diagonal/>
    </border>
    <border>
      <left style="hair">
        <color indexed="64"/>
      </left>
      <right/>
      <top style="thin">
        <color indexed="64"/>
      </top>
      <bottom style="medium">
        <color indexed="64"/>
      </bottom>
      <diagonal/>
    </border>
    <border>
      <left style="hair">
        <color indexed="64"/>
      </left>
      <right/>
      <top style="hair">
        <color indexed="64"/>
      </top>
      <bottom style="medium">
        <color indexed="64"/>
      </bottom>
      <diagonal/>
    </border>
    <border>
      <left/>
      <right/>
      <top style="thin">
        <color indexed="64"/>
      </top>
      <bottom/>
      <diagonal/>
    </border>
    <border>
      <left style="medium">
        <color indexed="64"/>
      </left>
      <right/>
      <top style="thin">
        <color auto="1"/>
      </top>
      <bottom style="thin">
        <color auto="1"/>
      </bottom>
      <diagonal/>
    </border>
    <border>
      <left style="medium">
        <color indexed="64"/>
      </left>
      <right/>
      <top style="thin">
        <color auto="1"/>
      </top>
      <bottom/>
      <diagonal/>
    </border>
    <border>
      <left style="medium">
        <color indexed="64"/>
      </left>
      <right/>
      <top style="thin">
        <color indexed="64"/>
      </top>
      <bottom style="hair">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auto="1"/>
      </bottom>
      <diagonal/>
    </border>
    <border>
      <left style="medium">
        <color indexed="64"/>
      </left>
      <right style="hair">
        <color indexed="64"/>
      </right>
      <top style="thin">
        <color indexed="64"/>
      </top>
      <bottom/>
      <diagonal/>
    </border>
    <border>
      <left style="hair">
        <color indexed="64"/>
      </left>
      <right style="hair">
        <color indexed="64"/>
      </right>
      <top style="thin">
        <color indexed="64"/>
      </top>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auto="1"/>
      </left>
      <right/>
      <top style="thin">
        <color auto="1"/>
      </top>
      <bottom style="thin">
        <color auto="1"/>
      </bottom>
      <diagonal/>
    </border>
    <border>
      <left style="medium">
        <color indexed="64"/>
      </left>
      <right style="thin">
        <color indexed="64"/>
      </right>
      <top style="thin">
        <color indexed="64"/>
      </top>
      <bottom style="thin">
        <color indexed="64"/>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medium">
        <color indexed="64"/>
      </left>
      <right style="medium">
        <color indexed="64"/>
      </right>
      <top style="thin">
        <color auto="1"/>
      </top>
      <bottom/>
      <diagonal/>
    </border>
    <border>
      <left style="medium">
        <color indexed="64"/>
      </left>
      <right style="thin">
        <color auto="1"/>
      </right>
      <top style="thin">
        <color indexed="64"/>
      </top>
      <bottom/>
      <diagonal/>
    </border>
    <border>
      <left style="medium">
        <color indexed="64"/>
      </left>
      <right style="medium">
        <color indexed="64"/>
      </right>
      <top style="thin">
        <color auto="1"/>
      </top>
      <bottom style="thin">
        <color auto="1"/>
      </bottom>
      <diagonal/>
    </border>
    <border>
      <left style="medium">
        <color rgb="FFFF0000"/>
      </left>
      <right style="medium">
        <color rgb="FFFF0000"/>
      </right>
      <top style="thin">
        <color auto="1"/>
      </top>
      <bottom style="thin">
        <color auto="1"/>
      </bottom>
      <diagonal/>
    </border>
    <border>
      <left/>
      <right style="thin">
        <color auto="1"/>
      </right>
      <top style="thin">
        <color auto="1"/>
      </top>
      <bottom style="thin">
        <color auto="1"/>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medium">
        <color indexed="64"/>
      </bottom>
      <diagonal/>
    </border>
    <border>
      <left/>
      <right/>
      <top style="thin">
        <color indexed="64"/>
      </top>
      <bottom style="hair">
        <color indexed="64"/>
      </bottom>
      <diagonal/>
    </border>
    <border>
      <left style="thin">
        <color indexed="64"/>
      </left>
      <right style="thin">
        <color indexed="64"/>
      </right>
      <top style="hair">
        <color indexed="64"/>
      </top>
      <bottom style="medium">
        <color indexed="64"/>
      </bottom>
      <diagonal/>
    </border>
    <border>
      <left/>
      <right/>
      <top style="hair">
        <color indexed="64"/>
      </top>
      <bottom style="medium">
        <color indexed="64"/>
      </bottom>
      <diagonal/>
    </border>
    <border>
      <left style="thin">
        <color auto="1"/>
      </left>
      <right/>
      <top style="thin">
        <color auto="1"/>
      </top>
      <bottom style="medium">
        <color auto="1"/>
      </bottom>
      <diagonal/>
    </border>
    <border>
      <left/>
      <right style="thin">
        <color indexed="64"/>
      </right>
      <top style="thin">
        <color indexed="64"/>
      </top>
      <bottom style="medium">
        <color indexed="64"/>
      </bottom>
      <diagonal/>
    </border>
    <border>
      <left style="thin">
        <color rgb="FF000000"/>
      </left>
      <right style="thin">
        <color rgb="FF000000"/>
      </right>
      <top style="hair">
        <color rgb="FF000000"/>
      </top>
      <bottom/>
      <diagonal/>
    </border>
    <border>
      <left style="thin">
        <color rgb="FF000000"/>
      </left>
      <right/>
      <top style="hair">
        <color rgb="FF000000"/>
      </top>
      <bottom/>
      <diagonal/>
    </border>
    <border>
      <left style="thin">
        <color rgb="FF000000"/>
      </left>
      <right style="thin">
        <color rgb="FF000000"/>
      </right>
      <top style="thin">
        <color auto="1"/>
      </top>
      <bottom/>
      <diagonal/>
    </border>
    <border>
      <left style="medium">
        <color indexed="64"/>
      </left>
      <right/>
      <top style="thin">
        <color auto="1"/>
      </top>
      <bottom style="medium">
        <color indexed="64"/>
      </bottom>
      <diagonal/>
    </border>
    <border>
      <left style="medium">
        <color indexed="64"/>
      </left>
      <right style="thin">
        <color auto="1"/>
      </right>
      <top style="thin">
        <color indexed="64"/>
      </top>
      <bottom style="medium">
        <color indexed="64"/>
      </bottom>
      <diagonal/>
    </border>
    <border>
      <left style="medium">
        <color indexed="64"/>
      </left>
      <right style="hair">
        <color indexed="64"/>
      </right>
      <top style="thin">
        <color indexed="64"/>
      </top>
      <bottom style="medium">
        <color indexed="64"/>
      </bottom>
      <diagonal/>
    </border>
    <border>
      <left style="medium">
        <color indexed="64"/>
      </left>
      <right/>
      <top style="medium">
        <color indexed="64"/>
      </top>
      <bottom style="hair">
        <color indexed="64"/>
      </bottom>
      <diagonal/>
    </border>
    <border>
      <left style="medium">
        <color indexed="64"/>
      </left>
      <right/>
      <top style="hair">
        <color indexed="64"/>
      </top>
      <bottom style="medium">
        <color indexed="64"/>
      </bottom>
      <diagonal/>
    </border>
    <border>
      <left style="thin">
        <color indexed="64"/>
      </left>
      <right style="hair">
        <color indexed="64"/>
      </right>
      <top style="thin">
        <color indexed="64"/>
      </top>
      <bottom style="thin">
        <color auto="1"/>
      </bottom>
      <diagonal/>
    </border>
    <border>
      <left style="thin">
        <color indexed="64"/>
      </left>
      <right style="hair">
        <color indexed="64"/>
      </right>
      <top style="thin">
        <color indexed="64"/>
      </top>
      <bottom style="medium">
        <color indexed="64"/>
      </bottom>
      <diagonal/>
    </border>
    <border>
      <left/>
      <right style="hair">
        <color indexed="64"/>
      </right>
      <top/>
      <bottom/>
      <diagonal/>
    </border>
    <border>
      <left/>
      <right style="hair">
        <color indexed="64"/>
      </right>
      <top style="thin">
        <color indexed="64"/>
      </top>
      <bottom/>
      <diagonal/>
    </border>
    <border>
      <left/>
      <right style="medium">
        <color indexed="64"/>
      </right>
      <top style="thin">
        <color auto="1"/>
      </top>
      <bottom style="thin">
        <color auto="1"/>
      </bottom>
      <diagonal/>
    </border>
    <border>
      <left/>
      <right style="thin">
        <color indexed="64"/>
      </right>
      <top style="thin">
        <color indexed="64"/>
      </top>
      <bottom/>
      <diagonal/>
    </border>
    <border>
      <left/>
      <right style="hair">
        <color indexed="64"/>
      </right>
      <top style="thin">
        <color indexed="64"/>
      </top>
      <bottom style="medium">
        <color indexed="64"/>
      </bottom>
      <diagonal/>
    </border>
    <border>
      <left style="hair">
        <color indexed="64"/>
      </left>
      <right/>
      <top style="thin">
        <color indexed="64"/>
      </top>
      <bottom style="thin">
        <color indexed="64"/>
      </bottom>
      <diagonal/>
    </border>
    <border>
      <left style="medium">
        <color indexed="64"/>
      </left>
      <right style="thin">
        <color auto="1"/>
      </right>
      <top style="thin">
        <color indexed="64"/>
      </top>
      <bottom style="thin">
        <color indexed="64"/>
      </bottom>
      <diagonal/>
    </border>
    <border>
      <left style="thin">
        <color auto="1"/>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hair">
        <color auto="1"/>
      </left>
      <right style="medium">
        <color auto="1"/>
      </right>
      <top style="thin">
        <color auto="1"/>
      </top>
      <bottom style="medium">
        <color auto="1"/>
      </bottom>
      <diagonal/>
    </border>
    <border>
      <left style="hair">
        <color auto="1"/>
      </left>
      <right style="medium">
        <color auto="1"/>
      </right>
      <top style="thin">
        <color auto="1"/>
      </top>
      <bottom style="thin">
        <color auto="1"/>
      </bottom>
      <diagonal/>
    </border>
    <border>
      <left style="hair">
        <color auto="1"/>
      </left>
      <right style="medium">
        <color auto="1"/>
      </right>
      <top/>
      <bottom/>
      <diagonal/>
    </border>
    <border>
      <left style="hair">
        <color auto="1"/>
      </left>
      <right style="medium">
        <color auto="1"/>
      </right>
      <top style="medium">
        <color indexed="64"/>
      </top>
      <bottom style="thin">
        <color indexed="64"/>
      </bottom>
      <diagonal/>
    </border>
    <border>
      <left style="hair">
        <color auto="1"/>
      </left>
      <right style="medium">
        <color auto="1"/>
      </right>
      <top style="thin">
        <color auto="1"/>
      </top>
      <bottom/>
      <diagonal/>
    </border>
    <border>
      <left style="hair">
        <color auto="1"/>
      </left>
      <right style="medium">
        <color auto="1"/>
      </right>
      <top style="medium">
        <color indexed="64"/>
      </top>
      <bottom/>
      <diagonal/>
    </border>
    <border>
      <left style="hair">
        <color auto="1"/>
      </left>
      <right style="medium">
        <color auto="1"/>
      </right>
      <top style="medium">
        <color auto="1"/>
      </top>
      <bottom style="medium">
        <color auto="1"/>
      </bottom>
      <diagonal/>
    </border>
    <border>
      <left style="hair">
        <color indexed="64"/>
      </left>
      <right style="medium">
        <color auto="1"/>
      </right>
      <top style="hair">
        <color auto="1"/>
      </top>
      <bottom style="thin">
        <color auto="1"/>
      </bottom>
      <diagonal/>
    </border>
    <border>
      <left style="thin">
        <color indexed="64"/>
      </left>
      <right/>
      <top style="thin">
        <color auto="1"/>
      </top>
      <bottom style="thin">
        <color rgb="FF000000"/>
      </bottom>
      <diagonal/>
    </border>
    <border>
      <left style="thin">
        <color indexed="64"/>
      </left>
      <right/>
      <top style="thin">
        <color rgb="FF000000"/>
      </top>
      <bottom style="thin">
        <color rgb="FF000000"/>
      </bottom>
      <diagonal/>
    </border>
    <border>
      <left style="hair">
        <color indexed="64"/>
      </left>
      <right style="hair">
        <color indexed="64"/>
      </right>
      <top style="thin">
        <color indexed="64"/>
      </top>
      <bottom style="thin">
        <color indexed="64"/>
      </bottom>
      <diagonal/>
    </border>
    <border>
      <left/>
      <right/>
      <top style="thin">
        <color auto="1"/>
      </top>
      <bottom style="medium">
        <color auto="1"/>
      </bottom>
      <diagonal/>
    </border>
    <border>
      <left style="thick">
        <color rgb="FFFF0000"/>
      </left>
      <right style="thick">
        <color rgb="FFFF0000"/>
      </right>
      <top style="thin">
        <color rgb="FF000000"/>
      </top>
      <bottom style="hair">
        <color auto="1"/>
      </bottom>
      <diagonal/>
    </border>
    <border>
      <left style="thick">
        <color rgb="FFFF0000"/>
      </left>
      <right style="thick">
        <color rgb="FFFF0000"/>
      </right>
      <top style="hair">
        <color auto="1"/>
      </top>
      <bottom style="hair">
        <color auto="1"/>
      </bottom>
      <diagonal/>
    </border>
    <border>
      <left style="medium">
        <color indexed="64"/>
      </left>
      <right style="thin">
        <color indexed="64"/>
      </right>
      <top style="thin">
        <color auto="1"/>
      </top>
      <bottom style="medium">
        <color auto="1"/>
      </bottom>
      <diagonal/>
    </border>
    <border>
      <left style="thin">
        <color indexed="64"/>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auto="1"/>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medium">
        <color indexed="64"/>
      </bottom>
      <diagonal/>
    </border>
    <border>
      <left style="medium">
        <color indexed="64"/>
      </left>
      <right/>
      <top style="thin">
        <color auto="1"/>
      </top>
      <bottom style="medium">
        <color indexed="6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top/>
      <bottom/>
      <diagonal/>
    </border>
    <border>
      <left style="medium">
        <color rgb="FF000000"/>
      </left>
      <right/>
      <top style="medium">
        <color auto="1"/>
      </top>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indexed="64"/>
      </left>
      <right style="medium">
        <color rgb="FF000000"/>
      </right>
      <top style="medium">
        <color rgb="FF000000"/>
      </top>
      <bottom/>
      <diagonal/>
    </border>
    <border>
      <left style="medium">
        <color indexed="64"/>
      </left>
      <right style="medium">
        <color rgb="FF000000"/>
      </right>
      <top/>
      <bottom/>
      <diagonal/>
    </border>
    <border>
      <left style="thick">
        <color auto="1"/>
      </left>
      <right/>
      <top style="thick">
        <color auto="1"/>
      </top>
      <bottom style="medium">
        <color indexed="64"/>
      </bottom>
      <diagonal/>
    </border>
    <border>
      <left/>
      <right/>
      <top style="thick">
        <color auto="1"/>
      </top>
      <bottom style="medium">
        <color indexed="64"/>
      </bottom>
      <diagonal/>
    </border>
    <border>
      <left/>
      <right style="medium">
        <color rgb="FF000000"/>
      </right>
      <top style="thick">
        <color auto="1"/>
      </top>
      <bottom style="medium">
        <color indexed="64"/>
      </bottom>
      <diagonal/>
    </border>
    <border>
      <left style="thick">
        <color auto="1"/>
      </left>
      <right style="medium">
        <color rgb="FF000000"/>
      </right>
      <top style="medium">
        <color rgb="FF000000"/>
      </top>
      <bottom/>
      <diagonal/>
    </border>
    <border>
      <left style="thick">
        <color auto="1"/>
      </left>
      <right style="medium">
        <color rgb="FF000000"/>
      </right>
      <top style="medium">
        <color rgb="FF000000"/>
      </top>
      <bottom style="medium">
        <color rgb="FF000000"/>
      </bottom>
      <diagonal/>
    </border>
    <border>
      <left style="thick">
        <color auto="1"/>
      </left>
      <right/>
      <top style="medium">
        <color rgb="FF000000"/>
      </top>
      <bottom/>
      <diagonal/>
    </border>
    <border>
      <left style="thick">
        <color auto="1"/>
      </left>
      <right/>
      <top/>
      <bottom/>
      <diagonal/>
    </border>
    <border>
      <left style="thin">
        <color indexed="64"/>
      </left>
      <right style="thick">
        <color auto="1"/>
      </right>
      <top style="medium">
        <color indexed="64"/>
      </top>
      <bottom/>
      <diagonal/>
    </border>
    <border>
      <left style="thin">
        <color auto="1"/>
      </left>
      <right style="thick">
        <color auto="1"/>
      </right>
      <top style="thin">
        <color auto="1"/>
      </top>
      <bottom style="thin">
        <color auto="1"/>
      </bottom>
      <diagonal/>
    </border>
    <border>
      <left/>
      <right style="thick">
        <color auto="1"/>
      </right>
      <top/>
      <bottom/>
      <diagonal/>
    </border>
    <border>
      <left style="thick">
        <color auto="1"/>
      </left>
      <right style="medium">
        <color rgb="FF000000"/>
      </right>
      <top/>
      <bottom/>
      <diagonal/>
    </border>
    <border>
      <left style="thick">
        <color auto="1"/>
      </left>
      <right style="medium">
        <color rgb="FF000000"/>
      </right>
      <top/>
      <bottom style="thick">
        <color auto="1"/>
      </bottom>
      <diagonal/>
    </border>
    <border>
      <left style="medium">
        <color rgb="FF000000"/>
      </left>
      <right/>
      <top style="medium">
        <color rgb="FF000000"/>
      </top>
      <bottom style="thick">
        <color auto="1"/>
      </bottom>
      <diagonal/>
    </border>
    <border>
      <left/>
      <right/>
      <top style="medium">
        <color rgb="FF000000"/>
      </top>
      <bottom style="thick">
        <color auto="1"/>
      </bottom>
      <diagonal/>
    </border>
    <border>
      <left/>
      <right style="medium">
        <color rgb="FF000000"/>
      </right>
      <top style="medium">
        <color rgb="FF000000"/>
      </top>
      <bottom style="thick">
        <color auto="1"/>
      </bottom>
      <diagonal/>
    </border>
    <border>
      <left/>
      <right style="medium">
        <color rgb="FF000000"/>
      </right>
      <top/>
      <bottom/>
      <diagonal/>
    </border>
    <border>
      <left style="thick">
        <color auto="1"/>
      </left>
      <right/>
      <top/>
      <bottom style="medium">
        <color rgb="FF000000"/>
      </bottom>
      <diagonal/>
    </border>
    <border>
      <left style="thin">
        <color indexed="64"/>
      </left>
      <right style="thick">
        <color auto="1"/>
      </right>
      <top style="medium">
        <color indexed="64"/>
      </top>
      <bottom style="thin">
        <color indexed="64"/>
      </bottom>
      <diagonal/>
    </border>
    <border>
      <left style="thin">
        <color indexed="64"/>
      </left>
      <right style="thick">
        <color auto="1"/>
      </right>
      <top/>
      <bottom style="thin">
        <color indexed="64"/>
      </bottom>
      <diagonal/>
    </border>
    <border>
      <left style="medium">
        <color rgb="FF000000"/>
      </left>
      <right style="thick">
        <color indexed="64"/>
      </right>
      <top style="thick">
        <color indexed="64"/>
      </top>
      <bottom style="medium">
        <color indexed="64"/>
      </bottom>
      <diagonal/>
    </border>
    <border>
      <left style="medium">
        <color rgb="FF000000"/>
      </left>
      <right style="thick">
        <color indexed="64"/>
      </right>
      <top/>
      <bottom/>
      <diagonal/>
    </border>
    <border>
      <left style="medium">
        <color rgb="FF000000"/>
      </left>
      <right style="thick">
        <color indexed="64"/>
      </right>
      <top style="medium">
        <color rgb="FF000000"/>
      </top>
      <bottom/>
      <diagonal/>
    </border>
    <border>
      <left style="medium">
        <color rgb="FF000000"/>
      </left>
      <right style="thick">
        <color indexed="64"/>
      </right>
      <top style="medium">
        <color indexed="64"/>
      </top>
      <bottom style="medium">
        <color rgb="FF000000"/>
      </bottom>
      <diagonal/>
    </border>
    <border>
      <left style="medium">
        <color rgb="FF000000"/>
      </left>
      <right style="thick">
        <color indexed="64"/>
      </right>
      <top style="medium">
        <color rgb="FF000000"/>
      </top>
      <bottom style="medium">
        <color rgb="FF000000"/>
      </bottom>
      <diagonal/>
    </border>
    <border>
      <left style="medium">
        <color rgb="FF000000"/>
      </left>
      <right style="thick">
        <color indexed="64"/>
      </right>
      <top style="medium">
        <color rgb="FF000000"/>
      </top>
      <bottom style="thick">
        <color indexed="64"/>
      </bottom>
      <diagonal/>
    </border>
    <border>
      <left/>
      <right style="thick">
        <color auto="1"/>
      </right>
      <top style="thick">
        <color auto="1"/>
      </top>
      <bottom style="medium">
        <color indexed="64"/>
      </bottom>
      <diagonal/>
    </border>
    <border>
      <left/>
      <right style="thick">
        <color auto="1"/>
      </right>
      <top style="medium">
        <color rgb="FF000000"/>
      </top>
      <bottom/>
      <diagonal/>
    </border>
    <border>
      <left/>
      <right style="thick">
        <color auto="1"/>
      </right>
      <top style="medium">
        <color indexed="64"/>
      </top>
      <bottom style="medium">
        <color rgb="FF000000"/>
      </bottom>
      <diagonal/>
    </border>
    <border>
      <left/>
      <right style="thick">
        <color auto="1"/>
      </right>
      <top style="medium">
        <color indexed="64"/>
      </top>
      <bottom/>
      <diagonal/>
    </border>
    <border>
      <left/>
      <right style="thick">
        <color auto="1"/>
      </right>
      <top style="medium">
        <color indexed="64"/>
      </top>
      <bottom style="thin">
        <color indexed="64"/>
      </bottom>
      <diagonal/>
    </border>
    <border>
      <left/>
      <right style="thick">
        <color auto="1"/>
      </right>
      <top style="thin">
        <color auto="1"/>
      </top>
      <bottom style="thin">
        <color auto="1"/>
      </bottom>
      <diagonal/>
    </border>
    <border>
      <left/>
      <right style="thick">
        <color auto="1"/>
      </right>
      <top style="thin">
        <color indexed="64"/>
      </top>
      <bottom style="medium">
        <color indexed="64"/>
      </bottom>
      <diagonal/>
    </border>
    <border>
      <left/>
      <right style="thick">
        <color auto="1"/>
      </right>
      <top/>
      <bottom style="thin">
        <color indexed="64"/>
      </bottom>
      <diagonal/>
    </border>
    <border>
      <left/>
      <right style="thick">
        <color auto="1"/>
      </right>
      <top style="medium">
        <color rgb="FF000000"/>
      </top>
      <bottom style="medium">
        <color rgb="FF000000"/>
      </bottom>
      <diagonal/>
    </border>
    <border>
      <left/>
      <right style="thick">
        <color auto="1"/>
      </right>
      <top style="medium">
        <color rgb="FF000000"/>
      </top>
      <bottom style="thick">
        <color auto="1"/>
      </bottom>
      <diagonal/>
    </border>
    <border>
      <left style="thin">
        <color indexed="64"/>
      </left>
      <right style="thick">
        <color indexed="64"/>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style="medium">
        <color indexed="64"/>
      </right>
      <top style="medium">
        <color indexed="64"/>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thick">
        <color indexed="64"/>
      </bottom>
      <diagonal/>
    </border>
    <border>
      <left style="medium">
        <color indexed="64"/>
      </left>
      <right style="medium">
        <color indexed="64"/>
      </right>
      <top style="medium">
        <color indexed="64"/>
      </top>
      <bottom style="thick">
        <color indexed="64"/>
      </bottom>
      <diagonal/>
    </border>
    <border>
      <left style="medium">
        <color indexed="64"/>
      </left>
      <right style="thick">
        <color indexed="64"/>
      </right>
      <top style="medium">
        <color indexed="64"/>
      </top>
      <bottom style="thick">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hair">
        <color indexed="64"/>
      </top>
      <bottom/>
      <diagonal/>
    </border>
    <border>
      <left style="medium">
        <color auto="1"/>
      </left>
      <right style="thin">
        <color auto="1"/>
      </right>
      <top/>
      <bottom style="hair">
        <color auto="1"/>
      </bottom>
      <diagonal/>
    </border>
    <border>
      <left style="medium">
        <color auto="1"/>
      </left>
      <right style="thin">
        <color auto="1"/>
      </right>
      <top style="thin">
        <color indexed="64"/>
      </top>
      <bottom style="hair">
        <color auto="1"/>
      </bottom>
      <diagonal/>
    </border>
    <border>
      <left style="medium">
        <color indexed="64"/>
      </left>
      <right style="medium">
        <color indexed="64"/>
      </right>
      <top style="thin">
        <color indexed="64"/>
      </top>
      <bottom style="medium">
        <color indexed="64"/>
      </bottom>
      <diagonal/>
    </border>
    <border>
      <left style="thin">
        <color indexed="64"/>
      </left>
      <right/>
      <top style="thin">
        <color rgb="FF000000"/>
      </top>
      <bottom style="medium">
        <color auto="1"/>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style="thin">
        <color indexed="8"/>
      </top>
      <bottom/>
      <diagonal/>
    </border>
    <border>
      <left style="medium">
        <color indexed="64"/>
      </left>
      <right style="thin">
        <color auto="1"/>
      </right>
      <top style="thin">
        <color indexed="64"/>
      </top>
      <bottom style="thin">
        <color indexed="64"/>
      </bottom>
      <diagonal/>
    </border>
    <border>
      <left style="medium">
        <color indexed="64"/>
      </left>
      <right style="hair">
        <color indexed="64"/>
      </right>
      <top style="thin">
        <color indexed="64"/>
      </top>
      <bottom style="thin">
        <color indexed="64"/>
      </bottom>
      <diagonal/>
    </border>
    <border>
      <left style="hair">
        <color indexed="64"/>
      </left>
      <right/>
      <top style="thin">
        <color auto="1"/>
      </top>
      <bottom style="thin">
        <color auto="1"/>
      </bottom>
      <diagonal/>
    </border>
    <border>
      <left style="medium">
        <color indexed="64"/>
      </left>
      <right style="medium">
        <color indexed="64"/>
      </right>
      <top style="thin">
        <color auto="1"/>
      </top>
      <bottom style="thin">
        <color auto="1"/>
      </bottom>
      <diagonal/>
    </border>
    <border>
      <left style="thin">
        <color indexed="64"/>
      </left>
      <right style="thin">
        <color auto="1"/>
      </right>
      <top style="thin">
        <color indexed="64"/>
      </top>
      <bottom style="thin">
        <color auto="1"/>
      </bottom>
      <diagonal/>
    </border>
    <border>
      <left style="thin">
        <color auto="1"/>
      </left>
      <right style="medium">
        <color indexed="64"/>
      </right>
      <top style="thin">
        <color indexed="64"/>
      </top>
      <bottom/>
      <diagonal/>
    </border>
    <border>
      <left style="thin">
        <color indexed="64"/>
      </left>
      <right/>
      <top style="thin">
        <color indexed="64"/>
      </top>
      <bottom style="thin">
        <color auto="1"/>
      </bottom>
      <diagonal/>
    </border>
    <border>
      <left/>
      <right style="thin">
        <color auto="1"/>
      </right>
      <top style="thin">
        <color indexed="64"/>
      </top>
      <bottom style="thin">
        <color auto="1"/>
      </bottom>
      <diagonal/>
    </border>
    <border>
      <left style="medium">
        <color indexed="64"/>
      </left>
      <right style="medium">
        <color indexed="64"/>
      </right>
      <top style="thin">
        <color auto="1"/>
      </top>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auto="1"/>
      </right>
      <top style="thin">
        <color indexed="64"/>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indexed="64"/>
      </right>
      <top style="thin">
        <color indexed="64"/>
      </top>
      <bottom/>
      <diagonal/>
    </border>
    <border>
      <left/>
      <right style="medium">
        <color indexed="64"/>
      </right>
      <top style="thin">
        <color indexed="64"/>
      </top>
      <bottom/>
      <diagonal/>
    </border>
    <border>
      <left/>
      <right/>
      <top style="thin">
        <color indexed="64"/>
      </top>
      <bottom/>
      <diagonal/>
    </border>
    <border>
      <left style="thin">
        <color indexed="64"/>
      </left>
      <right/>
      <top style="thin">
        <color auto="1"/>
      </top>
      <bottom style="thin">
        <color auto="1"/>
      </bottom>
      <diagonal/>
    </border>
    <border>
      <left style="thin">
        <color indexed="64"/>
      </left>
      <right style="thin">
        <color auto="1"/>
      </right>
      <top style="thin">
        <color auto="1"/>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hair">
        <color auto="1"/>
      </left>
      <right/>
      <top style="thin">
        <color auto="1"/>
      </top>
      <bottom style="thin">
        <color auto="1"/>
      </bottom>
      <diagonal/>
    </border>
    <border>
      <left style="medium">
        <color indexed="64"/>
      </left>
      <right style="hair">
        <color indexed="64"/>
      </right>
      <top style="thin">
        <color indexed="64"/>
      </top>
      <bottom style="thin">
        <color indexed="64"/>
      </bottom>
      <diagonal/>
    </border>
    <border>
      <left style="hair">
        <color indexed="64"/>
      </left>
      <right style="medium">
        <color indexed="64"/>
      </right>
      <top style="thin">
        <color auto="1"/>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hair">
        <color indexed="64"/>
      </right>
      <top style="medium">
        <color indexed="64"/>
      </top>
      <bottom style="thin">
        <color indexed="64"/>
      </bottom>
      <diagonal/>
    </border>
    <border>
      <left/>
      <right style="hair">
        <color indexed="64"/>
      </right>
      <top style="thin">
        <color indexed="64"/>
      </top>
      <bottom style="medium">
        <color indexed="64"/>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right style="medium">
        <color indexed="64"/>
      </right>
      <top style="thin">
        <color indexed="64"/>
      </top>
      <bottom style="thin">
        <color indexed="64"/>
      </bottom>
      <diagonal/>
    </border>
    <border>
      <left style="hair">
        <color indexed="64"/>
      </left>
      <right/>
      <top style="thin">
        <color auto="1"/>
      </top>
      <bottom/>
      <diagonal/>
    </border>
    <border>
      <left/>
      <right style="medium">
        <color indexed="64"/>
      </right>
      <top style="thin">
        <color indexed="64"/>
      </top>
      <bottom style="medium">
        <color indexed="64"/>
      </bottom>
      <diagonal/>
    </border>
    <border>
      <left style="medium">
        <color rgb="FFFF0000"/>
      </left>
      <right style="medium">
        <color rgb="FFFF0000"/>
      </right>
      <top style="medium">
        <color rgb="FFFF0000"/>
      </top>
      <bottom style="thin">
        <color auto="1"/>
      </bottom>
      <diagonal/>
    </border>
    <border>
      <left style="medium">
        <color rgb="FFFF0000"/>
      </left>
      <right style="medium">
        <color rgb="FFFF0000"/>
      </right>
      <top style="thin">
        <color auto="1"/>
      </top>
      <bottom style="medium">
        <color rgb="FFFF0000"/>
      </bottom>
      <diagonal/>
    </border>
    <border>
      <left style="medium">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auto="1"/>
      </left>
      <right style="medium">
        <color auto="1"/>
      </right>
      <top style="thin">
        <color auto="1"/>
      </top>
      <bottom/>
      <diagonal/>
    </border>
    <border>
      <left style="medium">
        <color indexed="64"/>
      </left>
      <right/>
      <top style="hair">
        <color auto="1"/>
      </top>
      <bottom/>
      <diagonal/>
    </border>
    <border>
      <left style="medium">
        <color rgb="FFFF0000"/>
      </left>
      <right style="medium">
        <color rgb="FFFF0000"/>
      </right>
      <top/>
      <bottom style="thin">
        <color auto="1"/>
      </bottom>
      <diagonal/>
    </border>
    <border>
      <left style="medium">
        <color rgb="FFFF0000"/>
      </left>
      <right style="medium">
        <color rgb="FFFF0000"/>
      </right>
      <top style="thin">
        <color indexed="64"/>
      </top>
      <bottom/>
      <diagonal/>
    </border>
    <border>
      <left style="medium">
        <color indexed="64"/>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right style="hair">
        <color indexed="64"/>
      </right>
      <top/>
      <bottom style="hair">
        <color indexed="64"/>
      </bottom>
      <diagonal/>
    </border>
    <border>
      <left style="medium">
        <color indexed="64"/>
      </left>
      <right style="hair">
        <color indexed="64"/>
      </right>
      <top style="medium">
        <color indexed="64"/>
      </top>
      <bottom style="double">
        <color indexed="64"/>
      </bottom>
      <diagonal/>
    </border>
    <border>
      <left style="hair">
        <color indexed="64"/>
      </left>
      <right/>
      <top style="medium">
        <color indexed="64"/>
      </top>
      <bottom style="double">
        <color indexed="64"/>
      </bottom>
      <diagonal/>
    </border>
    <border>
      <left style="hair">
        <color indexed="64"/>
      </left>
      <right style="hair">
        <color indexed="64"/>
      </right>
      <top style="medium">
        <color indexed="64"/>
      </top>
      <bottom style="double">
        <color indexed="64"/>
      </bottom>
      <diagonal/>
    </border>
    <border>
      <left/>
      <right style="hair">
        <color indexed="64"/>
      </right>
      <top style="medium">
        <color indexed="64"/>
      </top>
      <bottom style="double">
        <color indexed="64"/>
      </bottom>
      <diagonal/>
    </border>
    <border>
      <left style="hair">
        <color auto="1"/>
      </left>
      <right style="medium">
        <color auto="1"/>
      </right>
      <top style="medium">
        <color indexed="64"/>
      </top>
      <bottom style="double">
        <color indexed="64"/>
      </bottom>
      <diagonal/>
    </border>
    <border>
      <left style="hair">
        <color auto="1"/>
      </left>
      <right style="medium">
        <color indexed="64"/>
      </right>
      <top style="hair">
        <color indexed="64"/>
      </top>
      <bottom style="medium">
        <color auto="1"/>
      </bottom>
      <diagonal/>
    </border>
    <border>
      <left style="thin">
        <color indexed="64"/>
      </left>
      <right style="medium">
        <color indexed="64"/>
      </right>
      <top style="double">
        <color indexed="64"/>
      </top>
      <bottom style="thin">
        <color indexed="64"/>
      </bottom>
      <diagonal/>
    </border>
    <border>
      <left style="thin">
        <color indexed="64"/>
      </left>
      <right/>
      <top style="thin">
        <color auto="1"/>
      </top>
      <bottom style="medium">
        <color rgb="FFFF0000"/>
      </bottom>
      <diagonal/>
    </border>
    <border>
      <left/>
      <right style="thin">
        <color rgb="FF000000"/>
      </right>
      <top style="hair">
        <color rgb="FF000000"/>
      </top>
      <bottom/>
      <diagonal/>
    </border>
    <border>
      <left style="thin">
        <color rgb="FF000000"/>
      </left>
      <right style="thin">
        <color rgb="FF000000"/>
      </right>
      <top/>
      <bottom/>
      <diagonal/>
    </border>
    <border>
      <left style="thin">
        <color rgb="FF000000"/>
      </left>
      <right style="thin">
        <color rgb="FF000000"/>
      </right>
      <top/>
      <bottom style="hair">
        <color rgb="FF000000"/>
      </bottom>
      <diagonal/>
    </border>
    <border>
      <left style="thin">
        <color indexed="64"/>
      </left>
      <right style="thin">
        <color auto="1"/>
      </right>
      <top style="double">
        <color indexed="64"/>
      </top>
      <bottom/>
      <diagonal/>
    </border>
    <border>
      <left/>
      <right style="medium">
        <color indexed="64"/>
      </right>
      <top/>
      <bottom style="thin">
        <color indexed="64"/>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diagonal/>
    </border>
    <border>
      <left/>
      <right style="thin">
        <color indexed="64"/>
      </right>
      <top style="hair">
        <color indexed="64"/>
      </top>
      <bottom style="medium">
        <color indexed="64"/>
      </bottom>
      <diagonal/>
    </border>
    <border>
      <left style="hair">
        <color indexed="64"/>
      </left>
      <right style="medium">
        <color auto="1"/>
      </right>
      <top/>
      <bottom style="thin">
        <color indexed="64"/>
      </bottom>
      <diagonal/>
    </border>
    <border>
      <left style="thin">
        <color indexed="64"/>
      </left>
      <right style="thin">
        <color indexed="64"/>
      </right>
      <top/>
      <bottom style="hair">
        <color indexed="64"/>
      </bottom>
      <diagonal/>
    </border>
    <border>
      <left style="thin">
        <color rgb="FF000000"/>
      </left>
      <right/>
      <top style="thin">
        <color auto="1"/>
      </top>
      <bottom style="hair">
        <color rgb="FF000000"/>
      </bottom>
      <diagonal/>
    </border>
    <border>
      <left style="medium">
        <color indexed="64"/>
      </left>
      <right style="thin">
        <color rgb="FF000000"/>
      </right>
      <top style="thin">
        <color rgb="FF000000"/>
      </top>
      <bottom style="hair">
        <color rgb="FF000000"/>
      </bottom>
      <diagonal/>
    </border>
    <border>
      <left style="medium">
        <color indexed="64"/>
      </left>
      <right style="thin">
        <color rgb="FF000000"/>
      </right>
      <top style="hair">
        <color rgb="FF000000"/>
      </top>
      <bottom style="hair">
        <color rgb="FF000000"/>
      </bottom>
      <diagonal/>
    </border>
    <border>
      <left style="medium">
        <color indexed="64"/>
      </left>
      <right style="thin">
        <color rgb="FF000000"/>
      </right>
      <top style="hair">
        <color rgb="FF000000"/>
      </top>
      <bottom/>
      <diagonal/>
    </border>
    <border>
      <left style="medium">
        <color indexed="64"/>
      </left>
      <right style="thin">
        <color rgb="FF000000"/>
      </right>
      <top style="hair">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medium">
        <color rgb="FFFF0000"/>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right style="medium">
        <color rgb="FFFF0000"/>
      </right>
      <top style="medium">
        <color auto="1"/>
      </top>
      <bottom style="medium">
        <color auto="1"/>
      </bottom>
      <diagonal/>
    </border>
    <border>
      <left style="medium">
        <color indexed="64"/>
      </left>
      <right style="thin">
        <color rgb="FF000000"/>
      </right>
      <top/>
      <bottom style="hair">
        <color rgb="FF000000"/>
      </bottom>
      <diagonal/>
    </border>
    <border>
      <left style="thin">
        <color rgb="FF000000"/>
      </left>
      <right/>
      <top/>
      <bottom style="hair">
        <color rgb="FF000000"/>
      </bottom>
      <diagonal/>
    </border>
    <border>
      <left style="thin">
        <color indexed="64"/>
      </left>
      <right style="thin">
        <color indexed="64"/>
      </right>
      <top style="hair">
        <color rgb="FF000000"/>
      </top>
      <bottom style="hair">
        <color rgb="FF000000"/>
      </bottom>
      <diagonal/>
    </border>
    <border>
      <left style="thin">
        <color indexed="64"/>
      </left>
      <right style="thin">
        <color indexed="64"/>
      </right>
      <top style="hair">
        <color rgb="FF000000"/>
      </top>
      <bottom style="thin">
        <color rgb="FF000000"/>
      </bottom>
      <diagonal/>
    </border>
    <border>
      <left style="hair">
        <color indexed="64"/>
      </left>
      <right style="medium">
        <color auto="1"/>
      </right>
      <top style="hair">
        <color indexed="64"/>
      </top>
      <bottom/>
      <diagonal/>
    </border>
    <border>
      <left/>
      <right/>
      <top style="hair">
        <color rgb="FF000000"/>
      </top>
      <bottom style="hair">
        <color rgb="FF000000"/>
      </bottom>
      <diagonal/>
    </border>
    <border>
      <left/>
      <right/>
      <top style="hair">
        <color rgb="FF000000"/>
      </top>
      <bottom style="thin">
        <color rgb="FF000000"/>
      </bottom>
      <diagonal/>
    </border>
    <border>
      <left style="thin">
        <color rgb="FF000000"/>
      </left>
      <right style="thin">
        <color rgb="FF000000"/>
      </right>
      <top style="thin">
        <color rgb="FF000000"/>
      </top>
      <bottom style="medium">
        <color indexed="64"/>
      </bottom>
      <diagonal/>
    </border>
    <border>
      <left style="thin">
        <color indexed="64"/>
      </left>
      <right style="thin">
        <color indexed="64"/>
      </right>
      <top style="thin">
        <color rgb="FF000000"/>
      </top>
      <bottom style="medium">
        <color indexed="64"/>
      </bottom>
      <diagonal/>
    </border>
    <border>
      <left/>
      <right/>
      <top style="thin">
        <color indexed="64"/>
      </top>
      <bottom style="double">
        <color indexed="64"/>
      </bottom>
      <diagonal/>
    </border>
    <border>
      <left/>
      <right/>
      <top/>
      <bottom style="hair">
        <color rgb="FF000000"/>
      </bottom>
      <diagonal/>
    </border>
    <border>
      <left/>
      <right/>
      <top style="thin">
        <color rgb="FF000000"/>
      </top>
      <bottom style="medium">
        <color indexed="64"/>
      </bottom>
      <diagonal/>
    </border>
    <border>
      <left style="medium">
        <color rgb="FFFF0000"/>
      </left>
      <right style="thin">
        <color indexed="64"/>
      </right>
      <top style="thin">
        <color indexed="64"/>
      </top>
      <bottom style="double">
        <color indexed="64"/>
      </bottom>
      <diagonal/>
    </border>
    <border>
      <left style="thin">
        <color indexed="64"/>
      </left>
      <right style="medium">
        <color rgb="FFFF0000"/>
      </right>
      <top style="thin">
        <color indexed="64"/>
      </top>
      <bottom style="double">
        <color indexed="64"/>
      </bottom>
      <diagonal/>
    </border>
    <border>
      <left style="medium">
        <color rgb="FFFF0000"/>
      </left>
      <right style="thin">
        <color rgb="FF000000"/>
      </right>
      <top/>
      <bottom style="hair">
        <color rgb="FF000000"/>
      </bottom>
      <diagonal/>
    </border>
    <border>
      <left style="thin">
        <color rgb="FF000000"/>
      </left>
      <right style="medium">
        <color rgb="FFFF0000"/>
      </right>
      <top/>
      <bottom style="hair">
        <color rgb="FF000000"/>
      </bottom>
      <diagonal/>
    </border>
    <border>
      <left style="medium">
        <color rgb="FFFF0000"/>
      </left>
      <right style="thin">
        <color rgb="FF000000"/>
      </right>
      <top style="hair">
        <color rgb="FF000000"/>
      </top>
      <bottom style="hair">
        <color rgb="FF000000"/>
      </bottom>
      <diagonal/>
    </border>
    <border>
      <left style="thin">
        <color rgb="FF000000"/>
      </left>
      <right style="medium">
        <color rgb="FFFF0000"/>
      </right>
      <top style="hair">
        <color rgb="FF000000"/>
      </top>
      <bottom style="hair">
        <color rgb="FF000000"/>
      </bottom>
      <diagonal/>
    </border>
    <border>
      <left style="medium">
        <color rgb="FFFF0000"/>
      </left>
      <right style="thin">
        <color rgb="FF000000"/>
      </right>
      <top style="hair">
        <color rgb="FF000000"/>
      </top>
      <bottom/>
      <diagonal/>
    </border>
    <border>
      <left style="thin">
        <color rgb="FF000000"/>
      </left>
      <right style="medium">
        <color rgb="FFFF0000"/>
      </right>
      <top style="hair">
        <color rgb="FF000000"/>
      </top>
      <bottom/>
      <diagonal/>
    </border>
    <border>
      <left style="medium">
        <color rgb="FFFF0000"/>
      </left>
      <right style="thin">
        <color rgb="FF000000"/>
      </right>
      <top style="hair">
        <color rgb="FF000000"/>
      </top>
      <bottom style="thin">
        <color rgb="FF000000"/>
      </bottom>
      <diagonal/>
    </border>
    <border>
      <left style="thin">
        <color rgb="FF000000"/>
      </left>
      <right style="medium">
        <color rgb="FFFF0000"/>
      </right>
      <top style="hair">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style="thick">
        <color rgb="FFFF0000"/>
      </left>
      <right style="thin">
        <color rgb="FF000000"/>
      </right>
      <top/>
      <bottom style="medium">
        <color indexed="64"/>
      </bottom>
      <diagonal/>
    </border>
    <border>
      <left style="thick">
        <color rgb="FFFF0000"/>
      </left>
      <right style="thin">
        <color indexed="64"/>
      </right>
      <top style="medium">
        <color indexed="64"/>
      </top>
      <bottom style="thin">
        <color indexed="64"/>
      </bottom>
      <diagonal/>
    </border>
    <border>
      <left style="thick">
        <color rgb="FFFF0000"/>
      </left>
      <right style="thin">
        <color auto="1"/>
      </right>
      <top style="thin">
        <color auto="1"/>
      </top>
      <bottom style="thin">
        <color auto="1"/>
      </bottom>
      <diagonal/>
    </border>
    <border>
      <left style="thick">
        <color indexed="64"/>
      </left>
      <right/>
      <top style="thick">
        <color indexed="64"/>
      </top>
      <bottom/>
      <diagonal/>
    </border>
    <border>
      <left/>
      <right/>
      <top style="thick">
        <color indexed="64"/>
      </top>
      <bottom/>
      <diagonal/>
    </border>
    <border>
      <left style="medium">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thick">
        <color indexed="64"/>
      </left>
      <right/>
      <top/>
      <bottom style="medium">
        <color indexed="64"/>
      </bottom>
      <diagonal/>
    </border>
    <border>
      <left style="thick">
        <color indexed="64"/>
      </left>
      <right style="thin">
        <color indexed="64"/>
      </right>
      <top style="medium">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diagonal/>
    </border>
    <border>
      <left style="thick">
        <color rgb="FFFF0000"/>
      </left>
      <right style="thin">
        <color auto="1"/>
      </right>
      <top style="thin">
        <color auto="1"/>
      </top>
      <bottom/>
      <diagonal/>
    </border>
    <border>
      <left style="thick">
        <color indexed="64"/>
      </left>
      <right style="thin">
        <color indexed="64"/>
      </right>
      <top style="thick">
        <color indexed="64"/>
      </top>
      <bottom style="double">
        <color indexed="64"/>
      </bottom>
      <diagonal/>
    </border>
    <border>
      <left style="thin">
        <color indexed="64"/>
      </left>
      <right style="thin">
        <color indexed="64"/>
      </right>
      <top style="thick">
        <color indexed="64"/>
      </top>
      <bottom style="double">
        <color indexed="64"/>
      </bottom>
      <diagonal/>
    </border>
    <border>
      <left style="thin">
        <color indexed="64"/>
      </left>
      <right/>
      <top style="thick">
        <color indexed="64"/>
      </top>
      <bottom style="double">
        <color indexed="64"/>
      </bottom>
      <diagonal/>
    </border>
    <border>
      <left style="thick">
        <color indexed="64"/>
      </left>
      <right style="thin">
        <color auto="1"/>
      </right>
      <top/>
      <bottom style="thin">
        <color auto="1"/>
      </bottom>
      <diagonal/>
    </border>
    <border>
      <left style="thick">
        <color indexed="64"/>
      </left>
      <right style="thin">
        <color indexed="64"/>
      </right>
      <top style="thin">
        <color auto="1"/>
      </top>
      <bottom style="thick">
        <color indexed="64"/>
      </bottom>
      <diagonal/>
    </border>
    <border>
      <left style="thin">
        <color indexed="64"/>
      </left>
      <right style="thin">
        <color indexed="64"/>
      </right>
      <top style="thin">
        <color auto="1"/>
      </top>
      <bottom style="thick">
        <color indexed="64"/>
      </bottom>
      <diagonal/>
    </border>
    <border>
      <left style="thin">
        <color indexed="64"/>
      </left>
      <right/>
      <top style="thin">
        <color auto="1"/>
      </top>
      <bottom style="thick">
        <color indexed="64"/>
      </bottom>
      <diagonal/>
    </border>
    <border>
      <left style="thick">
        <color rgb="FFFF0000"/>
      </left>
      <right style="thick">
        <color rgb="FFFF0000"/>
      </right>
      <top style="thick">
        <color rgb="FFFF0000"/>
      </top>
      <bottom style="double">
        <color indexed="64"/>
      </bottom>
      <diagonal/>
    </border>
    <border>
      <left style="thick">
        <color rgb="FFFF0000"/>
      </left>
      <right style="thick">
        <color rgb="FFFF0000"/>
      </right>
      <top/>
      <bottom style="thin">
        <color auto="1"/>
      </bottom>
      <diagonal/>
    </border>
    <border>
      <left style="thick">
        <color rgb="FFFF0000"/>
      </left>
      <right style="thick">
        <color rgb="FFFF0000"/>
      </right>
      <top style="thin">
        <color auto="1"/>
      </top>
      <bottom style="thin">
        <color auto="1"/>
      </bottom>
      <diagonal/>
    </border>
    <border>
      <left style="thick">
        <color rgb="FFFF0000"/>
      </left>
      <right style="thick">
        <color rgb="FFFF0000"/>
      </right>
      <top style="thin">
        <color auto="1"/>
      </top>
      <bottom style="thick">
        <color rgb="FFFF0000"/>
      </bottom>
      <diagonal/>
    </border>
    <border>
      <left style="thick">
        <color rgb="FFFF0000"/>
      </left>
      <right/>
      <top style="thick">
        <color rgb="FFFF0000"/>
      </top>
      <bottom style="thin">
        <color indexed="64"/>
      </bottom>
      <diagonal/>
    </border>
    <border>
      <left/>
      <right style="thick">
        <color rgb="FFFF0000"/>
      </right>
      <top style="thick">
        <color rgb="FFFF0000"/>
      </top>
      <bottom style="thin">
        <color indexed="64"/>
      </bottom>
      <diagonal/>
    </border>
    <border>
      <left style="thin">
        <color rgb="FF000000"/>
      </left>
      <right/>
      <top/>
      <bottom style="medium">
        <color indexed="64"/>
      </bottom>
      <diagonal/>
    </border>
    <border>
      <left style="thin">
        <color indexed="64"/>
      </left>
      <right style="thick">
        <color rgb="FFFF0000"/>
      </right>
      <top/>
      <bottom style="medium">
        <color indexed="64"/>
      </bottom>
      <diagonal/>
    </border>
    <border>
      <left style="thin">
        <color indexed="64"/>
      </left>
      <right style="thick">
        <color rgb="FFFF0000"/>
      </right>
      <top/>
      <bottom style="thin">
        <color indexed="64"/>
      </bottom>
      <diagonal/>
    </border>
    <border>
      <left style="thin">
        <color indexed="64"/>
      </left>
      <right style="thick">
        <color rgb="FFFF0000"/>
      </right>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auto="1"/>
      </top>
      <bottom style="thick">
        <color auto="1"/>
      </bottom>
      <diagonal/>
    </border>
    <border>
      <left style="thin">
        <color indexed="64"/>
      </left>
      <right/>
      <top style="thick">
        <color auto="1"/>
      </top>
      <bottom style="thick">
        <color auto="1"/>
      </bottom>
      <diagonal/>
    </border>
    <border>
      <left style="thick">
        <color rgb="FFFF0000"/>
      </left>
      <right style="thin">
        <color indexed="64"/>
      </right>
      <top style="thick">
        <color auto="1"/>
      </top>
      <bottom style="thick">
        <color rgb="FFFF0000"/>
      </bottom>
      <diagonal/>
    </border>
    <border>
      <left style="thin">
        <color indexed="64"/>
      </left>
      <right/>
      <top style="thick">
        <color auto="1"/>
      </top>
      <bottom style="thick">
        <color rgb="FFFF0000"/>
      </bottom>
      <diagonal/>
    </border>
    <border>
      <left style="thin">
        <color indexed="64"/>
      </left>
      <right style="thick">
        <color rgb="FFFF0000"/>
      </right>
      <top style="thick">
        <color auto="1"/>
      </top>
      <bottom style="thick">
        <color rgb="FFFF0000"/>
      </bottom>
      <diagonal/>
    </border>
    <border>
      <left style="thick">
        <color auto="1"/>
      </left>
      <right style="thin">
        <color rgb="FF000000"/>
      </right>
      <top style="thick">
        <color auto="1"/>
      </top>
      <bottom style="thick">
        <color auto="1"/>
      </bottom>
      <diagonal/>
    </border>
    <border>
      <left style="thin">
        <color rgb="FF000000"/>
      </left>
      <right/>
      <top style="thick">
        <color auto="1"/>
      </top>
      <bottom style="thick">
        <color auto="1"/>
      </bottom>
      <diagonal/>
    </border>
    <border>
      <left style="medium">
        <color indexed="64"/>
      </left>
      <right/>
      <top style="thick">
        <color auto="1"/>
      </top>
      <bottom style="thick">
        <color auto="1"/>
      </bottom>
      <diagonal/>
    </border>
    <border>
      <left style="thick">
        <color rgb="FFFF0000"/>
      </left>
      <right style="thin">
        <color rgb="FF000000"/>
      </right>
      <top style="thick">
        <color auto="1"/>
      </top>
      <bottom style="thick">
        <color auto="1"/>
      </bottom>
      <diagonal/>
    </border>
    <border>
      <left style="thin">
        <color indexed="64"/>
      </left>
      <right style="thick">
        <color rgb="FFFF0000"/>
      </right>
      <top style="thick">
        <color auto="1"/>
      </top>
      <bottom style="thick">
        <color auto="1"/>
      </bottom>
      <diagonal/>
    </border>
    <border>
      <left/>
      <right/>
      <top style="thick">
        <color rgb="FFFF0000"/>
      </top>
      <bottom style="thin">
        <color indexed="64"/>
      </bottom>
      <diagonal/>
    </border>
    <border>
      <left/>
      <right/>
      <top style="thin">
        <color rgb="FF000000"/>
      </top>
      <bottom/>
      <diagonal/>
    </border>
    <border>
      <left style="thick">
        <color indexed="64"/>
      </left>
      <right style="thin">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auto="1"/>
      </left>
      <right style="thick">
        <color indexed="64"/>
      </right>
      <top style="thin">
        <color indexed="64"/>
      </top>
      <bottom/>
      <diagonal/>
    </border>
    <border>
      <left style="thick">
        <color indexed="64"/>
      </left>
      <right style="thin">
        <color indexed="64"/>
      </right>
      <top style="thin">
        <color auto="1"/>
      </top>
      <bottom style="medium">
        <color auto="1"/>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style="thin">
        <color indexed="64"/>
      </left>
      <right style="thin">
        <color indexed="64"/>
      </right>
      <top/>
      <bottom style="thick">
        <color indexed="64"/>
      </bottom>
      <diagonal/>
    </border>
    <border>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style="thick">
        <color indexed="64"/>
      </bottom>
      <diagonal/>
    </border>
    <border>
      <left style="thin">
        <color auto="1"/>
      </left>
      <right style="thick">
        <color indexed="64"/>
      </right>
      <top style="thin">
        <color indexed="64"/>
      </top>
      <bottom style="thick">
        <color indexed="64"/>
      </bottom>
      <diagonal/>
    </border>
    <border>
      <left style="thick">
        <color rgb="FFFF0000"/>
      </left>
      <right style="medium">
        <color indexed="64"/>
      </right>
      <top style="medium">
        <color indexed="64"/>
      </top>
      <bottom/>
      <diagonal/>
    </border>
    <border>
      <left style="thick">
        <color rgb="FFFF0000"/>
      </left>
      <right style="medium">
        <color indexed="64"/>
      </right>
      <top/>
      <bottom style="medium">
        <color indexed="64"/>
      </bottom>
      <diagonal/>
    </border>
    <border>
      <left/>
      <right style="medium">
        <color indexed="64"/>
      </right>
      <top style="thick">
        <color indexed="64"/>
      </top>
      <bottom/>
      <diagonal/>
    </border>
    <border>
      <left style="thin">
        <color indexed="64"/>
      </left>
      <right style="thin">
        <color auto="1"/>
      </right>
      <top style="thick">
        <color indexed="64"/>
      </top>
      <bottom/>
      <diagonal/>
    </border>
    <border>
      <left/>
      <right/>
      <top style="thick">
        <color indexed="64"/>
      </top>
      <bottom style="thin">
        <color auto="1"/>
      </bottom>
      <diagonal/>
    </border>
    <border>
      <left/>
      <right style="thick">
        <color auto="1"/>
      </right>
      <top style="thick">
        <color indexed="64"/>
      </top>
      <bottom style="thin">
        <color auto="1"/>
      </bottom>
      <diagonal/>
    </border>
    <border>
      <left style="thin">
        <color auto="1"/>
      </left>
      <right style="thick">
        <color auto="1"/>
      </right>
      <top style="thick">
        <color auto="1"/>
      </top>
      <bottom style="thick">
        <color auto="1"/>
      </bottom>
      <diagonal/>
    </border>
    <border>
      <left style="thin">
        <color indexed="64"/>
      </left>
      <right style="hair">
        <color indexed="64"/>
      </right>
      <top style="medium">
        <color indexed="64"/>
      </top>
      <bottom/>
      <diagonal/>
    </border>
    <border>
      <left style="thin">
        <color indexed="64"/>
      </left>
      <right style="hair">
        <color indexed="64"/>
      </right>
      <top style="thin">
        <color indexed="64"/>
      </top>
      <bottom/>
      <diagonal/>
    </border>
    <border>
      <left style="thin">
        <color indexed="64"/>
      </left>
      <right style="hair">
        <color indexed="64"/>
      </right>
      <top style="medium">
        <color indexed="64"/>
      </top>
      <bottom style="thin">
        <color indexed="64"/>
      </bottom>
      <diagonal/>
    </border>
    <border>
      <left style="thin">
        <color indexed="64"/>
      </left>
      <right style="hair">
        <color indexed="64"/>
      </right>
      <top/>
      <bottom style="medium">
        <color indexed="64"/>
      </bottom>
      <diagonal/>
    </border>
    <border>
      <left style="thin">
        <color indexed="64"/>
      </left>
      <right style="hair">
        <color indexed="64"/>
      </right>
      <top style="thin">
        <color auto="1"/>
      </top>
      <bottom style="medium">
        <color indexed="64"/>
      </bottom>
      <diagonal/>
    </border>
    <border>
      <left style="hair">
        <color indexed="64"/>
      </left>
      <right style="thin">
        <color indexed="64"/>
      </right>
      <top style="medium">
        <color indexed="64"/>
      </top>
      <bottom/>
      <diagonal/>
    </border>
    <border>
      <left style="hair">
        <color indexed="64"/>
      </left>
      <right style="thin">
        <color indexed="64"/>
      </right>
      <top style="thin">
        <color auto="1"/>
      </top>
      <bottom/>
      <diagonal/>
    </border>
    <border>
      <left style="hair">
        <color indexed="64"/>
      </left>
      <right style="thin">
        <color indexed="64"/>
      </right>
      <top style="medium">
        <color indexed="64"/>
      </top>
      <bottom style="thin">
        <color indexed="64"/>
      </bottom>
      <diagonal/>
    </border>
    <border>
      <left style="hair">
        <color indexed="64"/>
      </left>
      <right style="thin">
        <color indexed="64"/>
      </right>
      <top/>
      <bottom style="medium">
        <color auto="1"/>
      </bottom>
      <diagonal/>
    </border>
    <border>
      <left style="hair">
        <color indexed="64"/>
      </left>
      <right style="thin">
        <color indexed="64"/>
      </right>
      <top style="thin">
        <color auto="1"/>
      </top>
      <bottom style="medium">
        <color indexed="64"/>
      </bottom>
      <diagonal/>
    </border>
    <border>
      <left style="thick">
        <color rgb="FFFF0000"/>
      </left>
      <right style="thick">
        <color rgb="FFFF0000"/>
      </right>
      <top style="thick">
        <color rgb="FFFF0000"/>
      </top>
      <bottom style="thin">
        <color auto="1"/>
      </bottom>
      <diagonal/>
    </border>
    <border>
      <left style="thick">
        <color rgb="FFFF0000"/>
      </left>
      <right style="thick">
        <color rgb="FFFF0000"/>
      </right>
      <top style="thin">
        <color auto="1"/>
      </top>
      <bottom/>
      <diagonal/>
    </border>
    <border>
      <left style="thick">
        <color rgb="FFFF0000"/>
      </left>
      <right style="thick">
        <color rgb="FFFF0000"/>
      </right>
      <top style="medium">
        <color indexed="64"/>
      </top>
      <bottom style="thin">
        <color indexed="64"/>
      </bottom>
      <diagonal/>
    </border>
    <border>
      <left style="thick">
        <color rgb="FFFF0000"/>
      </left>
      <right style="thick">
        <color rgb="FFFF0000"/>
      </right>
      <top style="thin">
        <color auto="1"/>
      </top>
      <bottom style="medium">
        <color auto="1"/>
      </bottom>
      <diagonal/>
    </border>
    <border>
      <left style="thick">
        <color rgb="FFFF0000"/>
      </left>
      <right style="thick">
        <color rgb="FFFF0000"/>
      </right>
      <top style="medium">
        <color auto="1"/>
      </top>
      <bottom style="medium">
        <color auto="1"/>
      </bottom>
      <diagonal/>
    </border>
    <border>
      <left style="thick">
        <color rgb="FFFF0000"/>
      </left>
      <right style="thick">
        <color rgb="FFFF0000"/>
      </right>
      <top/>
      <bottom/>
      <diagonal/>
    </border>
    <border>
      <left style="thick">
        <color rgb="FFFF0000"/>
      </left>
      <right style="thick">
        <color rgb="FFFF0000"/>
      </right>
      <top style="medium">
        <color indexed="64"/>
      </top>
      <bottom/>
      <diagonal/>
    </border>
    <border>
      <left style="thick">
        <color rgb="FFFF0000"/>
      </left>
      <right style="thick">
        <color rgb="FFFF0000"/>
      </right>
      <top style="medium">
        <color auto="1"/>
      </top>
      <bottom style="thick">
        <color rgb="FFFF0000"/>
      </bottom>
      <diagonal/>
    </border>
    <border>
      <left style="thick">
        <color rgb="FFFF0000"/>
      </left>
      <right style="thick">
        <color rgb="FFFF0000"/>
      </right>
      <top style="thick">
        <color rgb="FFFF0000"/>
      </top>
      <bottom/>
      <diagonal/>
    </border>
    <border>
      <left style="thick">
        <color rgb="FFFF0000"/>
      </left>
      <right style="thick">
        <color rgb="FFFF0000"/>
      </right>
      <top/>
      <bottom style="medium">
        <color indexed="64"/>
      </bottom>
      <diagonal/>
    </border>
    <border>
      <left style="thick">
        <color rgb="FFFF0000"/>
      </left>
      <right style="thick">
        <color rgb="FFFF0000"/>
      </right>
      <top style="medium">
        <color indexed="64"/>
      </top>
      <bottom style="hair">
        <color indexed="64"/>
      </bottom>
      <diagonal/>
    </border>
    <border>
      <left style="thick">
        <color rgb="FFFF0000"/>
      </left>
      <right style="thick">
        <color rgb="FFFF0000"/>
      </right>
      <top style="hair">
        <color auto="1"/>
      </top>
      <bottom style="thin">
        <color auto="1"/>
      </bottom>
      <diagonal/>
    </border>
    <border>
      <left style="thick">
        <color rgb="FFFF0000"/>
      </left>
      <right style="thick">
        <color rgb="FFFF0000"/>
      </right>
      <top style="thin">
        <color indexed="64"/>
      </top>
      <bottom style="hair">
        <color indexed="64"/>
      </bottom>
      <diagonal/>
    </border>
    <border>
      <left style="thick">
        <color rgb="FFFF0000"/>
      </left>
      <right style="thick">
        <color rgb="FFFF0000"/>
      </right>
      <top style="hair">
        <color indexed="64"/>
      </top>
      <bottom style="medium">
        <color indexed="64"/>
      </bottom>
      <diagonal/>
    </border>
    <border>
      <left style="thin">
        <color indexed="64"/>
      </left>
      <right style="thick">
        <color rgb="FFFF0000"/>
      </right>
      <top style="thin">
        <color auto="1"/>
      </top>
      <bottom style="thin">
        <color indexed="64"/>
      </bottom>
      <diagonal/>
    </border>
    <border>
      <left style="thin">
        <color indexed="64"/>
      </left>
      <right style="thick">
        <color rgb="FFFF0000"/>
      </right>
      <top style="thin">
        <color auto="1"/>
      </top>
      <bottom/>
      <diagonal/>
    </border>
    <border>
      <left style="thin">
        <color indexed="64"/>
      </left>
      <right style="thick">
        <color rgb="FFFF0000"/>
      </right>
      <top style="medium">
        <color indexed="64"/>
      </top>
      <bottom style="thin">
        <color indexed="64"/>
      </bottom>
      <diagonal/>
    </border>
    <border>
      <left style="thin">
        <color indexed="64"/>
      </left>
      <right style="thick">
        <color rgb="FFFF0000"/>
      </right>
      <top style="thin">
        <color auto="1"/>
      </top>
      <bottom style="medium">
        <color auto="1"/>
      </bottom>
      <diagonal/>
    </border>
    <border>
      <left style="thin">
        <color indexed="64"/>
      </left>
      <right style="thick">
        <color rgb="FFFF0000"/>
      </right>
      <top style="medium">
        <color auto="1"/>
      </top>
      <bottom style="medium">
        <color auto="1"/>
      </bottom>
      <diagonal/>
    </border>
    <border>
      <left style="thin">
        <color indexed="64"/>
      </left>
      <right style="thick">
        <color rgb="FFFF0000"/>
      </right>
      <top style="medium">
        <color indexed="64"/>
      </top>
      <bottom/>
      <diagonal/>
    </border>
    <border>
      <left/>
      <right/>
      <top style="hair">
        <color auto="1"/>
      </top>
      <bottom/>
      <diagonal/>
    </border>
    <border>
      <left style="thick">
        <color rgb="FFFF0000"/>
      </left>
      <right style="thick">
        <color rgb="FFFF0000"/>
      </right>
      <top style="hair">
        <color auto="1"/>
      </top>
      <bottom/>
      <diagonal/>
    </border>
    <border>
      <left style="thin">
        <color indexed="64"/>
      </left>
      <right style="thick">
        <color rgb="FFFF0000"/>
      </right>
      <top style="medium">
        <color indexed="64"/>
      </top>
      <bottom style="hair">
        <color indexed="64"/>
      </bottom>
      <diagonal/>
    </border>
    <border>
      <left style="thin">
        <color indexed="64"/>
      </left>
      <right style="thick">
        <color rgb="FFFF0000"/>
      </right>
      <top style="hair">
        <color auto="1"/>
      </top>
      <bottom style="thin">
        <color auto="1"/>
      </bottom>
      <diagonal/>
    </border>
    <border>
      <left style="thin">
        <color indexed="64"/>
      </left>
      <right style="thick">
        <color rgb="FFFF0000"/>
      </right>
      <top style="thin">
        <color indexed="64"/>
      </top>
      <bottom style="hair">
        <color indexed="64"/>
      </bottom>
      <diagonal/>
    </border>
    <border>
      <left style="thin">
        <color indexed="64"/>
      </left>
      <right style="thick">
        <color rgb="FFFF0000"/>
      </right>
      <top style="hair">
        <color indexed="64"/>
      </top>
      <bottom style="medium">
        <color indexed="64"/>
      </bottom>
      <diagonal/>
    </border>
    <border>
      <left style="thin">
        <color indexed="64"/>
      </left>
      <right style="thick">
        <color rgb="FFFF0000"/>
      </right>
      <top/>
      <bottom style="hair">
        <color auto="1"/>
      </bottom>
      <diagonal/>
    </border>
    <border>
      <left style="thick">
        <color rgb="FFFF0000"/>
      </left>
      <right style="thick">
        <color rgb="FFFF0000"/>
      </right>
      <top style="thick">
        <color rgb="FFFF0000"/>
      </top>
      <bottom style="medium">
        <color auto="1"/>
      </bottom>
      <diagonal/>
    </border>
    <border>
      <left style="thin">
        <color indexed="64"/>
      </left>
      <right style="medium">
        <color rgb="FFFF0000"/>
      </right>
      <top style="thin">
        <color auto="1"/>
      </top>
      <bottom style="thin">
        <color auto="1"/>
      </bottom>
      <diagonal/>
    </border>
  </borders>
  <cellStyleXfs count="45151">
    <xf numFmtId="0" fontId="0" fillId="0" borderId="0">
      <alignment vertical="center"/>
    </xf>
    <xf numFmtId="9" fontId="22" fillId="0" borderId="0" applyFont="0" applyFill="0" applyBorder="0" applyAlignment="0" applyProtection="0">
      <alignment vertical="center"/>
    </xf>
    <xf numFmtId="41" fontId="22" fillId="0" borderId="0" applyFont="0" applyFill="0" applyBorder="0" applyAlignment="0" applyProtection="0">
      <alignment vertical="center"/>
    </xf>
    <xf numFmtId="42" fontId="22" fillId="0" borderId="0" applyFont="0" applyFill="0" applyBorder="0" applyAlignment="0" applyProtection="0">
      <alignment vertical="center"/>
    </xf>
    <xf numFmtId="0" fontId="24" fillId="0" borderId="0">
      <alignment vertical="center"/>
    </xf>
    <xf numFmtId="0" fontId="58" fillId="0" borderId="0">
      <alignment vertical="center"/>
    </xf>
    <xf numFmtId="41" fontId="58" fillId="0" borderId="0" applyFont="0" applyFill="0" applyBorder="0" applyAlignment="0" applyProtection="0">
      <alignment vertical="center"/>
    </xf>
    <xf numFmtId="0" fontId="64" fillId="0" borderId="0">
      <protection locked="0"/>
    </xf>
    <xf numFmtId="0" fontId="64" fillId="0" borderId="0">
      <protection locked="0"/>
    </xf>
    <xf numFmtId="0" fontId="64" fillId="0" borderId="0">
      <protection locked="0"/>
    </xf>
    <xf numFmtId="0" fontId="64" fillId="0" borderId="0">
      <protection locked="0"/>
    </xf>
    <xf numFmtId="0" fontId="65" fillId="0" borderId="104">
      <alignment horizontal="center"/>
    </xf>
    <xf numFmtId="0" fontId="66" fillId="0" borderId="0">
      <alignment vertical="center"/>
    </xf>
    <xf numFmtId="3" fontId="67" fillId="0" borderId="21"/>
    <xf numFmtId="0" fontId="64" fillId="0" borderId="0"/>
    <xf numFmtId="0" fontId="64" fillId="0" borderId="0"/>
    <xf numFmtId="0" fontId="56" fillId="0" borderId="0" applyNumberFormat="0" applyFill="0" applyBorder="0" applyAlignment="0" applyProtection="0"/>
    <xf numFmtId="0" fontId="56"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6" fillId="0" borderId="0"/>
    <xf numFmtId="0" fontId="56"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6"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2" fillId="0" borderId="0">
      <alignment vertical="center"/>
    </xf>
    <xf numFmtId="0" fontId="6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6" fillId="0" borderId="0"/>
    <xf numFmtId="0" fontId="56" fillId="0" borderId="0"/>
    <xf numFmtId="0" fontId="6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6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6" fillId="0" borderId="0"/>
    <xf numFmtId="0" fontId="6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6"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6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6"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6" fillId="0" borderId="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56"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6" fillId="0" borderId="0"/>
    <xf numFmtId="0" fontId="56" fillId="0" borderId="0"/>
    <xf numFmtId="0" fontId="56" fillId="0" borderId="0"/>
    <xf numFmtId="0" fontId="24" fillId="0" borderId="0"/>
    <xf numFmtId="0" fontId="56" fillId="0" borderId="0" applyFont="0" applyFill="0" applyBorder="0" applyAlignment="0" applyProtection="0"/>
    <xf numFmtId="0" fontId="56" fillId="0" borderId="0" applyFont="0" applyFill="0" applyBorder="0" applyAlignment="0" applyProtection="0"/>
    <xf numFmtId="3" fontId="67" fillId="0" borderId="21"/>
    <xf numFmtId="3" fontId="67" fillId="0" borderId="21"/>
    <xf numFmtId="0" fontId="63" fillId="0" borderId="0"/>
    <xf numFmtId="2" fontId="68" fillId="0" borderId="0" applyFon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68" fillId="0" borderId="0" applyFont="0" applyFill="0" applyBorder="0" applyAlignment="0" applyProtection="0"/>
    <xf numFmtId="0" fontId="68" fillId="0" borderId="0" applyFont="0" applyFill="0" applyBorder="0" applyAlignment="0" applyProtection="0"/>
    <xf numFmtId="0" fontId="71" fillId="0" borderId="0" applyNumberFormat="0" applyFill="0" applyBorder="0" applyAlignment="0" applyProtection="0">
      <alignment vertical="top"/>
      <protection locked="0"/>
    </xf>
    <xf numFmtId="40" fontId="72" fillId="0" borderId="0" applyFont="0" applyFill="0" applyBorder="0" applyAlignment="0" applyProtection="0"/>
    <xf numFmtId="38" fontId="72"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9" fontId="62" fillId="17" borderId="0" applyFill="0" applyBorder="0" applyProtection="0">
      <alignment horizontal="right"/>
    </xf>
    <xf numFmtId="10" fontId="62" fillId="0" borderId="0" applyFill="0" applyBorder="0" applyProtection="0">
      <alignment horizontal="right"/>
    </xf>
    <xf numFmtId="0" fontId="72" fillId="0" borderId="0"/>
    <xf numFmtId="215" fontId="22" fillId="0" borderId="0">
      <alignment vertical="center"/>
    </xf>
    <xf numFmtId="0" fontId="60" fillId="0" borderId="0">
      <alignment vertical="top"/>
    </xf>
    <xf numFmtId="4" fontId="68" fillId="0" borderId="0" applyFont="0" applyFill="0" applyBorder="0" applyAlignment="0" applyProtection="0"/>
    <xf numFmtId="3" fontId="68" fillId="0" borderId="0" applyFont="0" applyFill="0" applyBorder="0" applyAlignment="0" applyProtection="0"/>
    <xf numFmtId="0" fontId="64" fillId="0" borderId="0"/>
    <xf numFmtId="179" fontId="62" fillId="0" borderId="0" applyFont="0" applyFill="0" applyBorder="0" applyAlignment="0" applyProtection="0"/>
    <xf numFmtId="213" fontId="64" fillId="17" borderId="0" applyFill="0" applyBorder="0" applyProtection="0">
      <alignment horizontal="right"/>
    </xf>
    <xf numFmtId="0" fontId="64" fillId="0" borderId="0" applyFont="0" applyFill="0" applyBorder="0" applyAlignment="0" applyProtection="0"/>
    <xf numFmtId="10" fontId="68" fillId="0" borderId="0" applyFont="0" applyFill="0" applyBorder="0" applyAlignment="0" applyProtection="0"/>
    <xf numFmtId="0" fontId="22" fillId="0" borderId="0"/>
    <xf numFmtId="0" fontId="68" fillId="0" borderId="106" applyNumberFormat="0" applyFont="0" applyFill="0" applyAlignment="0" applyProtection="0"/>
    <xf numFmtId="197" fontId="64" fillId="0" borderId="0" applyFont="0" applyFill="0" applyBorder="0" applyAlignment="0" applyProtection="0"/>
    <xf numFmtId="214" fontId="68" fillId="0" borderId="0" applyFont="0" applyFill="0" applyBorder="0" applyAlignment="0" applyProtection="0"/>
    <xf numFmtId="0" fontId="64" fillId="0" borderId="0">
      <protection locked="0"/>
    </xf>
    <xf numFmtId="217" fontId="56" fillId="0" borderId="0" applyFont="0" applyFill="0" applyBorder="0" applyAlignment="0" applyProtection="0"/>
    <xf numFmtId="198" fontId="56" fillId="0" borderId="0" applyFont="0" applyFill="0" applyBorder="0" applyAlignment="0" applyProtection="0"/>
    <xf numFmtId="218" fontId="56" fillId="0" borderId="0" applyFont="0" applyFill="0" applyBorder="0" applyAlignment="0" applyProtection="0"/>
    <xf numFmtId="199" fontId="56" fillId="0" borderId="0" applyFont="0" applyFill="0" applyBorder="0" applyAlignment="0" applyProtection="0"/>
    <xf numFmtId="0" fontId="65" fillId="0" borderId="0"/>
    <xf numFmtId="0" fontId="74" fillId="0" borderId="0">
      <alignment horizontal="center" wrapText="1"/>
      <protection locked="0"/>
    </xf>
    <xf numFmtId="38" fontId="65" fillId="0" borderId="0" applyFont="0" applyFill="0" applyBorder="0" applyAlignment="0" applyProtection="0"/>
    <xf numFmtId="40" fontId="65" fillId="0" borderId="0" applyFont="0" applyFill="0" applyBorder="0" applyAlignment="0" applyProtection="0"/>
    <xf numFmtId="212" fontId="75" fillId="0" borderId="0" applyFont="0" applyFill="0" applyBorder="0" applyAlignment="0" applyProtection="0">
      <alignment horizontal="right"/>
    </xf>
    <xf numFmtId="0" fontId="76" fillId="0" borderId="0"/>
    <xf numFmtId="0" fontId="77" fillId="0" borderId="0"/>
    <xf numFmtId="0" fontId="56" fillId="0" borderId="0"/>
    <xf numFmtId="205" fontId="75" fillId="0" borderId="0" applyFill="0" applyBorder="0" applyAlignment="0"/>
    <xf numFmtId="177" fontId="64" fillId="0" borderId="0" applyFill="0" applyBorder="0" applyAlignment="0"/>
    <xf numFmtId="189" fontId="78" fillId="0" borderId="0" applyFill="0" applyBorder="0" applyAlignment="0"/>
    <xf numFmtId="206" fontId="75" fillId="0" borderId="0" applyFill="0" applyBorder="0" applyAlignment="0"/>
    <xf numFmtId="207" fontId="75" fillId="0" borderId="0" applyFill="0" applyBorder="0" applyAlignment="0"/>
    <xf numFmtId="205" fontId="75" fillId="0" borderId="0" applyFill="0" applyBorder="0" applyAlignment="0"/>
    <xf numFmtId="208" fontId="75" fillId="0" borderId="0" applyFill="0" applyBorder="0" applyAlignment="0"/>
    <xf numFmtId="177" fontId="64" fillId="0" borderId="0" applyFill="0" applyBorder="0" applyAlignment="0"/>
    <xf numFmtId="0" fontId="79" fillId="0" borderId="0"/>
    <xf numFmtId="4" fontId="80" fillId="0" borderId="0">
      <protection locked="0"/>
    </xf>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191" fontId="56" fillId="0" borderId="0" applyFont="0" applyFill="0" applyBorder="0" applyAlignment="0" applyProtection="0"/>
    <xf numFmtId="205" fontId="75" fillId="0" borderId="0" applyFont="0" applyFill="0" applyBorder="0" applyAlignment="0" applyProtection="0"/>
    <xf numFmtId="192" fontId="56" fillId="0" borderId="0" applyFont="0" applyFill="0" applyBorder="0" applyAlignment="0" applyProtection="0"/>
    <xf numFmtId="3" fontId="56" fillId="0" borderId="0" applyFont="0" applyFill="0" applyBorder="0" applyAlignment="0" applyProtection="0"/>
    <xf numFmtId="0" fontId="82" fillId="0" borderId="0" applyNumberFormat="0" applyAlignment="0">
      <alignment horizontal="left"/>
    </xf>
    <xf numFmtId="216" fontId="24" fillId="0" borderId="0" applyFont="0" applyFill="0" applyBorder="0" applyAlignment="0" applyProtection="0"/>
    <xf numFmtId="203" fontId="80" fillId="0" borderId="0">
      <protection locked="0"/>
    </xf>
    <xf numFmtId="194" fontId="63" fillId="0" borderId="0" applyFont="0" applyFill="0" applyBorder="0" applyAlignment="0" applyProtection="0"/>
    <xf numFmtId="177" fontId="64" fillId="0" borderId="0" applyFont="0" applyFill="0" applyBorder="0" applyAlignment="0" applyProtection="0"/>
    <xf numFmtId="196" fontId="83" fillId="0" borderId="21" applyFill="0" applyBorder="0" applyAlignment="0"/>
    <xf numFmtId="195" fontId="63" fillId="0" borderId="0" applyFont="0" applyFill="0" applyBorder="0" applyAlignment="0" applyProtection="0"/>
    <xf numFmtId="202" fontId="73" fillId="0" borderId="0" applyFont="0" applyFill="0" applyBorder="0" applyAlignment="0" applyProtection="0"/>
    <xf numFmtId="0" fontId="64" fillId="0" borderId="0"/>
    <xf numFmtId="0" fontId="56" fillId="0" borderId="0" applyFont="0" applyFill="0" applyBorder="0" applyAlignment="0" applyProtection="0"/>
    <xf numFmtId="14" fontId="60" fillId="0" borderId="0" applyFill="0" applyBorder="0" applyAlignment="0"/>
    <xf numFmtId="201" fontId="64" fillId="0" borderId="0">
      <protection locked="0"/>
    </xf>
    <xf numFmtId="185" fontId="56" fillId="0" borderId="107">
      <alignment vertical="center"/>
    </xf>
    <xf numFmtId="205" fontId="75" fillId="0" borderId="0" applyFill="0" applyBorder="0" applyAlignment="0"/>
    <xf numFmtId="177" fontId="64" fillId="0" borderId="0" applyFill="0" applyBorder="0" applyAlignment="0"/>
    <xf numFmtId="205" fontId="75" fillId="0" borderId="0" applyFill="0" applyBorder="0" applyAlignment="0"/>
    <xf numFmtId="208" fontId="75" fillId="0" borderId="0" applyFill="0" applyBorder="0" applyAlignment="0"/>
    <xf numFmtId="177" fontId="64" fillId="0" borderId="0" applyFill="0" applyBorder="0" applyAlignment="0"/>
    <xf numFmtId="0" fontId="84" fillId="0" borderId="0" applyNumberFormat="0" applyAlignment="0">
      <alignment horizontal="left"/>
    </xf>
    <xf numFmtId="0" fontId="85" fillId="0" borderId="0" applyNumberFormat="0" applyFont="0" applyFill="0" applyBorder="0" applyAlignment="0" applyProtection="0"/>
    <xf numFmtId="0" fontId="85" fillId="0" borderId="0" applyNumberFormat="0" applyFont="0" applyFill="0" applyBorder="0" applyAlignment="0" applyProtection="0"/>
    <xf numFmtId="0" fontId="85" fillId="0" borderId="0" applyNumberFormat="0" applyFont="0" applyFill="0" applyBorder="0" applyAlignment="0" applyProtection="0"/>
    <xf numFmtId="0" fontId="85" fillId="0" borderId="0" applyNumberFormat="0" applyFont="0" applyFill="0" applyBorder="0" applyAlignment="0" applyProtection="0"/>
    <xf numFmtId="0" fontId="85" fillId="0" borderId="0" applyNumberFormat="0" applyFont="0" applyFill="0" applyBorder="0" applyAlignment="0" applyProtection="0"/>
    <xf numFmtId="0" fontId="85" fillId="0" borderId="0" applyNumberFormat="0" applyFont="0" applyFill="0" applyBorder="0" applyAlignment="0" applyProtection="0"/>
    <xf numFmtId="0" fontId="85" fillId="0" borderId="0" applyNumberFormat="0" applyFont="0" applyFill="0" applyBorder="0" applyAlignment="0" applyProtection="0"/>
    <xf numFmtId="2" fontId="56" fillId="0" borderId="0" applyFont="0" applyFill="0" applyBorder="0" applyAlignment="0" applyProtection="0"/>
    <xf numFmtId="0" fontId="86" fillId="0" borderId="0" applyNumberFormat="0" applyFill="0" applyBorder="0" applyAlignment="0" applyProtection="0">
      <alignment vertical="top"/>
      <protection locked="0"/>
    </xf>
    <xf numFmtId="2" fontId="87" fillId="0" borderId="0">
      <alignment horizontal="left"/>
    </xf>
    <xf numFmtId="38" fontId="88" fillId="17" borderId="0" applyNumberFormat="0" applyBorder="0" applyAlignment="0" applyProtection="0"/>
    <xf numFmtId="0" fontId="89" fillId="0" borderId="0">
      <alignment horizontal="left"/>
    </xf>
    <xf numFmtId="0" fontId="90" fillId="0" borderId="108" applyNumberFormat="0" applyAlignment="0" applyProtection="0">
      <alignment horizontal="left" vertical="center"/>
    </xf>
    <xf numFmtId="0" fontId="90" fillId="0" borderId="33">
      <alignment horizontal="left" vertical="center"/>
    </xf>
    <xf numFmtId="0" fontId="91" fillId="0" borderId="0" applyNumberFormat="0" applyFill="0" applyBorder="0" applyAlignment="0" applyProtection="0"/>
    <xf numFmtId="0" fontId="90" fillId="0" borderId="0" applyNumberFormat="0" applyFill="0" applyBorder="0" applyAlignment="0" applyProtection="0"/>
    <xf numFmtId="200" fontId="64" fillId="0" borderId="0">
      <protection locked="0"/>
    </xf>
    <xf numFmtId="200" fontId="64" fillId="0" borderId="0">
      <protection locked="0"/>
    </xf>
    <xf numFmtId="0" fontId="92" fillId="0" borderId="109">
      <alignment horizontal="center"/>
    </xf>
    <xf numFmtId="0" fontId="92" fillId="0" borderId="0">
      <alignment horizontal="center"/>
    </xf>
    <xf numFmtId="0" fontId="93" fillId="0" borderId="0" applyNumberFormat="0" applyFill="0" applyBorder="0" applyAlignment="0" applyProtection="0">
      <alignment vertical="top"/>
      <protection locked="0"/>
    </xf>
    <xf numFmtId="10" fontId="88" fillId="17" borderId="21" applyNumberFormat="0" applyBorder="0" applyAlignment="0" applyProtection="0"/>
    <xf numFmtId="205" fontId="75" fillId="0" borderId="0" applyFill="0" applyBorder="0" applyAlignment="0"/>
    <xf numFmtId="177" fontId="64" fillId="0" borderId="0" applyFill="0" applyBorder="0" applyAlignment="0"/>
    <xf numFmtId="205" fontId="75" fillId="0" borderId="0" applyFill="0" applyBorder="0" applyAlignment="0"/>
    <xf numFmtId="208" fontId="75" fillId="0" borderId="0" applyFill="0" applyBorder="0" applyAlignment="0"/>
    <xf numFmtId="177" fontId="64" fillId="0" borderId="0" applyFill="0" applyBorder="0" applyAlignment="0"/>
    <xf numFmtId="0" fontId="94" fillId="0" borderId="0"/>
    <xf numFmtId="0" fontId="95" fillId="0" borderId="0"/>
    <xf numFmtId="0" fontId="94" fillId="0" borderId="0"/>
    <xf numFmtId="0" fontId="95" fillId="0" borderId="0"/>
    <xf numFmtId="0" fontId="96" fillId="0" borderId="0"/>
    <xf numFmtId="0" fontId="97" fillId="0" borderId="109"/>
    <xf numFmtId="37" fontId="98" fillId="0" borderId="0"/>
    <xf numFmtId="0" fontId="94" fillId="0" borderId="0"/>
    <xf numFmtId="0" fontId="95" fillId="0" borderId="0"/>
    <xf numFmtId="0" fontId="95" fillId="0" borderId="0"/>
    <xf numFmtId="193" fontId="64" fillId="0" borderId="0"/>
    <xf numFmtId="0" fontId="56" fillId="0" borderId="0"/>
    <xf numFmtId="0" fontId="56" fillId="0" borderId="0" applyFont="0" applyFill="0" applyBorder="0" applyAlignment="0" applyProtection="0"/>
    <xf numFmtId="0" fontId="56" fillId="0" borderId="0" applyFont="0" applyFill="0" applyBorder="0" applyAlignment="0" applyProtection="0"/>
    <xf numFmtId="14" fontId="74" fillId="0" borderId="0">
      <alignment horizontal="center" wrapText="1"/>
      <protection locked="0"/>
    </xf>
    <xf numFmtId="204" fontId="80" fillId="0" borderId="0">
      <protection locked="0"/>
    </xf>
    <xf numFmtId="188" fontId="56" fillId="0" borderId="0" applyFont="0" applyFill="0" applyBorder="0" applyAlignment="0" applyProtection="0"/>
    <xf numFmtId="207" fontId="75" fillId="0" borderId="0" applyFont="0" applyFill="0" applyBorder="0" applyAlignment="0" applyProtection="0"/>
    <xf numFmtId="211" fontId="75" fillId="0" borderId="0" applyFont="0" applyFill="0" applyBorder="0" applyAlignment="0" applyProtection="0"/>
    <xf numFmtId="10" fontId="56" fillId="0" borderId="0" applyFont="0" applyFill="0" applyBorder="0" applyAlignment="0" applyProtection="0"/>
    <xf numFmtId="209" fontId="75" fillId="0" borderId="0" applyFont="0" applyFill="0" applyBorder="0" applyAlignment="0" applyProtection="0"/>
    <xf numFmtId="205" fontId="75" fillId="0" borderId="0" applyFill="0" applyBorder="0" applyAlignment="0"/>
    <xf numFmtId="177" fontId="64" fillId="0" borderId="0" applyFill="0" applyBorder="0" applyAlignment="0"/>
    <xf numFmtId="205" fontId="75" fillId="0" borderId="0" applyFill="0" applyBorder="0" applyAlignment="0"/>
    <xf numFmtId="208" fontId="75" fillId="0" borderId="0" applyFill="0" applyBorder="0" applyAlignment="0"/>
    <xf numFmtId="177" fontId="64" fillId="0" borderId="0" applyFill="0" applyBorder="0" applyAlignment="0"/>
    <xf numFmtId="0" fontId="99" fillId="18" borderId="0" applyNumberFormat="0" applyFont="0" applyBorder="0" applyAlignment="0">
      <alignment horizontal="center"/>
    </xf>
    <xf numFmtId="190" fontId="56" fillId="0" borderId="0" applyNumberFormat="0" applyFill="0" applyBorder="0" applyAlignment="0" applyProtection="0">
      <alignment horizontal="left"/>
    </xf>
    <xf numFmtId="4" fontId="60" fillId="2" borderId="105" applyNumberFormat="0" applyProtection="0">
      <alignment vertical="center"/>
    </xf>
    <xf numFmtId="4" fontId="100" fillId="2" borderId="105" applyNumberFormat="0" applyProtection="0">
      <alignment vertical="center"/>
    </xf>
    <xf numFmtId="4" fontId="60" fillId="2" borderId="105" applyNumberFormat="0" applyProtection="0">
      <alignment horizontal="left" vertical="center" indent="1"/>
    </xf>
    <xf numFmtId="4" fontId="60" fillId="2" borderId="105" applyNumberFormat="0" applyProtection="0">
      <alignment horizontal="left" vertical="center" indent="1"/>
    </xf>
    <xf numFmtId="0" fontId="56" fillId="19" borderId="105" applyNumberFormat="0" applyProtection="0">
      <alignment horizontal="left" vertical="center" indent="1"/>
    </xf>
    <xf numFmtId="4" fontId="60" fillId="20" borderId="105" applyNumberFormat="0" applyProtection="0">
      <alignment horizontal="right" vertical="center"/>
    </xf>
    <xf numFmtId="4" fontId="60" fillId="21" borderId="105" applyNumberFormat="0" applyProtection="0">
      <alignment horizontal="right" vertical="center"/>
    </xf>
    <xf numFmtId="4" fontId="60" fillId="22" borderId="105" applyNumberFormat="0" applyProtection="0">
      <alignment horizontal="right" vertical="center"/>
    </xf>
    <xf numFmtId="4" fontId="60" fillId="23" borderId="105" applyNumberFormat="0" applyProtection="0">
      <alignment horizontal="right" vertical="center"/>
    </xf>
    <xf numFmtId="4" fontId="60" fillId="24" borderId="105" applyNumberFormat="0" applyProtection="0">
      <alignment horizontal="right" vertical="center"/>
    </xf>
    <xf numFmtId="4" fontId="60" fillId="25" borderId="105" applyNumberFormat="0" applyProtection="0">
      <alignment horizontal="right" vertical="center"/>
    </xf>
    <xf numFmtId="4" fontId="60" fillId="26" borderId="105" applyNumberFormat="0" applyProtection="0">
      <alignment horizontal="right" vertical="center"/>
    </xf>
    <xf numFmtId="4" fontId="60" fillId="27" borderId="105" applyNumberFormat="0" applyProtection="0">
      <alignment horizontal="right" vertical="center"/>
    </xf>
    <xf numFmtId="4" fontId="60" fillId="28" borderId="105" applyNumberFormat="0" applyProtection="0">
      <alignment horizontal="right" vertical="center"/>
    </xf>
    <xf numFmtId="4" fontId="101" fillId="29" borderId="105" applyNumberFormat="0" applyProtection="0">
      <alignment horizontal="left" vertical="center" indent="1"/>
    </xf>
    <xf numFmtId="4" fontId="60" fillId="30" borderId="110" applyNumberFormat="0" applyProtection="0">
      <alignment horizontal="left" vertical="center" indent="1"/>
    </xf>
    <xf numFmtId="4" fontId="102" fillId="31" borderId="0" applyNumberFormat="0" applyProtection="0">
      <alignment horizontal="left" vertical="center" indent="1"/>
    </xf>
    <xf numFmtId="0" fontId="56" fillId="19" borderId="105" applyNumberFormat="0" applyProtection="0">
      <alignment horizontal="left" vertical="center" indent="1"/>
    </xf>
    <xf numFmtId="4" fontId="60" fillId="30" borderId="105" applyNumberFormat="0" applyProtection="0">
      <alignment horizontal="left" vertical="center" indent="1"/>
    </xf>
    <xf numFmtId="4" fontId="60" fillId="32" borderId="105" applyNumberFormat="0" applyProtection="0">
      <alignment horizontal="left" vertical="center" indent="1"/>
    </xf>
    <xf numFmtId="0" fontId="56" fillId="32" borderId="105" applyNumberFormat="0" applyProtection="0">
      <alignment horizontal="left" vertical="center" indent="1"/>
    </xf>
    <xf numFmtId="0" fontId="56" fillId="32" borderId="105" applyNumberFormat="0" applyProtection="0">
      <alignment horizontal="left" vertical="center" indent="1"/>
    </xf>
    <xf numFmtId="0" fontId="56" fillId="33" borderId="105" applyNumberFormat="0" applyProtection="0">
      <alignment horizontal="left" vertical="center" indent="1"/>
    </xf>
    <xf numFmtId="0" fontId="56" fillId="33" borderId="105" applyNumberFormat="0" applyProtection="0">
      <alignment horizontal="left" vertical="center" indent="1"/>
    </xf>
    <xf numFmtId="0" fontId="56" fillId="34" borderId="105" applyNumberFormat="0" applyProtection="0">
      <alignment horizontal="left" vertical="center" indent="1"/>
    </xf>
    <xf numFmtId="0" fontId="56" fillId="34"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4" fontId="60" fillId="35" borderId="105" applyNumberFormat="0" applyProtection="0">
      <alignment vertical="center"/>
    </xf>
    <xf numFmtId="4" fontId="100" fillId="35" borderId="105" applyNumberFormat="0" applyProtection="0">
      <alignment vertical="center"/>
    </xf>
    <xf numFmtId="4" fontId="60" fillId="35" borderId="105" applyNumberFormat="0" applyProtection="0">
      <alignment horizontal="left" vertical="center" indent="1"/>
    </xf>
    <xf numFmtId="4" fontId="60" fillId="35" borderId="105" applyNumberFormat="0" applyProtection="0">
      <alignment horizontal="left" vertical="center" indent="1"/>
    </xf>
    <xf numFmtId="4" fontId="60" fillId="30" borderId="105" applyNumberFormat="0" applyProtection="0">
      <alignment horizontal="right" vertical="center"/>
    </xf>
    <xf numFmtId="4" fontId="100" fillId="30" borderId="105" applyNumberFormat="0" applyProtection="0">
      <alignment horizontal="right" vertical="center"/>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103" fillId="0" borderId="0"/>
    <xf numFmtId="4" fontId="104" fillId="30" borderId="105" applyNumberFormat="0" applyProtection="0">
      <alignment horizontal="right" vertical="center"/>
    </xf>
    <xf numFmtId="0" fontId="99" fillId="1" borderId="33" applyNumberFormat="0" applyFont="0" applyAlignment="0">
      <alignment horizontal="center"/>
    </xf>
    <xf numFmtId="0" fontId="105" fillId="0" borderId="0" applyNumberFormat="0" applyFill="0" applyBorder="0" applyAlignment="0">
      <alignment horizontal="center"/>
    </xf>
    <xf numFmtId="0" fontId="106" fillId="0" borderId="0"/>
    <xf numFmtId="0" fontId="97" fillId="0" borderId="0"/>
    <xf numFmtId="40" fontId="107" fillId="0" borderId="0" applyBorder="0">
      <alignment horizontal="right"/>
    </xf>
    <xf numFmtId="49" fontId="60" fillId="0" borderId="0" applyFill="0" applyBorder="0" applyAlignment="0"/>
    <xf numFmtId="209" fontId="75" fillId="0" borderId="0" applyFill="0" applyBorder="0" applyAlignment="0"/>
    <xf numFmtId="210" fontId="75" fillId="0" borderId="0" applyFill="0" applyBorder="0" applyAlignment="0"/>
    <xf numFmtId="0" fontId="108" fillId="0" borderId="0" applyFill="0" applyBorder="0" applyProtection="0">
      <alignment horizontal="centerContinuous" vertical="center"/>
    </xf>
    <xf numFmtId="0" fontId="63" fillId="17" borderId="0" applyFill="0" applyBorder="0" applyProtection="0">
      <alignment horizontal="center" vertical="center"/>
    </xf>
    <xf numFmtId="0" fontId="56" fillId="0" borderId="106" applyNumberFormat="0" applyFont="0" applyFill="0" applyAlignment="0" applyProtection="0"/>
    <xf numFmtId="0" fontId="109" fillId="0" borderId="12">
      <alignment horizontal="left"/>
    </xf>
    <xf numFmtId="0" fontId="61" fillId="0" borderId="0">
      <protection locked="0"/>
    </xf>
    <xf numFmtId="41" fontId="110" fillId="0" borderId="0">
      <protection locked="0"/>
    </xf>
    <xf numFmtId="9" fontId="110" fillId="0" borderId="0">
      <protection locked="0"/>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41" fontId="73" fillId="0" borderId="0" applyFont="0" applyFill="0" applyBorder="0" applyAlignment="0" applyProtection="0">
      <alignment vertical="center"/>
    </xf>
    <xf numFmtId="0" fontId="110" fillId="0" borderId="0">
      <protection locked="0"/>
    </xf>
    <xf numFmtId="0" fontId="110" fillId="0" borderId="0">
      <protection locked="0"/>
    </xf>
    <xf numFmtId="0" fontId="73" fillId="0" borderId="0">
      <alignment vertical="center"/>
    </xf>
    <xf numFmtId="0" fontId="22" fillId="0" borderId="0"/>
    <xf numFmtId="41" fontId="22" fillId="0" borderId="0" applyFont="0" applyFill="0" applyBorder="0" applyAlignment="0" applyProtection="0"/>
    <xf numFmtId="3" fontId="67" fillId="0" borderId="21"/>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3" fontId="67" fillId="0" borderId="21"/>
    <xf numFmtId="3" fontId="67" fillId="0" borderId="21"/>
    <xf numFmtId="0" fontId="111" fillId="36" borderId="0" applyNumberFormat="0" applyBorder="0" applyAlignment="0" applyProtection="0"/>
    <xf numFmtId="0" fontId="112" fillId="37" borderId="0" applyNumberFormat="0" applyBorder="0" applyAlignment="0" applyProtection="0"/>
    <xf numFmtId="0" fontId="112" fillId="38" borderId="0" applyNumberFormat="0" applyBorder="0" applyAlignment="0" applyProtection="0"/>
    <xf numFmtId="0" fontId="111" fillId="39" borderId="0" applyNumberFormat="0" applyBorder="0" applyAlignment="0" applyProtection="0"/>
    <xf numFmtId="0" fontId="111" fillId="40" borderId="0" applyNumberFormat="0" applyBorder="0" applyAlignment="0" applyProtection="0"/>
    <xf numFmtId="0" fontId="112" fillId="41" borderId="0" applyNumberFormat="0" applyBorder="0" applyAlignment="0" applyProtection="0"/>
    <xf numFmtId="0" fontId="112" fillId="42" borderId="0" applyNumberFormat="0" applyBorder="0" applyAlignment="0" applyProtection="0"/>
    <xf numFmtId="0" fontId="111" fillId="43" borderId="0" applyNumberFormat="0" applyBorder="0" applyAlignment="0" applyProtection="0"/>
    <xf numFmtId="0" fontId="111" fillId="44" borderId="0" applyNumberFormat="0" applyBorder="0" applyAlignment="0" applyProtection="0"/>
    <xf numFmtId="0" fontId="112" fillId="45" borderId="0" applyNumberFormat="0" applyBorder="0" applyAlignment="0" applyProtection="0"/>
    <xf numFmtId="0" fontId="112" fillId="46" borderId="0" applyNumberFormat="0" applyBorder="0" applyAlignment="0" applyProtection="0"/>
    <xf numFmtId="0" fontId="111" fillId="47" borderId="0" applyNumberFormat="0" applyBorder="0" applyAlignment="0" applyProtection="0"/>
    <xf numFmtId="0" fontId="111" fillId="48" borderId="0" applyNumberFormat="0" applyBorder="0" applyAlignment="0" applyProtection="0"/>
    <xf numFmtId="0" fontId="112" fillId="41" borderId="0" applyNumberFormat="0" applyBorder="0" applyAlignment="0" applyProtection="0"/>
    <xf numFmtId="0" fontId="112" fillId="49" borderId="0" applyNumberFormat="0" applyBorder="0" applyAlignment="0" applyProtection="0"/>
    <xf numFmtId="0" fontId="111" fillId="42" borderId="0" applyNumberFormat="0" applyBorder="0" applyAlignment="0" applyProtection="0"/>
    <xf numFmtId="0" fontId="111" fillId="39" borderId="0" applyNumberFormat="0" applyBorder="0" applyAlignment="0" applyProtection="0"/>
    <xf numFmtId="0" fontId="112" fillId="50" borderId="0" applyNumberFormat="0" applyBorder="0" applyAlignment="0" applyProtection="0"/>
    <xf numFmtId="0" fontId="112" fillId="51" borderId="0" applyNumberFormat="0" applyBorder="0" applyAlignment="0" applyProtection="0"/>
    <xf numFmtId="0" fontId="111" fillId="39" borderId="0" applyNumberFormat="0" applyBorder="0" applyAlignment="0" applyProtection="0"/>
    <xf numFmtId="0" fontId="111" fillId="52" borderId="0" applyNumberFormat="0" applyBorder="0" applyAlignment="0" applyProtection="0"/>
    <xf numFmtId="0" fontId="112" fillId="53" borderId="0" applyNumberFormat="0" applyBorder="0" applyAlignment="0" applyProtection="0"/>
    <xf numFmtId="0" fontId="112" fillId="54" borderId="0" applyNumberFormat="0" applyBorder="0" applyAlignment="0" applyProtection="0"/>
    <xf numFmtId="0" fontId="111" fillId="55" borderId="0" applyNumberFormat="0" applyBorder="0" applyAlignment="0" applyProtection="0"/>
    <xf numFmtId="0" fontId="113" fillId="53" borderId="0" applyNumberFormat="0" applyBorder="0" applyAlignment="0" applyProtection="0"/>
    <xf numFmtId="0" fontId="114" fillId="56" borderId="111" applyNumberFormat="0" applyAlignment="0" applyProtection="0"/>
    <xf numFmtId="0" fontId="114" fillId="56" borderId="111" applyNumberFormat="0" applyAlignment="0" applyProtection="0"/>
    <xf numFmtId="0" fontId="114" fillId="56" borderId="111" applyNumberFormat="0" applyAlignment="0" applyProtection="0"/>
    <xf numFmtId="0" fontId="114" fillId="56" borderId="111" applyNumberFormat="0" applyAlignment="0" applyProtection="0"/>
    <xf numFmtId="0" fontId="114" fillId="56" borderId="111" applyNumberFormat="0" applyAlignment="0" applyProtection="0"/>
    <xf numFmtId="0" fontId="115" fillId="48" borderId="112" applyNumberFormat="0" applyAlignment="0" applyProtection="0"/>
    <xf numFmtId="196" fontId="83" fillId="0" borderId="21" applyFill="0" applyBorder="0" applyAlignment="0"/>
    <xf numFmtId="0" fontId="116" fillId="57" borderId="0" applyNumberFormat="0" applyBorder="0" applyAlignment="0" applyProtection="0"/>
    <xf numFmtId="0" fontId="116" fillId="58" borderId="0" applyNumberFormat="0" applyBorder="0" applyAlignment="0" applyProtection="0"/>
    <xf numFmtId="0" fontId="116" fillId="59" borderId="0" applyNumberFormat="0" applyBorder="0" applyAlignment="0" applyProtection="0"/>
    <xf numFmtId="0" fontId="112" fillId="46" borderId="0" applyNumberFormat="0" applyBorder="0" applyAlignment="0" applyProtection="0"/>
    <xf numFmtId="0" fontId="90" fillId="0" borderId="33">
      <alignment horizontal="left" vertical="center"/>
    </xf>
    <xf numFmtId="0" fontId="90" fillId="0" borderId="33">
      <alignment horizontal="left" vertical="center"/>
    </xf>
    <xf numFmtId="0" fontId="117" fillId="0" borderId="113" applyNumberFormat="0" applyFill="0" applyAlignment="0" applyProtection="0"/>
    <xf numFmtId="0" fontId="117" fillId="0" borderId="0" applyNumberFormat="0" applyFill="0" applyBorder="0" applyAlignment="0" applyProtection="0"/>
    <xf numFmtId="0" fontId="118" fillId="54" borderId="111" applyNumberFormat="0" applyAlignment="0" applyProtection="0"/>
    <xf numFmtId="10" fontId="88" fillId="17" borderId="21" applyNumberFormat="0" applyBorder="0" applyAlignment="0" applyProtection="0"/>
    <xf numFmtId="0" fontId="118" fillId="54" borderId="111" applyNumberFormat="0" applyAlignment="0" applyProtection="0"/>
    <xf numFmtId="0" fontId="118" fillId="54" borderId="111" applyNumberFormat="0" applyAlignment="0" applyProtection="0"/>
    <xf numFmtId="0" fontId="118" fillId="54" borderId="111" applyNumberFormat="0" applyAlignment="0" applyProtection="0"/>
    <xf numFmtId="0" fontId="118" fillId="54" borderId="111" applyNumberFormat="0" applyAlignment="0" applyProtection="0"/>
    <xf numFmtId="0" fontId="118" fillId="54" borderId="111" applyNumberFormat="0" applyAlignment="0" applyProtection="0"/>
    <xf numFmtId="0" fontId="118" fillId="54" borderId="111" applyNumberFormat="0" applyAlignment="0" applyProtection="0"/>
    <xf numFmtId="0" fontId="118" fillId="54" borderId="111" applyNumberFormat="0" applyAlignment="0" applyProtection="0"/>
    <xf numFmtId="0" fontId="118" fillId="54" borderId="111" applyNumberFormat="0" applyAlignment="0" applyProtection="0"/>
    <xf numFmtId="0" fontId="119" fillId="0" borderId="114" applyNumberFormat="0" applyFill="0" applyAlignment="0" applyProtection="0"/>
    <xf numFmtId="0" fontId="119" fillId="54" borderId="0" applyNumberFormat="0" applyBorder="0" applyAlignment="0" applyProtection="0"/>
    <xf numFmtId="0" fontId="88" fillId="53" borderId="111" applyNumberFormat="0" applyFont="0" applyAlignment="0" applyProtection="0"/>
    <xf numFmtId="0" fontId="88" fillId="53" borderId="111" applyNumberFormat="0" applyFont="0" applyAlignment="0" applyProtection="0"/>
    <xf numFmtId="0" fontId="88" fillId="53" borderId="111" applyNumberFormat="0" applyFont="0" applyAlignment="0" applyProtection="0"/>
    <xf numFmtId="0" fontId="88" fillId="53" borderId="111" applyNumberFormat="0" applyFont="0" applyAlignment="0" applyProtection="0"/>
    <xf numFmtId="0" fontId="88" fillId="53" borderId="111" applyNumberFormat="0" applyFont="0" applyAlignment="0" applyProtection="0"/>
    <xf numFmtId="0" fontId="120" fillId="56" borderId="105" applyNumberFormat="0" applyAlignment="0" applyProtection="0"/>
    <xf numFmtId="0" fontId="120" fillId="56" borderId="105" applyNumberFormat="0" applyAlignment="0" applyProtection="0"/>
    <xf numFmtId="0" fontId="120" fillId="56" borderId="105" applyNumberFormat="0" applyAlignment="0" applyProtection="0"/>
    <xf numFmtId="0" fontId="120" fillId="56" borderId="105" applyNumberFormat="0" applyAlignment="0" applyProtection="0"/>
    <xf numFmtId="0" fontId="120" fillId="56" borderId="105" applyNumberFormat="0" applyAlignment="0" applyProtection="0"/>
    <xf numFmtId="4" fontId="60" fillId="2" borderId="105" applyNumberFormat="0" applyProtection="0">
      <alignment vertical="center"/>
    </xf>
    <xf numFmtId="4" fontId="60" fillId="2" borderId="105" applyNumberFormat="0" applyProtection="0">
      <alignment vertical="center"/>
    </xf>
    <xf numFmtId="4" fontId="60" fillId="2" borderId="105" applyNumberFormat="0" applyProtection="0">
      <alignment vertical="center"/>
    </xf>
    <xf numFmtId="4" fontId="60" fillId="2" borderId="105" applyNumberFormat="0" applyProtection="0">
      <alignment vertical="center"/>
    </xf>
    <xf numFmtId="4" fontId="100" fillId="2" borderId="105" applyNumberFormat="0" applyProtection="0">
      <alignment vertical="center"/>
    </xf>
    <xf numFmtId="4" fontId="100" fillId="2" borderId="105" applyNumberFormat="0" applyProtection="0">
      <alignment vertical="center"/>
    </xf>
    <xf numFmtId="4" fontId="100" fillId="2" borderId="105" applyNumberFormat="0" applyProtection="0">
      <alignment vertical="center"/>
    </xf>
    <xf numFmtId="4" fontId="100" fillId="2" borderId="105" applyNumberFormat="0" applyProtection="0">
      <alignment vertical="center"/>
    </xf>
    <xf numFmtId="4" fontId="60" fillId="2" borderId="105" applyNumberFormat="0" applyProtection="0">
      <alignment horizontal="left" vertical="center" indent="1"/>
    </xf>
    <xf numFmtId="4" fontId="60" fillId="2" borderId="105" applyNumberFormat="0" applyProtection="0">
      <alignment horizontal="left" vertical="center" indent="1"/>
    </xf>
    <xf numFmtId="4" fontId="60" fillId="2" borderId="105" applyNumberFormat="0" applyProtection="0">
      <alignment horizontal="left" vertical="center" indent="1"/>
    </xf>
    <xf numFmtId="4" fontId="60" fillId="2" borderId="105" applyNumberFormat="0" applyProtection="0">
      <alignment horizontal="left" vertical="center" indent="1"/>
    </xf>
    <xf numFmtId="4" fontId="60" fillId="2" borderId="105" applyNumberFormat="0" applyProtection="0">
      <alignment horizontal="left" vertical="center" indent="1"/>
    </xf>
    <xf numFmtId="4" fontId="60" fillId="2" borderId="105" applyNumberFormat="0" applyProtection="0">
      <alignment horizontal="left" vertical="center" indent="1"/>
    </xf>
    <xf numFmtId="4" fontId="60" fillId="2" borderId="105" applyNumberFormat="0" applyProtection="0">
      <alignment horizontal="left" vertical="center" indent="1"/>
    </xf>
    <xf numFmtId="4" fontId="60" fillId="2"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4" fontId="60" fillId="20" borderId="105" applyNumberFormat="0" applyProtection="0">
      <alignment horizontal="right" vertical="center"/>
    </xf>
    <xf numFmtId="4" fontId="60" fillId="20" borderId="105" applyNumberFormat="0" applyProtection="0">
      <alignment horizontal="right" vertical="center"/>
    </xf>
    <xf numFmtId="4" fontId="60" fillId="20" borderId="105" applyNumberFormat="0" applyProtection="0">
      <alignment horizontal="right" vertical="center"/>
    </xf>
    <xf numFmtId="4" fontId="60" fillId="20" borderId="105" applyNumberFormat="0" applyProtection="0">
      <alignment horizontal="right" vertical="center"/>
    </xf>
    <xf numFmtId="4" fontId="60" fillId="21" borderId="105" applyNumberFormat="0" applyProtection="0">
      <alignment horizontal="right" vertical="center"/>
    </xf>
    <xf numFmtId="4" fontId="60" fillId="21" borderId="105" applyNumberFormat="0" applyProtection="0">
      <alignment horizontal="right" vertical="center"/>
    </xf>
    <xf numFmtId="4" fontId="60" fillId="21" borderId="105" applyNumberFormat="0" applyProtection="0">
      <alignment horizontal="right" vertical="center"/>
    </xf>
    <xf numFmtId="4" fontId="60" fillId="21" borderId="105" applyNumberFormat="0" applyProtection="0">
      <alignment horizontal="right" vertical="center"/>
    </xf>
    <xf numFmtId="4" fontId="60" fillId="22" borderId="105" applyNumberFormat="0" applyProtection="0">
      <alignment horizontal="right" vertical="center"/>
    </xf>
    <xf numFmtId="4" fontId="60" fillId="22" borderId="105" applyNumberFormat="0" applyProtection="0">
      <alignment horizontal="right" vertical="center"/>
    </xf>
    <xf numFmtId="4" fontId="60" fillId="22" borderId="105" applyNumberFormat="0" applyProtection="0">
      <alignment horizontal="right" vertical="center"/>
    </xf>
    <xf numFmtId="4" fontId="60" fillId="22" borderId="105" applyNumberFormat="0" applyProtection="0">
      <alignment horizontal="right" vertical="center"/>
    </xf>
    <xf numFmtId="4" fontId="60" fillId="23" borderId="105" applyNumberFormat="0" applyProtection="0">
      <alignment horizontal="right" vertical="center"/>
    </xf>
    <xf numFmtId="4" fontId="60" fillId="23" borderId="105" applyNumberFormat="0" applyProtection="0">
      <alignment horizontal="right" vertical="center"/>
    </xf>
    <xf numFmtId="4" fontId="60" fillId="23" borderId="105" applyNumberFormat="0" applyProtection="0">
      <alignment horizontal="right" vertical="center"/>
    </xf>
    <xf numFmtId="4" fontId="60" fillId="23" borderId="105" applyNumberFormat="0" applyProtection="0">
      <alignment horizontal="right" vertical="center"/>
    </xf>
    <xf numFmtId="4" fontId="60" fillId="24" borderId="105" applyNumberFormat="0" applyProtection="0">
      <alignment horizontal="right" vertical="center"/>
    </xf>
    <xf numFmtId="4" fontId="60" fillId="24" borderId="105" applyNumberFormat="0" applyProtection="0">
      <alignment horizontal="right" vertical="center"/>
    </xf>
    <xf numFmtId="4" fontId="60" fillId="24" borderId="105" applyNumberFormat="0" applyProtection="0">
      <alignment horizontal="right" vertical="center"/>
    </xf>
    <xf numFmtId="4" fontId="60" fillId="24" borderId="105" applyNumberFormat="0" applyProtection="0">
      <alignment horizontal="right" vertical="center"/>
    </xf>
    <xf numFmtId="4" fontId="60" fillId="25" borderId="105" applyNumberFormat="0" applyProtection="0">
      <alignment horizontal="right" vertical="center"/>
    </xf>
    <xf numFmtId="4" fontId="60" fillId="25" borderId="105" applyNumberFormat="0" applyProtection="0">
      <alignment horizontal="right" vertical="center"/>
    </xf>
    <xf numFmtId="4" fontId="60" fillId="25" borderId="105" applyNumberFormat="0" applyProtection="0">
      <alignment horizontal="right" vertical="center"/>
    </xf>
    <xf numFmtId="4" fontId="60" fillId="25" borderId="105" applyNumberFormat="0" applyProtection="0">
      <alignment horizontal="right" vertical="center"/>
    </xf>
    <xf numFmtId="4" fontId="60" fillId="26" borderId="105" applyNumberFormat="0" applyProtection="0">
      <alignment horizontal="right" vertical="center"/>
    </xf>
    <xf numFmtId="4" fontId="60" fillId="26" borderId="105" applyNumberFormat="0" applyProtection="0">
      <alignment horizontal="right" vertical="center"/>
    </xf>
    <xf numFmtId="4" fontId="60" fillId="26" borderId="105" applyNumberFormat="0" applyProtection="0">
      <alignment horizontal="right" vertical="center"/>
    </xf>
    <xf numFmtId="4" fontId="60" fillId="26" borderId="105" applyNumberFormat="0" applyProtection="0">
      <alignment horizontal="right" vertical="center"/>
    </xf>
    <xf numFmtId="4" fontId="60" fillId="27" borderId="105" applyNumberFormat="0" applyProtection="0">
      <alignment horizontal="right" vertical="center"/>
    </xf>
    <xf numFmtId="4" fontId="60" fillId="27" borderId="105" applyNumberFormat="0" applyProtection="0">
      <alignment horizontal="right" vertical="center"/>
    </xf>
    <xf numFmtId="4" fontId="60" fillId="27" borderId="105" applyNumberFormat="0" applyProtection="0">
      <alignment horizontal="right" vertical="center"/>
    </xf>
    <xf numFmtId="4" fontId="60" fillId="27" borderId="105" applyNumberFormat="0" applyProtection="0">
      <alignment horizontal="right" vertical="center"/>
    </xf>
    <xf numFmtId="4" fontId="60" fillId="28" borderId="105" applyNumberFormat="0" applyProtection="0">
      <alignment horizontal="right" vertical="center"/>
    </xf>
    <xf numFmtId="4" fontId="60" fillId="28" borderId="105" applyNumberFormat="0" applyProtection="0">
      <alignment horizontal="right" vertical="center"/>
    </xf>
    <xf numFmtId="4" fontId="60" fillId="28" borderId="105" applyNumberFormat="0" applyProtection="0">
      <alignment horizontal="right" vertical="center"/>
    </xf>
    <xf numFmtId="4" fontId="60" fillId="28" borderId="105" applyNumberFormat="0" applyProtection="0">
      <alignment horizontal="right" vertical="center"/>
    </xf>
    <xf numFmtId="4" fontId="101" fillId="29" borderId="105" applyNumberFormat="0" applyProtection="0">
      <alignment horizontal="left" vertical="center" indent="1"/>
    </xf>
    <xf numFmtId="4" fontId="101" fillId="29" borderId="105" applyNumberFormat="0" applyProtection="0">
      <alignment horizontal="left" vertical="center" indent="1"/>
    </xf>
    <xf numFmtId="4" fontId="101" fillId="29" borderId="105" applyNumberFormat="0" applyProtection="0">
      <alignment horizontal="left" vertical="center" indent="1"/>
    </xf>
    <xf numFmtId="4" fontId="101" fillId="29" borderId="105" applyNumberFormat="0" applyProtection="0">
      <alignment horizontal="left" vertical="center" indent="1"/>
    </xf>
    <xf numFmtId="4" fontId="60" fillId="30" borderId="110"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4" fontId="60" fillId="30" borderId="105" applyNumberFormat="0" applyProtection="0">
      <alignment horizontal="left" vertical="center" indent="1"/>
    </xf>
    <xf numFmtId="4" fontId="60" fillId="30" borderId="105" applyNumberFormat="0" applyProtection="0">
      <alignment horizontal="left" vertical="center" indent="1"/>
    </xf>
    <xf numFmtId="4" fontId="60" fillId="30" borderId="105" applyNumberFormat="0" applyProtection="0">
      <alignment horizontal="left" vertical="center" indent="1"/>
    </xf>
    <xf numFmtId="4" fontId="60" fillId="30" borderId="105" applyNumberFormat="0" applyProtection="0">
      <alignment horizontal="left" vertical="center" indent="1"/>
    </xf>
    <xf numFmtId="4" fontId="60" fillId="32" borderId="105" applyNumberFormat="0" applyProtection="0">
      <alignment horizontal="left" vertical="center" indent="1"/>
    </xf>
    <xf numFmtId="4" fontId="60" fillId="32" borderId="105" applyNumberFormat="0" applyProtection="0">
      <alignment horizontal="left" vertical="center" indent="1"/>
    </xf>
    <xf numFmtId="4" fontId="60" fillId="32" borderId="105" applyNumberFormat="0" applyProtection="0">
      <alignment horizontal="left" vertical="center" indent="1"/>
    </xf>
    <xf numFmtId="4" fontId="60" fillId="32" borderId="105" applyNumberFormat="0" applyProtection="0">
      <alignment horizontal="left" vertical="center" indent="1"/>
    </xf>
    <xf numFmtId="0" fontId="56" fillId="32" borderId="105" applyNumberFormat="0" applyProtection="0">
      <alignment horizontal="left" vertical="center" indent="1"/>
    </xf>
    <xf numFmtId="0" fontId="56" fillId="32" borderId="105" applyNumberFormat="0" applyProtection="0">
      <alignment horizontal="left" vertical="center" indent="1"/>
    </xf>
    <xf numFmtId="0" fontId="56" fillId="32" borderId="105" applyNumberFormat="0" applyProtection="0">
      <alignment horizontal="left" vertical="center" indent="1"/>
    </xf>
    <xf numFmtId="0" fontId="56" fillId="32" borderId="105" applyNumberFormat="0" applyProtection="0">
      <alignment horizontal="left" vertical="center" indent="1"/>
    </xf>
    <xf numFmtId="0" fontId="56" fillId="32" borderId="105" applyNumberFormat="0" applyProtection="0">
      <alignment horizontal="left" vertical="center" indent="1"/>
    </xf>
    <xf numFmtId="0" fontId="56" fillId="32" borderId="105" applyNumberFormat="0" applyProtection="0">
      <alignment horizontal="left" vertical="center" indent="1"/>
    </xf>
    <xf numFmtId="0" fontId="56" fillId="32" borderId="105" applyNumberFormat="0" applyProtection="0">
      <alignment horizontal="left" vertical="center" indent="1"/>
    </xf>
    <xf numFmtId="0" fontId="56" fillId="32" borderId="105" applyNumberFormat="0" applyProtection="0">
      <alignment horizontal="left" vertical="center" indent="1"/>
    </xf>
    <xf numFmtId="0" fontId="56" fillId="33" borderId="105" applyNumberFormat="0" applyProtection="0">
      <alignment horizontal="left" vertical="center" indent="1"/>
    </xf>
    <xf numFmtId="0" fontId="56" fillId="33" borderId="105" applyNumberFormat="0" applyProtection="0">
      <alignment horizontal="left" vertical="center" indent="1"/>
    </xf>
    <xf numFmtId="0" fontId="56" fillId="33" borderId="105" applyNumberFormat="0" applyProtection="0">
      <alignment horizontal="left" vertical="center" indent="1"/>
    </xf>
    <xf numFmtId="0" fontId="56" fillId="33" borderId="105" applyNumberFormat="0" applyProtection="0">
      <alignment horizontal="left" vertical="center" indent="1"/>
    </xf>
    <xf numFmtId="0" fontId="56" fillId="33" borderId="105" applyNumberFormat="0" applyProtection="0">
      <alignment horizontal="left" vertical="center" indent="1"/>
    </xf>
    <xf numFmtId="0" fontId="56" fillId="33" borderId="105" applyNumberFormat="0" applyProtection="0">
      <alignment horizontal="left" vertical="center" indent="1"/>
    </xf>
    <xf numFmtId="0" fontId="56" fillId="33" borderId="105" applyNumberFormat="0" applyProtection="0">
      <alignment horizontal="left" vertical="center" indent="1"/>
    </xf>
    <xf numFmtId="0" fontId="56" fillId="33" borderId="105" applyNumberFormat="0" applyProtection="0">
      <alignment horizontal="left" vertical="center" indent="1"/>
    </xf>
    <xf numFmtId="0" fontId="56" fillId="34" borderId="105" applyNumberFormat="0" applyProtection="0">
      <alignment horizontal="left" vertical="center" indent="1"/>
    </xf>
    <xf numFmtId="0" fontId="56" fillId="34" borderId="105" applyNumberFormat="0" applyProtection="0">
      <alignment horizontal="left" vertical="center" indent="1"/>
    </xf>
    <xf numFmtId="0" fontId="56" fillId="34" borderId="105" applyNumberFormat="0" applyProtection="0">
      <alignment horizontal="left" vertical="center" indent="1"/>
    </xf>
    <xf numFmtId="0" fontId="56" fillId="34" borderId="105" applyNumberFormat="0" applyProtection="0">
      <alignment horizontal="left" vertical="center" indent="1"/>
    </xf>
    <xf numFmtId="0" fontId="56" fillId="34" borderId="105" applyNumberFormat="0" applyProtection="0">
      <alignment horizontal="left" vertical="center" indent="1"/>
    </xf>
    <xf numFmtId="0" fontId="56" fillId="34" borderId="105" applyNumberFormat="0" applyProtection="0">
      <alignment horizontal="left" vertical="center" indent="1"/>
    </xf>
    <xf numFmtId="0" fontId="56" fillId="34" borderId="105" applyNumberFormat="0" applyProtection="0">
      <alignment horizontal="left" vertical="center" indent="1"/>
    </xf>
    <xf numFmtId="0" fontId="56" fillId="34"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24" fillId="0" borderId="0"/>
    <xf numFmtId="0" fontId="121" fillId="60" borderId="115" applyBorder="0"/>
    <xf numFmtId="0" fontId="121" fillId="60" borderId="115" applyBorder="0"/>
    <xf numFmtId="0" fontId="121" fillId="60" borderId="115" applyBorder="0"/>
    <xf numFmtId="0" fontId="121" fillId="60" borderId="115" applyBorder="0"/>
    <xf numFmtId="0" fontId="121" fillId="60" borderId="115" applyBorder="0"/>
    <xf numFmtId="0" fontId="121" fillId="60" borderId="115" applyBorder="0"/>
    <xf numFmtId="4" fontId="60" fillId="35" borderId="105" applyNumberFormat="0" applyProtection="0">
      <alignment vertical="center"/>
    </xf>
    <xf numFmtId="4" fontId="60" fillId="35" borderId="105" applyNumberFormat="0" applyProtection="0">
      <alignment vertical="center"/>
    </xf>
    <xf numFmtId="4" fontId="60" fillId="35" borderId="105" applyNumberFormat="0" applyProtection="0">
      <alignment vertical="center"/>
    </xf>
    <xf numFmtId="4" fontId="60" fillId="35" borderId="105" applyNumberFormat="0" applyProtection="0">
      <alignment vertical="center"/>
    </xf>
    <xf numFmtId="4" fontId="100" fillId="35" borderId="105" applyNumberFormat="0" applyProtection="0">
      <alignment vertical="center"/>
    </xf>
    <xf numFmtId="4" fontId="100" fillId="35" borderId="105" applyNumberFormat="0" applyProtection="0">
      <alignment vertical="center"/>
    </xf>
    <xf numFmtId="4" fontId="100" fillId="35" borderId="105" applyNumberFormat="0" applyProtection="0">
      <alignment vertical="center"/>
    </xf>
    <xf numFmtId="4" fontId="100" fillId="35" borderId="105" applyNumberFormat="0" applyProtection="0">
      <alignment vertical="center"/>
    </xf>
    <xf numFmtId="4" fontId="60" fillId="35" borderId="105" applyNumberFormat="0" applyProtection="0">
      <alignment horizontal="left" vertical="center" indent="1"/>
    </xf>
    <xf numFmtId="4" fontId="60" fillId="35" borderId="105" applyNumberFormat="0" applyProtection="0">
      <alignment horizontal="left" vertical="center" indent="1"/>
    </xf>
    <xf numFmtId="4" fontId="60" fillId="35" borderId="105" applyNumberFormat="0" applyProtection="0">
      <alignment horizontal="left" vertical="center" indent="1"/>
    </xf>
    <xf numFmtId="4" fontId="60" fillId="35" borderId="105" applyNumberFormat="0" applyProtection="0">
      <alignment horizontal="left" vertical="center" indent="1"/>
    </xf>
    <xf numFmtId="4" fontId="60" fillId="35" borderId="105" applyNumberFormat="0" applyProtection="0">
      <alignment horizontal="left" vertical="center" indent="1"/>
    </xf>
    <xf numFmtId="4" fontId="60" fillId="35" borderId="105" applyNumberFormat="0" applyProtection="0">
      <alignment horizontal="left" vertical="center" indent="1"/>
    </xf>
    <xf numFmtId="4" fontId="60" fillId="35" borderId="105" applyNumberFormat="0" applyProtection="0">
      <alignment horizontal="left" vertical="center" indent="1"/>
    </xf>
    <xf numFmtId="4" fontId="60" fillId="35" borderId="105" applyNumberFormat="0" applyProtection="0">
      <alignment horizontal="left" vertical="center" indent="1"/>
    </xf>
    <xf numFmtId="4" fontId="60" fillId="30" borderId="105" applyNumberFormat="0" applyProtection="0">
      <alignment horizontal="right" vertical="center"/>
    </xf>
    <xf numFmtId="4" fontId="60" fillId="30" borderId="105" applyNumberFormat="0" applyProtection="0">
      <alignment horizontal="right" vertical="center"/>
    </xf>
    <xf numFmtId="4" fontId="60" fillId="30" borderId="105" applyNumberFormat="0" applyProtection="0">
      <alignment horizontal="right" vertical="center"/>
    </xf>
    <xf numFmtId="4" fontId="60" fillId="30" borderId="105" applyNumberFormat="0" applyProtection="0">
      <alignment horizontal="right" vertical="center"/>
    </xf>
    <xf numFmtId="4" fontId="88" fillId="0" borderId="111" applyNumberFormat="0" applyProtection="0">
      <alignment horizontal="right" vertical="center"/>
    </xf>
    <xf numFmtId="4" fontId="100" fillId="30" borderId="105" applyNumberFormat="0" applyProtection="0">
      <alignment horizontal="right" vertical="center"/>
    </xf>
    <xf numFmtId="4" fontId="100" fillId="30" borderId="105" applyNumberFormat="0" applyProtection="0">
      <alignment horizontal="right" vertical="center"/>
    </xf>
    <xf numFmtId="4" fontId="100" fillId="30" borderId="105" applyNumberFormat="0" applyProtection="0">
      <alignment horizontal="right" vertical="center"/>
    </xf>
    <xf numFmtId="4" fontId="100" fillId="30" borderId="105" applyNumberFormat="0" applyProtection="0">
      <alignment horizontal="right" vertical="center"/>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56" fillId="19" borderId="105" applyNumberFormat="0" applyProtection="0">
      <alignment horizontal="left" vertical="center" indent="1"/>
    </xf>
    <xf numFmtId="0" fontId="88" fillId="61" borderId="21"/>
    <xf numFmtId="0" fontId="88" fillId="61" borderId="21"/>
    <xf numFmtId="4" fontId="104" fillId="30" borderId="105" applyNumberFormat="0" applyProtection="0">
      <alignment horizontal="right" vertical="center"/>
    </xf>
    <xf numFmtId="4" fontId="104" fillId="30" borderId="105" applyNumberFormat="0" applyProtection="0">
      <alignment horizontal="right" vertical="center"/>
    </xf>
    <xf numFmtId="4" fontId="104" fillId="30" borderId="105" applyNumberFormat="0" applyProtection="0">
      <alignment horizontal="right" vertical="center"/>
    </xf>
    <xf numFmtId="4" fontId="104" fillId="30" borderId="105" applyNumberFormat="0" applyProtection="0">
      <alignment horizontal="right" vertical="center"/>
    </xf>
    <xf numFmtId="0" fontId="99" fillId="1" borderId="33" applyNumberFormat="0" applyFont="0" applyAlignment="0">
      <alignment horizontal="center"/>
    </xf>
    <xf numFmtId="0" fontId="99" fillId="1" borderId="33" applyNumberFormat="0" applyFont="0" applyAlignment="0">
      <alignment horizontal="center"/>
    </xf>
    <xf numFmtId="0" fontId="122" fillId="0" borderId="0" applyNumberFormat="0" applyFill="0" applyBorder="0" applyAlignment="0" applyProtection="0"/>
    <xf numFmtId="0" fontId="123" fillId="0" borderId="0" applyNumberForma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0" fontId="24"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4"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4" fillId="0" borderId="0"/>
    <xf numFmtId="0" fontId="21" fillId="0" borderId="0">
      <alignment vertical="center"/>
    </xf>
    <xf numFmtId="0" fontId="21" fillId="0" borderId="0">
      <alignment vertical="center"/>
    </xf>
    <xf numFmtId="0" fontId="24" fillId="0" borderId="0"/>
    <xf numFmtId="0" fontId="24" fillId="0" borderId="0"/>
    <xf numFmtId="0" fontId="21" fillId="0" borderId="0">
      <alignment vertical="center"/>
    </xf>
    <xf numFmtId="0" fontId="24"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4"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2" fillId="0" borderId="0"/>
    <xf numFmtId="0" fontId="21" fillId="0" borderId="0">
      <alignment vertical="center"/>
    </xf>
    <xf numFmtId="9" fontId="24" fillId="0" borderId="0" applyFont="0" applyFill="0" applyBorder="0" applyAlignment="0" applyProtection="0"/>
    <xf numFmtId="41" fontId="21" fillId="0" borderId="0" applyFont="0" applyFill="0" applyBorder="0" applyAlignment="0" applyProtection="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9" fontId="24" fillId="0" borderId="0" applyFont="0" applyFill="0" applyBorder="0" applyAlignment="0" applyProtection="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2" fillId="0" borderId="0"/>
    <xf numFmtId="3" fontId="67" fillId="0" borderId="116"/>
    <xf numFmtId="3" fontId="67" fillId="0" borderId="116"/>
    <xf numFmtId="3" fontId="67" fillId="0" borderId="116"/>
    <xf numFmtId="3" fontId="67" fillId="0" borderId="116"/>
    <xf numFmtId="3" fontId="67" fillId="0" borderId="116"/>
    <xf numFmtId="3" fontId="67" fillId="0" borderId="116"/>
    <xf numFmtId="196" fontId="83" fillId="0" borderId="116" applyFill="0" applyBorder="0" applyAlignment="0"/>
    <xf numFmtId="196" fontId="83" fillId="0" borderId="116" applyFill="0" applyBorder="0" applyAlignment="0"/>
    <xf numFmtId="10" fontId="88" fillId="17" borderId="116" applyNumberFormat="0" applyBorder="0" applyAlignment="0" applyProtection="0"/>
    <xf numFmtId="10" fontId="88" fillId="17" borderId="116" applyNumberFormat="0" applyBorder="0" applyAlignment="0" applyProtection="0"/>
    <xf numFmtId="0" fontId="88" fillId="61" borderId="116"/>
    <xf numFmtId="0" fontId="88" fillId="61" borderId="116"/>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41" fontId="20" fillId="0" borderId="0" applyFont="0" applyFill="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129" fillId="0" borderId="0" applyNumberFormat="0" applyFill="0" applyBorder="0" applyAlignment="0" applyProtection="0">
      <alignment vertical="center"/>
    </xf>
    <xf numFmtId="0" fontId="130" fillId="0" borderId="163" applyNumberFormat="0" applyFill="0" applyAlignment="0" applyProtection="0">
      <alignment vertical="center"/>
    </xf>
    <xf numFmtId="0" fontId="131" fillId="0" borderId="164" applyNumberFormat="0" applyFill="0" applyAlignment="0" applyProtection="0">
      <alignment vertical="center"/>
    </xf>
    <xf numFmtId="0" fontId="132" fillId="0" borderId="165" applyNumberFormat="0" applyFill="0" applyAlignment="0" applyProtection="0">
      <alignment vertical="center"/>
    </xf>
    <xf numFmtId="0" fontId="132" fillId="0" borderId="0" applyNumberFormat="0" applyFill="0" applyBorder="0" applyAlignment="0" applyProtection="0">
      <alignment vertical="center"/>
    </xf>
    <xf numFmtId="0" fontId="133" fillId="62" borderId="0" applyNumberFormat="0" applyBorder="0" applyAlignment="0" applyProtection="0">
      <alignment vertical="center"/>
    </xf>
    <xf numFmtId="0" fontId="134" fillId="63" borderId="0" applyNumberFormat="0" applyBorder="0" applyAlignment="0" applyProtection="0">
      <alignment vertical="center"/>
    </xf>
    <xf numFmtId="0" fontId="135" fillId="64" borderId="0" applyNumberFormat="0" applyBorder="0" applyAlignment="0" applyProtection="0">
      <alignment vertical="center"/>
    </xf>
    <xf numFmtId="0" fontId="136" fillId="65" borderId="166" applyNumberFormat="0" applyAlignment="0" applyProtection="0">
      <alignment vertical="center"/>
    </xf>
    <xf numFmtId="0" fontId="137" fillId="66" borderId="167" applyNumberFormat="0" applyAlignment="0" applyProtection="0">
      <alignment vertical="center"/>
    </xf>
    <xf numFmtId="0" fontId="138" fillId="66" borderId="166" applyNumberFormat="0" applyAlignment="0" applyProtection="0">
      <alignment vertical="center"/>
    </xf>
    <xf numFmtId="0" fontId="139" fillId="0" borderId="168" applyNumberFormat="0" applyFill="0" applyAlignment="0" applyProtection="0">
      <alignment vertical="center"/>
    </xf>
    <xf numFmtId="0" fontId="140" fillId="67" borderId="169" applyNumberFormat="0" applyAlignment="0" applyProtection="0">
      <alignment vertical="center"/>
    </xf>
    <xf numFmtId="0" fontId="141" fillId="0" borderId="0" applyNumberFormat="0" applyFill="0" applyBorder="0" applyAlignment="0" applyProtection="0">
      <alignment vertical="center"/>
    </xf>
    <xf numFmtId="0" fontId="142" fillId="0" borderId="0" applyNumberFormat="0" applyFill="0" applyBorder="0" applyAlignment="0" applyProtection="0">
      <alignment vertical="center"/>
    </xf>
    <xf numFmtId="0" fontId="143" fillId="0" borderId="171" applyNumberFormat="0" applyFill="0" applyAlignment="0" applyProtection="0">
      <alignment vertical="center"/>
    </xf>
    <xf numFmtId="0" fontId="144" fillId="69" borderId="0" applyNumberFormat="0" applyBorder="0" applyAlignment="0" applyProtection="0">
      <alignment vertical="center"/>
    </xf>
    <xf numFmtId="0" fontId="19" fillId="70" borderId="0" applyNumberFormat="0" applyBorder="0" applyAlignment="0" applyProtection="0">
      <alignment vertical="center"/>
    </xf>
    <xf numFmtId="0" fontId="19" fillId="71" borderId="0" applyNumberFormat="0" applyBorder="0" applyAlignment="0" applyProtection="0">
      <alignment vertical="center"/>
    </xf>
    <xf numFmtId="0" fontId="144" fillId="72" borderId="0" applyNumberFormat="0" applyBorder="0" applyAlignment="0" applyProtection="0">
      <alignment vertical="center"/>
    </xf>
    <xf numFmtId="0" fontId="144" fillId="73" borderId="0" applyNumberFormat="0" applyBorder="0" applyAlignment="0" applyProtection="0">
      <alignment vertical="center"/>
    </xf>
    <xf numFmtId="0" fontId="19" fillId="74" borderId="0" applyNumberFormat="0" applyBorder="0" applyAlignment="0" applyProtection="0">
      <alignment vertical="center"/>
    </xf>
    <xf numFmtId="0" fontId="19" fillId="75" borderId="0" applyNumberFormat="0" applyBorder="0" applyAlignment="0" applyProtection="0">
      <alignment vertical="center"/>
    </xf>
    <xf numFmtId="0" fontId="144" fillId="76" borderId="0" applyNumberFormat="0" applyBorder="0" applyAlignment="0" applyProtection="0">
      <alignment vertical="center"/>
    </xf>
    <xf numFmtId="0" fontId="144" fillId="77" borderId="0" applyNumberFormat="0" applyBorder="0" applyAlignment="0" applyProtection="0">
      <alignment vertical="center"/>
    </xf>
    <xf numFmtId="0" fontId="19" fillId="78" borderId="0" applyNumberFormat="0" applyBorder="0" applyAlignment="0" applyProtection="0">
      <alignment vertical="center"/>
    </xf>
    <xf numFmtId="0" fontId="19" fillId="79" borderId="0" applyNumberFormat="0" applyBorder="0" applyAlignment="0" applyProtection="0">
      <alignment vertical="center"/>
    </xf>
    <xf numFmtId="0" fontId="144" fillId="80" borderId="0" applyNumberFormat="0" applyBorder="0" applyAlignment="0" applyProtection="0">
      <alignment vertical="center"/>
    </xf>
    <xf numFmtId="0" fontId="144" fillId="81" borderId="0" applyNumberFormat="0" applyBorder="0" applyAlignment="0" applyProtection="0">
      <alignment vertical="center"/>
    </xf>
    <xf numFmtId="0" fontId="19" fillId="82" borderId="0" applyNumberFormat="0" applyBorder="0" applyAlignment="0" applyProtection="0">
      <alignment vertical="center"/>
    </xf>
    <xf numFmtId="0" fontId="19" fillId="83" borderId="0" applyNumberFormat="0" applyBorder="0" applyAlignment="0" applyProtection="0">
      <alignment vertical="center"/>
    </xf>
    <xf numFmtId="0" fontId="144" fillId="84" borderId="0" applyNumberFormat="0" applyBorder="0" applyAlignment="0" applyProtection="0">
      <alignment vertical="center"/>
    </xf>
    <xf numFmtId="0" fontId="144" fillId="85" borderId="0" applyNumberFormat="0" applyBorder="0" applyAlignment="0" applyProtection="0">
      <alignment vertical="center"/>
    </xf>
    <xf numFmtId="0" fontId="19" fillId="86" borderId="0" applyNumberFormat="0" applyBorder="0" applyAlignment="0" applyProtection="0">
      <alignment vertical="center"/>
    </xf>
    <xf numFmtId="0" fontId="19" fillId="87" borderId="0" applyNumberFormat="0" applyBorder="0" applyAlignment="0" applyProtection="0">
      <alignment vertical="center"/>
    </xf>
    <xf numFmtId="0" fontId="144" fillId="88" borderId="0" applyNumberFormat="0" applyBorder="0" applyAlignment="0" applyProtection="0">
      <alignment vertical="center"/>
    </xf>
    <xf numFmtId="0" fontId="144" fillId="89" borderId="0" applyNumberFormat="0" applyBorder="0" applyAlignment="0" applyProtection="0">
      <alignment vertical="center"/>
    </xf>
    <xf numFmtId="0" fontId="19" fillId="90" borderId="0" applyNumberFormat="0" applyBorder="0" applyAlignment="0" applyProtection="0">
      <alignment vertical="center"/>
    </xf>
    <xf numFmtId="0" fontId="19" fillId="91" borderId="0" applyNumberFormat="0" applyBorder="0" applyAlignment="0" applyProtection="0">
      <alignment vertical="center"/>
    </xf>
    <xf numFmtId="0" fontId="144" fillId="92" borderId="0" applyNumberFormat="0" applyBorder="0" applyAlignment="0" applyProtection="0">
      <alignment vertical="center"/>
    </xf>
    <xf numFmtId="0" fontId="19" fillId="0" borderId="0">
      <alignment vertical="center"/>
    </xf>
    <xf numFmtId="41" fontId="19" fillId="0" borderId="0" applyFont="0" applyFill="0" applyBorder="0" applyAlignment="0" applyProtection="0">
      <alignment vertical="center"/>
    </xf>
    <xf numFmtId="0" fontId="19" fillId="68" borderId="170" applyNumberFormat="0" applyFont="0" applyAlignment="0" applyProtection="0">
      <alignment vertical="center"/>
    </xf>
    <xf numFmtId="0" fontId="22" fillId="0" borderId="0">
      <alignment vertical="center"/>
    </xf>
    <xf numFmtId="9" fontId="22" fillId="0" borderId="0" applyFont="0" applyFill="0" applyBorder="0" applyAlignment="0" applyProtection="0">
      <alignment vertical="center"/>
    </xf>
    <xf numFmtId="42" fontId="22" fillId="0" borderId="0" applyFont="0" applyFill="0" applyBorder="0" applyAlignment="0" applyProtection="0">
      <alignment vertical="center"/>
    </xf>
    <xf numFmtId="41" fontId="22" fillId="0" borderId="0" applyFont="0" applyFill="0" applyBorder="0" applyAlignment="0" applyProtection="0">
      <alignment vertical="center"/>
    </xf>
    <xf numFmtId="0" fontId="90" fillId="0" borderId="117">
      <alignment horizontal="left" vertical="center"/>
    </xf>
    <xf numFmtId="4" fontId="60" fillId="2" borderId="173" applyNumberFormat="0" applyProtection="0">
      <alignment vertical="center"/>
    </xf>
    <xf numFmtId="4" fontId="100" fillId="2" borderId="173" applyNumberFormat="0" applyProtection="0">
      <alignment vertical="center"/>
    </xf>
    <xf numFmtId="4" fontId="60" fillId="2" borderId="173" applyNumberFormat="0" applyProtection="0">
      <alignment horizontal="left" vertical="center" indent="1"/>
    </xf>
    <xf numFmtId="4" fontId="60" fillId="2" borderId="173" applyNumberFormat="0" applyProtection="0">
      <alignment horizontal="left" vertical="center" indent="1"/>
    </xf>
    <xf numFmtId="0" fontId="56" fillId="19" borderId="173" applyNumberFormat="0" applyProtection="0">
      <alignment horizontal="left" vertical="center" indent="1"/>
    </xf>
    <xf numFmtId="4" fontId="60" fillId="20" borderId="173" applyNumberFormat="0" applyProtection="0">
      <alignment horizontal="right" vertical="center"/>
    </xf>
    <xf numFmtId="4" fontId="60" fillId="21" borderId="173" applyNumberFormat="0" applyProtection="0">
      <alignment horizontal="right" vertical="center"/>
    </xf>
    <xf numFmtId="4" fontId="60" fillId="22" borderId="173" applyNumberFormat="0" applyProtection="0">
      <alignment horizontal="right" vertical="center"/>
    </xf>
    <xf numFmtId="4" fontId="60" fillId="23" borderId="173" applyNumberFormat="0" applyProtection="0">
      <alignment horizontal="right" vertical="center"/>
    </xf>
    <xf numFmtId="4" fontId="60" fillId="24" borderId="173" applyNumberFormat="0" applyProtection="0">
      <alignment horizontal="right" vertical="center"/>
    </xf>
    <xf numFmtId="4" fontId="60" fillId="25" borderId="173" applyNumberFormat="0" applyProtection="0">
      <alignment horizontal="right" vertical="center"/>
    </xf>
    <xf numFmtId="4" fontId="60" fillId="26" borderId="173" applyNumberFormat="0" applyProtection="0">
      <alignment horizontal="right" vertical="center"/>
    </xf>
    <xf numFmtId="4" fontId="60" fillId="27" borderId="173" applyNumberFormat="0" applyProtection="0">
      <alignment horizontal="right" vertical="center"/>
    </xf>
    <xf numFmtId="4" fontId="60" fillId="28" borderId="173" applyNumberFormat="0" applyProtection="0">
      <alignment horizontal="right" vertical="center"/>
    </xf>
    <xf numFmtId="4" fontId="101" fillId="29" borderId="173" applyNumberFormat="0" applyProtection="0">
      <alignment horizontal="left" vertical="center" indent="1"/>
    </xf>
    <xf numFmtId="4" fontId="60" fillId="30" borderId="174" applyNumberFormat="0" applyProtection="0">
      <alignment horizontal="left" vertical="center" indent="1"/>
    </xf>
    <xf numFmtId="0" fontId="56" fillId="19" borderId="173" applyNumberFormat="0" applyProtection="0">
      <alignment horizontal="left" vertical="center" indent="1"/>
    </xf>
    <xf numFmtId="4" fontId="60" fillId="30" borderId="173" applyNumberFormat="0" applyProtection="0">
      <alignment horizontal="left" vertical="center" indent="1"/>
    </xf>
    <xf numFmtId="4" fontId="60" fillId="32" borderId="173" applyNumberFormat="0" applyProtection="0">
      <alignment horizontal="left" vertical="center" indent="1"/>
    </xf>
    <xf numFmtId="0" fontId="56" fillId="32" borderId="173" applyNumberFormat="0" applyProtection="0">
      <alignment horizontal="left" vertical="center" indent="1"/>
    </xf>
    <xf numFmtId="0" fontId="56" fillId="32" borderId="173" applyNumberFormat="0" applyProtection="0">
      <alignment horizontal="left" vertical="center" indent="1"/>
    </xf>
    <xf numFmtId="0" fontId="56" fillId="33" borderId="173" applyNumberFormat="0" applyProtection="0">
      <alignment horizontal="left" vertical="center" indent="1"/>
    </xf>
    <xf numFmtId="0" fontId="56" fillId="33" borderId="173" applyNumberFormat="0" applyProtection="0">
      <alignment horizontal="left" vertical="center" indent="1"/>
    </xf>
    <xf numFmtId="0" fontId="56" fillId="34" borderId="173" applyNumberFormat="0" applyProtection="0">
      <alignment horizontal="left" vertical="center" indent="1"/>
    </xf>
    <xf numFmtId="0" fontId="56" fillId="34"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4" fontId="60" fillId="35" borderId="173" applyNumberFormat="0" applyProtection="0">
      <alignment vertical="center"/>
    </xf>
    <xf numFmtId="4" fontId="100" fillId="35" borderId="173" applyNumberFormat="0" applyProtection="0">
      <alignment vertical="center"/>
    </xf>
    <xf numFmtId="4" fontId="60" fillId="35" borderId="173" applyNumberFormat="0" applyProtection="0">
      <alignment horizontal="left" vertical="center" indent="1"/>
    </xf>
    <xf numFmtId="4" fontId="60" fillId="35" borderId="173" applyNumberFormat="0" applyProtection="0">
      <alignment horizontal="left" vertical="center" indent="1"/>
    </xf>
    <xf numFmtId="4" fontId="60" fillId="30" borderId="173" applyNumberFormat="0" applyProtection="0">
      <alignment horizontal="right" vertical="center"/>
    </xf>
    <xf numFmtId="4" fontId="100" fillId="30" borderId="173" applyNumberFormat="0" applyProtection="0">
      <alignment horizontal="right" vertical="center"/>
    </xf>
    <xf numFmtId="0" fontId="56" fillId="19" borderId="173" applyNumberFormat="0" applyProtection="0">
      <alignment horizontal="left" vertical="center" indent="1"/>
    </xf>
    <xf numFmtId="0" fontId="56" fillId="19" borderId="173" applyNumberFormat="0" applyProtection="0">
      <alignment horizontal="left" vertical="center" indent="1"/>
    </xf>
    <xf numFmtId="4" fontId="104" fillId="30" borderId="173" applyNumberFormat="0" applyProtection="0">
      <alignment horizontal="right" vertical="center"/>
    </xf>
    <xf numFmtId="0" fontId="99" fillId="1" borderId="117" applyNumberFormat="0" applyFont="0" applyAlignment="0">
      <alignment horizontal="center"/>
    </xf>
    <xf numFmtId="0" fontId="18" fillId="0" borderId="0">
      <alignment vertical="center"/>
    </xf>
    <xf numFmtId="0" fontId="22" fillId="0" borderId="0"/>
    <xf numFmtId="0" fontId="110" fillId="0" borderId="0">
      <protection locked="0"/>
    </xf>
    <xf numFmtId="41" fontId="18" fillId="0" borderId="0" applyFont="0" applyFill="0" applyBorder="0" applyAlignment="0" applyProtection="0">
      <alignment vertical="center"/>
    </xf>
    <xf numFmtId="0" fontId="22" fillId="0" borderId="0"/>
    <xf numFmtId="0" fontId="147" fillId="0" borderId="0"/>
    <xf numFmtId="0" fontId="147" fillId="0" borderId="0"/>
    <xf numFmtId="0" fontId="18" fillId="0" borderId="0">
      <alignment vertical="center"/>
    </xf>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7"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7" fillId="0" borderId="0"/>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alignment vertical="center"/>
    </xf>
    <xf numFmtId="0" fontId="147" fillId="0" borderId="0"/>
    <xf numFmtId="0" fontId="18" fillId="0" borderId="0">
      <alignment vertical="center"/>
    </xf>
    <xf numFmtId="0" fontId="18" fillId="0" borderId="0">
      <alignment vertical="center"/>
    </xf>
    <xf numFmtId="0" fontId="18" fillId="0" borderId="0">
      <alignment vertical="center"/>
    </xf>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63" fillId="111" borderId="173" applyNumberFormat="0" applyAlignment="0" applyProtection="0">
      <alignment vertical="center"/>
    </xf>
    <xf numFmtId="0" fontId="163" fillId="111" borderId="173" applyNumberFormat="0" applyAlignment="0" applyProtection="0">
      <alignment vertical="center"/>
    </xf>
    <xf numFmtId="0" fontId="162" fillId="95" borderId="0" applyNumberFormat="0" applyBorder="0" applyAlignment="0" applyProtection="0">
      <alignment vertical="center"/>
    </xf>
    <xf numFmtId="0" fontId="161"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183" applyNumberFormat="0" applyFill="0" applyAlignment="0" applyProtection="0">
      <alignment vertical="center"/>
    </xf>
    <xf numFmtId="0" fontId="159" fillId="0" borderId="182" applyNumberFormat="0" applyFill="0" applyAlignment="0" applyProtection="0">
      <alignment vertical="center"/>
    </xf>
    <xf numFmtId="0" fontId="158" fillId="0" borderId="181" applyNumberFormat="0" applyFill="0" applyAlignment="0" applyProtection="0">
      <alignment vertical="center"/>
    </xf>
    <xf numFmtId="0" fontId="157" fillId="98" borderId="177" applyNumberFormat="0" applyAlignment="0" applyProtection="0">
      <alignment vertical="center"/>
    </xf>
    <xf numFmtId="0" fontId="157" fillId="98" borderId="177" applyNumberFormat="0" applyAlignment="0" applyProtection="0">
      <alignment vertical="center"/>
    </xf>
    <xf numFmtId="0" fontId="146" fillId="0" borderId="180" applyNumberFormat="0" applyFill="0" applyAlignment="0" applyProtection="0">
      <alignment vertical="center"/>
    </xf>
    <xf numFmtId="0" fontId="146" fillId="0" borderId="180" applyNumberFormat="0" applyFill="0" applyAlignment="0" applyProtection="0">
      <alignment vertical="center"/>
    </xf>
    <xf numFmtId="0" fontId="156" fillId="0" borderId="179" applyNumberFormat="0" applyFill="0" applyAlignment="0" applyProtection="0">
      <alignment vertical="center"/>
    </xf>
    <xf numFmtId="0" fontId="24" fillId="0" borderId="0"/>
    <xf numFmtId="0" fontId="24" fillId="0" borderId="0"/>
    <xf numFmtId="0" fontId="24" fillId="0" borderId="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147" fillId="0" borderId="0" applyFont="0" applyFill="0" applyBorder="0" applyAlignment="0" applyProtection="0"/>
    <xf numFmtId="41" fontId="22" fillId="0" borderId="0" applyFont="0" applyFill="0" applyBorder="0" applyAlignment="0" applyProtection="0">
      <alignment vertical="center"/>
    </xf>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22" fillId="0" borderId="0" applyFont="0" applyFill="0" applyBorder="0" applyAlignment="0" applyProtection="0">
      <alignment vertical="center"/>
    </xf>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147" fillId="0" borderId="0" applyFont="0" applyFill="0" applyBorder="0" applyAlignment="0" applyProtection="0"/>
    <xf numFmtId="41"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22"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41" fontId="147" fillId="0" borderId="0" applyFont="0" applyFill="0" applyBorder="0" applyAlignment="0" applyProtection="0"/>
    <xf numFmtId="0" fontId="155" fillId="113" borderId="112" applyNumberFormat="0" applyAlignment="0" applyProtection="0">
      <alignment vertical="center"/>
    </xf>
    <xf numFmtId="0" fontId="154" fillId="0" borderId="0" applyNumberFormat="0" applyFill="0" applyBorder="0" applyAlignment="0" applyProtection="0">
      <alignment vertical="center"/>
    </xf>
    <xf numFmtId="0" fontId="153" fillId="112" borderId="0" applyNumberFormat="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147" fillId="0" borderId="0" applyFont="0" applyFill="0" applyBorder="0" applyAlignment="0" applyProtection="0"/>
    <xf numFmtId="0" fontId="22" fillId="10" borderId="178" applyNumberFormat="0" applyFont="0" applyAlignment="0" applyProtection="0">
      <alignment vertical="center"/>
    </xf>
    <xf numFmtId="0" fontId="22" fillId="10" borderId="178" applyNumberFormat="0" applyFont="0" applyAlignment="0" applyProtection="0">
      <alignment vertical="center"/>
    </xf>
    <xf numFmtId="0" fontId="152" fillId="94" borderId="0" applyNumberFormat="0" applyBorder="0" applyAlignment="0" applyProtection="0">
      <alignment vertical="center"/>
    </xf>
    <xf numFmtId="0" fontId="151" fillId="111" borderId="177" applyNumberFormat="0" applyAlignment="0" applyProtection="0">
      <alignment vertical="center"/>
    </xf>
    <xf numFmtId="0" fontId="151" fillId="111" borderId="177" applyNumberFormat="0" applyAlignment="0" applyProtection="0">
      <alignment vertical="center"/>
    </xf>
    <xf numFmtId="0" fontId="150" fillId="0" borderId="0" applyNumberFormat="0" applyFill="0" applyBorder="0" applyAlignment="0" applyProtection="0">
      <alignment vertical="center"/>
    </xf>
    <xf numFmtId="0" fontId="149" fillId="110" borderId="0" applyNumberFormat="0" applyBorder="0" applyAlignment="0" applyProtection="0">
      <alignment vertical="center"/>
    </xf>
    <xf numFmtId="0" fontId="149" fillId="105" borderId="0" applyNumberFormat="0" applyBorder="0" applyAlignment="0" applyProtection="0">
      <alignment vertical="center"/>
    </xf>
    <xf numFmtId="0" fontId="149" fillId="104" borderId="0" applyNumberFormat="0" applyBorder="0" applyAlignment="0" applyProtection="0">
      <alignment vertical="center"/>
    </xf>
    <xf numFmtId="0" fontId="149" fillId="109" borderId="0" applyNumberFormat="0" applyBorder="0" applyAlignment="0" applyProtection="0">
      <alignment vertical="center"/>
    </xf>
    <xf numFmtId="0" fontId="149" fillId="108" borderId="0" applyNumberFormat="0" applyBorder="0" applyAlignment="0" applyProtection="0">
      <alignment vertical="center"/>
    </xf>
    <xf numFmtId="0" fontId="149" fillId="107" borderId="0" applyNumberFormat="0" applyBorder="0" applyAlignment="0" applyProtection="0">
      <alignment vertical="center"/>
    </xf>
    <xf numFmtId="0" fontId="149" fillId="106" borderId="0" applyNumberFormat="0" applyBorder="0" applyAlignment="0" applyProtection="0">
      <alignment vertical="center"/>
    </xf>
    <xf numFmtId="0" fontId="149" fillId="105" borderId="0" applyNumberFormat="0" applyBorder="0" applyAlignment="0" applyProtection="0">
      <alignment vertical="center"/>
    </xf>
    <xf numFmtId="0" fontId="149" fillId="104" borderId="0" applyNumberFormat="0" applyBorder="0" applyAlignment="0" applyProtection="0">
      <alignment vertical="center"/>
    </xf>
    <xf numFmtId="0" fontId="149" fillId="101" borderId="0" applyNumberFormat="0" applyBorder="0" applyAlignment="0" applyProtection="0">
      <alignment vertical="center"/>
    </xf>
    <xf numFmtId="0" fontId="149" fillId="100" borderId="0" applyNumberFormat="0" applyBorder="0" applyAlignment="0" applyProtection="0">
      <alignment vertical="center"/>
    </xf>
    <xf numFmtId="0" fontId="149" fillId="103" borderId="0" applyNumberFormat="0" applyBorder="0" applyAlignment="0" applyProtection="0">
      <alignment vertical="center"/>
    </xf>
    <xf numFmtId="0" fontId="145" fillId="102" borderId="0" applyNumberFormat="0" applyBorder="0" applyAlignment="0" applyProtection="0">
      <alignment vertical="center"/>
    </xf>
    <xf numFmtId="0" fontId="145" fillId="99" borderId="0" applyNumberFormat="0" applyBorder="0" applyAlignment="0" applyProtection="0">
      <alignment vertical="center"/>
    </xf>
    <xf numFmtId="0" fontId="145" fillId="96" borderId="0" applyNumberFormat="0" applyBorder="0" applyAlignment="0" applyProtection="0">
      <alignment vertical="center"/>
    </xf>
    <xf numFmtId="0" fontId="145" fillId="101" borderId="0" applyNumberFormat="0" applyBorder="0" applyAlignment="0" applyProtection="0">
      <alignment vertical="center"/>
    </xf>
    <xf numFmtId="0" fontId="145" fillId="100" borderId="0" applyNumberFormat="0" applyBorder="0" applyAlignment="0" applyProtection="0">
      <alignment vertical="center"/>
    </xf>
    <xf numFmtId="0" fontId="145" fillId="99" borderId="0" applyNumberFormat="0" applyBorder="0" applyAlignment="0" applyProtection="0">
      <alignment vertical="center"/>
    </xf>
    <xf numFmtId="0" fontId="145" fillId="98" borderId="0" applyNumberFormat="0" applyBorder="0" applyAlignment="0" applyProtection="0">
      <alignment vertical="center"/>
    </xf>
    <xf numFmtId="0" fontId="145" fillId="97" borderId="0" applyNumberFormat="0" applyBorder="0" applyAlignment="0" applyProtection="0">
      <alignment vertical="center"/>
    </xf>
    <xf numFmtId="0" fontId="145" fillId="96" borderId="0" applyNumberFormat="0" applyBorder="0" applyAlignment="0" applyProtection="0">
      <alignment vertical="center"/>
    </xf>
    <xf numFmtId="0" fontId="145" fillId="95" borderId="0" applyNumberFormat="0" applyBorder="0" applyAlignment="0" applyProtection="0">
      <alignment vertical="center"/>
    </xf>
    <xf numFmtId="0" fontId="145" fillId="94" borderId="0" applyNumberFormat="0" applyBorder="0" applyAlignment="0" applyProtection="0">
      <alignment vertical="center"/>
    </xf>
    <xf numFmtId="0" fontId="145" fillId="12" borderId="0" applyNumberFormat="0" applyBorder="0" applyAlignment="0" applyProtection="0">
      <alignment vertical="center"/>
    </xf>
    <xf numFmtId="0" fontId="60" fillId="0" borderId="0">
      <alignment vertical="top"/>
    </xf>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60" fillId="0" borderId="0">
      <alignment vertical="top"/>
    </xf>
    <xf numFmtId="0" fontId="60" fillId="0" borderId="0">
      <alignment vertical="top"/>
    </xf>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14" fillId="56" borderId="175" applyNumberFormat="0" applyAlignment="0" applyProtection="0"/>
    <xf numFmtId="0" fontId="114" fillId="56" borderId="175" applyNumberFormat="0" applyAlignment="0" applyProtection="0"/>
    <xf numFmtId="0" fontId="114" fillId="56" borderId="175" applyNumberFormat="0" applyAlignment="0" applyProtection="0"/>
    <xf numFmtId="0" fontId="114" fillId="56" borderId="175" applyNumberFormat="0" applyAlignment="0" applyProtection="0"/>
    <xf numFmtId="0" fontId="114" fillId="56" borderId="175" applyNumberFormat="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90" fillId="0" borderId="117">
      <alignment horizontal="left" vertical="center"/>
    </xf>
    <xf numFmtId="0" fontId="90" fillId="0" borderId="117">
      <alignment horizontal="left" vertical="center"/>
    </xf>
    <xf numFmtId="0" fontId="22" fillId="0" borderId="0">
      <alignment vertical="center"/>
    </xf>
    <xf numFmtId="0" fontId="22" fillId="0" borderId="0">
      <alignment vertical="center"/>
    </xf>
    <xf numFmtId="0" fontId="118" fillId="54" borderId="175" applyNumberFormat="0" applyAlignment="0" applyProtection="0"/>
    <xf numFmtId="0" fontId="60" fillId="0" borderId="0">
      <alignment vertical="top"/>
    </xf>
    <xf numFmtId="0" fontId="118" fillId="54" borderId="175" applyNumberFormat="0" applyAlignment="0" applyProtection="0"/>
    <xf numFmtId="0" fontId="118" fillId="54" borderId="175" applyNumberFormat="0" applyAlignment="0" applyProtection="0"/>
    <xf numFmtId="0" fontId="118" fillId="54" borderId="175" applyNumberFormat="0" applyAlignment="0" applyProtection="0"/>
    <xf numFmtId="0" fontId="118" fillId="54" borderId="175" applyNumberFormat="0" applyAlignment="0" applyProtection="0"/>
    <xf numFmtId="0" fontId="118" fillId="54" borderId="175" applyNumberFormat="0" applyAlignment="0" applyProtection="0"/>
    <xf numFmtId="0" fontId="118" fillId="54" borderId="175" applyNumberFormat="0" applyAlignment="0" applyProtection="0"/>
    <xf numFmtId="0" fontId="118" fillId="54" borderId="175" applyNumberFormat="0" applyAlignment="0" applyProtection="0"/>
    <xf numFmtId="0" fontId="118" fillId="54" borderId="175" applyNumberFormat="0" applyAlignment="0" applyProtection="0"/>
    <xf numFmtId="0" fontId="24" fillId="0" borderId="0"/>
    <xf numFmtId="0" fontId="24" fillId="0" borderId="0"/>
    <xf numFmtId="0" fontId="24" fillId="0" borderId="0"/>
    <xf numFmtId="0" fontId="24" fillId="0" borderId="0"/>
    <xf numFmtId="0" fontId="24" fillId="0" borderId="0"/>
    <xf numFmtId="0" fontId="148" fillId="0" borderId="0"/>
    <xf numFmtId="0" fontId="148" fillId="0" borderId="0"/>
    <xf numFmtId="0" fontId="60" fillId="0" borderId="0">
      <alignment vertical="top"/>
    </xf>
    <xf numFmtId="0" fontId="60" fillId="0" borderId="0">
      <alignment vertical="top"/>
    </xf>
    <xf numFmtId="0" fontId="60" fillId="0" borderId="0">
      <alignment vertical="top"/>
    </xf>
    <xf numFmtId="0" fontId="148" fillId="0" borderId="0"/>
    <xf numFmtId="0" fontId="60" fillId="0" borderId="0">
      <alignment vertical="top"/>
    </xf>
    <xf numFmtId="0" fontId="24" fillId="0" borderId="0"/>
    <xf numFmtId="0" fontId="24" fillId="0" borderId="0"/>
    <xf numFmtId="0" fontId="24" fillId="0" borderId="0"/>
    <xf numFmtId="0" fontId="88" fillId="53" borderId="175" applyNumberFormat="0" applyFont="0" applyAlignment="0" applyProtection="0"/>
    <xf numFmtId="0" fontId="88" fillId="53" borderId="175" applyNumberFormat="0" applyFont="0" applyAlignment="0" applyProtection="0"/>
    <xf numFmtId="0" fontId="88" fillId="53" borderId="175" applyNumberFormat="0" applyFont="0" applyAlignment="0" applyProtection="0"/>
    <xf numFmtId="0" fontId="88" fillId="53" borderId="175" applyNumberFormat="0" applyFont="0" applyAlignment="0" applyProtection="0"/>
    <xf numFmtId="0" fontId="88" fillId="53" borderId="175" applyNumberFormat="0" applyFont="0" applyAlignment="0" applyProtection="0"/>
    <xf numFmtId="0" fontId="24" fillId="0" borderId="0"/>
    <xf numFmtId="0" fontId="24" fillId="0" borderId="0"/>
    <xf numFmtId="0" fontId="120" fillId="56" borderId="173" applyNumberFormat="0" applyAlignment="0" applyProtection="0"/>
    <xf numFmtId="0" fontId="120" fillId="56" borderId="173" applyNumberFormat="0" applyAlignment="0" applyProtection="0"/>
    <xf numFmtId="0" fontId="120" fillId="56" borderId="173" applyNumberFormat="0" applyAlignment="0" applyProtection="0"/>
    <xf numFmtId="0" fontId="120" fillId="56" borderId="173" applyNumberFormat="0" applyAlignment="0" applyProtection="0"/>
    <xf numFmtId="0" fontId="120" fillId="56" borderId="173" applyNumberFormat="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 fontId="60" fillId="2" borderId="173" applyNumberFormat="0" applyProtection="0">
      <alignment vertical="center"/>
    </xf>
    <xf numFmtId="4" fontId="60" fillId="2" borderId="173" applyNumberFormat="0" applyProtection="0">
      <alignment vertical="center"/>
    </xf>
    <xf numFmtId="4" fontId="60" fillId="2" borderId="173" applyNumberFormat="0" applyProtection="0">
      <alignment vertical="center"/>
    </xf>
    <xf numFmtId="4" fontId="60" fillId="2" borderId="173" applyNumberFormat="0" applyProtection="0">
      <alignment vertical="center"/>
    </xf>
    <xf numFmtId="0" fontId="24" fillId="0" borderId="0"/>
    <xf numFmtId="4" fontId="100" fillId="2" borderId="173" applyNumberFormat="0" applyProtection="0">
      <alignment vertical="center"/>
    </xf>
    <xf numFmtId="4" fontId="100" fillId="2" borderId="173" applyNumberFormat="0" applyProtection="0">
      <alignment vertical="center"/>
    </xf>
    <xf numFmtId="4" fontId="100" fillId="2" borderId="173" applyNumberFormat="0" applyProtection="0">
      <alignment vertical="center"/>
    </xf>
    <xf numFmtId="4" fontId="100" fillId="2" borderId="173" applyNumberFormat="0" applyProtection="0">
      <alignment vertical="center"/>
    </xf>
    <xf numFmtId="0" fontId="24" fillId="0" borderId="0"/>
    <xf numFmtId="4" fontId="60" fillId="2" borderId="173" applyNumberFormat="0" applyProtection="0">
      <alignment horizontal="left" vertical="center" indent="1"/>
    </xf>
    <xf numFmtId="4" fontId="60" fillId="2" borderId="173" applyNumberFormat="0" applyProtection="0">
      <alignment horizontal="left" vertical="center" indent="1"/>
    </xf>
    <xf numFmtId="4" fontId="60" fillId="2" borderId="173" applyNumberFormat="0" applyProtection="0">
      <alignment horizontal="left" vertical="center" indent="1"/>
    </xf>
    <xf numFmtId="4" fontId="60" fillId="2" borderId="173" applyNumberFormat="0" applyProtection="0">
      <alignment horizontal="left" vertical="center" indent="1"/>
    </xf>
    <xf numFmtId="0" fontId="24" fillId="0" borderId="0"/>
    <xf numFmtId="4" fontId="60" fillId="2" borderId="173" applyNumberFormat="0" applyProtection="0">
      <alignment horizontal="left" vertical="center" indent="1"/>
    </xf>
    <xf numFmtId="4" fontId="60" fillId="2" borderId="173" applyNumberFormat="0" applyProtection="0">
      <alignment horizontal="left" vertical="center" indent="1"/>
    </xf>
    <xf numFmtId="4" fontId="60" fillId="2" borderId="173" applyNumberFormat="0" applyProtection="0">
      <alignment horizontal="left" vertical="center" indent="1"/>
    </xf>
    <xf numFmtId="4" fontId="60" fillId="2" borderId="173" applyNumberFormat="0" applyProtection="0">
      <alignment horizontal="left" vertical="center" indent="1"/>
    </xf>
    <xf numFmtId="0" fontId="24" fillId="0" borderId="0"/>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24" fillId="0" borderId="0"/>
    <xf numFmtId="4" fontId="60" fillId="20" borderId="173" applyNumberFormat="0" applyProtection="0">
      <alignment horizontal="right" vertical="center"/>
    </xf>
    <xf numFmtId="4" fontId="60" fillId="20" borderId="173" applyNumberFormat="0" applyProtection="0">
      <alignment horizontal="right" vertical="center"/>
    </xf>
    <xf numFmtId="4" fontId="60" fillId="20" borderId="173" applyNumberFormat="0" applyProtection="0">
      <alignment horizontal="right" vertical="center"/>
    </xf>
    <xf numFmtId="4" fontId="60" fillId="20" borderId="173" applyNumberFormat="0" applyProtection="0">
      <alignment horizontal="right" vertical="center"/>
    </xf>
    <xf numFmtId="4" fontId="60" fillId="21" borderId="173" applyNumberFormat="0" applyProtection="0">
      <alignment horizontal="right" vertical="center"/>
    </xf>
    <xf numFmtId="4" fontId="60" fillId="21" borderId="173" applyNumberFormat="0" applyProtection="0">
      <alignment horizontal="right" vertical="center"/>
    </xf>
    <xf numFmtId="4" fontId="60" fillId="21" borderId="173" applyNumberFormat="0" applyProtection="0">
      <alignment horizontal="right" vertical="center"/>
    </xf>
    <xf numFmtId="4" fontId="60" fillId="21" borderId="173" applyNumberFormat="0" applyProtection="0">
      <alignment horizontal="right" vertical="center"/>
    </xf>
    <xf numFmtId="4" fontId="60" fillId="22" borderId="173" applyNumberFormat="0" applyProtection="0">
      <alignment horizontal="right" vertical="center"/>
    </xf>
    <xf numFmtId="4" fontId="60" fillId="22" borderId="173" applyNumberFormat="0" applyProtection="0">
      <alignment horizontal="right" vertical="center"/>
    </xf>
    <xf numFmtId="4" fontId="60" fillId="22" borderId="173" applyNumberFormat="0" applyProtection="0">
      <alignment horizontal="right" vertical="center"/>
    </xf>
    <xf numFmtId="4" fontId="60" fillId="22" borderId="173" applyNumberFormat="0" applyProtection="0">
      <alignment horizontal="right" vertical="center"/>
    </xf>
    <xf numFmtId="4" fontId="60" fillId="23" borderId="173" applyNumberFormat="0" applyProtection="0">
      <alignment horizontal="right" vertical="center"/>
    </xf>
    <xf numFmtId="4" fontId="60" fillId="23" borderId="173" applyNumberFormat="0" applyProtection="0">
      <alignment horizontal="right" vertical="center"/>
    </xf>
    <xf numFmtId="4" fontId="60" fillId="23" borderId="173" applyNumberFormat="0" applyProtection="0">
      <alignment horizontal="right" vertical="center"/>
    </xf>
    <xf numFmtId="4" fontId="60" fillId="23" borderId="173" applyNumberFormat="0" applyProtection="0">
      <alignment horizontal="right" vertical="center"/>
    </xf>
    <xf numFmtId="4" fontId="60" fillId="24" borderId="173" applyNumberFormat="0" applyProtection="0">
      <alignment horizontal="right" vertical="center"/>
    </xf>
    <xf numFmtId="4" fontId="60" fillId="24" borderId="173" applyNumberFormat="0" applyProtection="0">
      <alignment horizontal="right" vertical="center"/>
    </xf>
    <xf numFmtId="4" fontId="60" fillId="24" borderId="173" applyNumberFormat="0" applyProtection="0">
      <alignment horizontal="right" vertical="center"/>
    </xf>
    <xf numFmtId="4" fontId="60" fillId="24" borderId="173" applyNumberFormat="0" applyProtection="0">
      <alignment horizontal="right" vertical="center"/>
    </xf>
    <xf numFmtId="4" fontId="60" fillId="25" borderId="173" applyNumberFormat="0" applyProtection="0">
      <alignment horizontal="right" vertical="center"/>
    </xf>
    <xf numFmtId="4" fontId="60" fillId="25" borderId="173" applyNumberFormat="0" applyProtection="0">
      <alignment horizontal="right" vertical="center"/>
    </xf>
    <xf numFmtId="4" fontId="60" fillId="25" borderId="173" applyNumberFormat="0" applyProtection="0">
      <alignment horizontal="right" vertical="center"/>
    </xf>
    <xf numFmtId="4" fontId="60" fillId="25" borderId="173" applyNumberFormat="0" applyProtection="0">
      <alignment horizontal="right" vertical="center"/>
    </xf>
    <xf numFmtId="4" fontId="60" fillId="26" borderId="173" applyNumberFormat="0" applyProtection="0">
      <alignment horizontal="right" vertical="center"/>
    </xf>
    <xf numFmtId="4" fontId="60" fillId="26" borderId="173" applyNumberFormat="0" applyProtection="0">
      <alignment horizontal="right" vertical="center"/>
    </xf>
    <xf numFmtId="4" fontId="60" fillId="26" borderId="173" applyNumberFormat="0" applyProtection="0">
      <alignment horizontal="right" vertical="center"/>
    </xf>
    <xf numFmtId="4" fontId="60" fillId="26" borderId="173" applyNumberFormat="0" applyProtection="0">
      <alignment horizontal="right" vertical="center"/>
    </xf>
    <xf numFmtId="0" fontId="24" fillId="0" borderId="0"/>
    <xf numFmtId="4" fontId="60" fillId="27" borderId="173" applyNumberFormat="0" applyProtection="0">
      <alignment horizontal="right" vertical="center"/>
    </xf>
    <xf numFmtId="4" fontId="60" fillId="27" borderId="173" applyNumberFormat="0" applyProtection="0">
      <alignment horizontal="right" vertical="center"/>
    </xf>
    <xf numFmtId="4" fontId="60" fillId="27" borderId="173" applyNumberFormat="0" applyProtection="0">
      <alignment horizontal="right" vertical="center"/>
    </xf>
    <xf numFmtId="4" fontId="60" fillId="27" borderId="173" applyNumberFormat="0" applyProtection="0">
      <alignment horizontal="right" vertical="center"/>
    </xf>
    <xf numFmtId="0" fontId="24" fillId="0" borderId="0"/>
    <xf numFmtId="4" fontId="60" fillId="28" borderId="173" applyNumberFormat="0" applyProtection="0">
      <alignment horizontal="right" vertical="center"/>
    </xf>
    <xf numFmtId="4" fontId="60" fillId="28" borderId="173" applyNumberFormat="0" applyProtection="0">
      <alignment horizontal="right" vertical="center"/>
    </xf>
    <xf numFmtId="4" fontId="60" fillId="28" borderId="173" applyNumberFormat="0" applyProtection="0">
      <alignment horizontal="right" vertical="center"/>
    </xf>
    <xf numFmtId="4" fontId="60" fillId="28" borderId="173" applyNumberFormat="0" applyProtection="0">
      <alignment horizontal="right" vertical="center"/>
    </xf>
    <xf numFmtId="0" fontId="24" fillId="0" borderId="0"/>
    <xf numFmtId="4" fontId="101" fillId="29" borderId="173" applyNumberFormat="0" applyProtection="0">
      <alignment horizontal="left" vertical="center" indent="1"/>
    </xf>
    <xf numFmtId="4" fontId="101" fillId="29" borderId="173" applyNumberFormat="0" applyProtection="0">
      <alignment horizontal="left" vertical="center" indent="1"/>
    </xf>
    <xf numFmtId="4" fontId="101" fillId="29" borderId="173" applyNumberFormat="0" applyProtection="0">
      <alignment horizontal="left" vertical="center" indent="1"/>
    </xf>
    <xf numFmtId="4" fontId="101" fillId="29" borderId="173" applyNumberFormat="0" applyProtection="0">
      <alignment horizontal="left" vertical="center" indent="1"/>
    </xf>
    <xf numFmtId="0" fontId="24" fillId="0" borderId="0"/>
    <xf numFmtId="4" fontId="60" fillId="30" borderId="174" applyNumberFormat="0" applyProtection="0">
      <alignment horizontal="left" vertical="center" indent="1"/>
    </xf>
    <xf numFmtId="0" fontId="24" fillId="0" borderId="0"/>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4" fontId="60" fillId="30" borderId="173" applyNumberFormat="0" applyProtection="0">
      <alignment horizontal="left" vertical="center" indent="1"/>
    </xf>
    <xf numFmtId="4" fontId="60" fillId="30" borderId="173" applyNumberFormat="0" applyProtection="0">
      <alignment horizontal="left" vertical="center" indent="1"/>
    </xf>
    <xf numFmtId="4" fontId="60" fillId="30" borderId="173" applyNumberFormat="0" applyProtection="0">
      <alignment horizontal="left" vertical="center" indent="1"/>
    </xf>
    <xf numFmtId="4" fontId="60" fillId="30" borderId="173" applyNumberFormat="0" applyProtection="0">
      <alignment horizontal="left" vertical="center" indent="1"/>
    </xf>
    <xf numFmtId="4" fontId="60" fillId="32" borderId="173" applyNumberFormat="0" applyProtection="0">
      <alignment horizontal="left" vertical="center" indent="1"/>
    </xf>
    <xf numFmtId="4" fontId="60" fillId="32" borderId="173" applyNumberFormat="0" applyProtection="0">
      <alignment horizontal="left" vertical="center" indent="1"/>
    </xf>
    <xf numFmtId="4" fontId="60" fillId="32" borderId="173" applyNumberFormat="0" applyProtection="0">
      <alignment horizontal="left" vertical="center" indent="1"/>
    </xf>
    <xf numFmtId="4" fontId="60" fillId="32" borderId="173" applyNumberFormat="0" applyProtection="0">
      <alignment horizontal="left" vertical="center" indent="1"/>
    </xf>
    <xf numFmtId="0" fontId="56" fillId="32" borderId="173" applyNumberFormat="0" applyProtection="0">
      <alignment horizontal="left" vertical="center" indent="1"/>
    </xf>
    <xf numFmtId="0" fontId="56" fillId="32" borderId="173" applyNumberFormat="0" applyProtection="0">
      <alignment horizontal="left" vertical="center" indent="1"/>
    </xf>
    <xf numFmtId="0" fontId="56" fillId="32" borderId="173" applyNumberFormat="0" applyProtection="0">
      <alignment horizontal="left" vertical="center" indent="1"/>
    </xf>
    <xf numFmtId="0" fontId="56" fillId="32" borderId="173" applyNumberFormat="0" applyProtection="0">
      <alignment horizontal="left" vertical="center" indent="1"/>
    </xf>
    <xf numFmtId="0" fontId="24" fillId="0" borderId="0"/>
    <xf numFmtId="0" fontId="56" fillId="32" borderId="173" applyNumberFormat="0" applyProtection="0">
      <alignment horizontal="left" vertical="center" indent="1"/>
    </xf>
    <xf numFmtId="0" fontId="56" fillId="32" borderId="173" applyNumberFormat="0" applyProtection="0">
      <alignment horizontal="left" vertical="center" indent="1"/>
    </xf>
    <xf numFmtId="0" fontId="56" fillId="32" borderId="173" applyNumberFormat="0" applyProtection="0">
      <alignment horizontal="left" vertical="center" indent="1"/>
    </xf>
    <xf numFmtId="0" fontId="56" fillId="32" borderId="173" applyNumberFormat="0" applyProtection="0">
      <alignment horizontal="left" vertical="center" indent="1"/>
    </xf>
    <xf numFmtId="0" fontId="24" fillId="0" borderId="0"/>
    <xf numFmtId="0" fontId="56" fillId="33" borderId="173" applyNumberFormat="0" applyProtection="0">
      <alignment horizontal="left" vertical="center" indent="1"/>
    </xf>
    <xf numFmtId="0" fontId="56" fillId="33" borderId="173" applyNumberFormat="0" applyProtection="0">
      <alignment horizontal="left" vertical="center" indent="1"/>
    </xf>
    <xf numFmtId="0" fontId="56" fillId="33" borderId="173" applyNumberFormat="0" applyProtection="0">
      <alignment horizontal="left" vertical="center" indent="1"/>
    </xf>
    <xf numFmtId="0" fontId="56" fillId="33" borderId="173" applyNumberFormat="0" applyProtection="0">
      <alignment horizontal="left" vertical="center" indent="1"/>
    </xf>
    <xf numFmtId="0" fontId="24" fillId="0" borderId="0"/>
    <xf numFmtId="0" fontId="56" fillId="33" borderId="173" applyNumberFormat="0" applyProtection="0">
      <alignment horizontal="left" vertical="center" indent="1"/>
    </xf>
    <xf numFmtId="0" fontId="56" fillId="33" borderId="173" applyNumberFormat="0" applyProtection="0">
      <alignment horizontal="left" vertical="center" indent="1"/>
    </xf>
    <xf numFmtId="0" fontId="56" fillId="33" borderId="173" applyNumberFormat="0" applyProtection="0">
      <alignment horizontal="left" vertical="center" indent="1"/>
    </xf>
    <xf numFmtId="0" fontId="56" fillId="33" borderId="173" applyNumberFormat="0" applyProtection="0">
      <alignment horizontal="left" vertical="center" indent="1"/>
    </xf>
    <xf numFmtId="0" fontId="24" fillId="0" borderId="0"/>
    <xf numFmtId="0" fontId="56" fillId="34" borderId="173" applyNumberFormat="0" applyProtection="0">
      <alignment horizontal="left" vertical="center" indent="1"/>
    </xf>
    <xf numFmtId="0" fontId="56" fillId="34" borderId="173" applyNumberFormat="0" applyProtection="0">
      <alignment horizontal="left" vertical="center" indent="1"/>
    </xf>
    <xf numFmtId="0" fontId="56" fillId="34" borderId="173" applyNumberFormat="0" applyProtection="0">
      <alignment horizontal="left" vertical="center" indent="1"/>
    </xf>
    <xf numFmtId="0" fontId="56" fillId="34" borderId="173" applyNumberFormat="0" applyProtection="0">
      <alignment horizontal="left" vertical="center" indent="1"/>
    </xf>
    <xf numFmtId="0" fontId="24" fillId="0" borderId="0"/>
    <xf numFmtId="0" fontId="56" fillId="34" borderId="173" applyNumberFormat="0" applyProtection="0">
      <alignment horizontal="left" vertical="center" indent="1"/>
    </xf>
    <xf numFmtId="0" fontId="56" fillId="34" borderId="173" applyNumberFormat="0" applyProtection="0">
      <alignment horizontal="left" vertical="center" indent="1"/>
    </xf>
    <xf numFmtId="0" fontId="56" fillId="34" borderId="173" applyNumberFormat="0" applyProtection="0">
      <alignment horizontal="left" vertical="center" indent="1"/>
    </xf>
    <xf numFmtId="0" fontId="56" fillId="34"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121" fillId="60" borderId="176" applyBorder="0"/>
    <xf numFmtId="0" fontId="121" fillId="60" borderId="176" applyBorder="0"/>
    <xf numFmtId="0" fontId="121" fillId="60" borderId="176" applyBorder="0"/>
    <xf numFmtId="0" fontId="121" fillId="60" borderId="176" applyBorder="0"/>
    <xf numFmtId="0" fontId="121" fillId="60" borderId="176" applyBorder="0"/>
    <xf numFmtId="0" fontId="121" fillId="60" borderId="176" applyBorder="0"/>
    <xf numFmtId="4" fontId="60" fillId="35" borderId="173" applyNumberFormat="0" applyProtection="0">
      <alignment vertical="center"/>
    </xf>
    <xf numFmtId="4" fontId="60" fillId="35" borderId="173" applyNumberFormat="0" applyProtection="0">
      <alignment vertical="center"/>
    </xf>
    <xf numFmtId="4" fontId="60" fillId="35" borderId="173" applyNumberFormat="0" applyProtection="0">
      <alignment vertical="center"/>
    </xf>
    <xf numFmtId="4" fontId="60" fillId="35" borderId="173" applyNumberFormat="0" applyProtection="0">
      <alignment vertical="center"/>
    </xf>
    <xf numFmtId="0" fontId="24" fillId="0" borderId="0"/>
    <xf numFmtId="4" fontId="100" fillId="35" borderId="173" applyNumberFormat="0" applyProtection="0">
      <alignment vertical="center"/>
    </xf>
    <xf numFmtId="4" fontId="100" fillId="35" borderId="173" applyNumberFormat="0" applyProtection="0">
      <alignment vertical="center"/>
    </xf>
    <xf numFmtId="4" fontId="100" fillId="35" borderId="173" applyNumberFormat="0" applyProtection="0">
      <alignment vertical="center"/>
    </xf>
    <xf numFmtId="4" fontId="100" fillId="35" borderId="173" applyNumberFormat="0" applyProtection="0">
      <alignment vertical="center"/>
    </xf>
    <xf numFmtId="0" fontId="24" fillId="0" borderId="0"/>
    <xf numFmtId="4" fontId="60" fillId="35" borderId="173" applyNumberFormat="0" applyProtection="0">
      <alignment horizontal="left" vertical="center" indent="1"/>
    </xf>
    <xf numFmtId="4" fontId="60" fillId="35" borderId="173" applyNumberFormat="0" applyProtection="0">
      <alignment horizontal="left" vertical="center" indent="1"/>
    </xf>
    <xf numFmtId="4" fontId="60" fillId="35" borderId="173" applyNumberFormat="0" applyProtection="0">
      <alignment horizontal="left" vertical="center" indent="1"/>
    </xf>
    <xf numFmtId="4" fontId="60" fillId="35" borderId="173" applyNumberFormat="0" applyProtection="0">
      <alignment horizontal="left" vertical="center" indent="1"/>
    </xf>
    <xf numFmtId="0" fontId="24" fillId="0" borderId="0"/>
    <xf numFmtId="4" fontId="60" fillId="35" borderId="173" applyNumberFormat="0" applyProtection="0">
      <alignment horizontal="left" vertical="center" indent="1"/>
    </xf>
    <xf numFmtId="4" fontId="60" fillId="35" borderId="173" applyNumberFormat="0" applyProtection="0">
      <alignment horizontal="left" vertical="center" indent="1"/>
    </xf>
    <xf numFmtId="4" fontId="60" fillId="35" borderId="173" applyNumberFormat="0" applyProtection="0">
      <alignment horizontal="left" vertical="center" indent="1"/>
    </xf>
    <xf numFmtId="4" fontId="60" fillId="35" borderId="173" applyNumberFormat="0" applyProtection="0">
      <alignment horizontal="left" vertical="center" indent="1"/>
    </xf>
    <xf numFmtId="0" fontId="24" fillId="0" borderId="0"/>
    <xf numFmtId="4" fontId="60" fillId="30" borderId="173" applyNumberFormat="0" applyProtection="0">
      <alignment horizontal="right" vertical="center"/>
    </xf>
    <xf numFmtId="4" fontId="60" fillId="30" borderId="173" applyNumberFormat="0" applyProtection="0">
      <alignment horizontal="right" vertical="center"/>
    </xf>
    <xf numFmtId="4" fontId="60" fillId="30" borderId="173" applyNumberFormat="0" applyProtection="0">
      <alignment horizontal="right" vertical="center"/>
    </xf>
    <xf numFmtId="4" fontId="60" fillId="30" borderId="173" applyNumberFormat="0" applyProtection="0">
      <alignment horizontal="right" vertical="center"/>
    </xf>
    <xf numFmtId="0" fontId="24" fillId="0" borderId="0"/>
    <xf numFmtId="4" fontId="100" fillId="30" borderId="173" applyNumberFormat="0" applyProtection="0">
      <alignment horizontal="right" vertical="center"/>
    </xf>
    <xf numFmtId="4" fontId="100" fillId="30" borderId="173" applyNumberFormat="0" applyProtection="0">
      <alignment horizontal="right" vertical="center"/>
    </xf>
    <xf numFmtId="4" fontId="100" fillId="30" borderId="173" applyNumberFormat="0" applyProtection="0">
      <alignment horizontal="right" vertical="center"/>
    </xf>
    <xf numFmtId="4" fontId="100" fillId="30" borderId="173" applyNumberFormat="0" applyProtection="0">
      <alignment horizontal="right" vertical="center"/>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0" fontId="56" fillId="19" borderId="173" applyNumberFormat="0" applyProtection="0">
      <alignment horizontal="left" vertical="center" indent="1"/>
    </xf>
    <xf numFmtId="4" fontId="104" fillId="30" borderId="173" applyNumberFormat="0" applyProtection="0">
      <alignment horizontal="right" vertical="center"/>
    </xf>
    <xf numFmtId="4" fontId="104" fillId="30" borderId="173" applyNumberFormat="0" applyProtection="0">
      <alignment horizontal="right" vertical="center"/>
    </xf>
    <xf numFmtId="4" fontId="104" fillId="30" borderId="173" applyNumberFormat="0" applyProtection="0">
      <alignment horizontal="right" vertical="center"/>
    </xf>
    <xf numFmtId="4" fontId="104" fillId="30" borderId="173" applyNumberFormat="0" applyProtection="0">
      <alignment horizontal="right" vertical="center"/>
    </xf>
    <xf numFmtId="0" fontId="99" fillId="1" borderId="117" applyNumberFormat="0" applyFont="0" applyAlignment="0">
      <alignment horizontal="center"/>
    </xf>
    <xf numFmtId="0" fontId="99" fillId="1" borderId="117" applyNumberFormat="0" applyFont="0" applyAlignment="0">
      <alignment horizontal="center"/>
    </xf>
    <xf numFmtId="41" fontId="110" fillId="0" borderId="0">
      <protection locked="0"/>
    </xf>
    <xf numFmtId="0" fontId="61" fillId="0" borderId="0">
      <protection locked="0"/>
    </xf>
    <xf numFmtId="220" fontId="64" fillId="0" borderId="0"/>
    <xf numFmtId="219" fontId="22" fillId="0" borderId="0" applyFont="0" applyFill="0" applyBorder="0" applyAlignment="0" applyProtection="0"/>
    <xf numFmtId="0" fontId="22"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22" fillId="0" borderId="0"/>
    <xf numFmtId="0" fontId="18" fillId="0" borderId="0">
      <alignment vertical="center"/>
    </xf>
    <xf numFmtId="0" fontId="58" fillId="0" borderId="0">
      <alignment vertical="center"/>
    </xf>
    <xf numFmtId="41"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22"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5" fillId="0" borderId="0">
      <alignment vertical="center"/>
    </xf>
    <xf numFmtId="41" fontId="145" fillId="0" borderId="0" applyFont="0" applyFill="0" applyBorder="0" applyAlignment="0" applyProtection="0">
      <alignment vertical="center"/>
    </xf>
    <xf numFmtId="0" fontId="58" fillId="0" borderId="0">
      <alignment vertical="center"/>
    </xf>
    <xf numFmtId="0" fontId="18" fillId="0" borderId="0">
      <alignment vertical="center"/>
    </xf>
    <xf numFmtId="9" fontId="24" fillId="0" borderId="0" applyFont="0" applyFill="0" applyBorder="0" applyAlignment="0" applyProtection="0"/>
    <xf numFmtId="41" fontId="18"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24" fillId="0" borderId="0" applyFont="0" applyFill="0" applyBorder="0" applyAlignment="0" applyProtection="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24" fillId="0" borderId="0" applyFont="0" applyFill="0" applyBorder="0" applyAlignment="0" applyProtection="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17" fillId="0" borderId="0">
      <alignment vertical="center"/>
    </xf>
    <xf numFmtId="41"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70" borderId="0" applyNumberFormat="0" applyBorder="0" applyAlignment="0" applyProtection="0">
      <alignment vertical="center"/>
    </xf>
    <xf numFmtId="0" fontId="17" fillId="71" borderId="0" applyNumberFormat="0" applyBorder="0" applyAlignment="0" applyProtection="0">
      <alignment vertical="center"/>
    </xf>
    <xf numFmtId="0" fontId="17" fillId="74" borderId="0" applyNumberFormat="0" applyBorder="0" applyAlignment="0" applyProtection="0">
      <alignment vertical="center"/>
    </xf>
    <xf numFmtId="0" fontId="17" fillId="75" borderId="0" applyNumberFormat="0" applyBorder="0" applyAlignment="0" applyProtection="0">
      <alignment vertical="center"/>
    </xf>
    <xf numFmtId="0" fontId="17" fillId="78" borderId="0" applyNumberFormat="0" applyBorder="0" applyAlignment="0" applyProtection="0">
      <alignment vertical="center"/>
    </xf>
    <xf numFmtId="0" fontId="17" fillId="79" borderId="0" applyNumberFormat="0" applyBorder="0" applyAlignment="0" applyProtection="0">
      <alignment vertical="center"/>
    </xf>
    <xf numFmtId="0" fontId="17" fillId="82" borderId="0" applyNumberFormat="0" applyBorder="0" applyAlignment="0" applyProtection="0">
      <alignment vertical="center"/>
    </xf>
    <xf numFmtId="0" fontId="17" fillId="83" borderId="0" applyNumberFormat="0" applyBorder="0" applyAlignment="0" applyProtection="0">
      <alignment vertical="center"/>
    </xf>
    <xf numFmtId="0" fontId="17" fillId="86" borderId="0" applyNumberFormat="0" applyBorder="0" applyAlignment="0" applyProtection="0">
      <alignment vertical="center"/>
    </xf>
    <xf numFmtId="0" fontId="17" fillId="87" borderId="0" applyNumberFormat="0" applyBorder="0" applyAlignment="0" applyProtection="0">
      <alignment vertical="center"/>
    </xf>
    <xf numFmtId="0" fontId="17" fillId="90" borderId="0" applyNumberFormat="0" applyBorder="0" applyAlignment="0" applyProtection="0">
      <alignment vertical="center"/>
    </xf>
    <xf numFmtId="0" fontId="17" fillId="91" borderId="0" applyNumberFormat="0" applyBorder="0" applyAlignment="0" applyProtection="0">
      <alignment vertical="center"/>
    </xf>
    <xf numFmtId="0" fontId="22" fillId="0" borderId="0">
      <alignment vertical="center"/>
    </xf>
    <xf numFmtId="9" fontId="22" fillId="0" borderId="0" applyFont="0" applyFill="0" applyBorder="0" applyAlignment="0" applyProtection="0">
      <alignment vertical="center"/>
    </xf>
    <xf numFmtId="41" fontId="22" fillId="0" borderId="0" applyFont="0" applyFill="0" applyBorder="0" applyAlignment="0" applyProtection="0">
      <alignment vertical="center"/>
    </xf>
    <xf numFmtId="42" fontId="22" fillId="0" borderId="0" applyFont="0" applyFill="0" applyBorder="0" applyAlignment="0" applyProtection="0">
      <alignment vertical="center"/>
    </xf>
    <xf numFmtId="0" fontId="118" fillId="54" borderId="175" applyNumberFormat="0" applyAlignment="0" applyProtection="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1"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3" fontId="67" fillId="0" borderId="184"/>
    <xf numFmtId="3" fontId="67" fillId="0" borderId="184"/>
    <xf numFmtId="3" fontId="67" fillId="0" borderId="184"/>
    <xf numFmtId="3" fontId="67" fillId="0" borderId="184"/>
    <xf numFmtId="3" fontId="67" fillId="0" borderId="184"/>
    <xf numFmtId="3" fontId="67" fillId="0" borderId="184"/>
    <xf numFmtId="196" fontId="83" fillId="0" borderId="184" applyFill="0" applyBorder="0" applyAlignment="0"/>
    <xf numFmtId="196" fontId="83" fillId="0" borderId="184" applyFill="0" applyBorder="0" applyAlignment="0"/>
    <xf numFmtId="10" fontId="88" fillId="17" borderId="184" applyNumberFormat="0" applyBorder="0" applyAlignment="0" applyProtection="0"/>
    <xf numFmtId="10" fontId="88" fillId="17" borderId="184" applyNumberFormat="0" applyBorder="0" applyAlignment="0" applyProtection="0"/>
    <xf numFmtId="0" fontId="88" fillId="61" borderId="184"/>
    <xf numFmtId="0" fontId="88" fillId="61" borderId="184"/>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1"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1" fontId="17" fillId="0" borderId="0" applyFont="0" applyFill="0" applyBorder="0" applyAlignment="0" applyProtection="0">
      <alignment vertical="center"/>
    </xf>
    <xf numFmtId="0" fontId="17" fillId="68" borderId="170" applyNumberFormat="0" applyFont="0" applyAlignment="0" applyProtection="0">
      <alignment vertical="center"/>
    </xf>
    <xf numFmtId="0" fontId="90" fillId="0" borderId="185">
      <alignment horizontal="left" vertical="center"/>
    </xf>
    <xf numFmtId="4" fontId="60" fillId="2" borderId="186" applyNumberFormat="0" applyProtection="0">
      <alignment vertical="center"/>
    </xf>
    <xf numFmtId="4" fontId="100" fillId="2" borderId="186" applyNumberFormat="0" applyProtection="0">
      <alignment vertical="center"/>
    </xf>
    <xf numFmtId="4" fontId="60" fillId="2" borderId="186" applyNumberFormat="0" applyProtection="0">
      <alignment horizontal="left" vertical="center" indent="1"/>
    </xf>
    <xf numFmtId="4" fontId="60" fillId="2" borderId="186" applyNumberFormat="0" applyProtection="0">
      <alignment horizontal="left" vertical="center" indent="1"/>
    </xf>
    <xf numFmtId="0" fontId="56" fillId="19" borderId="186" applyNumberFormat="0" applyProtection="0">
      <alignment horizontal="left" vertical="center" indent="1"/>
    </xf>
    <xf numFmtId="4" fontId="60" fillId="20" borderId="186" applyNumberFormat="0" applyProtection="0">
      <alignment horizontal="right" vertical="center"/>
    </xf>
    <xf numFmtId="4" fontId="60" fillId="21" borderId="186" applyNumberFormat="0" applyProtection="0">
      <alignment horizontal="right" vertical="center"/>
    </xf>
    <xf numFmtId="4" fontId="60" fillId="22" borderId="186" applyNumberFormat="0" applyProtection="0">
      <alignment horizontal="right" vertical="center"/>
    </xf>
    <xf numFmtId="4" fontId="60" fillId="23" borderId="186" applyNumberFormat="0" applyProtection="0">
      <alignment horizontal="right" vertical="center"/>
    </xf>
    <xf numFmtId="4" fontId="60" fillId="24" borderId="186" applyNumberFormat="0" applyProtection="0">
      <alignment horizontal="right" vertical="center"/>
    </xf>
    <xf numFmtId="4" fontId="60" fillId="25" borderId="186" applyNumberFormat="0" applyProtection="0">
      <alignment horizontal="right" vertical="center"/>
    </xf>
    <xf numFmtId="4" fontId="60" fillId="26" borderId="186" applyNumberFormat="0" applyProtection="0">
      <alignment horizontal="right" vertical="center"/>
    </xf>
    <xf numFmtId="4" fontId="60" fillId="27" borderId="186" applyNumberFormat="0" applyProtection="0">
      <alignment horizontal="right" vertical="center"/>
    </xf>
    <xf numFmtId="4" fontId="60" fillId="28" borderId="186" applyNumberFormat="0" applyProtection="0">
      <alignment horizontal="right" vertical="center"/>
    </xf>
    <xf numFmtId="4" fontId="101" fillId="29" borderId="186" applyNumberFormat="0" applyProtection="0">
      <alignment horizontal="left" vertical="center" indent="1"/>
    </xf>
    <xf numFmtId="4" fontId="60" fillId="30" borderId="187" applyNumberFormat="0" applyProtection="0">
      <alignment horizontal="left" vertical="center" indent="1"/>
    </xf>
    <xf numFmtId="0" fontId="56" fillId="19" borderId="186" applyNumberFormat="0" applyProtection="0">
      <alignment horizontal="left" vertical="center" indent="1"/>
    </xf>
    <xf numFmtId="4" fontId="60" fillId="30" borderId="186" applyNumberFormat="0" applyProtection="0">
      <alignment horizontal="left" vertical="center" indent="1"/>
    </xf>
    <xf numFmtId="4" fontId="60" fillId="32" borderId="186" applyNumberFormat="0" applyProtection="0">
      <alignment horizontal="left" vertical="center" indent="1"/>
    </xf>
    <xf numFmtId="0" fontId="56" fillId="32" borderId="186" applyNumberFormat="0" applyProtection="0">
      <alignment horizontal="left" vertical="center" indent="1"/>
    </xf>
    <xf numFmtId="0" fontId="56" fillId="32" borderId="186" applyNumberFormat="0" applyProtection="0">
      <alignment horizontal="left" vertical="center" indent="1"/>
    </xf>
    <xf numFmtId="0" fontId="56" fillId="33" borderId="186" applyNumberFormat="0" applyProtection="0">
      <alignment horizontal="left" vertical="center" indent="1"/>
    </xf>
    <xf numFmtId="0" fontId="56" fillId="33" borderId="186" applyNumberFormat="0" applyProtection="0">
      <alignment horizontal="left" vertical="center" indent="1"/>
    </xf>
    <xf numFmtId="0" fontId="56" fillId="34" borderId="186" applyNumberFormat="0" applyProtection="0">
      <alignment horizontal="left" vertical="center" indent="1"/>
    </xf>
    <xf numFmtId="0" fontId="56" fillId="34"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4" fontId="60" fillId="35" borderId="186" applyNumberFormat="0" applyProtection="0">
      <alignment vertical="center"/>
    </xf>
    <xf numFmtId="4" fontId="100" fillId="35" borderId="186" applyNumberFormat="0" applyProtection="0">
      <alignment vertical="center"/>
    </xf>
    <xf numFmtId="4" fontId="60" fillId="35" borderId="186" applyNumberFormat="0" applyProtection="0">
      <alignment horizontal="left" vertical="center" indent="1"/>
    </xf>
    <xf numFmtId="4" fontId="60" fillId="35" borderId="186" applyNumberFormat="0" applyProtection="0">
      <alignment horizontal="left" vertical="center" indent="1"/>
    </xf>
    <xf numFmtId="4" fontId="60" fillId="30" borderId="186" applyNumberFormat="0" applyProtection="0">
      <alignment horizontal="right" vertical="center"/>
    </xf>
    <xf numFmtId="4" fontId="100" fillId="30" borderId="186" applyNumberFormat="0" applyProtection="0">
      <alignment horizontal="right" vertical="center"/>
    </xf>
    <xf numFmtId="0" fontId="56" fillId="19" borderId="186" applyNumberFormat="0" applyProtection="0">
      <alignment horizontal="left" vertical="center" indent="1"/>
    </xf>
    <xf numFmtId="0" fontId="56" fillId="19" borderId="186" applyNumberFormat="0" applyProtection="0">
      <alignment horizontal="left" vertical="center" indent="1"/>
    </xf>
    <xf numFmtId="4" fontId="104" fillId="30" borderId="186" applyNumberFormat="0" applyProtection="0">
      <alignment horizontal="right" vertical="center"/>
    </xf>
    <xf numFmtId="0" fontId="99" fillId="1" borderId="185" applyNumberFormat="0" applyFont="0" applyAlignment="0">
      <alignment horizontal="center"/>
    </xf>
    <xf numFmtId="0" fontId="17" fillId="0" borderId="0">
      <alignment vertical="center"/>
    </xf>
    <xf numFmtId="41"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63" fillId="111" borderId="186" applyNumberFormat="0" applyAlignment="0" applyProtection="0">
      <alignment vertical="center"/>
    </xf>
    <xf numFmtId="0" fontId="163" fillId="111" borderId="186" applyNumberFormat="0" applyAlignment="0" applyProtection="0">
      <alignment vertical="center"/>
    </xf>
    <xf numFmtId="0" fontId="157" fillId="98" borderId="190" applyNumberFormat="0" applyAlignment="0" applyProtection="0">
      <alignment vertical="center"/>
    </xf>
    <xf numFmtId="0" fontId="157" fillId="98" borderId="190" applyNumberFormat="0" applyAlignment="0" applyProtection="0">
      <alignment vertical="center"/>
    </xf>
    <xf numFmtId="0" fontId="146" fillId="0" borderId="192" applyNumberFormat="0" applyFill="0" applyAlignment="0" applyProtection="0">
      <alignment vertical="center"/>
    </xf>
    <xf numFmtId="0" fontId="146" fillId="0" borderId="192" applyNumberFormat="0" applyFill="0" applyAlignment="0" applyProtection="0">
      <alignment vertical="center"/>
    </xf>
    <xf numFmtId="0" fontId="22" fillId="10" borderId="191" applyNumberFormat="0" applyFont="0" applyAlignment="0" applyProtection="0">
      <alignment vertical="center"/>
    </xf>
    <xf numFmtId="0" fontId="22" fillId="10" borderId="191" applyNumberFormat="0" applyFont="0" applyAlignment="0" applyProtection="0">
      <alignment vertical="center"/>
    </xf>
    <xf numFmtId="0" fontId="151" fillId="111" borderId="190" applyNumberFormat="0" applyAlignment="0" applyProtection="0">
      <alignment vertical="center"/>
    </xf>
    <xf numFmtId="0" fontId="151" fillId="111" borderId="190" applyNumberFormat="0" applyAlignment="0" applyProtection="0">
      <alignment vertical="center"/>
    </xf>
    <xf numFmtId="0" fontId="114" fillId="56" borderId="188" applyNumberFormat="0" applyAlignment="0" applyProtection="0"/>
    <xf numFmtId="0" fontId="114" fillId="56" borderId="188" applyNumberFormat="0" applyAlignment="0" applyProtection="0"/>
    <xf numFmtId="0" fontId="114" fillId="56" borderId="188" applyNumberFormat="0" applyAlignment="0" applyProtection="0"/>
    <xf numFmtId="0" fontId="114" fillId="56" borderId="188" applyNumberFormat="0" applyAlignment="0" applyProtection="0"/>
    <xf numFmtId="0" fontId="114" fillId="56" borderId="188" applyNumberFormat="0" applyAlignment="0" applyProtection="0"/>
    <xf numFmtId="0" fontId="90" fillId="0" borderId="185">
      <alignment horizontal="left" vertical="center"/>
    </xf>
    <xf numFmtId="0" fontId="90" fillId="0" borderId="185">
      <alignment horizontal="left" vertical="center"/>
    </xf>
    <xf numFmtId="0" fontId="118" fillId="54" borderId="188" applyNumberFormat="0" applyAlignment="0" applyProtection="0"/>
    <xf numFmtId="0" fontId="118" fillId="54" borderId="188" applyNumberFormat="0" applyAlignment="0" applyProtection="0"/>
    <xf numFmtId="0" fontId="118" fillId="54" borderId="188" applyNumberFormat="0" applyAlignment="0" applyProtection="0"/>
    <xf numFmtId="0" fontId="118" fillId="54" borderId="188" applyNumberFormat="0" applyAlignment="0" applyProtection="0"/>
    <xf numFmtId="0" fontId="118" fillId="54" borderId="188" applyNumberFormat="0" applyAlignment="0" applyProtection="0"/>
    <xf numFmtId="0" fontId="118" fillId="54" borderId="188" applyNumberFormat="0" applyAlignment="0" applyProtection="0"/>
    <xf numFmtId="0" fontId="118" fillId="54" borderId="188" applyNumberFormat="0" applyAlignment="0" applyProtection="0"/>
    <xf numFmtId="0" fontId="118" fillId="54" borderId="188" applyNumberFormat="0" applyAlignment="0" applyProtection="0"/>
    <xf numFmtId="0" fontId="118" fillId="54" borderId="188" applyNumberFormat="0" applyAlignment="0" applyProtection="0"/>
    <xf numFmtId="0" fontId="88" fillId="53" borderId="188" applyNumberFormat="0" applyFont="0" applyAlignment="0" applyProtection="0"/>
    <xf numFmtId="0" fontId="88" fillId="53" borderId="188" applyNumberFormat="0" applyFont="0" applyAlignment="0" applyProtection="0"/>
    <xf numFmtId="0" fontId="88" fillId="53" borderId="188" applyNumberFormat="0" applyFont="0" applyAlignment="0" applyProtection="0"/>
    <xf numFmtId="0" fontId="88" fillId="53" borderId="188" applyNumberFormat="0" applyFont="0" applyAlignment="0" applyProtection="0"/>
    <xf numFmtId="0" fontId="88" fillId="53" borderId="188" applyNumberFormat="0" applyFont="0" applyAlignment="0" applyProtection="0"/>
    <xf numFmtId="0" fontId="120" fillId="56" borderId="186" applyNumberFormat="0" applyAlignment="0" applyProtection="0"/>
    <xf numFmtId="0" fontId="120" fillId="56" borderId="186" applyNumberFormat="0" applyAlignment="0" applyProtection="0"/>
    <xf numFmtId="0" fontId="120" fillId="56" borderId="186" applyNumberFormat="0" applyAlignment="0" applyProtection="0"/>
    <xf numFmtId="0" fontId="120" fillId="56" borderId="186" applyNumberFormat="0" applyAlignment="0" applyProtection="0"/>
    <xf numFmtId="0" fontId="120" fillId="56" borderId="186" applyNumberFormat="0" applyAlignment="0" applyProtection="0"/>
    <xf numFmtId="4" fontId="60" fillId="2" borderId="186" applyNumberFormat="0" applyProtection="0">
      <alignment vertical="center"/>
    </xf>
    <xf numFmtId="4" fontId="60" fillId="2" borderId="186" applyNumberFormat="0" applyProtection="0">
      <alignment vertical="center"/>
    </xf>
    <xf numFmtId="4" fontId="60" fillId="2" borderId="186" applyNumberFormat="0" applyProtection="0">
      <alignment vertical="center"/>
    </xf>
    <xf numFmtId="4" fontId="60" fillId="2" borderId="186" applyNumberFormat="0" applyProtection="0">
      <alignment vertical="center"/>
    </xf>
    <xf numFmtId="4" fontId="100" fillId="2" borderId="186" applyNumberFormat="0" applyProtection="0">
      <alignment vertical="center"/>
    </xf>
    <xf numFmtId="4" fontId="100" fillId="2" borderId="186" applyNumberFormat="0" applyProtection="0">
      <alignment vertical="center"/>
    </xf>
    <xf numFmtId="4" fontId="100" fillId="2" borderId="186" applyNumberFormat="0" applyProtection="0">
      <alignment vertical="center"/>
    </xf>
    <xf numFmtId="4" fontId="100" fillId="2" borderId="186" applyNumberFormat="0" applyProtection="0">
      <alignment vertical="center"/>
    </xf>
    <xf numFmtId="4" fontId="60" fillId="2" borderId="186" applyNumberFormat="0" applyProtection="0">
      <alignment horizontal="left" vertical="center" indent="1"/>
    </xf>
    <xf numFmtId="4" fontId="60" fillId="2" borderId="186" applyNumberFormat="0" applyProtection="0">
      <alignment horizontal="left" vertical="center" indent="1"/>
    </xf>
    <xf numFmtId="4" fontId="60" fillId="2" borderId="186" applyNumberFormat="0" applyProtection="0">
      <alignment horizontal="left" vertical="center" indent="1"/>
    </xf>
    <xf numFmtId="4" fontId="60" fillId="2" borderId="186" applyNumberFormat="0" applyProtection="0">
      <alignment horizontal="left" vertical="center" indent="1"/>
    </xf>
    <xf numFmtId="4" fontId="60" fillId="2" borderId="186" applyNumberFormat="0" applyProtection="0">
      <alignment horizontal="left" vertical="center" indent="1"/>
    </xf>
    <xf numFmtId="4" fontId="60" fillId="2" borderId="186" applyNumberFormat="0" applyProtection="0">
      <alignment horizontal="left" vertical="center" indent="1"/>
    </xf>
    <xf numFmtId="4" fontId="60" fillId="2" borderId="186" applyNumberFormat="0" applyProtection="0">
      <alignment horizontal="left" vertical="center" indent="1"/>
    </xf>
    <xf numFmtId="4" fontId="60" fillId="2"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4" fontId="60" fillId="20" borderId="186" applyNumberFormat="0" applyProtection="0">
      <alignment horizontal="right" vertical="center"/>
    </xf>
    <xf numFmtId="4" fontId="60" fillId="20" borderId="186" applyNumberFormat="0" applyProtection="0">
      <alignment horizontal="right" vertical="center"/>
    </xf>
    <xf numFmtId="4" fontId="60" fillId="20" borderId="186" applyNumberFormat="0" applyProtection="0">
      <alignment horizontal="right" vertical="center"/>
    </xf>
    <xf numFmtId="4" fontId="60" fillId="20" borderId="186" applyNumberFormat="0" applyProtection="0">
      <alignment horizontal="right" vertical="center"/>
    </xf>
    <xf numFmtId="4" fontId="60" fillId="21" borderId="186" applyNumberFormat="0" applyProtection="0">
      <alignment horizontal="right" vertical="center"/>
    </xf>
    <xf numFmtId="4" fontId="60" fillId="21" borderId="186" applyNumberFormat="0" applyProtection="0">
      <alignment horizontal="right" vertical="center"/>
    </xf>
    <xf numFmtId="4" fontId="60" fillId="21" borderId="186" applyNumberFormat="0" applyProtection="0">
      <alignment horizontal="right" vertical="center"/>
    </xf>
    <xf numFmtId="4" fontId="60" fillId="21" borderId="186" applyNumberFormat="0" applyProtection="0">
      <alignment horizontal="right" vertical="center"/>
    </xf>
    <xf numFmtId="4" fontId="60" fillId="22" borderId="186" applyNumberFormat="0" applyProtection="0">
      <alignment horizontal="right" vertical="center"/>
    </xf>
    <xf numFmtId="4" fontId="60" fillId="22" borderId="186" applyNumberFormat="0" applyProtection="0">
      <alignment horizontal="right" vertical="center"/>
    </xf>
    <xf numFmtId="4" fontId="60" fillId="22" borderId="186" applyNumberFormat="0" applyProtection="0">
      <alignment horizontal="right" vertical="center"/>
    </xf>
    <xf numFmtId="4" fontId="60" fillId="22" borderId="186" applyNumberFormat="0" applyProtection="0">
      <alignment horizontal="right" vertical="center"/>
    </xf>
    <xf numFmtId="4" fontId="60" fillId="23" borderId="186" applyNumberFormat="0" applyProtection="0">
      <alignment horizontal="right" vertical="center"/>
    </xf>
    <xf numFmtId="4" fontId="60" fillId="23" borderId="186" applyNumberFormat="0" applyProtection="0">
      <alignment horizontal="right" vertical="center"/>
    </xf>
    <xf numFmtId="4" fontId="60" fillId="23" borderId="186" applyNumberFormat="0" applyProtection="0">
      <alignment horizontal="right" vertical="center"/>
    </xf>
    <xf numFmtId="4" fontId="60" fillId="23" borderId="186" applyNumberFormat="0" applyProtection="0">
      <alignment horizontal="right" vertical="center"/>
    </xf>
    <xf numFmtId="4" fontId="60" fillId="24" borderId="186" applyNumberFormat="0" applyProtection="0">
      <alignment horizontal="right" vertical="center"/>
    </xf>
    <xf numFmtId="4" fontId="60" fillId="24" borderId="186" applyNumberFormat="0" applyProtection="0">
      <alignment horizontal="right" vertical="center"/>
    </xf>
    <xf numFmtId="4" fontId="60" fillId="24" borderId="186" applyNumberFormat="0" applyProtection="0">
      <alignment horizontal="right" vertical="center"/>
    </xf>
    <xf numFmtId="4" fontId="60" fillId="24" borderId="186" applyNumberFormat="0" applyProtection="0">
      <alignment horizontal="right" vertical="center"/>
    </xf>
    <xf numFmtId="4" fontId="60" fillId="25" borderId="186" applyNumberFormat="0" applyProtection="0">
      <alignment horizontal="right" vertical="center"/>
    </xf>
    <xf numFmtId="4" fontId="60" fillId="25" borderId="186" applyNumberFormat="0" applyProtection="0">
      <alignment horizontal="right" vertical="center"/>
    </xf>
    <xf numFmtId="4" fontId="60" fillId="25" borderId="186" applyNumberFormat="0" applyProtection="0">
      <alignment horizontal="right" vertical="center"/>
    </xf>
    <xf numFmtId="4" fontId="60" fillId="25" borderId="186" applyNumberFormat="0" applyProtection="0">
      <alignment horizontal="right" vertical="center"/>
    </xf>
    <xf numFmtId="4" fontId="60" fillId="26" borderId="186" applyNumberFormat="0" applyProtection="0">
      <alignment horizontal="right" vertical="center"/>
    </xf>
    <xf numFmtId="4" fontId="60" fillId="26" borderId="186" applyNumberFormat="0" applyProtection="0">
      <alignment horizontal="right" vertical="center"/>
    </xf>
    <xf numFmtId="4" fontId="60" fillId="26" borderId="186" applyNumberFormat="0" applyProtection="0">
      <alignment horizontal="right" vertical="center"/>
    </xf>
    <xf numFmtId="4" fontId="60" fillId="26" borderId="186" applyNumberFormat="0" applyProtection="0">
      <alignment horizontal="right" vertical="center"/>
    </xf>
    <xf numFmtId="4" fontId="60" fillId="27" borderId="186" applyNumberFormat="0" applyProtection="0">
      <alignment horizontal="right" vertical="center"/>
    </xf>
    <xf numFmtId="4" fontId="60" fillId="27" borderId="186" applyNumberFormat="0" applyProtection="0">
      <alignment horizontal="right" vertical="center"/>
    </xf>
    <xf numFmtId="4" fontId="60" fillId="27" borderId="186" applyNumberFormat="0" applyProtection="0">
      <alignment horizontal="right" vertical="center"/>
    </xf>
    <xf numFmtId="4" fontId="60" fillId="27" borderId="186" applyNumberFormat="0" applyProtection="0">
      <alignment horizontal="right" vertical="center"/>
    </xf>
    <xf numFmtId="4" fontId="60" fillId="28" borderId="186" applyNumberFormat="0" applyProtection="0">
      <alignment horizontal="right" vertical="center"/>
    </xf>
    <xf numFmtId="4" fontId="60" fillId="28" borderId="186" applyNumberFormat="0" applyProtection="0">
      <alignment horizontal="right" vertical="center"/>
    </xf>
    <xf numFmtId="4" fontId="60" fillId="28" borderId="186" applyNumberFormat="0" applyProtection="0">
      <alignment horizontal="right" vertical="center"/>
    </xf>
    <xf numFmtId="4" fontId="60" fillId="28" borderId="186" applyNumberFormat="0" applyProtection="0">
      <alignment horizontal="right" vertical="center"/>
    </xf>
    <xf numFmtId="4" fontId="101" fillId="29" borderId="186" applyNumberFormat="0" applyProtection="0">
      <alignment horizontal="left" vertical="center" indent="1"/>
    </xf>
    <xf numFmtId="4" fontId="101" fillId="29" borderId="186" applyNumberFormat="0" applyProtection="0">
      <alignment horizontal="left" vertical="center" indent="1"/>
    </xf>
    <xf numFmtId="4" fontId="101" fillId="29" borderId="186" applyNumberFormat="0" applyProtection="0">
      <alignment horizontal="left" vertical="center" indent="1"/>
    </xf>
    <xf numFmtId="4" fontId="101" fillId="29" borderId="186" applyNumberFormat="0" applyProtection="0">
      <alignment horizontal="left" vertical="center" indent="1"/>
    </xf>
    <xf numFmtId="4" fontId="60" fillId="30" borderId="187"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4" fontId="60" fillId="30" borderId="186" applyNumberFormat="0" applyProtection="0">
      <alignment horizontal="left" vertical="center" indent="1"/>
    </xf>
    <xf numFmtId="4" fontId="60" fillId="30" borderId="186" applyNumberFormat="0" applyProtection="0">
      <alignment horizontal="left" vertical="center" indent="1"/>
    </xf>
    <xf numFmtId="4" fontId="60" fillId="30" borderId="186" applyNumberFormat="0" applyProtection="0">
      <alignment horizontal="left" vertical="center" indent="1"/>
    </xf>
    <xf numFmtId="4" fontId="60" fillId="30" borderId="186" applyNumberFormat="0" applyProtection="0">
      <alignment horizontal="left" vertical="center" indent="1"/>
    </xf>
    <xf numFmtId="4" fontId="60" fillId="32" borderId="186" applyNumberFormat="0" applyProtection="0">
      <alignment horizontal="left" vertical="center" indent="1"/>
    </xf>
    <xf numFmtId="4" fontId="60" fillId="32" borderId="186" applyNumberFormat="0" applyProtection="0">
      <alignment horizontal="left" vertical="center" indent="1"/>
    </xf>
    <xf numFmtId="4" fontId="60" fillId="32" borderId="186" applyNumberFormat="0" applyProtection="0">
      <alignment horizontal="left" vertical="center" indent="1"/>
    </xf>
    <xf numFmtId="4" fontId="60" fillId="32" borderId="186" applyNumberFormat="0" applyProtection="0">
      <alignment horizontal="left" vertical="center" indent="1"/>
    </xf>
    <xf numFmtId="0" fontId="56" fillId="32" borderId="186" applyNumberFormat="0" applyProtection="0">
      <alignment horizontal="left" vertical="center" indent="1"/>
    </xf>
    <xf numFmtId="0" fontId="56" fillId="32" borderId="186" applyNumberFormat="0" applyProtection="0">
      <alignment horizontal="left" vertical="center" indent="1"/>
    </xf>
    <xf numFmtId="0" fontId="56" fillId="32" borderId="186" applyNumberFormat="0" applyProtection="0">
      <alignment horizontal="left" vertical="center" indent="1"/>
    </xf>
    <xf numFmtId="0" fontId="56" fillId="32" borderId="186" applyNumberFormat="0" applyProtection="0">
      <alignment horizontal="left" vertical="center" indent="1"/>
    </xf>
    <xf numFmtId="0" fontId="56" fillId="32" borderId="186" applyNumberFormat="0" applyProtection="0">
      <alignment horizontal="left" vertical="center" indent="1"/>
    </xf>
    <xf numFmtId="0" fontId="56" fillId="32" borderId="186" applyNumberFormat="0" applyProtection="0">
      <alignment horizontal="left" vertical="center" indent="1"/>
    </xf>
    <xf numFmtId="0" fontId="56" fillId="32" borderId="186" applyNumberFormat="0" applyProtection="0">
      <alignment horizontal="left" vertical="center" indent="1"/>
    </xf>
    <xf numFmtId="0" fontId="56" fillId="32" borderId="186" applyNumberFormat="0" applyProtection="0">
      <alignment horizontal="left" vertical="center" indent="1"/>
    </xf>
    <xf numFmtId="0" fontId="56" fillId="33" borderId="186" applyNumberFormat="0" applyProtection="0">
      <alignment horizontal="left" vertical="center" indent="1"/>
    </xf>
    <xf numFmtId="0" fontId="56" fillId="33" borderId="186" applyNumberFormat="0" applyProtection="0">
      <alignment horizontal="left" vertical="center" indent="1"/>
    </xf>
    <xf numFmtId="0" fontId="56" fillId="33" borderId="186" applyNumberFormat="0" applyProtection="0">
      <alignment horizontal="left" vertical="center" indent="1"/>
    </xf>
    <xf numFmtId="0" fontId="56" fillId="33" borderId="186" applyNumberFormat="0" applyProtection="0">
      <alignment horizontal="left" vertical="center" indent="1"/>
    </xf>
    <xf numFmtId="0" fontId="56" fillId="33" borderId="186" applyNumberFormat="0" applyProtection="0">
      <alignment horizontal="left" vertical="center" indent="1"/>
    </xf>
    <xf numFmtId="0" fontId="56" fillId="33" borderId="186" applyNumberFormat="0" applyProtection="0">
      <alignment horizontal="left" vertical="center" indent="1"/>
    </xf>
    <xf numFmtId="0" fontId="56" fillId="33" borderId="186" applyNumberFormat="0" applyProtection="0">
      <alignment horizontal="left" vertical="center" indent="1"/>
    </xf>
    <xf numFmtId="0" fontId="56" fillId="33" borderId="186" applyNumberFormat="0" applyProtection="0">
      <alignment horizontal="left" vertical="center" indent="1"/>
    </xf>
    <xf numFmtId="0" fontId="56" fillId="34" borderId="186" applyNumberFormat="0" applyProtection="0">
      <alignment horizontal="left" vertical="center" indent="1"/>
    </xf>
    <xf numFmtId="0" fontId="56" fillId="34" borderId="186" applyNumberFormat="0" applyProtection="0">
      <alignment horizontal="left" vertical="center" indent="1"/>
    </xf>
    <xf numFmtId="0" fontId="56" fillId="34" borderId="186" applyNumberFormat="0" applyProtection="0">
      <alignment horizontal="left" vertical="center" indent="1"/>
    </xf>
    <xf numFmtId="0" fontId="56" fillId="34" borderId="186" applyNumberFormat="0" applyProtection="0">
      <alignment horizontal="left" vertical="center" indent="1"/>
    </xf>
    <xf numFmtId="0" fontId="56" fillId="34" borderId="186" applyNumberFormat="0" applyProtection="0">
      <alignment horizontal="left" vertical="center" indent="1"/>
    </xf>
    <xf numFmtId="0" fontId="56" fillId="34" borderId="186" applyNumberFormat="0" applyProtection="0">
      <alignment horizontal="left" vertical="center" indent="1"/>
    </xf>
    <xf numFmtId="0" fontId="56" fillId="34" borderId="186" applyNumberFormat="0" applyProtection="0">
      <alignment horizontal="left" vertical="center" indent="1"/>
    </xf>
    <xf numFmtId="0" fontId="56" fillId="34"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121" fillId="60" borderId="189" applyBorder="0"/>
    <xf numFmtId="0" fontId="121" fillId="60" borderId="189" applyBorder="0"/>
    <xf numFmtId="0" fontId="121" fillId="60" borderId="189" applyBorder="0"/>
    <xf numFmtId="0" fontId="121" fillId="60" borderId="189" applyBorder="0"/>
    <xf numFmtId="0" fontId="121" fillId="60" borderId="189" applyBorder="0"/>
    <xf numFmtId="0" fontId="121" fillId="60" borderId="189" applyBorder="0"/>
    <xf numFmtId="4" fontId="60" fillId="35" borderId="186" applyNumberFormat="0" applyProtection="0">
      <alignment vertical="center"/>
    </xf>
    <xf numFmtId="4" fontId="60" fillId="35" borderId="186" applyNumberFormat="0" applyProtection="0">
      <alignment vertical="center"/>
    </xf>
    <xf numFmtId="4" fontId="60" fillId="35" borderId="186" applyNumberFormat="0" applyProtection="0">
      <alignment vertical="center"/>
    </xf>
    <xf numFmtId="4" fontId="60" fillId="35" borderId="186" applyNumberFormat="0" applyProtection="0">
      <alignment vertical="center"/>
    </xf>
    <xf numFmtId="4" fontId="100" fillId="35" borderId="186" applyNumberFormat="0" applyProtection="0">
      <alignment vertical="center"/>
    </xf>
    <xf numFmtId="4" fontId="100" fillId="35" borderId="186" applyNumberFormat="0" applyProtection="0">
      <alignment vertical="center"/>
    </xf>
    <xf numFmtId="4" fontId="100" fillId="35" borderId="186" applyNumberFormat="0" applyProtection="0">
      <alignment vertical="center"/>
    </xf>
    <xf numFmtId="4" fontId="100" fillId="35" borderId="186" applyNumberFormat="0" applyProtection="0">
      <alignment vertical="center"/>
    </xf>
    <xf numFmtId="4" fontId="60" fillId="35" borderId="186" applyNumberFormat="0" applyProtection="0">
      <alignment horizontal="left" vertical="center" indent="1"/>
    </xf>
    <xf numFmtId="4" fontId="60" fillId="35" borderId="186" applyNumberFormat="0" applyProtection="0">
      <alignment horizontal="left" vertical="center" indent="1"/>
    </xf>
    <xf numFmtId="4" fontId="60" fillId="35" borderId="186" applyNumberFormat="0" applyProtection="0">
      <alignment horizontal="left" vertical="center" indent="1"/>
    </xf>
    <xf numFmtId="4" fontId="60" fillId="35" borderId="186" applyNumberFormat="0" applyProtection="0">
      <alignment horizontal="left" vertical="center" indent="1"/>
    </xf>
    <xf numFmtId="4" fontId="60" fillId="35" borderId="186" applyNumberFormat="0" applyProtection="0">
      <alignment horizontal="left" vertical="center" indent="1"/>
    </xf>
    <xf numFmtId="4" fontId="60" fillId="35" borderId="186" applyNumberFormat="0" applyProtection="0">
      <alignment horizontal="left" vertical="center" indent="1"/>
    </xf>
    <xf numFmtId="4" fontId="60" fillId="35" borderId="186" applyNumberFormat="0" applyProtection="0">
      <alignment horizontal="left" vertical="center" indent="1"/>
    </xf>
    <xf numFmtId="4" fontId="60" fillId="35" borderId="186" applyNumberFormat="0" applyProtection="0">
      <alignment horizontal="left" vertical="center" indent="1"/>
    </xf>
    <xf numFmtId="4" fontId="60" fillId="30" borderId="186" applyNumberFormat="0" applyProtection="0">
      <alignment horizontal="right" vertical="center"/>
    </xf>
    <xf numFmtId="4" fontId="60" fillId="30" borderId="186" applyNumberFormat="0" applyProtection="0">
      <alignment horizontal="right" vertical="center"/>
    </xf>
    <xf numFmtId="4" fontId="60" fillId="30" borderId="186" applyNumberFormat="0" applyProtection="0">
      <alignment horizontal="right" vertical="center"/>
    </xf>
    <xf numFmtId="4" fontId="60" fillId="30" borderId="186" applyNumberFormat="0" applyProtection="0">
      <alignment horizontal="right" vertical="center"/>
    </xf>
    <xf numFmtId="4" fontId="100" fillId="30" borderId="186" applyNumberFormat="0" applyProtection="0">
      <alignment horizontal="right" vertical="center"/>
    </xf>
    <xf numFmtId="4" fontId="100" fillId="30" borderId="186" applyNumberFormat="0" applyProtection="0">
      <alignment horizontal="right" vertical="center"/>
    </xf>
    <xf numFmtId="4" fontId="100" fillId="30" borderId="186" applyNumberFormat="0" applyProtection="0">
      <alignment horizontal="right" vertical="center"/>
    </xf>
    <xf numFmtId="4" fontId="100" fillId="30" borderId="186" applyNumberFormat="0" applyProtection="0">
      <alignment horizontal="right" vertical="center"/>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0" fontId="56" fillId="19" borderId="186" applyNumberFormat="0" applyProtection="0">
      <alignment horizontal="left" vertical="center" indent="1"/>
    </xf>
    <xf numFmtId="4" fontId="104" fillId="30" borderId="186" applyNumberFormat="0" applyProtection="0">
      <alignment horizontal="right" vertical="center"/>
    </xf>
    <xf numFmtId="4" fontId="104" fillId="30" borderId="186" applyNumberFormat="0" applyProtection="0">
      <alignment horizontal="right" vertical="center"/>
    </xf>
    <xf numFmtId="4" fontId="104" fillId="30" borderId="186" applyNumberFormat="0" applyProtection="0">
      <alignment horizontal="right" vertical="center"/>
    </xf>
    <xf numFmtId="4" fontId="104" fillId="30" borderId="186" applyNumberFormat="0" applyProtection="0">
      <alignment horizontal="right" vertical="center"/>
    </xf>
    <xf numFmtId="0" fontId="99" fillId="1" borderId="185" applyNumberFormat="0" applyFont="0" applyAlignment="0">
      <alignment horizontal="center"/>
    </xf>
    <xf numFmtId="0" fontId="99" fillId="1" borderId="185" applyNumberFormat="0" applyFont="0" applyAlignment="0">
      <alignment horizont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1"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1"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2" fillId="0" borderId="0"/>
    <xf numFmtId="0" fontId="118" fillId="54" borderId="188" applyNumberFormat="0" applyAlignment="0" applyProtection="0"/>
    <xf numFmtId="0" fontId="118" fillId="54" borderId="188" applyNumberFormat="0" applyAlignment="0" applyProtection="0"/>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2" fillId="0" borderId="0"/>
    <xf numFmtId="0" fontId="16" fillId="0" borderId="0">
      <alignment vertical="center"/>
    </xf>
    <xf numFmtId="41" fontId="16" fillId="0" borderId="0" applyFont="0" applyFill="0" applyBorder="0" applyAlignment="0" applyProtection="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41" fontId="16" fillId="0" borderId="0" applyFont="0" applyFill="0" applyBorder="0" applyAlignment="0" applyProtection="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2" fillId="0" borderId="0"/>
    <xf numFmtId="0" fontId="118" fillId="54" borderId="188" applyNumberFormat="0" applyAlignment="0" applyProtection="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1"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1"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22" fillId="0" borderId="0"/>
    <xf numFmtId="0" fontId="114" fillId="56" borderId="197" applyNumberFormat="0" applyAlignment="0" applyProtection="0"/>
    <xf numFmtId="0" fontId="114" fillId="56" borderId="197" applyNumberFormat="0" applyAlignment="0" applyProtection="0"/>
    <xf numFmtId="0" fontId="114" fillId="56" borderId="197" applyNumberFormat="0" applyAlignment="0" applyProtection="0"/>
    <xf numFmtId="0" fontId="114" fillId="56" borderId="197" applyNumberFormat="0" applyAlignment="0" applyProtection="0"/>
    <xf numFmtId="0" fontId="114" fillId="56" borderId="197" applyNumberFormat="0" applyAlignment="0" applyProtection="0"/>
    <xf numFmtId="0" fontId="118" fillId="54" borderId="197" applyNumberFormat="0" applyAlignment="0" applyProtection="0"/>
    <xf numFmtId="0" fontId="118" fillId="54" borderId="197" applyNumberFormat="0" applyAlignment="0" applyProtection="0"/>
    <xf numFmtId="0" fontId="118" fillId="54" borderId="197" applyNumberFormat="0" applyAlignment="0" applyProtection="0"/>
    <xf numFmtId="0" fontId="118" fillId="54" borderId="197" applyNumberFormat="0" applyAlignment="0" applyProtection="0"/>
    <xf numFmtId="0" fontId="118" fillId="54" borderId="197" applyNumberFormat="0" applyAlignment="0" applyProtection="0"/>
    <xf numFmtId="0" fontId="118" fillId="54" borderId="197" applyNumberFormat="0" applyAlignment="0" applyProtection="0"/>
    <xf numFmtId="0" fontId="118" fillId="54" borderId="197" applyNumberFormat="0" applyAlignment="0" applyProtection="0"/>
    <xf numFmtId="0" fontId="118" fillId="54" borderId="197" applyNumberFormat="0" applyAlignment="0" applyProtection="0"/>
    <xf numFmtId="0" fontId="118" fillId="54" borderId="197" applyNumberFormat="0" applyAlignment="0" applyProtection="0"/>
    <xf numFmtId="0" fontId="88" fillId="53" borderId="197" applyNumberFormat="0" applyFont="0" applyAlignment="0" applyProtection="0"/>
    <xf numFmtId="0" fontId="88" fillId="53" borderId="197" applyNumberFormat="0" applyFont="0" applyAlignment="0" applyProtection="0"/>
    <xf numFmtId="0" fontId="88" fillId="53" borderId="197" applyNumberFormat="0" applyFont="0" applyAlignment="0" applyProtection="0"/>
    <xf numFmtId="0" fontId="88" fillId="53" borderId="197" applyNumberFormat="0" applyFont="0" applyAlignment="0" applyProtection="0"/>
    <xf numFmtId="0" fontId="88" fillId="53" borderId="197" applyNumberFormat="0" applyFont="0" applyAlignment="0" applyProtection="0"/>
    <xf numFmtId="0" fontId="120" fillId="56" borderId="198" applyNumberFormat="0" applyAlignment="0" applyProtection="0"/>
    <xf numFmtId="0" fontId="120" fillId="56" borderId="198" applyNumberFormat="0" applyAlignment="0" applyProtection="0"/>
    <xf numFmtId="0" fontId="120" fillId="56" borderId="198" applyNumberFormat="0" applyAlignment="0" applyProtection="0"/>
    <xf numFmtId="0" fontId="120" fillId="56" borderId="198" applyNumberFormat="0" applyAlignment="0" applyProtection="0"/>
    <xf numFmtId="0" fontId="120" fillId="56" borderId="198" applyNumberFormat="0" applyAlignment="0" applyProtection="0"/>
    <xf numFmtId="4" fontId="60" fillId="2" borderId="198" applyNumberFormat="0" applyProtection="0">
      <alignment vertical="center"/>
    </xf>
    <xf numFmtId="4" fontId="60" fillId="2" borderId="198" applyNumberFormat="0" applyProtection="0">
      <alignment vertical="center"/>
    </xf>
    <xf numFmtId="4" fontId="60" fillId="2" borderId="198" applyNumberFormat="0" applyProtection="0">
      <alignment vertical="center"/>
    </xf>
    <xf numFmtId="4" fontId="60" fillId="2" borderId="198" applyNumberFormat="0" applyProtection="0">
      <alignment vertical="center"/>
    </xf>
    <xf numFmtId="4" fontId="60" fillId="2" borderId="198" applyNumberFormat="0" applyProtection="0">
      <alignment vertical="center"/>
    </xf>
    <xf numFmtId="4" fontId="100" fillId="2" borderId="198" applyNumberFormat="0" applyProtection="0">
      <alignment vertical="center"/>
    </xf>
    <xf numFmtId="4" fontId="100" fillId="2" borderId="198" applyNumberFormat="0" applyProtection="0">
      <alignment vertical="center"/>
    </xf>
    <xf numFmtId="4" fontId="100" fillId="2" borderId="198" applyNumberFormat="0" applyProtection="0">
      <alignment vertical="center"/>
    </xf>
    <xf numFmtId="4" fontId="100" fillId="2" borderId="198" applyNumberFormat="0" applyProtection="0">
      <alignment vertical="center"/>
    </xf>
    <xf numFmtId="4" fontId="100" fillId="2" borderId="198" applyNumberFormat="0" applyProtection="0">
      <alignment vertical="center"/>
    </xf>
    <xf numFmtId="4" fontId="60" fillId="2" borderId="198" applyNumberFormat="0" applyProtection="0">
      <alignment horizontal="left" vertical="center" indent="1"/>
    </xf>
    <xf numFmtId="4" fontId="60" fillId="2" borderId="198" applyNumberFormat="0" applyProtection="0">
      <alignment horizontal="left" vertical="center" indent="1"/>
    </xf>
    <xf numFmtId="4" fontId="60" fillId="2" borderId="198" applyNumberFormat="0" applyProtection="0">
      <alignment horizontal="left" vertical="center" indent="1"/>
    </xf>
    <xf numFmtId="4" fontId="60" fillId="2" borderId="198" applyNumberFormat="0" applyProtection="0">
      <alignment horizontal="left" vertical="center" indent="1"/>
    </xf>
    <xf numFmtId="4" fontId="60" fillId="2" borderId="198" applyNumberFormat="0" applyProtection="0">
      <alignment horizontal="left" vertical="center" indent="1"/>
    </xf>
    <xf numFmtId="4" fontId="60" fillId="2" borderId="198" applyNumberFormat="0" applyProtection="0">
      <alignment horizontal="left" vertical="center" indent="1"/>
    </xf>
    <xf numFmtId="4" fontId="60" fillId="2" borderId="198" applyNumberFormat="0" applyProtection="0">
      <alignment horizontal="left" vertical="center" indent="1"/>
    </xf>
    <xf numFmtId="4" fontId="60" fillId="2" borderId="198" applyNumberFormat="0" applyProtection="0">
      <alignment horizontal="left" vertical="center" indent="1"/>
    </xf>
    <xf numFmtId="4" fontId="60" fillId="2" borderId="198" applyNumberFormat="0" applyProtection="0">
      <alignment horizontal="left" vertical="center" indent="1"/>
    </xf>
    <xf numFmtId="4" fontId="60" fillId="2"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4" fontId="60" fillId="20" borderId="198" applyNumberFormat="0" applyProtection="0">
      <alignment horizontal="right" vertical="center"/>
    </xf>
    <xf numFmtId="4" fontId="60" fillId="20" borderId="198" applyNumberFormat="0" applyProtection="0">
      <alignment horizontal="right" vertical="center"/>
    </xf>
    <xf numFmtId="4" fontId="60" fillId="20" borderId="198" applyNumberFormat="0" applyProtection="0">
      <alignment horizontal="right" vertical="center"/>
    </xf>
    <xf numFmtId="4" fontId="60" fillId="20" borderId="198" applyNumberFormat="0" applyProtection="0">
      <alignment horizontal="right" vertical="center"/>
    </xf>
    <xf numFmtId="4" fontId="60" fillId="20" borderId="198" applyNumberFormat="0" applyProtection="0">
      <alignment horizontal="right" vertical="center"/>
    </xf>
    <xf numFmtId="4" fontId="60" fillId="21" borderId="198" applyNumberFormat="0" applyProtection="0">
      <alignment horizontal="right" vertical="center"/>
    </xf>
    <xf numFmtId="4" fontId="60" fillId="21" borderId="198" applyNumberFormat="0" applyProtection="0">
      <alignment horizontal="right" vertical="center"/>
    </xf>
    <xf numFmtId="4" fontId="60" fillId="21" borderId="198" applyNumberFormat="0" applyProtection="0">
      <alignment horizontal="right" vertical="center"/>
    </xf>
    <xf numFmtId="4" fontId="60" fillId="21" borderId="198" applyNumberFormat="0" applyProtection="0">
      <alignment horizontal="right" vertical="center"/>
    </xf>
    <xf numFmtId="4" fontId="60" fillId="21" borderId="198" applyNumberFormat="0" applyProtection="0">
      <alignment horizontal="right" vertical="center"/>
    </xf>
    <xf numFmtId="4" fontId="60" fillId="22" borderId="198" applyNumberFormat="0" applyProtection="0">
      <alignment horizontal="right" vertical="center"/>
    </xf>
    <xf numFmtId="4" fontId="60" fillId="22" borderId="198" applyNumberFormat="0" applyProtection="0">
      <alignment horizontal="right" vertical="center"/>
    </xf>
    <xf numFmtId="4" fontId="60" fillId="22" borderId="198" applyNumberFormat="0" applyProtection="0">
      <alignment horizontal="right" vertical="center"/>
    </xf>
    <xf numFmtId="4" fontId="60" fillId="22" borderId="198" applyNumberFormat="0" applyProtection="0">
      <alignment horizontal="right" vertical="center"/>
    </xf>
    <xf numFmtId="4" fontId="60" fillId="22" borderId="198" applyNumberFormat="0" applyProtection="0">
      <alignment horizontal="right" vertical="center"/>
    </xf>
    <xf numFmtId="4" fontId="60" fillId="23" borderId="198" applyNumberFormat="0" applyProtection="0">
      <alignment horizontal="right" vertical="center"/>
    </xf>
    <xf numFmtId="4" fontId="60" fillId="23" borderId="198" applyNumberFormat="0" applyProtection="0">
      <alignment horizontal="right" vertical="center"/>
    </xf>
    <xf numFmtId="4" fontId="60" fillId="23" borderId="198" applyNumberFormat="0" applyProtection="0">
      <alignment horizontal="right" vertical="center"/>
    </xf>
    <xf numFmtId="4" fontId="60" fillId="23" borderId="198" applyNumberFormat="0" applyProtection="0">
      <alignment horizontal="right" vertical="center"/>
    </xf>
    <xf numFmtId="4" fontId="60" fillId="23" borderId="198" applyNumberFormat="0" applyProtection="0">
      <alignment horizontal="right" vertical="center"/>
    </xf>
    <xf numFmtId="4" fontId="60" fillId="24" borderId="198" applyNumberFormat="0" applyProtection="0">
      <alignment horizontal="right" vertical="center"/>
    </xf>
    <xf numFmtId="4" fontId="60" fillId="24" borderId="198" applyNumberFormat="0" applyProtection="0">
      <alignment horizontal="right" vertical="center"/>
    </xf>
    <xf numFmtId="4" fontId="60" fillId="24" borderId="198" applyNumberFormat="0" applyProtection="0">
      <alignment horizontal="right" vertical="center"/>
    </xf>
    <xf numFmtId="4" fontId="60" fillId="24" borderId="198" applyNumberFormat="0" applyProtection="0">
      <alignment horizontal="right" vertical="center"/>
    </xf>
    <xf numFmtId="4" fontId="60" fillId="24" borderId="198" applyNumberFormat="0" applyProtection="0">
      <alignment horizontal="right" vertical="center"/>
    </xf>
    <xf numFmtId="4" fontId="60" fillId="25" borderId="198" applyNumberFormat="0" applyProtection="0">
      <alignment horizontal="right" vertical="center"/>
    </xf>
    <xf numFmtId="4" fontId="60" fillId="25" borderId="198" applyNumberFormat="0" applyProtection="0">
      <alignment horizontal="right" vertical="center"/>
    </xf>
    <xf numFmtId="4" fontId="60" fillId="25" borderId="198" applyNumberFormat="0" applyProtection="0">
      <alignment horizontal="right" vertical="center"/>
    </xf>
    <xf numFmtId="4" fontId="60" fillId="25" borderId="198" applyNumberFormat="0" applyProtection="0">
      <alignment horizontal="right" vertical="center"/>
    </xf>
    <xf numFmtId="4" fontId="60" fillId="25" borderId="198" applyNumberFormat="0" applyProtection="0">
      <alignment horizontal="right" vertical="center"/>
    </xf>
    <xf numFmtId="4" fontId="60" fillId="26" borderId="198" applyNumberFormat="0" applyProtection="0">
      <alignment horizontal="right" vertical="center"/>
    </xf>
    <xf numFmtId="4" fontId="60" fillId="26" borderId="198" applyNumberFormat="0" applyProtection="0">
      <alignment horizontal="right" vertical="center"/>
    </xf>
    <xf numFmtId="4" fontId="60" fillId="26" borderId="198" applyNumberFormat="0" applyProtection="0">
      <alignment horizontal="right" vertical="center"/>
    </xf>
    <xf numFmtId="4" fontId="60" fillId="26" borderId="198" applyNumberFormat="0" applyProtection="0">
      <alignment horizontal="right" vertical="center"/>
    </xf>
    <xf numFmtId="4" fontId="60" fillId="26" borderId="198" applyNumberFormat="0" applyProtection="0">
      <alignment horizontal="right" vertical="center"/>
    </xf>
    <xf numFmtId="4" fontId="60" fillId="27" borderId="198" applyNumberFormat="0" applyProtection="0">
      <alignment horizontal="right" vertical="center"/>
    </xf>
    <xf numFmtId="4" fontId="60" fillId="27" borderId="198" applyNumberFormat="0" applyProtection="0">
      <alignment horizontal="right" vertical="center"/>
    </xf>
    <xf numFmtId="4" fontId="60" fillId="27" borderId="198" applyNumberFormat="0" applyProtection="0">
      <alignment horizontal="right" vertical="center"/>
    </xf>
    <xf numFmtId="4" fontId="60" fillId="27" borderId="198" applyNumberFormat="0" applyProtection="0">
      <alignment horizontal="right" vertical="center"/>
    </xf>
    <xf numFmtId="4" fontId="60" fillId="27" borderId="198" applyNumberFormat="0" applyProtection="0">
      <alignment horizontal="right" vertical="center"/>
    </xf>
    <xf numFmtId="4" fontId="60" fillId="28" borderId="198" applyNumberFormat="0" applyProtection="0">
      <alignment horizontal="right" vertical="center"/>
    </xf>
    <xf numFmtId="4" fontId="60" fillId="28" borderId="198" applyNumberFormat="0" applyProtection="0">
      <alignment horizontal="right" vertical="center"/>
    </xf>
    <xf numFmtId="4" fontId="60" fillId="28" borderId="198" applyNumberFormat="0" applyProtection="0">
      <alignment horizontal="right" vertical="center"/>
    </xf>
    <xf numFmtId="4" fontId="60" fillId="28" borderId="198" applyNumberFormat="0" applyProtection="0">
      <alignment horizontal="right" vertical="center"/>
    </xf>
    <xf numFmtId="4" fontId="60" fillId="28" borderId="198" applyNumberFormat="0" applyProtection="0">
      <alignment horizontal="right" vertical="center"/>
    </xf>
    <xf numFmtId="4" fontId="101" fillId="29" borderId="198" applyNumberFormat="0" applyProtection="0">
      <alignment horizontal="left" vertical="center" indent="1"/>
    </xf>
    <xf numFmtId="4" fontId="101" fillId="29" borderId="198" applyNumberFormat="0" applyProtection="0">
      <alignment horizontal="left" vertical="center" indent="1"/>
    </xf>
    <xf numFmtId="4" fontId="101" fillId="29" borderId="198" applyNumberFormat="0" applyProtection="0">
      <alignment horizontal="left" vertical="center" indent="1"/>
    </xf>
    <xf numFmtId="4" fontId="101" fillId="29" borderId="198" applyNumberFormat="0" applyProtection="0">
      <alignment horizontal="left" vertical="center" indent="1"/>
    </xf>
    <xf numFmtId="4" fontId="101" fillId="2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4" fontId="60" fillId="30" borderId="198" applyNumberFormat="0" applyProtection="0">
      <alignment horizontal="left" vertical="center" indent="1"/>
    </xf>
    <xf numFmtId="4" fontId="60" fillId="30" borderId="198" applyNumberFormat="0" applyProtection="0">
      <alignment horizontal="left" vertical="center" indent="1"/>
    </xf>
    <xf numFmtId="4" fontId="60" fillId="30" borderId="198" applyNumberFormat="0" applyProtection="0">
      <alignment horizontal="left" vertical="center" indent="1"/>
    </xf>
    <xf numFmtId="4" fontId="60" fillId="30" borderId="198" applyNumberFormat="0" applyProtection="0">
      <alignment horizontal="left" vertical="center" indent="1"/>
    </xf>
    <xf numFmtId="4" fontId="60" fillId="30" borderId="198" applyNumberFormat="0" applyProtection="0">
      <alignment horizontal="left" vertical="center" indent="1"/>
    </xf>
    <xf numFmtId="4" fontId="60" fillId="32" borderId="198" applyNumberFormat="0" applyProtection="0">
      <alignment horizontal="left" vertical="center" indent="1"/>
    </xf>
    <xf numFmtId="4" fontId="60" fillId="32" borderId="198" applyNumberFormat="0" applyProtection="0">
      <alignment horizontal="left" vertical="center" indent="1"/>
    </xf>
    <xf numFmtId="4" fontId="60" fillId="32" borderId="198" applyNumberFormat="0" applyProtection="0">
      <alignment horizontal="left" vertical="center" indent="1"/>
    </xf>
    <xf numFmtId="4" fontId="60" fillId="32" borderId="198" applyNumberFormat="0" applyProtection="0">
      <alignment horizontal="left" vertical="center" indent="1"/>
    </xf>
    <xf numFmtId="4" fontId="60" fillId="32" borderId="198" applyNumberFormat="0" applyProtection="0">
      <alignment horizontal="left" vertical="center" indent="1"/>
    </xf>
    <xf numFmtId="0" fontId="56" fillId="32" borderId="198" applyNumberFormat="0" applyProtection="0">
      <alignment horizontal="left" vertical="center" indent="1"/>
    </xf>
    <xf numFmtId="0" fontId="56" fillId="32" borderId="198" applyNumberFormat="0" applyProtection="0">
      <alignment horizontal="left" vertical="center" indent="1"/>
    </xf>
    <xf numFmtId="0" fontId="56" fillId="32" borderId="198" applyNumberFormat="0" applyProtection="0">
      <alignment horizontal="left" vertical="center" indent="1"/>
    </xf>
    <xf numFmtId="0" fontId="56" fillId="32" borderId="198" applyNumberFormat="0" applyProtection="0">
      <alignment horizontal="left" vertical="center" indent="1"/>
    </xf>
    <xf numFmtId="0" fontId="56" fillId="32" borderId="198" applyNumberFormat="0" applyProtection="0">
      <alignment horizontal="left" vertical="center" indent="1"/>
    </xf>
    <xf numFmtId="0" fontId="56" fillId="32" borderId="198" applyNumberFormat="0" applyProtection="0">
      <alignment horizontal="left" vertical="center" indent="1"/>
    </xf>
    <xf numFmtId="0" fontId="56" fillId="32" borderId="198" applyNumberFormat="0" applyProtection="0">
      <alignment horizontal="left" vertical="center" indent="1"/>
    </xf>
    <xf numFmtId="0" fontId="56" fillId="32" borderId="198" applyNumberFormat="0" applyProtection="0">
      <alignment horizontal="left" vertical="center" indent="1"/>
    </xf>
    <xf numFmtId="0" fontId="56" fillId="32" borderId="198" applyNumberFormat="0" applyProtection="0">
      <alignment horizontal="left" vertical="center" indent="1"/>
    </xf>
    <xf numFmtId="0" fontId="56" fillId="32" borderId="198" applyNumberFormat="0" applyProtection="0">
      <alignment horizontal="left" vertical="center" indent="1"/>
    </xf>
    <xf numFmtId="0" fontId="56" fillId="33" borderId="198" applyNumberFormat="0" applyProtection="0">
      <alignment horizontal="left" vertical="center" indent="1"/>
    </xf>
    <xf numFmtId="0" fontId="56" fillId="33" borderId="198" applyNumberFormat="0" applyProtection="0">
      <alignment horizontal="left" vertical="center" indent="1"/>
    </xf>
    <xf numFmtId="0" fontId="56" fillId="33" borderId="198" applyNumberFormat="0" applyProtection="0">
      <alignment horizontal="left" vertical="center" indent="1"/>
    </xf>
    <xf numFmtId="0" fontId="56" fillId="33" borderId="198" applyNumberFormat="0" applyProtection="0">
      <alignment horizontal="left" vertical="center" indent="1"/>
    </xf>
    <xf numFmtId="0" fontId="56" fillId="33" borderId="198" applyNumberFormat="0" applyProtection="0">
      <alignment horizontal="left" vertical="center" indent="1"/>
    </xf>
    <xf numFmtId="0" fontId="56" fillId="33" borderId="198" applyNumberFormat="0" applyProtection="0">
      <alignment horizontal="left" vertical="center" indent="1"/>
    </xf>
    <xf numFmtId="0" fontId="56" fillId="33" borderId="198" applyNumberFormat="0" applyProtection="0">
      <alignment horizontal="left" vertical="center" indent="1"/>
    </xf>
    <xf numFmtId="0" fontId="56" fillId="33" borderId="198" applyNumberFormat="0" applyProtection="0">
      <alignment horizontal="left" vertical="center" indent="1"/>
    </xf>
    <xf numFmtId="0" fontId="56" fillId="33" borderId="198" applyNumberFormat="0" applyProtection="0">
      <alignment horizontal="left" vertical="center" indent="1"/>
    </xf>
    <xf numFmtId="0" fontId="56" fillId="33" borderId="198" applyNumberFormat="0" applyProtection="0">
      <alignment horizontal="left" vertical="center" indent="1"/>
    </xf>
    <xf numFmtId="0" fontId="56" fillId="34" borderId="198" applyNumberFormat="0" applyProtection="0">
      <alignment horizontal="left" vertical="center" indent="1"/>
    </xf>
    <xf numFmtId="0" fontId="56" fillId="34" borderId="198" applyNumberFormat="0" applyProtection="0">
      <alignment horizontal="left" vertical="center" indent="1"/>
    </xf>
    <xf numFmtId="0" fontId="56" fillId="34" borderId="198" applyNumberFormat="0" applyProtection="0">
      <alignment horizontal="left" vertical="center" indent="1"/>
    </xf>
    <xf numFmtId="0" fontId="56" fillId="34" borderId="198" applyNumberFormat="0" applyProtection="0">
      <alignment horizontal="left" vertical="center" indent="1"/>
    </xf>
    <xf numFmtId="0" fontId="56" fillId="34" borderId="198" applyNumberFormat="0" applyProtection="0">
      <alignment horizontal="left" vertical="center" indent="1"/>
    </xf>
    <xf numFmtId="0" fontId="56" fillId="34" borderId="198" applyNumberFormat="0" applyProtection="0">
      <alignment horizontal="left" vertical="center" indent="1"/>
    </xf>
    <xf numFmtId="0" fontId="56" fillId="34" borderId="198" applyNumberFormat="0" applyProtection="0">
      <alignment horizontal="left" vertical="center" indent="1"/>
    </xf>
    <xf numFmtId="0" fontId="56" fillId="34" borderId="198" applyNumberFormat="0" applyProtection="0">
      <alignment horizontal="left" vertical="center" indent="1"/>
    </xf>
    <xf numFmtId="0" fontId="56" fillId="34" borderId="198" applyNumberFormat="0" applyProtection="0">
      <alignment horizontal="left" vertical="center" indent="1"/>
    </xf>
    <xf numFmtId="0" fontId="56" fillId="34"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121" fillId="60" borderId="199" applyBorder="0"/>
    <xf numFmtId="0" fontId="121" fillId="60" borderId="199" applyBorder="0"/>
    <xf numFmtId="0" fontId="121" fillId="60" borderId="199" applyBorder="0"/>
    <xf numFmtId="0" fontId="121" fillId="60" borderId="199" applyBorder="0"/>
    <xf numFmtId="0" fontId="121" fillId="60" borderId="199" applyBorder="0"/>
    <xf numFmtId="0" fontId="121" fillId="60" borderId="199" applyBorder="0"/>
    <xf numFmtId="4" fontId="60" fillId="35" borderId="198" applyNumberFormat="0" applyProtection="0">
      <alignment vertical="center"/>
    </xf>
    <xf numFmtId="4" fontId="60" fillId="35" borderId="198" applyNumberFormat="0" applyProtection="0">
      <alignment vertical="center"/>
    </xf>
    <xf numFmtId="4" fontId="60" fillId="35" borderId="198" applyNumberFormat="0" applyProtection="0">
      <alignment vertical="center"/>
    </xf>
    <xf numFmtId="4" fontId="60" fillId="35" borderId="198" applyNumberFormat="0" applyProtection="0">
      <alignment vertical="center"/>
    </xf>
    <xf numFmtId="4" fontId="60" fillId="35" borderId="198" applyNumberFormat="0" applyProtection="0">
      <alignment vertical="center"/>
    </xf>
    <xf numFmtId="4" fontId="100" fillId="35" borderId="198" applyNumberFormat="0" applyProtection="0">
      <alignment vertical="center"/>
    </xf>
    <xf numFmtId="4" fontId="100" fillId="35" borderId="198" applyNumberFormat="0" applyProtection="0">
      <alignment vertical="center"/>
    </xf>
    <xf numFmtId="4" fontId="100" fillId="35" borderId="198" applyNumberFormat="0" applyProtection="0">
      <alignment vertical="center"/>
    </xf>
    <xf numFmtId="4" fontId="100" fillId="35" borderId="198" applyNumberFormat="0" applyProtection="0">
      <alignment vertical="center"/>
    </xf>
    <xf numFmtId="4" fontId="100" fillId="35" borderId="198" applyNumberFormat="0" applyProtection="0">
      <alignment vertical="center"/>
    </xf>
    <xf numFmtId="4" fontId="60" fillId="35" borderId="198" applyNumberFormat="0" applyProtection="0">
      <alignment horizontal="left" vertical="center" indent="1"/>
    </xf>
    <xf numFmtId="4" fontId="60" fillId="35" borderId="198" applyNumberFormat="0" applyProtection="0">
      <alignment horizontal="left" vertical="center" indent="1"/>
    </xf>
    <xf numFmtId="4" fontId="60" fillId="35" borderId="198" applyNumberFormat="0" applyProtection="0">
      <alignment horizontal="left" vertical="center" indent="1"/>
    </xf>
    <xf numFmtId="4" fontId="60" fillId="35" borderId="198" applyNumberFormat="0" applyProtection="0">
      <alignment horizontal="left" vertical="center" indent="1"/>
    </xf>
    <xf numFmtId="4" fontId="60" fillId="35" borderId="198" applyNumberFormat="0" applyProtection="0">
      <alignment horizontal="left" vertical="center" indent="1"/>
    </xf>
    <xf numFmtId="4" fontId="60" fillId="35" borderId="198" applyNumberFormat="0" applyProtection="0">
      <alignment horizontal="left" vertical="center" indent="1"/>
    </xf>
    <xf numFmtId="4" fontId="60" fillId="35" borderId="198" applyNumberFormat="0" applyProtection="0">
      <alignment horizontal="left" vertical="center" indent="1"/>
    </xf>
    <xf numFmtId="4" fontId="60" fillId="35" borderId="198" applyNumberFormat="0" applyProtection="0">
      <alignment horizontal="left" vertical="center" indent="1"/>
    </xf>
    <xf numFmtId="4" fontId="60" fillId="35" borderId="198" applyNumberFormat="0" applyProtection="0">
      <alignment horizontal="left" vertical="center" indent="1"/>
    </xf>
    <xf numFmtId="4" fontId="60" fillId="35" borderId="198" applyNumberFormat="0" applyProtection="0">
      <alignment horizontal="left" vertical="center" indent="1"/>
    </xf>
    <xf numFmtId="4" fontId="60" fillId="30" borderId="198" applyNumberFormat="0" applyProtection="0">
      <alignment horizontal="right" vertical="center"/>
    </xf>
    <xf numFmtId="4" fontId="60" fillId="30" borderId="198" applyNumberFormat="0" applyProtection="0">
      <alignment horizontal="right" vertical="center"/>
    </xf>
    <xf numFmtId="4" fontId="60" fillId="30" borderId="198" applyNumberFormat="0" applyProtection="0">
      <alignment horizontal="right" vertical="center"/>
    </xf>
    <xf numFmtId="4" fontId="60" fillId="30" borderId="198" applyNumberFormat="0" applyProtection="0">
      <alignment horizontal="right" vertical="center"/>
    </xf>
    <xf numFmtId="4" fontId="60" fillId="30" borderId="198" applyNumberFormat="0" applyProtection="0">
      <alignment horizontal="right" vertical="center"/>
    </xf>
    <xf numFmtId="4" fontId="100" fillId="30" borderId="198" applyNumberFormat="0" applyProtection="0">
      <alignment horizontal="right" vertical="center"/>
    </xf>
    <xf numFmtId="4" fontId="100" fillId="30" borderId="198" applyNumberFormat="0" applyProtection="0">
      <alignment horizontal="right" vertical="center"/>
    </xf>
    <xf numFmtId="4" fontId="100" fillId="30" borderId="198" applyNumberFormat="0" applyProtection="0">
      <alignment horizontal="right" vertical="center"/>
    </xf>
    <xf numFmtId="4" fontId="100" fillId="30" borderId="198" applyNumberFormat="0" applyProtection="0">
      <alignment horizontal="right" vertical="center"/>
    </xf>
    <xf numFmtId="4" fontId="100" fillId="30" borderId="198" applyNumberFormat="0" applyProtection="0">
      <alignment horizontal="right" vertical="center"/>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0" fontId="56" fillId="19" borderId="198" applyNumberFormat="0" applyProtection="0">
      <alignment horizontal="left" vertical="center" indent="1"/>
    </xf>
    <xf numFmtId="4" fontId="104" fillId="30" borderId="198" applyNumberFormat="0" applyProtection="0">
      <alignment horizontal="right" vertical="center"/>
    </xf>
    <xf numFmtId="4" fontId="104" fillId="30" borderId="198" applyNumberFormat="0" applyProtection="0">
      <alignment horizontal="right" vertical="center"/>
    </xf>
    <xf numFmtId="4" fontId="104" fillId="30" borderId="198" applyNumberFormat="0" applyProtection="0">
      <alignment horizontal="right" vertical="center"/>
    </xf>
    <xf numFmtId="4" fontId="104" fillId="30" borderId="198" applyNumberFormat="0" applyProtection="0">
      <alignment horizontal="right" vertical="center"/>
    </xf>
    <xf numFmtId="4" fontId="104" fillId="30" borderId="198" applyNumberFormat="0" applyProtection="0">
      <alignment horizontal="righ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1"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1"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3" fillId="0" borderId="0">
      <alignment vertical="center"/>
    </xf>
    <xf numFmtId="0" fontId="22" fillId="0" borderId="0"/>
    <xf numFmtId="0" fontId="151" fillId="111" borderId="202" applyNumberFormat="0" applyAlignment="0" applyProtection="0">
      <alignment vertical="center"/>
    </xf>
    <xf numFmtId="0" fontId="151" fillId="111" borderId="202" applyNumberFormat="0" applyAlignment="0" applyProtection="0">
      <alignment vertical="center"/>
    </xf>
    <xf numFmtId="0" fontId="22" fillId="10" borderId="203" applyNumberFormat="0" applyFont="0" applyAlignment="0" applyProtection="0">
      <alignment vertical="center"/>
    </xf>
    <xf numFmtId="0" fontId="22" fillId="10" borderId="203" applyNumberFormat="0" applyFont="0" applyAlignment="0" applyProtection="0">
      <alignment vertical="center"/>
    </xf>
    <xf numFmtId="0" fontId="157" fillId="98" borderId="202" applyNumberFormat="0" applyAlignment="0" applyProtection="0">
      <alignment vertical="center"/>
    </xf>
    <xf numFmtId="0" fontId="157" fillId="98" borderId="202" applyNumberFormat="0" applyAlignment="0" applyProtection="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41" fontId="13" fillId="0" borderId="0" applyFont="0" applyFill="0" applyBorder="0" applyAlignment="0" applyProtection="0">
      <alignment vertical="center"/>
    </xf>
    <xf numFmtId="0" fontId="13" fillId="0" borderId="0">
      <alignment vertical="center"/>
    </xf>
    <xf numFmtId="0" fontId="22" fillId="0" borderId="0"/>
    <xf numFmtId="3" fontId="67" fillId="0" borderId="193"/>
    <xf numFmtId="3" fontId="67" fillId="0" borderId="193"/>
    <xf numFmtId="0" fontId="97" fillId="0" borderId="204"/>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22"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92" fillId="0" borderId="204">
      <alignment horizont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22" fillId="0" borderId="0"/>
    <xf numFmtId="41" fontId="12" fillId="0" borderId="0" applyFont="0" applyFill="0" applyBorder="0" applyAlignment="0" applyProtection="0">
      <alignment vertical="center"/>
    </xf>
    <xf numFmtId="0" fontId="118" fillId="54" borderId="175" applyNumberFormat="0" applyAlignment="0" applyProtection="0"/>
    <xf numFmtId="3" fontId="67" fillId="0" borderId="193"/>
    <xf numFmtId="3" fontId="67" fillId="0" borderId="193"/>
    <xf numFmtId="3" fontId="67" fillId="0" borderId="193"/>
    <xf numFmtId="3" fontId="67" fillId="0" borderId="193"/>
    <xf numFmtId="196" fontId="83" fillId="0" borderId="193" applyFill="0" applyBorder="0" applyAlignment="0"/>
    <xf numFmtId="196" fontId="83" fillId="0" borderId="193" applyFill="0" applyBorder="0" applyAlignment="0"/>
    <xf numFmtId="0" fontId="118" fillId="54" borderId="188" applyNumberFormat="0" applyAlignment="0" applyProtection="0"/>
    <xf numFmtId="10" fontId="88" fillId="17" borderId="193" applyNumberFormat="0" applyBorder="0" applyAlignment="0" applyProtection="0"/>
    <xf numFmtId="10" fontId="88" fillId="17" borderId="193" applyNumberFormat="0" applyBorder="0" applyAlignment="0" applyProtection="0"/>
    <xf numFmtId="0" fontId="88" fillId="61" borderId="193"/>
    <xf numFmtId="0" fontId="88" fillId="61" borderId="193"/>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22" fillId="0" borderId="0"/>
    <xf numFmtId="0" fontId="12" fillId="0" borderId="0">
      <alignment vertical="center"/>
    </xf>
    <xf numFmtId="41" fontId="12" fillId="0" borderId="0" applyFont="0" applyFill="0" applyBorder="0" applyAlignment="0" applyProtection="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41" fontId="12" fillId="0" borderId="0" applyFont="0" applyFill="0" applyBorder="0" applyAlignment="0" applyProtection="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22" fillId="0" borderId="0"/>
    <xf numFmtId="0" fontId="12" fillId="0" borderId="0">
      <alignment vertical="center"/>
    </xf>
    <xf numFmtId="0" fontId="12" fillId="0" borderId="0">
      <alignment vertical="center"/>
    </xf>
    <xf numFmtId="0" fontId="12" fillId="0" borderId="0">
      <alignment vertical="center"/>
    </xf>
    <xf numFmtId="0" fontId="22" fillId="0" borderId="0"/>
    <xf numFmtId="0" fontId="90" fillId="0" borderId="195">
      <alignment horizontal="left" vertical="center"/>
    </xf>
    <xf numFmtId="0" fontId="99" fillId="1" borderId="195" applyNumberFormat="0" applyFont="0" applyAlignment="0">
      <alignment horizont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22"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41" fontId="145" fillId="0" borderId="0" applyFont="0" applyFill="0" applyBorder="0" applyAlignment="0" applyProtection="0">
      <alignment vertical="center"/>
    </xf>
    <xf numFmtId="41" fontId="145" fillId="0" borderId="0" applyFont="0" applyFill="0" applyBorder="0" applyAlignment="0" applyProtection="0">
      <alignment vertical="center"/>
    </xf>
    <xf numFmtId="41" fontId="145" fillId="0" borderId="0" applyFont="0" applyFill="0" applyBorder="0" applyAlignment="0" applyProtection="0">
      <alignment vertical="center"/>
    </xf>
    <xf numFmtId="41" fontId="22" fillId="0" borderId="0" applyFont="0" applyFill="0" applyBorder="0" applyAlignment="0" applyProtection="0">
      <alignment vertical="center"/>
    </xf>
    <xf numFmtId="41" fontId="145" fillId="0" borderId="0" applyFont="0" applyFill="0" applyBorder="0" applyAlignment="0" applyProtection="0">
      <alignment vertical="center"/>
    </xf>
    <xf numFmtId="41" fontId="145" fillId="0" borderId="0" applyFont="0" applyFill="0" applyBorder="0" applyAlignment="0" applyProtection="0">
      <alignment vertical="center"/>
    </xf>
    <xf numFmtId="41" fontId="145" fillId="0" borderId="0" applyFont="0" applyFill="0" applyBorder="0" applyAlignment="0" applyProtection="0">
      <alignment vertical="center"/>
    </xf>
    <xf numFmtId="41" fontId="145" fillId="0" borderId="0" applyFont="0" applyFill="0" applyBorder="0" applyAlignment="0" applyProtection="0">
      <alignment vertical="center"/>
    </xf>
    <xf numFmtId="41" fontId="145" fillId="0" borderId="0" applyFont="0" applyFill="0" applyBorder="0" applyAlignment="0" applyProtection="0">
      <alignment vertical="center"/>
    </xf>
    <xf numFmtId="41" fontId="145" fillId="0" borderId="0" applyFont="0" applyFill="0" applyBorder="0" applyAlignment="0" applyProtection="0">
      <alignment vertical="center"/>
    </xf>
    <xf numFmtId="0" fontId="22" fillId="0" borderId="0"/>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22" fillId="0" borderId="0"/>
    <xf numFmtId="0" fontId="22" fillId="0" borderId="0">
      <alignment vertical="center"/>
    </xf>
    <xf numFmtId="0" fontId="73" fillId="0" borderId="0">
      <alignment vertical="center"/>
    </xf>
    <xf numFmtId="0" fontId="22" fillId="0" borderId="0"/>
    <xf numFmtId="0" fontId="22" fillId="0" borderId="0"/>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22" fillId="0" borderId="0"/>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164" fillId="0" borderId="0">
      <alignment vertical="center"/>
    </xf>
    <xf numFmtId="219" fontId="164" fillId="0" borderId="0" applyFont="0" applyFill="0" applyBorder="0" applyAlignment="0" applyProtection="0">
      <alignment vertical="center"/>
    </xf>
    <xf numFmtId="0" fontId="22" fillId="0" borderId="0"/>
    <xf numFmtId="0" fontId="118" fillId="54" borderId="175" applyNumberFormat="0" applyAlignment="0" applyProtection="0"/>
    <xf numFmtId="0" fontId="120" fillId="56" borderId="212" applyNumberFormat="0" applyAlignment="0" applyProtection="0"/>
    <xf numFmtId="0" fontId="120" fillId="56" borderId="212" applyNumberFormat="0" applyAlignment="0" applyProtection="0"/>
    <xf numFmtId="0" fontId="120" fillId="56" borderId="212" applyNumberFormat="0" applyAlignment="0" applyProtection="0"/>
    <xf numFmtId="0" fontId="120" fillId="56" borderId="212" applyNumberFormat="0" applyAlignment="0" applyProtection="0"/>
    <xf numFmtId="0" fontId="120" fillId="56" borderId="212" applyNumberFormat="0" applyAlignment="0" applyProtection="0"/>
    <xf numFmtId="4" fontId="60" fillId="2" borderId="212" applyNumberFormat="0" applyProtection="0">
      <alignment vertical="center"/>
    </xf>
    <xf numFmtId="4" fontId="60" fillId="2" borderId="212" applyNumberFormat="0" applyProtection="0">
      <alignment vertical="center"/>
    </xf>
    <xf numFmtId="4" fontId="60" fillId="2" borderId="212" applyNumberFormat="0" applyProtection="0">
      <alignment vertical="center"/>
    </xf>
    <xf numFmtId="4" fontId="60" fillId="2" borderId="212" applyNumberFormat="0" applyProtection="0">
      <alignment vertical="center"/>
    </xf>
    <xf numFmtId="4" fontId="60" fillId="2" borderId="212" applyNumberFormat="0" applyProtection="0">
      <alignment vertical="center"/>
    </xf>
    <xf numFmtId="4" fontId="100" fillId="2" borderId="212" applyNumberFormat="0" applyProtection="0">
      <alignment vertical="center"/>
    </xf>
    <xf numFmtId="4" fontId="100" fillId="2" borderId="212" applyNumberFormat="0" applyProtection="0">
      <alignment vertical="center"/>
    </xf>
    <xf numFmtId="4" fontId="100" fillId="2" borderId="212" applyNumberFormat="0" applyProtection="0">
      <alignment vertical="center"/>
    </xf>
    <xf numFmtId="4" fontId="100" fillId="2" borderId="212" applyNumberFormat="0" applyProtection="0">
      <alignment vertical="center"/>
    </xf>
    <xf numFmtId="4" fontId="100" fillId="2" borderId="212" applyNumberFormat="0" applyProtection="0">
      <alignment vertical="center"/>
    </xf>
    <xf numFmtId="4" fontId="60" fillId="2" borderId="212" applyNumberFormat="0" applyProtection="0">
      <alignment horizontal="left" vertical="center" indent="1"/>
    </xf>
    <xf numFmtId="4" fontId="60" fillId="2" borderId="212" applyNumberFormat="0" applyProtection="0">
      <alignment horizontal="left" vertical="center" indent="1"/>
    </xf>
    <xf numFmtId="4" fontId="60" fillId="2" borderId="212" applyNumberFormat="0" applyProtection="0">
      <alignment horizontal="left" vertical="center" indent="1"/>
    </xf>
    <xf numFmtId="4" fontId="60" fillId="2" borderId="212" applyNumberFormat="0" applyProtection="0">
      <alignment horizontal="left" vertical="center" indent="1"/>
    </xf>
    <xf numFmtId="4" fontId="60" fillId="2" borderId="212" applyNumberFormat="0" applyProtection="0">
      <alignment horizontal="left" vertical="center" indent="1"/>
    </xf>
    <xf numFmtId="4" fontId="60" fillId="2" borderId="212" applyNumberFormat="0" applyProtection="0">
      <alignment horizontal="left" vertical="center" indent="1"/>
    </xf>
    <xf numFmtId="4" fontId="60" fillId="2" borderId="212" applyNumberFormat="0" applyProtection="0">
      <alignment horizontal="left" vertical="center" indent="1"/>
    </xf>
    <xf numFmtId="4" fontId="60" fillId="2" borderId="212" applyNumberFormat="0" applyProtection="0">
      <alignment horizontal="left" vertical="center" indent="1"/>
    </xf>
    <xf numFmtId="4" fontId="60" fillId="2" borderId="212" applyNumberFormat="0" applyProtection="0">
      <alignment horizontal="left" vertical="center" indent="1"/>
    </xf>
    <xf numFmtId="4" fontId="60" fillId="2"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4" fontId="60" fillId="20" borderId="212" applyNumberFormat="0" applyProtection="0">
      <alignment horizontal="right" vertical="center"/>
    </xf>
    <xf numFmtId="4" fontId="60" fillId="20" borderId="212" applyNumberFormat="0" applyProtection="0">
      <alignment horizontal="right" vertical="center"/>
    </xf>
    <xf numFmtId="4" fontId="60" fillId="20" borderId="212" applyNumberFormat="0" applyProtection="0">
      <alignment horizontal="right" vertical="center"/>
    </xf>
    <xf numFmtId="4" fontId="60" fillId="20" borderId="212" applyNumberFormat="0" applyProtection="0">
      <alignment horizontal="right" vertical="center"/>
    </xf>
    <xf numFmtId="4" fontId="60" fillId="20" borderId="212" applyNumberFormat="0" applyProtection="0">
      <alignment horizontal="right" vertical="center"/>
    </xf>
    <xf numFmtId="4" fontId="60" fillId="21" borderId="212" applyNumberFormat="0" applyProtection="0">
      <alignment horizontal="right" vertical="center"/>
    </xf>
    <xf numFmtId="4" fontId="60" fillId="21" borderId="212" applyNumberFormat="0" applyProtection="0">
      <alignment horizontal="right" vertical="center"/>
    </xf>
    <xf numFmtId="4" fontId="60" fillId="21" borderId="212" applyNumberFormat="0" applyProtection="0">
      <alignment horizontal="right" vertical="center"/>
    </xf>
    <xf numFmtId="4" fontId="60" fillId="21" borderId="212" applyNumberFormat="0" applyProtection="0">
      <alignment horizontal="right" vertical="center"/>
    </xf>
    <xf numFmtId="4" fontId="60" fillId="21" borderId="212" applyNumberFormat="0" applyProtection="0">
      <alignment horizontal="right" vertical="center"/>
    </xf>
    <xf numFmtId="4" fontId="60" fillId="22" borderId="212" applyNumberFormat="0" applyProtection="0">
      <alignment horizontal="right" vertical="center"/>
    </xf>
    <xf numFmtId="4" fontId="60" fillId="22" borderId="212" applyNumberFormat="0" applyProtection="0">
      <alignment horizontal="right" vertical="center"/>
    </xf>
    <xf numFmtId="4" fontId="60" fillId="22" borderId="212" applyNumberFormat="0" applyProtection="0">
      <alignment horizontal="right" vertical="center"/>
    </xf>
    <xf numFmtId="4" fontId="60" fillId="22" borderId="212" applyNumberFormat="0" applyProtection="0">
      <alignment horizontal="right" vertical="center"/>
    </xf>
    <xf numFmtId="4" fontId="60" fillId="22" borderId="212" applyNumberFormat="0" applyProtection="0">
      <alignment horizontal="right" vertical="center"/>
    </xf>
    <xf numFmtId="4" fontId="60" fillId="23" borderId="212" applyNumberFormat="0" applyProtection="0">
      <alignment horizontal="right" vertical="center"/>
    </xf>
    <xf numFmtId="4" fontId="60" fillId="23" borderId="212" applyNumberFormat="0" applyProtection="0">
      <alignment horizontal="right" vertical="center"/>
    </xf>
    <xf numFmtId="4" fontId="60" fillId="23" borderId="212" applyNumberFormat="0" applyProtection="0">
      <alignment horizontal="right" vertical="center"/>
    </xf>
    <xf numFmtId="4" fontId="60" fillId="23" borderId="212" applyNumberFormat="0" applyProtection="0">
      <alignment horizontal="right" vertical="center"/>
    </xf>
    <xf numFmtId="4" fontId="60" fillId="23" borderId="212" applyNumberFormat="0" applyProtection="0">
      <alignment horizontal="right" vertical="center"/>
    </xf>
    <xf numFmtId="4" fontId="60" fillId="24" borderId="212" applyNumberFormat="0" applyProtection="0">
      <alignment horizontal="right" vertical="center"/>
    </xf>
    <xf numFmtId="4" fontId="60" fillId="24" borderId="212" applyNumberFormat="0" applyProtection="0">
      <alignment horizontal="right" vertical="center"/>
    </xf>
    <xf numFmtId="4" fontId="60" fillId="24" borderId="212" applyNumberFormat="0" applyProtection="0">
      <alignment horizontal="right" vertical="center"/>
    </xf>
    <xf numFmtId="4" fontId="60" fillId="24" borderId="212" applyNumberFormat="0" applyProtection="0">
      <alignment horizontal="right" vertical="center"/>
    </xf>
    <xf numFmtId="4" fontId="60" fillId="24" borderId="212" applyNumberFormat="0" applyProtection="0">
      <alignment horizontal="right" vertical="center"/>
    </xf>
    <xf numFmtId="4" fontId="60" fillId="25" borderId="212" applyNumberFormat="0" applyProtection="0">
      <alignment horizontal="right" vertical="center"/>
    </xf>
    <xf numFmtId="4" fontId="60" fillId="25" borderId="212" applyNumberFormat="0" applyProtection="0">
      <alignment horizontal="right" vertical="center"/>
    </xf>
    <xf numFmtId="4" fontId="60" fillId="25" borderId="212" applyNumberFormat="0" applyProtection="0">
      <alignment horizontal="right" vertical="center"/>
    </xf>
    <xf numFmtId="4" fontId="60" fillId="25" borderId="212" applyNumberFormat="0" applyProtection="0">
      <alignment horizontal="right" vertical="center"/>
    </xf>
    <xf numFmtId="4" fontId="60" fillId="25" borderId="212" applyNumberFormat="0" applyProtection="0">
      <alignment horizontal="right" vertical="center"/>
    </xf>
    <xf numFmtId="4" fontId="60" fillId="26" borderId="212" applyNumberFormat="0" applyProtection="0">
      <alignment horizontal="right" vertical="center"/>
    </xf>
    <xf numFmtId="4" fontId="60" fillId="26" borderId="212" applyNumberFormat="0" applyProtection="0">
      <alignment horizontal="right" vertical="center"/>
    </xf>
    <xf numFmtId="4" fontId="60" fillId="26" borderId="212" applyNumberFormat="0" applyProtection="0">
      <alignment horizontal="right" vertical="center"/>
    </xf>
    <xf numFmtId="4" fontId="60" fillId="26" borderId="212" applyNumberFormat="0" applyProtection="0">
      <alignment horizontal="right" vertical="center"/>
    </xf>
    <xf numFmtId="4" fontId="60" fillId="26" borderId="212" applyNumberFormat="0" applyProtection="0">
      <alignment horizontal="right" vertical="center"/>
    </xf>
    <xf numFmtId="4" fontId="60" fillId="27" borderId="212" applyNumberFormat="0" applyProtection="0">
      <alignment horizontal="right" vertical="center"/>
    </xf>
    <xf numFmtId="4" fontId="60" fillId="27" borderId="212" applyNumberFormat="0" applyProtection="0">
      <alignment horizontal="right" vertical="center"/>
    </xf>
    <xf numFmtId="4" fontId="60" fillId="27" borderId="212" applyNumberFormat="0" applyProtection="0">
      <alignment horizontal="right" vertical="center"/>
    </xf>
    <xf numFmtId="4" fontId="60" fillId="27" borderId="212" applyNumberFormat="0" applyProtection="0">
      <alignment horizontal="right" vertical="center"/>
    </xf>
    <xf numFmtId="4" fontId="60" fillId="27" borderId="212" applyNumberFormat="0" applyProtection="0">
      <alignment horizontal="right" vertical="center"/>
    </xf>
    <xf numFmtId="4" fontId="60" fillId="28" borderId="212" applyNumberFormat="0" applyProtection="0">
      <alignment horizontal="right" vertical="center"/>
    </xf>
    <xf numFmtId="4" fontId="60" fillId="28" borderId="212" applyNumberFormat="0" applyProtection="0">
      <alignment horizontal="right" vertical="center"/>
    </xf>
    <xf numFmtId="4" fontId="60" fillId="28" borderId="212" applyNumberFormat="0" applyProtection="0">
      <alignment horizontal="right" vertical="center"/>
    </xf>
    <xf numFmtId="4" fontId="60" fillId="28" borderId="212" applyNumberFormat="0" applyProtection="0">
      <alignment horizontal="right" vertical="center"/>
    </xf>
    <xf numFmtId="4" fontId="60" fillId="28" borderId="212" applyNumberFormat="0" applyProtection="0">
      <alignment horizontal="right" vertical="center"/>
    </xf>
    <xf numFmtId="4" fontId="101" fillId="29" borderId="212" applyNumberFormat="0" applyProtection="0">
      <alignment horizontal="left" vertical="center" indent="1"/>
    </xf>
    <xf numFmtId="4" fontId="101" fillId="29" borderId="212" applyNumberFormat="0" applyProtection="0">
      <alignment horizontal="left" vertical="center" indent="1"/>
    </xf>
    <xf numFmtId="4" fontId="101" fillId="29" borderId="212" applyNumberFormat="0" applyProtection="0">
      <alignment horizontal="left" vertical="center" indent="1"/>
    </xf>
    <xf numFmtId="4" fontId="101" fillId="29" borderId="212" applyNumberFormat="0" applyProtection="0">
      <alignment horizontal="left" vertical="center" indent="1"/>
    </xf>
    <xf numFmtId="4" fontId="101" fillId="29" borderId="212" applyNumberFormat="0" applyProtection="0">
      <alignment horizontal="left" vertical="center" indent="1"/>
    </xf>
    <xf numFmtId="4" fontId="60" fillId="30" borderId="213" applyNumberFormat="0" applyProtection="0">
      <alignment horizontal="left" vertical="center" indent="1"/>
    </xf>
    <xf numFmtId="4" fontId="60" fillId="30" borderId="213"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4" fontId="60" fillId="30" borderId="212" applyNumberFormat="0" applyProtection="0">
      <alignment horizontal="left" vertical="center" indent="1"/>
    </xf>
    <xf numFmtId="4" fontId="60" fillId="30" borderId="212" applyNumberFormat="0" applyProtection="0">
      <alignment horizontal="left" vertical="center" indent="1"/>
    </xf>
    <xf numFmtId="4" fontId="60" fillId="30" borderId="212" applyNumberFormat="0" applyProtection="0">
      <alignment horizontal="left" vertical="center" indent="1"/>
    </xf>
    <xf numFmtId="4" fontId="60" fillId="30" borderId="212" applyNumberFormat="0" applyProtection="0">
      <alignment horizontal="left" vertical="center" indent="1"/>
    </xf>
    <xf numFmtId="4" fontId="60" fillId="30" borderId="212" applyNumberFormat="0" applyProtection="0">
      <alignment horizontal="left" vertical="center" indent="1"/>
    </xf>
    <xf numFmtId="4" fontId="60" fillId="32" borderId="212" applyNumberFormat="0" applyProtection="0">
      <alignment horizontal="left" vertical="center" indent="1"/>
    </xf>
    <xf numFmtId="4" fontId="60" fillId="32" borderId="212" applyNumberFormat="0" applyProtection="0">
      <alignment horizontal="left" vertical="center" indent="1"/>
    </xf>
    <xf numFmtId="4" fontId="60" fillId="32" borderId="212" applyNumberFormat="0" applyProtection="0">
      <alignment horizontal="left" vertical="center" indent="1"/>
    </xf>
    <xf numFmtId="4" fontId="60" fillId="32" borderId="212" applyNumberFormat="0" applyProtection="0">
      <alignment horizontal="left" vertical="center" indent="1"/>
    </xf>
    <xf numFmtId="4" fontId="60" fillId="32" borderId="212" applyNumberFormat="0" applyProtection="0">
      <alignment horizontal="left" vertical="center" indent="1"/>
    </xf>
    <xf numFmtId="0" fontId="56" fillId="32" borderId="212" applyNumberFormat="0" applyProtection="0">
      <alignment horizontal="left" vertical="center" indent="1"/>
    </xf>
    <xf numFmtId="0" fontId="56" fillId="32" borderId="212" applyNumberFormat="0" applyProtection="0">
      <alignment horizontal="left" vertical="center" indent="1"/>
    </xf>
    <xf numFmtId="0" fontId="56" fillId="32" borderId="212" applyNumberFormat="0" applyProtection="0">
      <alignment horizontal="left" vertical="center" indent="1"/>
    </xf>
    <xf numFmtId="0" fontId="56" fillId="32" borderId="212" applyNumberFormat="0" applyProtection="0">
      <alignment horizontal="left" vertical="center" indent="1"/>
    </xf>
    <xf numFmtId="0" fontId="56" fillId="32" borderId="212" applyNumberFormat="0" applyProtection="0">
      <alignment horizontal="left" vertical="center" indent="1"/>
    </xf>
    <xf numFmtId="0" fontId="56" fillId="32" borderId="212" applyNumberFormat="0" applyProtection="0">
      <alignment horizontal="left" vertical="center" indent="1"/>
    </xf>
    <xf numFmtId="0" fontId="56" fillId="32" borderId="212" applyNumberFormat="0" applyProtection="0">
      <alignment horizontal="left" vertical="center" indent="1"/>
    </xf>
    <xf numFmtId="0" fontId="56" fillId="32" borderId="212" applyNumberFormat="0" applyProtection="0">
      <alignment horizontal="left" vertical="center" indent="1"/>
    </xf>
    <xf numFmtId="0" fontId="56" fillId="32" borderId="212" applyNumberFormat="0" applyProtection="0">
      <alignment horizontal="left" vertical="center" indent="1"/>
    </xf>
    <xf numFmtId="0" fontId="56" fillId="32" borderId="212" applyNumberFormat="0" applyProtection="0">
      <alignment horizontal="left" vertical="center" indent="1"/>
    </xf>
    <xf numFmtId="0" fontId="56" fillId="33" borderId="212" applyNumberFormat="0" applyProtection="0">
      <alignment horizontal="left" vertical="center" indent="1"/>
    </xf>
    <xf numFmtId="0" fontId="56" fillId="33" borderId="212" applyNumberFormat="0" applyProtection="0">
      <alignment horizontal="left" vertical="center" indent="1"/>
    </xf>
    <xf numFmtId="0" fontId="56" fillId="33" borderId="212" applyNumberFormat="0" applyProtection="0">
      <alignment horizontal="left" vertical="center" indent="1"/>
    </xf>
    <xf numFmtId="0" fontId="56" fillId="33" borderId="212" applyNumberFormat="0" applyProtection="0">
      <alignment horizontal="left" vertical="center" indent="1"/>
    </xf>
    <xf numFmtId="0" fontId="56" fillId="33" borderId="212" applyNumberFormat="0" applyProtection="0">
      <alignment horizontal="left" vertical="center" indent="1"/>
    </xf>
    <xf numFmtId="0" fontId="56" fillId="33" borderId="212" applyNumberFormat="0" applyProtection="0">
      <alignment horizontal="left" vertical="center" indent="1"/>
    </xf>
    <xf numFmtId="0" fontId="56" fillId="33" borderId="212" applyNumberFormat="0" applyProtection="0">
      <alignment horizontal="left" vertical="center" indent="1"/>
    </xf>
    <xf numFmtId="0" fontId="56" fillId="33" borderId="212" applyNumberFormat="0" applyProtection="0">
      <alignment horizontal="left" vertical="center" indent="1"/>
    </xf>
    <xf numFmtId="0" fontId="56" fillId="33" borderId="212" applyNumberFormat="0" applyProtection="0">
      <alignment horizontal="left" vertical="center" indent="1"/>
    </xf>
    <xf numFmtId="0" fontId="56" fillId="33" borderId="212" applyNumberFormat="0" applyProtection="0">
      <alignment horizontal="left" vertical="center" indent="1"/>
    </xf>
    <xf numFmtId="0" fontId="56" fillId="34" borderId="212" applyNumberFormat="0" applyProtection="0">
      <alignment horizontal="left" vertical="center" indent="1"/>
    </xf>
    <xf numFmtId="0" fontId="56" fillId="34" borderId="212" applyNumberFormat="0" applyProtection="0">
      <alignment horizontal="left" vertical="center" indent="1"/>
    </xf>
    <xf numFmtId="0" fontId="56" fillId="34" borderId="212" applyNumberFormat="0" applyProtection="0">
      <alignment horizontal="left" vertical="center" indent="1"/>
    </xf>
    <xf numFmtId="0" fontId="56" fillId="34" borderId="212" applyNumberFormat="0" applyProtection="0">
      <alignment horizontal="left" vertical="center" indent="1"/>
    </xf>
    <xf numFmtId="0" fontId="56" fillId="34" borderId="212" applyNumberFormat="0" applyProtection="0">
      <alignment horizontal="left" vertical="center" indent="1"/>
    </xf>
    <xf numFmtId="0" fontId="56" fillId="34" borderId="212" applyNumberFormat="0" applyProtection="0">
      <alignment horizontal="left" vertical="center" indent="1"/>
    </xf>
    <xf numFmtId="0" fontId="56" fillId="34" borderId="212" applyNumberFormat="0" applyProtection="0">
      <alignment horizontal="left" vertical="center" indent="1"/>
    </xf>
    <xf numFmtId="0" fontId="56" fillId="34" borderId="212" applyNumberFormat="0" applyProtection="0">
      <alignment horizontal="left" vertical="center" indent="1"/>
    </xf>
    <xf numFmtId="0" fontId="56" fillId="34" borderId="212" applyNumberFormat="0" applyProtection="0">
      <alignment horizontal="left" vertical="center" indent="1"/>
    </xf>
    <xf numFmtId="0" fontId="56" fillId="34"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4" fontId="60" fillId="35" borderId="212" applyNumberFormat="0" applyProtection="0">
      <alignment vertical="center"/>
    </xf>
    <xf numFmtId="4" fontId="60" fillId="35" borderId="212" applyNumberFormat="0" applyProtection="0">
      <alignment vertical="center"/>
    </xf>
    <xf numFmtId="4" fontId="60" fillId="35" borderId="212" applyNumberFormat="0" applyProtection="0">
      <alignment vertical="center"/>
    </xf>
    <xf numFmtId="4" fontId="60" fillId="35" borderId="212" applyNumberFormat="0" applyProtection="0">
      <alignment vertical="center"/>
    </xf>
    <xf numFmtId="4" fontId="60" fillId="35" borderId="212" applyNumberFormat="0" applyProtection="0">
      <alignment vertical="center"/>
    </xf>
    <xf numFmtId="4" fontId="100" fillId="35" borderId="212" applyNumberFormat="0" applyProtection="0">
      <alignment vertical="center"/>
    </xf>
    <xf numFmtId="4" fontId="100" fillId="35" borderId="212" applyNumberFormat="0" applyProtection="0">
      <alignment vertical="center"/>
    </xf>
    <xf numFmtId="4" fontId="100" fillId="35" borderId="212" applyNumberFormat="0" applyProtection="0">
      <alignment vertical="center"/>
    </xf>
    <xf numFmtId="4" fontId="100" fillId="35" borderId="212" applyNumberFormat="0" applyProtection="0">
      <alignment vertical="center"/>
    </xf>
    <xf numFmtId="4" fontId="100" fillId="35" borderId="212" applyNumberFormat="0" applyProtection="0">
      <alignment vertical="center"/>
    </xf>
    <xf numFmtId="4" fontId="60" fillId="35" borderId="212" applyNumberFormat="0" applyProtection="0">
      <alignment horizontal="left" vertical="center" indent="1"/>
    </xf>
    <xf numFmtId="4" fontId="60" fillId="35" borderId="212" applyNumberFormat="0" applyProtection="0">
      <alignment horizontal="left" vertical="center" indent="1"/>
    </xf>
    <xf numFmtId="4" fontId="60" fillId="35" borderId="212" applyNumberFormat="0" applyProtection="0">
      <alignment horizontal="left" vertical="center" indent="1"/>
    </xf>
    <xf numFmtId="4" fontId="60" fillId="35" borderId="212" applyNumberFormat="0" applyProtection="0">
      <alignment horizontal="left" vertical="center" indent="1"/>
    </xf>
    <xf numFmtId="4" fontId="60" fillId="35" borderId="212" applyNumberFormat="0" applyProtection="0">
      <alignment horizontal="left" vertical="center" indent="1"/>
    </xf>
    <xf numFmtId="4" fontId="60" fillId="35" borderId="212" applyNumberFormat="0" applyProtection="0">
      <alignment horizontal="left" vertical="center" indent="1"/>
    </xf>
    <xf numFmtId="4" fontId="60" fillId="35" borderId="212" applyNumberFormat="0" applyProtection="0">
      <alignment horizontal="left" vertical="center" indent="1"/>
    </xf>
    <xf numFmtId="4" fontId="60" fillId="35" borderId="212" applyNumberFormat="0" applyProtection="0">
      <alignment horizontal="left" vertical="center" indent="1"/>
    </xf>
    <xf numFmtId="4" fontId="60" fillId="35" borderId="212" applyNumberFormat="0" applyProtection="0">
      <alignment horizontal="left" vertical="center" indent="1"/>
    </xf>
    <xf numFmtId="4" fontId="60" fillId="35" borderId="212" applyNumberFormat="0" applyProtection="0">
      <alignment horizontal="left" vertical="center" indent="1"/>
    </xf>
    <xf numFmtId="4" fontId="60" fillId="30" borderId="212" applyNumberFormat="0" applyProtection="0">
      <alignment horizontal="right" vertical="center"/>
    </xf>
    <xf numFmtId="4" fontId="60" fillId="30" borderId="212" applyNumberFormat="0" applyProtection="0">
      <alignment horizontal="right" vertical="center"/>
    </xf>
    <xf numFmtId="4" fontId="60" fillId="30" borderId="212" applyNumberFormat="0" applyProtection="0">
      <alignment horizontal="right" vertical="center"/>
    </xf>
    <xf numFmtId="4" fontId="60" fillId="30" borderId="212" applyNumberFormat="0" applyProtection="0">
      <alignment horizontal="right" vertical="center"/>
    </xf>
    <xf numFmtId="4" fontId="60" fillId="30" borderId="212" applyNumberFormat="0" applyProtection="0">
      <alignment horizontal="right" vertical="center"/>
    </xf>
    <xf numFmtId="4" fontId="100" fillId="30" borderId="212" applyNumberFormat="0" applyProtection="0">
      <alignment horizontal="right" vertical="center"/>
    </xf>
    <xf numFmtId="4" fontId="100" fillId="30" borderId="212" applyNumberFormat="0" applyProtection="0">
      <alignment horizontal="right" vertical="center"/>
    </xf>
    <xf numFmtId="4" fontId="100" fillId="30" borderId="212" applyNumberFormat="0" applyProtection="0">
      <alignment horizontal="right" vertical="center"/>
    </xf>
    <xf numFmtId="4" fontId="100" fillId="30" borderId="212" applyNumberFormat="0" applyProtection="0">
      <alignment horizontal="right" vertical="center"/>
    </xf>
    <xf numFmtId="4" fontId="100" fillId="30" borderId="212" applyNumberFormat="0" applyProtection="0">
      <alignment horizontal="right" vertical="center"/>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0" fontId="56" fillId="19" borderId="212" applyNumberFormat="0" applyProtection="0">
      <alignment horizontal="left" vertical="center" indent="1"/>
    </xf>
    <xf numFmtId="4" fontId="104" fillId="30" borderId="212" applyNumberFormat="0" applyProtection="0">
      <alignment horizontal="right" vertical="center"/>
    </xf>
    <xf numFmtId="4" fontId="104" fillId="30" borderId="212" applyNumberFormat="0" applyProtection="0">
      <alignment horizontal="right" vertical="center"/>
    </xf>
    <xf numFmtId="4" fontId="104" fillId="30" borderId="212" applyNumberFormat="0" applyProtection="0">
      <alignment horizontal="right" vertical="center"/>
    </xf>
    <xf numFmtId="4" fontId="104" fillId="30" borderId="212" applyNumberFormat="0" applyProtection="0">
      <alignment horizontal="right" vertical="center"/>
    </xf>
    <xf numFmtId="4" fontId="104" fillId="30" borderId="212" applyNumberFormat="0" applyProtection="0">
      <alignment horizontal="righ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41" fontId="11" fillId="0" borderId="0" applyFon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41" fontId="11" fillId="0" borderId="0" applyFon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9" fontId="24" fillId="0" borderId="0" applyFont="0" applyFill="0" applyBorder="0" applyAlignment="0" applyProtection="0"/>
    <xf numFmtId="41" fontId="11" fillId="0" borderId="0" applyFon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9" fontId="24" fillId="0" borderId="0" applyFont="0" applyFill="0" applyBorder="0" applyAlignment="0" applyProtection="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9" fontId="24" fillId="0" borderId="0" applyFont="0" applyFill="0" applyBorder="0" applyAlignment="0" applyProtection="0"/>
    <xf numFmtId="9" fontId="24" fillId="0" borderId="0" applyFont="0" applyFill="0" applyBorder="0" applyAlignment="0" applyProtection="0"/>
    <xf numFmtId="0" fontId="22"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41" fontId="10" fillId="0" borderId="0" applyFont="0" applyFill="0" applyBorder="0" applyAlignment="0" applyProtection="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41" fontId="10" fillId="0" borderId="0" applyFont="0" applyFill="0" applyBorder="0" applyAlignment="0" applyProtection="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41" fontId="10" fillId="0" borderId="0" applyFont="0" applyFill="0" applyBorder="0" applyAlignment="0" applyProtection="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9" fillId="0" borderId="0">
      <alignment vertical="center"/>
    </xf>
    <xf numFmtId="41" fontId="9" fillId="0" borderId="0" applyFont="0" applyFill="0" applyBorder="0" applyAlignment="0" applyProtection="0">
      <alignment vertical="center"/>
    </xf>
    <xf numFmtId="0" fontId="9" fillId="0" borderId="0">
      <alignment vertical="center"/>
    </xf>
    <xf numFmtId="0" fontId="8" fillId="0" borderId="0">
      <alignment vertical="center"/>
    </xf>
    <xf numFmtId="0" fontId="8" fillId="70" borderId="0" applyNumberFormat="0" applyBorder="0" applyAlignment="0" applyProtection="0">
      <alignment vertical="center"/>
    </xf>
    <xf numFmtId="0" fontId="8" fillId="71" borderId="0" applyNumberFormat="0" applyBorder="0" applyAlignment="0" applyProtection="0">
      <alignment vertical="center"/>
    </xf>
    <xf numFmtId="0" fontId="8" fillId="74" borderId="0" applyNumberFormat="0" applyBorder="0" applyAlignment="0" applyProtection="0">
      <alignment vertical="center"/>
    </xf>
    <xf numFmtId="0" fontId="8" fillId="75" borderId="0" applyNumberFormat="0" applyBorder="0" applyAlignment="0" applyProtection="0">
      <alignment vertical="center"/>
    </xf>
    <xf numFmtId="0" fontId="8" fillId="78" borderId="0" applyNumberFormat="0" applyBorder="0" applyAlignment="0" applyProtection="0">
      <alignment vertical="center"/>
    </xf>
    <xf numFmtId="0" fontId="8" fillId="79" borderId="0" applyNumberFormat="0" applyBorder="0" applyAlignment="0" applyProtection="0">
      <alignment vertical="center"/>
    </xf>
    <xf numFmtId="0" fontId="8" fillId="82" borderId="0" applyNumberFormat="0" applyBorder="0" applyAlignment="0" applyProtection="0">
      <alignment vertical="center"/>
    </xf>
    <xf numFmtId="0" fontId="8" fillId="83" borderId="0" applyNumberFormat="0" applyBorder="0" applyAlignment="0" applyProtection="0">
      <alignment vertical="center"/>
    </xf>
    <xf numFmtId="0" fontId="8" fillId="86" borderId="0" applyNumberFormat="0" applyBorder="0" applyAlignment="0" applyProtection="0">
      <alignment vertical="center"/>
    </xf>
    <xf numFmtId="0" fontId="8" fillId="87" borderId="0" applyNumberFormat="0" applyBorder="0" applyAlignment="0" applyProtection="0">
      <alignment vertical="center"/>
    </xf>
    <xf numFmtId="0" fontId="8" fillId="90" borderId="0" applyNumberFormat="0" applyBorder="0" applyAlignment="0" applyProtection="0">
      <alignment vertical="center"/>
    </xf>
    <xf numFmtId="0" fontId="8" fillId="91" borderId="0" applyNumberFormat="0" applyBorder="0" applyAlignment="0" applyProtection="0">
      <alignment vertical="center"/>
    </xf>
    <xf numFmtId="0" fontId="22" fillId="0" borderId="0">
      <alignment vertical="center"/>
    </xf>
    <xf numFmtId="3" fontId="67" fillId="0" borderId="214"/>
    <xf numFmtId="3" fontId="67" fillId="0" borderId="214"/>
    <xf numFmtId="3" fontId="67" fillId="0" borderId="214"/>
    <xf numFmtId="0" fontId="151" fillId="111" borderId="230" applyNumberFormat="0" applyAlignment="0" applyProtection="0">
      <alignment vertical="center"/>
    </xf>
    <xf numFmtId="0" fontId="151" fillId="111" borderId="230" applyNumberFormat="0" applyAlignment="0" applyProtection="0">
      <alignment vertical="center"/>
    </xf>
    <xf numFmtId="0" fontId="22" fillId="10" borderId="231" applyNumberFormat="0" applyFont="0" applyAlignment="0" applyProtection="0">
      <alignment vertical="center"/>
    </xf>
    <xf numFmtId="0" fontId="22" fillId="10" borderId="231" applyNumberFormat="0" applyFont="0" applyAlignment="0" applyProtection="0">
      <alignment vertical="center"/>
    </xf>
    <xf numFmtId="9" fontId="22" fillId="0" borderId="0" applyFont="0" applyFill="0" applyBorder="0" applyAlignment="0" applyProtection="0">
      <alignment vertical="center"/>
    </xf>
    <xf numFmtId="43" fontId="22" fillId="0" borderId="0" applyFont="0" applyFill="0" applyBorder="0" applyAlignment="0" applyProtection="0">
      <alignment vertical="center"/>
    </xf>
    <xf numFmtId="41" fontId="22" fillId="0" borderId="0" applyFont="0" applyFill="0" applyBorder="0" applyAlignment="0" applyProtection="0">
      <alignment vertical="center"/>
    </xf>
    <xf numFmtId="41" fontId="58" fillId="0" borderId="0" applyFont="0" applyFill="0" applyBorder="0" applyAlignment="0" applyProtection="0">
      <alignment vertical="center"/>
    </xf>
    <xf numFmtId="0" fontId="146" fillId="0" borderId="232" applyNumberFormat="0" applyFill="0" applyAlignment="0" applyProtection="0">
      <alignment vertical="center"/>
    </xf>
    <xf numFmtId="0" fontId="146" fillId="0" borderId="232" applyNumberFormat="0" applyFill="0" applyAlignment="0" applyProtection="0">
      <alignment vertical="center"/>
    </xf>
    <xf numFmtId="0" fontId="157" fillId="98" borderId="230" applyNumberFormat="0" applyAlignment="0" applyProtection="0">
      <alignment vertical="center"/>
    </xf>
    <xf numFmtId="0" fontId="157" fillId="98" borderId="230" applyNumberFormat="0" applyAlignment="0" applyProtection="0">
      <alignment vertical="center"/>
    </xf>
    <xf numFmtId="0" fontId="163" fillId="111" borderId="233" applyNumberFormat="0" applyAlignment="0" applyProtection="0">
      <alignment vertical="center"/>
    </xf>
    <xf numFmtId="0" fontId="163" fillId="111" borderId="233" applyNumberFormat="0" applyAlignment="0" applyProtection="0">
      <alignment vertical="center"/>
    </xf>
    <xf numFmtId="0" fontId="110" fillId="0" borderId="0">
      <protection locked="0"/>
    </xf>
    <xf numFmtId="196" fontId="83" fillId="0" borderId="214" applyFill="0" applyBorder="0" applyAlignment="0"/>
    <xf numFmtId="0" fontId="90" fillId="0" borderId="234">
      <alignment horizontal="left" vertical="center"/>
    </xf>
    <xf numFmtId="10" fontId="88" fillId="17" borderId="214" applyNumberFormat="0" applyBorder="0" applyAlignment="0" applyProtection="0"/>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0" fontId="99" fillId="1" borderId="234" applyNumberFormat="0" applyFont="0" applyAlignment="0">
      <alignment horizontal="center"/>
    </xf>
    <xf numFmtId="41" fontId="58" fillId="0" borderId="0" applyFont="0" applyFill="0" applyBorder="0" applyAlignment="0" applyProtection="0">
      <alignment vertical="center"/>
    </xf>
    <xf numFmtId="3" fontId="67" fillId="0" borderId="236"/>
    <xf numFmtId="3" fontId="67" fillId="0" borderId="236"/>
    <xf numFmtId="3" fontId="67" fillId="0" borderId="236"/>
    <xf numFmtId="196" fontId="83" fillId="0" borderId="236" applyFill="0" applyBorder="0" applyAlignment="0"/>
    <xf numFmtId="0" fontId="90" fillId="0" borderId="234">
      <alignment horizontal="left" vertical="center"/>
    </xf>
    <xf numFmtId="10" fontId="88" fillId="17" borderId="236" applyNumberFormat="0" applyBorder="0" applyAlignment="0" applyProtection="0"/>
    <xf numFmtId="193" fontId="64" fillId="0" borderId="0"/>
    <xf numFmtId="4" fontId="60" fillId="30" borderId="235" applyNumberFormat="0" applyProtection="0">
      <alignment horizontal="left" vertical="center" indent="1"/>
    </xf>
    <xf numFmtId="0" fontId="99" fillId="1" borderId="234" applyNumberFormat="0" applyFont="0" applyAlignment="0">
      <alignment horizontal="center"/>
    </xf>
    <xf numFmtId="0" fontId="61" fillId="0" borderId="0">
      <protection locked="0"/>
    </xf>
    <xf numFmtId="41" fontId="110" fillId="0" borderId="0">
      <protection locked="0"/>
    </xf>
    <xf numFmtId="9" fontId="110" fillId="0" borderId="0">
      <protection locked="0"/>
    </xf>
    <xf numFmtId="9" fontId="73" fillId="0" borderId="0" applyFont="0" applyFill="0" applyBorder="0" applyAlignment="0" applyProtection="0">
      <alignment vertical="center"/>
    </xf>
    <xf numFmtId="41" fontId="73" fillId="0" borderId="0" applyFont="0" applyFill="0" applyBorder="0" applyAlignment="0" applyProtection="0">
      <alignment vertical="center"/>
    </xf>
    <xf numFmtId="0" fontId="110" fillId="0" borderId="0">
      <protection locked="0"/>
    </xf>
    <xf numFmtId="0" fontId="110" fillId="0" borderId="0">
      <protection locked="0"/>
    </xf>
    <xf numFmtId="0" fontId="73" fillId="0" borderId="0">
      <alignment vertical="center"/>
    </xf>
    <xf numFmtId="41" fontId="22" fillId="0" borderId="0" applyFont="0" applyFill="0" applyBorder="0" applyAlignment="0" applyProtection="0"/>
    <xf numFmtId="3" fontId="67" fillId="0" borderId="236"/>
    <xf numFmtId="3" fontId="67" fillId="0" borderId="236"/>
    <xf numFmtId="3" fontId="67" fillId="0" borderId="236"/>
    <xf numFmtId="0" fontId="114" fillId="56" borderId="237" applyNumberFormat="0" applyAlignment="0" applyProtection="0"/>
    <xf numFmtId="0" fontId="114" fillId="56" borderId="237" applyNumberFormat="0" applyAlignment="0" applyProtection="0"/>
    <xf numFmtId="0" fontId="114" fillId="56" borderId="237" applyNumberFormat="0" applyAlignment="0" applyProtection="0"/>
    <xf numFmtId="0" fontId="114" fillId="56" borderId="237" applyNumberFormat="0" applyAlignment="0" applyProtection="0"/>
    <xf numFmtId="0" fontId="114" fillId="56" borderId="237" applyNumberFormat="0" applyAlignment="0" applyProtection="0"/>
    <xf numFmtId="196" fontId="83" fillId="0" borderId="236" applyFill="0" applyBorder="0" applyAlignment="0"/>
    <xf numFmtId="0" fontId="90" fillId="0" borderId="234">
      <alignment horizontal="left" vertical="center"/>
    </xf>
    <xf numFmtId="0" fontId="90" fillId="0" borderId="234">
      <alignment horizontal="left" vertical="center"/>
    </xf>
    <xf numFmtId="0" fontId="118" fillId="54" borderId="237" applyNumberFormat="0" applyAlignment="0" applyProtection="0"/>
    <xf numFmtId="10" fontId="88" fillId="17" borderId="236" applyNumberFormat="0" applyBorder="0" applyAlignment="0" applyProtection="0"/>
    <xf numFmtId="0" fontId="118" fillId="54" borderId="237" applyNumberFormat="0" applyAlignment="0" applyProtection="0"/>
    <xf numFmtId="0" fontId="118" fillId="54" borderId="237" applyNumberFormat="0" applyAlignment="0" applyProtection="0"/>
    <xf numFmtId="0" fontId="118" fillId="54" borderId="237" applyNumberFormat="0" applyAlignment="0" applyProtection="0"/>
    <xf numFmtId="0" fontId="118" fillId="54" borderId="237" applyNumberFormat="0" applyAlignment="0" applyProtection="0"/>
    <xf numFmtId="0" fontId="118" fillId="54" borderId="237" applyNumberFormat="0" applyAlignment="0" applyProtection="0"/>
    <xf numFmtId="0" fontId="118" fillId="54" borderId="237" applyNumberFormat="0" applyAlignment="0" applyProtection="0"/>
    <xf numFmtId="0" fontId="118" fillId="54" borderId="237" applyNumberFormat="0" applyAlignment="0" applyProtection="0"/>
    <xf numFmtId="0" fontId="118" fillId="54" borderId="237" applyNumberFormat="0" applyAlignment="0" applyProtection="0"/>
    <xf numFmtId="0" fontId="88" fillId="53" borderId="237" applyNumberFormat="0" applyFont="0" applyAlignment="0" applyProtection="0"/>
    <xf numFmtId="0" fontId="88" fillId="53" borderId="237" applyNumberFormat="0" applyFont="0" applyAlignment="0" applyProtection="0"/>
    <xf numFmtId="0" fontId="88" fillId="53" borderId="237" applyNumberFormat="0" applyFont="0" applyAlignment="0" applyProtection="0"/>
    <xf numFmtId="0" fontId="88" fillId="53" borderId="237" applyNumberFormat="0" applyFont="0" applyAlignment="0" applyProtection="0"/>
    <xf numFmtId="0" fontId="88" fillId="53" borderId="237" applyNumberFormat="0" applyFon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88" fillId="61" borderId="236"/>
    <xf numFmtId="0" fontId="88" fillId="61" borderId="236"/>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0" fontId="99" fillId="1" borderId="234" applyNumberFormat="0" applyFont="0" applyAlignment="0">
      <alignment horizontal="center"/>
    </xf>
    <xf numFmtId="0" fontId="99" fillId="1" borderId="234" applyNumberFormat="0" applyFont="0" applyAlignment="0">
      <alignment horizontal="center"/>
    </xf>
    <xf numFmtId="9"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41" fontId="24" fillId="0" borderId="0" applyFont="0" applyFill="0" applyBorder="0" applyAlignment="0" applyProtection="0"/>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24" fillId="0" borderId="0"/>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3" fontId="67" fillId="0" borderId="236"/>
    <xf numFmtId="3" fontId="67" fillId="0" borderId="236"/>
    <xf numFmtId="3" fontId="67" fillId="0" borderId="236"/>
    <xf numFmtId="3" fontId="67" fillId="0" borderId="236"/>
    <xf numFmtId="3" fontId="67" fillId="0" borderId="236"/>
    <xf numFmtId="3" fontId="67" fillId="0" borderId="236"/>
    <xf numFmtId="196" fontId="83" fillId="0" borderId="236" applyFill="0" applyBorder="0" applyAlignment="0"/>
    <xf numFmtId="196" fontId="83" fillId="0" borderId="236" applyFill="0" applyBorder="0" applyAlignment="0"/>
    <xf numFmtId="10" fontId="88" fillId="17" borderId="236" applyNumberFormat="0" applyBorder="0" applyAlignment="0" applyProtection="0"/>
    <xf numFmtId="10" fontId="88" fillId="17" borderId="236" applyNumberFormat="0" applyBorder="0" applyAlignment="0" applyProtection="0"/>
    <xf numFmtId="0" fontId="88" fillId="61" borderId="236"/>
    <xf numFmtId="0" fontId="88" fillId="61" borderId="236"/>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68" borderId="170" applyNumberFormat="0" applyFont="0" applyAlignment="0" applyProtection="0">
      <alignment vertical="center"/>
    </xf>
    <xf numFmtId="41" fontId="22" fillId="0" borderId="0" applyFont="0" applyFill="0" applyBorder="0" applyAlignment="0" applyProtection="0">
      <alignment vertical="center"/>
    </xf>
    <xf numFmtId="0" fontId="90" fillId="0" borderId="234">
      <alignment horizontal="left" vertical="center"/>
    </xf>
    <xf numFmtId="4" fontId="6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0" fontId="99" fillId="1" borderId="234" applyNumberFormat="0" applyFont="0" applyAlignment="0">
      <alignment horizont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63" fillId="111" borderId="233" applyNumberFormat="0" applyAlignment="0" applyProtection="0">
      <alignment vertical="center"/>
    </xf>
    <xf numFmtId="0" fontId="163" fillId="111" borderId="233" applyNumberFormat="0" applyAlignment="0" applyProtection="0">
      <alignment vertical="center"/>
    </xf>
    <xf numFmtId="0" fontId="157" fillId="98" borderId="230" applyNumberFormat="0" applyAlignment="0" applyProtection="0">
      <alignment vertical="center"/>
    </xf>
    <xf numFmtId="0" fontId="157" fillId="98" borderId="230" applyNumberFormat="0" applyAlignment="0" applyProtection="0">
      <alignment vertical="center"/>
    </xf>
    <xf numFmtId="0" fontId="146" fillId="0" borderId="232" applyNumberFormat="0" applyFill="0" applyAlignment="0" applyProtection="0">
      <alignment vertical="center"/>
    </xf>
    <xf numFmtId="0" fontId="146" fillId="0" borderId="232" applyNumberFormat="0" applyFill="0" applyAlignment="0" applyProtection="0">
      <alignment vertical="center"/>
    </xf>
    <xf numFmtId="0" fontId="22" fillId="10" borderId="231" applyNumberFormat="0" applyFont="0" applyAlignment="0" applyProtection="0">
      <alignment vertical="center"/>
    </xf>
    <xf numFmtId="0" fontId="22" fillId="10" borderId="231" applyNumberFormat="0" applyFont="0" applyAlignment="0" applyProtection="0">
      <alignment vertical="center"/>
    </xf>
    <xf numFmtId="0" fontId="151" fillId="111" borderId="230" applyNumberFormat="0" applyAlignment="0" applyProtection="0">
      <alignment vertical="center"/>
    </xf>
    <xf numFmtId="0" fontId="151" fillId="111" borderId="230" applyNumberFormat="0" applyAlignment="0" applyProtection="0">
      <alignment vertical="center"/>
    </xf>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90" fillId="0" borderId="234">
      <alignment horizontal="left" vertical="center"/>
    </xf>
    <xf numFmtId="0" fontId="90" fillId="0" borderId="234">
      <alignment horizontal="left" vertical="center"/>
    </xf>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0" fontId="99" fillId="1" borderId="234" applyNumberFormat="0" applyFont="0" applyAlignment="0">
      <alignment horizontal="center"/>
    </xf>
    <xf numFmtId="0" fontId="99" fillId="1" borderId="234" applyNumberFormat="0" applyFont="0" applyAlignment="0">
      <alignment horizont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70" borderId="0" applyNumberFormat="0" applyBorder="0" applyAlignment="0" applyProtection="0">
      <alignment vertical="center"/>
    </xf>
    <xf numFmtId="0" fontId="8" fillId="71" borderId="0" applyNumberFormat="0" applyBorder="0" applyAlignment="0" applyProtection="0">
      <alignment vertical="center"/>
    </xf>
    <xf numFmtId="0" fontId="8" fillId="74" borderId="0" applyNumberFormat="0" applyBorder="0" applyAlignment="0" applyProtection="0">
      <alignment vertical="center"/>
    </xf>
    <xf numFmtId="0" fontId="8" fillId="75" borderId="0" applyNumberFormat="0" applyBorder="0" applyAlignment="0" applyProtection="0">
      <alignment vertical="center"/>
    </xf>
    <xf numFmtId="0" fontId="8" fillId="78" borderId="0" applyNumberFormat="0" applyBorder="0" applyAlignment="0" applyProtection="0">
      <alignment vertical="center"/>
    </xf>
    <xf numFmtId="0" fontId="8" fillId="79" borderId="0" applyNumberFormat="0" applyBorder="0" applyAlignment="0" applyProtection="0">
      <alignment vertical="center"/>
    </xf>
    <xf numFmtId="0" fontId="8" fillId="82" borderId="0" applyNumberFormat="0" applyBorder="0" applyAlignment="0" applyProtection="0">
      <alignment vertical="center"/>
    </xf>
    <xf numFmtId="0" fontId="8" fillId="83" borderId="0" applyNumberFormat="0" applyBorder="0" applyAlignment="0" applyProtection="0">
      <alignment vertical="center"/>
    </xf>
    <xf numFmtId="0" fontId="8" fillId="86" borderId="0" applyNumberFormat="0" applyBorder="0" applyAlignment="0" applyProtection="0">
      <alignment vertical="center"/>
    </xf>
    <xf numFmtId="0" fontId="8" fillId="87" borderId="0" applyNumberFormat="0" applyBorder="0" applyAlignment="0" applyProtection="0">
      <alignment vertical="center"/>
    </xf>
    <xf numFmtId="0" fontId="8" fillId="90" borderId="0" applyNumberFormat="0" applyBorder="0" applyAlignment="0" applyProtection="0">
      <alignment vertical="center"/>
    </xf>
    <xf numFmtId="0" fontId="8" fillId="91" borderId="0" applyNumberFormat="0" applyBorder="0" applyAlignment="0" applyProtection="0">
      <alignment vertical="center"/>
    </xf>
    <xf numFmtId="0" fontId="118" fillId="54" borderId="239" applyNumberFormat="0" applyAlignment="0" applyProtection="0"/>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3" fontId="67" fillId="0" borderId="214"/>
    <xf numFmtId="3" fontId="67" fillId="0" borderId="214"/>
    <xf numFmtId="3" fontId="67" fillId="0" borderId="214"/>
    <xf numFmtId="3" fontId="67" fillId="0" borderId="214"/>
    <xf numFmtId="3" fontId="67" fillId="0" borderId="214"/>
    <xf numFmtId="3" fontId="67" fillId="0" borderId="214"/>
    <xf numFmtId="196" fontId="83" fillId="0" borderId="214" applyFill="0" applyBorder="0" applyAlignment="0"/>
    <xf numFmtId="196" fontId="83" fillId="0" borderId="214" applyFill="0" applyBorder="0" applyAlignment="0"/>
    <xf numFmtId="10" fontId="88" fillId="17" borderId="214" applyNumberFormat="0" applyBorder="0" applyAlignment="0" applyProtection="0"/>
    <xf numFmtId="10" fontId="88" fillId="17" borderId="214" applyNumberFormat="0" applyBorder="0" applyAlignment="0" applyProtection="0"/>
    <xf numFmtId="0" fontId="88" fillId="61" borderId="214"/>
    <xf numFmtId="0" fontId="88" fillId="61" borderId="214"/>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68" borderId="170" applyNumberFormat="0" applyFont="0" applyAlignment="0" applyProtection="0">
      <alignment vertical="center"/>
    </xf>
    <xf numFmtId="0" fontId="90" fillId="0" borderId="195">
      <alignment horizontal="left" vertical="center"/>
    </xf>
    <xf numFmtId="4" fontId="6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0" fontId="99" fillId="1" borderId="195" applyNumberFormat="0" applyFont="0" applyAlignment="0">
      <alignment horizont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63" fillId="111" borderId="233" applyNumberFormat="0" applyAlignment="0" applyProtection="0">
      <alignment vertical="center"/>
    </xf>
    <xf numFmtId="0" fontId="163" fillId="111" borderId="233" applyNumberFormat="0" applyAlignment="0" applyProtection="0">
      <alignment vertical="center"/>
    </xf>
    <xf numFmtId="0" fontId="157" fillId="98" borderId="230" applyNumberFormat="0" applyAlignment="0" applyProtection="0">
      <alignment vertical="center"/>
    </xf>
    <xf numFmtId="0" fontId="157" fillId="98" borderId="230" applyNumberFormat="0" applyAlignment="0" applyProtection="0">
      <alignment vertical="center"/>
    </xf>
    <xf numFmtId="0" fontId="146" fillId="0" borderId="232" applyNumberFormat="0" applyFill="0" applyAlignment="0" applyProtection="0">
      <alignment vertical="center"/>
    </xf>
    <xf numFmtId="0" fontId="146" fillId="0" borderId="232" applyNumberFormat="0" applyFill="0" applyAlignment="0" applyProtection="0">
      <alignment vertical="center"/>
    </xf>
    <xf numFmtId="0" fontId="22" fillId="10" borderId="231" applyNumberFormat="0" applyFont="0" applyAlignment="0" applyProtection="0">
      <alignment vertical="center"/>
    </xf>
    <xf numFmtId="0" fontId="22" fillId="10" borderId="231" applyNumberFormat="0" applyFont="0" applyAlignment="0" applyProtection="0">
      <alignment vertical="center"/>
    </xf>
    <xf numFmtId="0" fontId="151" fillId="111" borderId="230" applyNumberFormat="0" applyAlignment="0" applyProtection="0">
      <alignment vertical="center"/>
    </xf>
    <xf numFmtId="0" fontId="151" fillId="111" borderId="230" applyNumberFormat="0" applyAlignment="0" applyProtection="0">
      <alignment vertical="center"/>
    </xf>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90" fillId="0" borderId="195">
      <alignment horizontal="left" vertical="center"/>
    </xf>
    <xf numFmtId="0" fontId="90" fillId="0" borderId="195">
      <alignment horizontal="left" vertical="center"/>
    </xf>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0" fontId="99" fillId="1" borderId="195" applyNumberFormat="0" applyFont="0" applyAlignment="0">
      <alignment horizontal="center"/>
    </xf>
    <xf numFmtId="0" fontId="99" fillId="1" borderId="195" applyNumberFormat="0" applyFont="0" applyAlignment="0">
      <alignment horizont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18" fillId="54" borderId="239" applyNumberFormat="0" applyAlignment="0" applyProtection="0"/>
    <xf numFmtId="0" fontId="118" fillId="54" borderId="239" applyNumberFormat="0" applyAlignment="0" applyProtection="0"/>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18" fillId="54" borderId="239" applyNumberFormat="0" applyAlignment="0" applyProtection="0"/>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51" fillId="111" borderId="230" applyNumberFormat="0" applyAlignment="0" applyProtection="0">
      <alignment vertical="center"/>
    </xf>
    <xf numFmtId="0" fontId="151" fillId="111" borderId="230" applyNumberFormat="0" applyAlignment="0" applyProtection="0">
      <alignment vertical="center"/>
    </xf>
    <xf numFmtId="0" fontId="22" fillId="10" borderId="231" applyNumberFormat="0" applyFont="0" applyAlignment="0" applyProtection="0">
      <alignment vertical="center"/>
    </xf>
    <xf numFmtId="0" fontId="22" fillId="10" borderId="231" applyNumberFormat="0" applyFont="0" applyAlignment="0" applyProtection="0">
      <alignment vertical="center"/>
    </xf>
    <xf numFmtId="0" fontId="157" fillId="98" borderId="230" applyNumberFormat="0" applyAlignment="0" applyProtection="0">
      <alignment vertical="center"/>
    </xf>
    <xf numFmtId="0" fontId="157" fillId="98" borderId="230" applyNumberFormat="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3" fontId="67" fillId="0" borderId="214"/>
    <xf numFmtId="3" fontId="67" fillId="0" borderId="214"/>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118" fillId="54" borderId="239" applyNumberFormat="0" applyAlignment="0" applyProtection="0"/>
    <xf numFmtId="3" fontId="67" fillId="0" borderId="214"/>
    <xf numFmtId="3" fontId="67" fillId="0" borderId="214"/>
    <xf numFmtId="3" fontId="67" fillId="0" borderId="214"/>
    <xf numFmtId="3" fontId="67" fillId="0" borderId="214"/>
    <xf numFmtId="196" fontId="83" fillId="0" borderId="214" applyFill="0" applyBorder="0" applyAlignment="0"/>
    <xf numFmtId="196" fontId="83" fillId="0" borderId="214" applyFill="0" applyBorder="0" applyAlignment="0"/>
    <xf numFmtId="0" fontId="118" fillId="54" borderId="239" applyNumberFormat="0" applyAlignment="0" applyProtection="0"/>
    <xf numFmtId="10" fontId="88" fillId="17" borderId="214" applyNumberFormat="0" applyBorder="0" applyAlignment="0" applyProtection="0"/>
    <xf numFmtId="10" fontId="88" fillId="17" borderId="214" applyNumberFormat="0" applyBorder="0" applyAlignment="0" applyProtection="0"/>
    <xf numFmtId="0" fontId="88" fillId="61" borderId="214"/>
    <xf numFmtId="0" fontId="88" fillId="61" borderId="214"/>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18" fillId="54" borderId="239"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41" fontId="8" fillId="0" borderId="0" applyFont="0" applyFill="0" applyBorder="0" applyAlignment="0" applyProtection="0">
      <alignment vertical="center"/>
    </xf>
    <xf numFmtId="0" fontId="8" fillId="0" borderId="0">
      <alignment vertical="center"/>
    </xf>
    <xf numFmtId="10" fontId="88" fillId="17" borderId="214" applyNumberFormat="0" applyBorder="0" applyAlignment="0" applyProtection="0"/>
    <xf numFmtId="0" fontId="65" fillId="0" borderId="104">
      <alignment horizontal="center"/>
    </xf>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60" fillId="26" borderId="233" applyNumberFormat="0" applyProtection="0">
      <alignment horizontal="right" vertical="center"/>
    </xf>
    <xf numFmtId="4" fontId="60" fillId="2" borderId="233" applyNumberFormat="0" applyProtection="0">
      <alignment horizontal="left" vertical="center" indent="1"/>
    </xf>
    <xf numFmtId="0" fontId="88" fillId="61" borderId="214"/>
    <xf numFmtId="4" fontId="100" fillId="30" borderId="233" applyNumberFormat="0" applyProtection="0">
      <alignment horizontal="right" vertical="center"/>
    </xf>
    <xf numFmtId="0" fontId="56" fillId="32" borderId="233" applyNumberFormat="0" applyProtection="0">
      <alignment horizontal="left" vertical="center" indent="1"/>
    </xf>
    <xf numFmtId="4" fontId="60" fillId="26" borderId="233" applyNumberFormat="0" applyProtection="0">
      <alignment horizontal="right" vertical="center"/>
    </xf>
    <xf numFmtId="4" fontId="60" fillId="2" borderId="233" applyNumberFormat="0" applyProtection="0">
      <alignment horizontal="left" vertical="center" indent="1"/>
    </xf>
    <xf numFmtId="0" fontId="88" fillId="53" borderId="239" applyNumberFormat="0" applyFont="0" applyAlignment="0" applyProtection="0"/>
    <xf numFmtId="4" fontId="60" fillId="22" borderId="233" applyNumberFormat="0" applyProtection="0">
      <alignment horizontal="right" vertical="center"/>
    </xf>
    <xf numFmtId="0" fontId="120" fillId="56" borderId="233" applyNumberFormat="0" applyAlignment="0" applyProtection="0"/>
    <xf numFmtId="4" fontId="60" fillId="23" borderId="233" applyNumberFormat="0" applyProtection="0">
      <alignment horizontal="right" vertical="center"/>
    </xf>
    <xf numFmtId="4" fontId="60" fillId="35" borderId="233" applyNumberFormat="0" applyProtection="0">
      <alignment vertical="center"/>
    </xf>
    <xf numFmtId="4" fontId="101" fillId="29" borderId="233" applyNumberFormat="0" applyProtection="0">
      <alignment horizontal="left" vertical="center" indent="1"/>
    </xf>
    <xf numFmtId="4" fontId="60" fillId="35" borderId="233" applyNumberFormat="0" applyProtection="0">
      <alignment vertical="center"/>
    </xf>
    <xf numFmtId="3" fontId="67" fillId="0" borderId="214"/>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32" borderId="233" applyNumberFormat="0" applyProtection="0">
      <alignment horizontal="left" vertical="center" indent="1"/>
    </xf>
    <xf numFmtId="0" fontId="151" fillId="111" borderId="230" applyNumberFormat="0" applyAlignment="0" applyProtection="0">
      <alignment vertical="center"/>
    </xf>
    <xf numFmtId="0" fontId="151" fillId="111" borderId="230" applyNumberFormat="0" applyAlignment="0" applyProtection="0">
      <alignment vertical="center"/>
    </xf>
    <xf numFmtId="0" fontId="22" fillId="10" borderId="231" applyNumberFormat="0" applyFont="0" applyAlignment="0" applyProtection="0">
      <alignment vertical="center"/>
    </xf>
    <xf numFmtId="0" fontId="22" fillId="10" borderId="231" applyNumberFormat="0" applyFont="0" applyAlignment="0" applyProtection="0">
      <alignment vertical="center"/>
    </xf>
    <xf numFmtId="0" fontId="146" fillId="0" borderId="232" applyNumberFormat="0" applyFill="0" applyAlignment="0" applyProtection="0">
      <alignment vertical="center"/>
    </xf>
    <xf numFmtId="0" fontId="146" fillId="0" borderId="232" applyNumberFormat="0" applyFill="0" applyAlignment="0" applyProtection="0">
      <alignment vertical="center"/>
    </xf>
    <xf numFmtId="0" fontId="157" fillId="98" borderId="230" applyNumberFormat="0" applyAlignment="0" applyProtection="0">
      <alignment vertical="center"/>
    </xf>
    <xf numFmtId="0" fontId="157" fillId="98" borderId="230" applyNumberFormat="0" applyAlignment="0" applyProtection="0">
      <alignment vertical="center"/>
    </xf>
    <xf numFmtId="0" fontId="163" fillId="111" borderId="233" applyNumberFormat="0" applyAlignment="0" applyProtection="0">
      <alignment vertical="center"/>
    </xf>
    <xf numFmtId="0" fontId="163" fillId="111" borderId="233" applyNumberFormat="0" applyAlignment="0" applyProtection="0">
      <alignment vertical="center"/>
    </xf>
    <xf numFmtId="0" fontId="110" fillId="0" borderId="0">
      <protection locked="0"/>
    </xf>
    <xf numFmtId="0" fontId="90" fillId="0" borderId="195">
      <alignment horizontal="lef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0" fontId="99" fillId="1" borderId="195" applyNumberFormat="0" applyFont="0" applyAlignment="0">
      <alignment horizontal="center"/>
    </xf>
    <xf numFmtId="4" fontId="60" fillId="23" borderId="233" applyNumberFormat="0" applyProtection="0">
      <alignment horizontal="right" vertical="center"/>
    </xf>
    <xf numFmtId="0" fontId="56" fillId="19" borderId="233" applyNumberFormat="0" applyProtection="0">
      <alignment horizontal="left" vertical="center" indent="1"/>
    </xf>
    <xf numFmtId="3" fontId="67" fillId="0" borderId="214"/>
    <xf numFmtId="0" fontId="56" fillId="34" borderId="233" applyNumberFormat="0" applyProtection="0">
      <alignment horizontal="left" vertical="center" indent="1"/>
    </xf>
    <xf numFmtId="4" fontId="101" fillId="29" borderId="233" applyNumberFormat="0" applyProtection="0">
      <alignment horizontal="left" vertical="center" indent="1"/>
    </xf>
    <xf numFmtId="0" fontId="120" fillId="56" borderId="233" applyNumberFormat="0" applyAlignment="0" applyProtection="0"/>
    <xf numFmtId="0" fontId="56" fillId="33" borderId="233" applyNumberFormat="0" applyProtection="0">
      <alignment horizontal="left" vertical="center" indent="1"/>
    </xf>
    <xf numFmtId="4" fontId="100" fillId="35" borderId="233" applyNumberFormat="0" applyProtection="0">
      <alignment vertical="center"/>
    </xf>
    <xf numFmtId="0" fontId="56" fillId="19" borderId="233" applyNumberFormat="0" applyProtection="0">
      <alignment horizontal="left" vertical="center" indent="1"/>
    </xf>
    <xf numFmtId="4" fontId="60" fillId="25" borderId="233" applyNumberFormat="0" applyProtection="0">
      <alignment horizontal="right" vertical="center"/>
    </xf>
    <xf numFmtId="0" fontId="88" fillId="53" borderId="239" applyNumberFormat="0" applyFont="0" applyAlignment="0" applyProtection="0"/>
    <xf numFmtId="4" fontId="101" fillId="29" borderId="233" applyNumberFormat="0" applyProtection="0">
      <alignment horizontal="left" vertical="center" indent="1"/>
    </xf>
    <xf numFmtId="4" fontId="60" fillId="30" borderId="233" applyNumberFormat="0" applyProtection="0">
      <alignment horizontal="right" vertical="center"/>
    </xf>
    <xf numFmtId="0" fontId="22" fillId="10" borderId="231" applyNumberFormat="0" applyFont="0" applyAlignment="0" applyProtection="0">
      <alignment vertical="center"/>
    </xf>
    <xf numFmtId="4" fontId="60" fillId="27" borderId="233" applyNumberFormat="0" applyProtection="0">
      <alignment horizontal="right" vertical="center"/>
    </xf>
    <xf numFmtId="4" fontId="60" fillId="32" borderId="233" applyNumberFormat="0" applyProtection="0">
      <alignment horizontal="left" vertical="center" indent="1"/>
    </xf>
    <xf numFmtId="4" fontId="60" fillId="23" borderId="233" applyNumberFormat="0" applyProtection="0">
      <alignment horizontal="right" vertical="center"/>
    </xf>
    <xf numFmtId="0" fontId="56" fillId="19" borderId="233" applyNumberFormat="0" applyProtection="0">
      <alignment horizontal="left" vertical="center" indent="1"/>
    </xf>
    <xf numFmtId="0" fontId="120" fillId="56" borderId="233" applyNumberFormat="0" applyAlignment="0" applyProtection="0"/>
    <xf numFmtId="0" fontId="56" fillId="19" borderId="233" applyNumberFormat="0" applyProtection="0">
      <alignment horizontal="left" vertical="center" indent="1"/>
    </xf>
    <xf numFmtId="0" fontId="56" fillId="34" borderId="233" applyNumberFormat="0" applyProtection="0">
      <alignment horizontal="left" vertical="center" indent="1"/>
    </xf>
    <xf numFmtId="4" fontId="60" fillId="30" borderId="233" applyNumberFormat="0" applyProtection="0">
      <alignment horizontal="right" vertical="center"/>
    </xf>
    <xf numFmtId="4" fontId="100" fillId="2" borderId="233" applyNumberFormat="0" applyProtection="0">
      <alignment vertical="center"/>
    </xf>
    <xf numFmtId="0" fontId="56" fillId="19" borderId="233" applyNumberFormat="0" applyProtection="0">
      <alignment horizontal="left" vertical="center" indent="1"/>
    </xf>
    <xf numFmtId="4" fontId="60" fillId="20" borderId="233" applyNumberFormat="0" applyProtection="0">
      <alignment horizontal="right" vertical="center"/>
    </xf>
    <xf numFmtId="0" fontId="56" fillId="33" borderId="233" applyNumberFormat="0" applyProtection="0">
      <alignment horizontal="left" vertical="center" indent="1"/>
    </xf>
    <xf numFmtId="0" fontId="88" fillId="53" borderId="239" applyNumberFormat="0" applyFont="0" applyAlignment="0" applyProtection="0"/>
    <xf numFmtId="0" fontId="120" fillId="56" borderId="233" applyNumberFormat="0" applyAlignment="0" applyProtection="0"/>
    <xf numFmtId="4" fontId="60" fillId="2" borderId="233" applyNumberFormat="0" applyProtection="0">
      <alignment vertical="center"/>
    </xf>
    <xf numFmtId="4" fontId="100" fillId="2" borderId="233" applyNumberFormat="0" applyProtection="0">
      <alignment vertical="center"/>
    </xf>
    <xf numFmtId="0" fontId="118" fillId="54" borderId="239" applyNumberFormat="0" applyAlignment="0" applyProtection="0"/>
    <xf numFmtId="4" fontId="60" fillId="27" borderId="233" applyNumberFormat="0" applyProtection="0">
      <alignment horizontal="right" vertical="center"/>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4" fontId="60" fillId="32"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2" borderId="233" applyNumberFormat="0" applyProtection="0">
      <alignment horizontal="right" vertical="center"/>
    </xf>
    <xf numFmtId="0" fontId="56" fillId="19" borderId="233" applyNumberFormat="0" applyProtection="0">
      <alignment horizontal="left" vertical="center" indent="1"/>
    </xf>
    <xf numFmtId="4" fontId="60" fillId="2" borderId="233" applyNumberFormat="0" applyProtection="0">
      <alignment vertical="center"/>
    </xf>
    <xf numFmtId="4" fontId="60" fillId="30" borderId="235" applyNumberFormat="0" applyProtection="0">
      <alignment horizontal="left" vertical="center" indent="1"/>
    </xf>
    <xf numFmtId="4" fontId="104" fillId="30" borderId="233" applyNumberFormat="0" applyProtection="0">
      <alignment horizontal="right" vertical="center"/>
    </xf>
    <xf numFmtId="4" fontId="100" fillId="35" borderId="233" applyNumberFormat="0" applyProtection="0">
      <alignment vertical="center"/>
    </xf>
    <xf numFmtId="4" fontId="60" fillId="24" borderId="233" applyNumberFormat="0" applyProtection="0">
      <alignment horizontal="right" vertical="center"/>
    </xf>
    <xf numFmtId="0" fontId="56" fillId="34" borderId="233" applyNumberFormat="0" applyProtection="0">
      <alignment horizontal="left" vertical="center" indent="1"/>
    </xf>
    <xf numFmtId="4" fontId="60" fillId="32" borderId="233" applyNumberFormat="0" applyProtection="0">
      <alignment horizontal="left" vertical="center" indent="1"/>
    </xf>
    <xf numFmtId="4" fontId="60" fillId="23" borderId="233" applyNumberFormat="0" applyProtection="0">
      <alignment horizontal="right" vertical="center"/>
    </xf>
    <xf numFmtId="0" fontId="56" fillId="19" borderId="233" applyNumberFormat="0" applyProtection="0">
      <alignment horizontal="left" vertical="center" indent="1"/>
    </xf>
    <xf numFmtId="0" fontId="56" fillId="34" borderId="233" applyNumberFormat="0" applyProtection="0">
      <alignment horizontal="left" vertical="center" indent="1"/>
    </xf>
    <xf numFmtId="4" fontId="60" fillId="32"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vertical="center"/>
    </xf>
    <xf numFmtId="4" fontId="101" fillId="29" borderId="233" applyNumberFormat="0" applyProtection="0">
      <alignment horizontal="left" vertical="center" indent="1"/>
    </xf>
    <xf numFmtId="0" fontId="90" fillId="0" borderId="195">
      <alignment horizontal="left" vertical="center"/>
    </xf>
    <xf numFmtId="4" fontId="60" fillId="32" borderId="233" applyNumberFormat="0" applyProtection="0">
      <alignment horizontal="left" vertical="center" indent="1"/>
    </xf>
    <xf numFmtId="0" fontId="88" fillId="53" borderId="239" applyNumberFormat="0" applyFont="0" applyAlignment="0" applyProtection="0"/>
    <xf numFmtId="4" fontId="60" fillId="2" borderId="233" applyNumberFormat="0" applyProtection="0">
      <alignment horizontal="left" vertical="center" indent="1"/>
    </xf>
    <xf numFmtId="4" fontId="60" fillId="26" borderId="233" applyNumberFormat="0" applyProtection="0">
      <alignment horizontal="right" vertical="center"/>
    </xf>
    <xf numFmtId="0" fontId="56" fillId="32" borderId="233" applyNumberFormat="0" applyProtection="0">
      <alignment horizontal="left" vertical="center" indent="1"/>
    </xf>
    <xf numFmtId="4" fontId="60" fillId="23" borderId="233" applyNumberFormat="0" applyProtection="0">
      <alignment horizontal="right" vertical="center"/>
    </xf>
    <xf numFmtId="0" fontId="121" fillId="60" borderId="238" applyBorder="0"/>
    <xf numFmtId="4" fontId="104" fillId="30" borderId="233" applyNumberFormat="0" applyProtection="0">
      <alignment horizontal="right" vertical="center"/>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118" fillId="54" borderId="239" applyNumberFormat="0" applyAlignment="0" applyProtection="0"/>
    <xf numFmtId="4" fontId="60" fillId="22" borderId="233" applyNumberFormat="0" applyProtection="0">
      <alignment horizontal="right" vertical="center"/>
    </xf>
    <xf numFmtId="3" fontId="67" fillId="0" borderId="214"/>
    <xf numFmtId="4" fontId="100" fillId="30" borderId="233" applyNumberFormat="0" applyProtection="0">
      <alignment horizontal="right" vertical="center"/>
    </xf>
    <xf numFmtId="0" fontId="56" fillId="34" borderId="233" applyNumberFormat="0" applyProtection="0">
      <alignment horizontal="left" vertical="center" indent="1"/>
    </xf>
    <xf numFmtId="0" fontId="118" fillId="54" borderId="239" applyNumberFormat="0" applyAlignment="0" applyProtection="0"/>
    <xf numFmtId="3" fontId="67" fillId="0" borderId="214"/>
    <xf numFmtId="0" fontId="157" fillId="98" borderId="230" applyNumberFormat="0" applyAlignment="0" applyProtection="0">
      <alignment vertical="center"/>
    </xf>
    <xf numFmtId="0" fontId="56" fillId="34" borderId="233" applyNumberFormat="0" applyProtection="0">
      <alignment horizontal="left" vertical="center" indent="1"/>
    </xf>
    <xf numFmtId="4" fontId="60" fillId="35" borderId="233" applyNumberFormat="0" applyProtection="0">
      <alignment vertical="center"/>
    </xf>
    <xf numFmtId="0" fontId="56" fillId="33" borderId="233" applyNumberFormat="0" applyProtection="0">
      <alignment horizontal="left" vertical="center" indent="1"/>
    </xf>
    <xf numFmtId="0" fontId="118" fillId="54" borderId="239" applyNumberFormat="0" applyAlignment="0" applyProtection="0"/>
    <xf numFmtId="4" fontId="60" fillId="27" borderId="233" applyNumberFormat="0" applyProtection="0">
      <alignment horizontal="right" vertical="center"/>
    </xf>
    <xf numFmtId="0" fontId="56" fillId="33" borderId="233" applyNumberFormat="0" applyProtection="0">
      <alignment horizontal="left" vertical="center" indent="1"/>
    </xf>
    <xf numFmtId="4" fontId="100" fillId="35" borderId="233" applyNumberFormat="0" applyProtection="0">
      <alignment vertical="center"/>
    </xf>
    <xf numFmtId="4" fontId="60" fillId="2" borderId="233" applyNumberFormat="0" applyProtection="0">
      <alignment horizontal="left" vertical="center" indent="1"/>
    </xf>
    <xf numFmtId="4" fontId="100" fillId="35" borderId="233" applyNumberFormat="0" applyProtection="0">
      <alignment vertical="center"/>
    </xf>
    <xf numFmtId="0" fontId="56" fillId="19" borderId="233" applyNumberFormat="0" applyProtection="0">
      <alignment horizontal="left" vertical="center" indent="1"/>
    </xf>
    <xf numFmtId="4" fontId="60" fillId="20" borderId="233" applyNumberFormat="0" applyProtection="0">
      <alignment horizontal="right" vertical="center"/>
    </xf>
    <xf numFmtId="0" fontId="118" fillId="54" borderId="239" applyNumberFormat="0" applyAlignment="0" applyProtection="0"/>
    <xf numFmtId="0" fontId="151" fillId="111" borderId="230" applyNumberFormat="0" applyAlignment="0" applyProtection="0">
      <alignmen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 borderId="233" applyNumberFormat="0" applyProtection="0">
      <alignment horizontal="left" vertical="center" indent="1"/>
    </xf>
    <xf numFmtId="0" fontId="99" fillId="1" borderId="195" applyNumberFormat="0" applyFont="0" applyAlignment="0">
      <alignment horizontal="center"/>
    </xf>
    <xf numFmtId="0" fontId="120" fillId="56" borderId="233" applyNumberFormat="0" applyAlignment="0" applyProtection="0"/>
    <xf numFmtId="4" fontId="60" fillId="22"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0" fillId="30" borderId="233" applyNumberFormat="0" applyProtection="0">
      <alignment horizontal="right" vertical="center"/>
    </xf>
    <xf numFmtId="0" fontId="114" fillId="56" borderId="239" applyNumberFormat="0" applyAlignment="0" applyProtection="0"/>
    <xf numFmtId="3" fontId="67" fillId="0" borderId="214"/>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60" fillId="35" borderId="233" applyNumberFormat="0" applyProtection="0">
      <alignment vertical="center"/>
    </xf>
    <xf numFmtId="0" fontId="56" fillId="33" borderId="233" applyNumberFormat="0" applyProtection="0">
      <alignment horizontal="left" vertical="center" indent="1"/>
    </xf>
    <xf numFmtId="0" fontId="118" fillId="54" borderId="239" applyNumberFormat="0" applyAlignment="0" applyProtection="0"/>
    <xf numFmtId="4" fontId="60" fillId="30" borderId="233" applyNumberFormat="0" applyProtection="0">
      <alignment horizontal="left" vertical="center" indent="1"/>
    </xf>
    <xf numFmtId="4" fontId="60" fillId="21" borderId="233" applyNumberFormat="0" applyProtection="0">
      <alignment horizontal="right" vertical="center"/>
    </xf>
    <xf numFmtId="4" fontId="60" fillId="20" borderId="233" applyNumberFormat="0" applyProtection="0">
      <alignment horizontal="right" vertical="center"/>
    </xf>
    <xf numFmtId="0" fontId="56" fillId="34" borderId="233" applyNumberFormat="0" applyProtection="0">
      <alignment horizontal="left" vertical="center" indent="1"/>
    </xf>
    <xf numFmtId="4" fontId="60" fillId="2" borderId="233" applyNumberFormat="0" applyProtection="0">
      <alignment horizontal="left" vertical="center" indent="1"/>
    </xf>
    <xf numFmtId="4" fontId="60" fillId="35" borderId="233" applyNumberFormat="0" applyProtection="0">
      <alignment horizontal="left" vertical="center" indent="1"/>
    </xf>
    <xf numFmtId="4" fontId="60" fillId="24" borderId="233" applyNumberFormat="0" applyProtection="0">
      <alignment horizontal="right" vertical="center"/>
    </xf>
    <xf numFmtId="4" fontId="60" fillId="23" borderId="233" applyNumberFormat="0" applyProtection="0">
      <alignment horizontal="right" vertical="center"/>
    </xf>
    <xf numFmtId="0" fontId="56" fillId="19" borderId="233" applyNumberFormat="0" applyProtection="0">
      <alignment horizontal="left" vertical="center" indent="1"/>
    </xf>
    <xf numFmtId="4" fontId="100" fillId="30" borderId="233" applyNumberFormat="0" applyProtection="0">
      <alignment horizontal="right" vertical="center"/>
    </xf>
    <xf numFmtId="4" fontId="60" fillId="32" borderId="233" applyNumberFormat="0" applyProtection="0">
      <alignment horizontal="left" vertical="center" indent="1"/>
    </xf>
    <xf numFmtId="0" fontId="56" fillId="32" borderId="233" applyNumberFormat="0" applyProtection="0">
      <alignment horizontal="left" vertical="center" indent="1"/>
    </xf>
    <xf numFmtId="4" fontId="60" fillId="24" borderId="233" applyNumberFormat="0" applyProtection="0">
      <alignment horizontal="right" vertical="center"/>
    </xf>
    <xf numFmtId="0" fontId="163" fillId="111" borderId="233" applyNumberFormat="0" applyAlignment="0" applyProtection="0">
      <alignment vertical="center"/>
    </xf>
    <xf numFmtId="0" fontId="56" fillId="32" borderId="233" applyNumberFormat="0" applyProtection="0">
      <alignment horizontal="left" vertical="center" indent="1"/>
    </xf>
    <xf numFmtId="4" fontId="60" fillId="35" borderId="233" applyNumberFormat="0" applyProtection="0">
      <alignment vertical="center"/>
    </xf>
    <xf numFmtId="4" fontId="60" fillId="25" borderId="233" applyNumberFormat="0" applyProtection="0">
      <alignment horizontal="right" vertical="center"/>
    </xf>
    <xf numFmtId="0" fontId="56" fillId="32" borderId="233" applyNumberFormat="0" applyProtection="0">
      <alignment horizontal="left" vertical="center" indent="1"/>
    </xf>
    <xf numFmtId="0" fontId="121" fillId="60" borderId="238" applyBorder="0"/>
    <xf numFmtId="4" fontId="104" fillId="30" borderId="233" applyNumberFormat="0" applyProtection="0">
      <alignment horizontal="right" vertical="center"/>
    </xf>
    <xf numFmtId="4" fontId="60" fillId="2" borderId="233" applyNumberFormat="0" applyProtection="0">
      <alignment horizontal="left" vertical="center" indent="1"/>
    </xf>
    <xf numFmtId="0" fontId="118" fillId="54" borderId="239" applyNumberFormat="0" applyAlignment="0" applyProtection="0"/>
    <xf numFmtId="4" fontId="101" fillId="29" borderId="233" applyNumberFormat="0" applyProtection="0">
      <alignment horizontal="left" vertical="center" indent="1"/>
    </xf>
    <xf numFmtId="4" fontId="60" fillId="32" borderId="233" applyNumberFormat="0" applyProtection="0">
      <alignment horizontal="left" vertical="center" indent="1"/>
    </xf>
    <xf numFmtId="4" fontId="100" fillId="2" borderId="233" applyNumberFormat="0" applyProtection="0">
      <alignment vertical="center"/>
    </xf>
    <xf numFmtId="4" fontId="60" fillId="2" borderId="233" applyNumberFormat="0" applyProtection="0">
      <alignment horizontal="left" vertical="center" indent="1"/>
    </xf>
    <xf numFmtId="4" fontId="60" fillId="22" borderId="233" applyNumberFormat="0" applyProtection="0">
      <alignment horizontal="right" vertical="center"/>
    </xf>
    <xf numFmtId="0" fontId="114" fillId="56" borderId="239" applyNumberFormat="0" applyAlignment="0" applyProtection="0"/>
    <xf numFmtId="4" fontId="100" fillId="2" borderId="233" applyNumberFormat="0" applyProtection="0">
      <alignment vertical="center"/>
    </xf>
    <xf numFmtId="4" fontId="60" fillId="25" borderId="233" applyNumberFormat="0" applyProtection="0">
      <alignment horizontal="right" vertical="center"/>
    </xf>
    <xf numFmtId="0" fontId="121" fillId="60" borderId="238" applyBorder="0"/>
    <xf numFmtId="0" fontId="56" fillId="19" borderId="233" applyNumberFormat="0" applyProtection="0">
      <alignment horizontal="left" vertical="center" indent="1"/>
    </xf>
    <xf numFmtId="4" fontId="60" fillId="35" borderId="233" applyNumberFormat="0" applyProtection="0">
      <alignment horizontal="left" vertical="center" indent="1"/>
    </xf>
    <xf numFmtId="0" fontId="157" fillId="98" borderId="230" applyNumberFormat="0" applyAlignment="0" applyProtection="0">
      <alignment vertical="center"/>
    </xf>
    <xf numFmtId="4" fontId="100" fillId="35" borderId="233" applyNumberFormat="0" applyProtection="0">
      <alignment vertical="center"/>
    </xf>
    <xf numFmtId="4" fontId="60" fillId="22" borderId="233" applyNumberFormat="0" applyProtection="0">
      <alignment horizontal="right" vertical="center"/>
    </xf>
    <xf numFmtId="0" fontId="56" fillId="34" borderId="233" applyNumberFormat="0" applyProtection="0">
      <alignment horizontal="left" vertical="center" indent="1"/>
    </xf>
    <xf numFmtId="0" fontId="118" fillId="54" borderId="239" applyNumberFormat="0" applyAlignment="0" applyProtection="0"/>
    <xf numFmtId="4" fontId="60" fillId="27" borderId="233" applyNumberFormat="0" applyProtection="0">
      <alignment horizontal="righ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4" fontId="60" fillId="25" borderId="233" applyNumberFormat="0" applyProtection="0">
      <alignment horizontal="right" vertical="center"/>
    </xf>
    <xf numFmtId="4" fontId="104" fillId="30" borderId="233" applyNumberFormat="0" applyProtection="0">
      <alignment horizontal="right" vertical="center"/>
    </xf>
    <xf numFmtId="4" fontId="60" fillId="2" borderId="233" applyNumberFormat="0" applyProtection="0">
      <alignment horizontal="left" vertical="center" indent="1"/>
    </xf>
    <xf numFmtId="4" fontId="60" fillId="20" borderId="233" applyNumberFormat="0" applyProtection="0">
      <alignment horizontal="right" vertical="center"/>
    </xf>
    <xf numFmtId="0" fontId="118" fillId="54" borderId="239" applyNumberFormat="0" applyAlignment="0" applyProtection="0"/>
    <xf numFmtId="4" fontId="60" fillId="32" borderId="233" applyNumberFormat="0" applyProtection="0">
      <alignment horizontal="left" vertical="center" indent="1"/>
    </xf>
    <xf numFmtId="0" fontId="151" fillId="111" borderId="230" applyNumberFormat="0" applyAlignment="0" applyProtection="0">
      <alignment vertical="center"/>
    </xf>
    <xf numFmtId="4" fontId="101" fillId="29" borderId="233" applyNumberFormat="0" applyProtection="0">
      <alignment horizontal="left" vertical="center" indent="1"/>
    </xf>
    <xf numFmtId="0" fontId="56" fillId="34" borderId="233" applyNumberFormat="0" applyProtection="0">
      <alignment horizontal="left" vertical="center" indent="1"/>
    </xf>
    <xf numFmtId="4" fontId="60" fillId="35"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0" fontId="120" fillId="56" borderId="233" applyNumberFormat="0" applyAlignment="0" applyProtection="0"/>
    <xf numFmtId="4" fontId="60" fillId="22" borderId="233" applyNumberFormat="0" applyProtection="0">
      <alignment horizontal="right" vertical="center"/>
    </xf>
    <xf numFmtId="4" fontId="60" fillId="30" borderId="233" applyNumberFormat="0" applyProtection="0">
      <alignment horizontal="left" vertical="center" indent="1"/>
    </xf>
    <xf numFmtId="0" fontId="56" fillId="19" borderId="233" applyNumberFormat="0" applyProtection="0">
      <alignment horizontal="left" vertical="center" indent="1"/>
    </xf>
    <xf numFmtId="4" fontId="100" fillId="30" borderId="233" applyNumberFormat="0" applyProtection="0">
      <alignment horizontal="right" vertical="center"/>
    </xf>
    <xf numFmtId="4" fontId="60" fillId="25" borderId="233" applyNumberFormat="0" applyProtection="0">
      <alignment horizontal="right" vertical="center"/>
    </xf>
    <xf numFmtId="4" fontId="101" fillId="29" borderId="233" applyNumberFormat="0" applyProtection="0">
      <alignment horizontal="left" vertical="center" indent="1"/>
    </xf>
    <xf numFmtId="4" fontId="60" fillId="35" borderId="233" applyNumberFormat="0" applyProtection="0">
      <alignment horizontal="left" vertical="center" indent="1"/>
    </xf>
    <xf numFmtId="3" fontId="67" fillId="0" borderId="214"/>
    <xf numFmtId="3" fontId="67" fillId="0" borderId="214"/>
    <xf numFmtId="0" fontId="88" fillId="53" borderId="239" applyNumberFormat="0" applyFont="0" applyAlignment="0" applyProtection="0"/>
    <xf numFmtId="0" fontId="56" fillId="19" borderId="233" applyNumberFormat="0" applyProtection="0">
      <alignment horizontal="left" vertical="center" indent="1"/>
    </xf>
    <xf numFmtId="0" fontId="56" fillId="33" borderId="233" applyNumberFormat="0" applyProtection="0">
      <alignment horizontal="left" vertical="center" indent="1"/>
    </xf>
    <xf numFmtId="0" fontId="56" fillId="32" borderId="233" applyNumberFormat="0" applyProtection="0">
      <alignment horizontal="left" vertical="center" indent="1"/>
    </xf>
    <xf numFmtId="4" fontId="60" fillId="28" borderId="233" applyNumberFormat="0" applyProtection="0">
      <alignment horizontal="right" vertical="center"/>
    </xf>
    <xf numFmtId="0" fontId="120" fillId="56" borderId="233" applyNumberFormat="0" applyAlignment="0" applyProtection="0"/>
    <xf numFmtId="4" fontId="60" fillId="32" borderId="233" applyNumberFormat="0" applyProtection="0">
      <alignment horizontal="left" vertical="center" indent="1"/>
    </xf>
    <xf numFmtId="4" fontId="60" fillId="20" borderId="233" applyNumberFormat="0" applyProtection="0">
      <alignment horizontal="right" vertical="center"/>
    </xf>
    <xf numFmtId="0" fontId="56" fillId="33" borderId="233" applyNumberFormat="0" applyProtection="0">
      <alignment horizontal="left" vertical="center" indent="1"/>
    </xf>
    <xf numFmtId="4" fontId="60" fillId="25" borderId="233" applyNumberFormat="0" applyProtection="0">
      <alignment horizontal="right" vertical="center"/>
    </xf>
    <xf numFmtId="196" fontId="83" fillId="0" borderId="214" applyFill="0" applyBorder="0" applyAlignment="0"/>
    <xf numFmtId="0" fontId="121" fillId="60" borderId="238" applyBorder="0"/>
    <xf numFmtId="0" fontId="163" fillId="111" borderId="233" applyNumberFormat="0" applyAlignment="0" applyProtection="0">
      <alignment vertical="center"/>
    </xf>
    <xf numFmtId="0" fontId="56" fillId="32" borderId="233" applyNumberFormat="0" applyProtection="0">
      <alignment horizontal="left" vertical="center" indent="1"/>
    </xf>
    <xf numFmtId="0" fontId="88" fillId="53" borderId="239" applyNumberFormat="0" applyFont="0" applyAlignment="0" applyProtection="0"/>
    <xf numFmtId="10" fontId="88" fillId="17" borderId="214" applyNumberFormat="0" applyBorder="0" applyAlignment="0" applyProtection="0"/>
    <xf numFmtId="0" fontId="151" fillId="111" borderId="230" applyNumberFormat="0" applyAlignment="0" applyProtection="0">
      <alignment vertical="center"/>
    </xf>
    <xf numFmtId="3" fontId="67" fillId="0" borderId="214"/>
    <xf numFmtId="4" fontId="100" fillId="2" borderId="233" applyNumberFormat="0" applyProtection="0">
      <alignment vertical="center"/>
    </xf>
    <xf numFmtId="0" fontId="56" fillId="32" borderId="233" applyNumberFormat="0" applyProtection="0">
      <alignment horizontal="left" vertical="center" indent="1"/>
    </xf>
    <xf numFmtId="4" fontId="104" fillId="30" borderId="233" applyNumberFormat="0" applyProtection="0">
      <alignment horizontal="righ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114" fillId="56" borderId="239" applyNumberFormat="0" applyAlignment="0" applyProtection="0"/>
    <xf numFmtId="0" fontId="120" fillId="56" borderId="233" applyNumberFormat="0" applyAlignment="0" applyProtection="0"/>
    <xf numFmtId="4" fontId="60" fillId="23" borderId="233" applyNumberFormat="0" applyProtection="0">
      <alignment horizontal="right" vertical="center"/>
    </xf>
    <xf numFmtId="0" fontId="56" fillId="19" borderId="233" applyNumberFormat="0" applyProtection="0">
      <alignment horizontal="left" vertical="center" indent="1"/>
    </xf>
    <xf numFmtId="4" fontId="100" fillId="30" borderId="233" applyNumberFormat="0" applyProtection="0">
      <alignment horizontal="right" vertical="center"/>
    </xf>
    <xf numFmtId="0" fontId="114" fillId="56" borderId="239" applyNumberFormat="0" applyAlignment="0" applyProtection="0"/>
    <xf numFmtId="3" fontId="67" fillId="0" borderId="214"/>
    <xf numFmtId="4" fontId="60" fillId="21" borderId="233" applyNumberFormat="0" applyProtection="0">
      <alignment horizontal="right" vertical="center"/>
    </xf>
    <xf numFmtId="0" fontId="121" fillId="60" borderId="238" applyBorder="0"/>
    <xf numFmtId="0" fontId="56" fillId="34" borderId="233" applyNumberFormat="0" applyProtection="0">
      <alignment horizontal="left" vertical="center" indent="1"/>
    </xf>
    <xf numFmtId="4" fontId="60" fillId="30" borderId="233" applyNumberFormat="0" applyProtection="0">
      <alignment horizontal="right" vertical="center"/>
    </xf>
    <xf numFmtId="0" fontId="120" fillId="56" borderId="233" applyNumberFormat="0" applyAlignment="0" applyProtection="0"/>
    <xf numFmtId="4" fontId="60" fillId="2" borderId="233" applyNumberFormat="0" applyProtection="0">
      <alignment horizontal="left" vertical="center" indent="1"/>
    </xf>
    <xf numFmtId="0" fontId="114" fillId="56" borderId="239" applyNumberFormat="0" applyAlignment="0" applyProtection="0"/>
    <xf numFmtId="4" fontId="60" fillId="35" borderId="233" applyNumberFormat="0" applyProtection="0">
      <alignment vertical="center"/>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121" fillId="60" borderId="238" applyBorder="0"/>
    <xf numFmtId="0" fontId="121" fillId="60" borderId="238" applyBorder="0"/>
    <xf numFmtId="0" fontId="56" fillId="34" borderId="233" applyNumberFormat="0" applyProtection="0">
      <alignment horizontal="left" vertical="center" indent="1"/>
    </xf>
    <xf numFmtId="4" fontId="60" fillId="27" borderId="233" applyNumberFormat="0" applyProtection="0">
      <alignment horizontal="right" vertical="center"/>
    </xf>
    <xf numFmtId="0" fontId="151" fillId="111" borderId="230" applyNumberFormat="0" applyAlignment="0" applyProtection="0">
      <alignment vertical="center"/>
    </xf>
    <xf numFmtId="4" fontId="60" fillId="25" borderId="233" applyNumberFormat="0" applyProtection="0">
      <alignment horizontal="right" vertical="center"/>
    </xf>
    <xf numFmtId="0" fontId="56" fillId="32" borderId="233" applyNumberFormat="0" applyProtection="0">
      <alignment horizontal="left" vertical="center" indent="1"/>
    </xf>
    <xf numFmtId="0" fontId="121" fillId="60" borderId="238" applyBorder="0"/>
    <xf numFmtId="0" fontId="56" fillId="19" borderId="233" applyNumberFormat="0" applyProtection="0">
      <alignment horizontal="left" vertical="center" indent="1"/>
    </xf>
    <xf numFmtId="0" fontId="56" fillId="33" borderId="233" applyNumberFormat="0" applyProtection="0">
      <alignment horizontal="left" vertical="center" indent="1"/>
    </xf>
    <xf numFmtId="4" fontId="60" fillId="35" borderId="233" applyNumberFormat="0" applyProtection="0">
      <alignment horizontal="left" vertical="center" indent="1"/>
    </xf>
    <xf numFmtId="4" fontId="60" fillId="23" borderId="233" applyNumberFormat="0" applyProtection="0">
      <alignment horizontal="right" vertical="center"/>
    </xf>
    <xf numFmtId="4" fontId="100" fillId="2" borderId="233" applyNumberFormat="0" applyProtection="0">
      <alignment vertical="center"/>
    </xf>
    <xf numFmtId="4" fontId="60" fillId="26" borderId="233" applyNumberFormat="0" applyProtection="0">
      <alignment horizontal="right" vertical="center"/>
    </xf>
    <xf numFmtId="0" fontId="56" fillId="19" borderId="233" applyNumberFormat="0" applyProtection="0">
      <alignment horizontal="left" vertical="center" indent="1"/>
    </xf>
    <xf numFmtId="0" fontId="120" fillId="56" borderId="233" applyNumberFormat="0" applyAlignment="0" applyProtection="0"/>
    <xf numFmtId="4" fontId="100" fillId="2" borderId="233" applyNumberFormat="0" applyProtection="0">
      <alignment vertical="center"/>
    </xf>
    <xf numFmtId="4" fontId="60" fillId="24" borderId="233" applyNumberFormat="0" applyProtection="0">
      <alignment horizontal="right" vertical="center"/>
    </xf>
    <xf numFmtId="0" fontId="121" fillId="60" borderId="238" applyBorder="0"/>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60" fillId="35" borderId="233" applyNumberFormat="0" applyProtection="0">
      <alignment vertical="center"/>
    </xf>
    <xf numFmtId="4" fontId="60" fillId="20" borderId="233" applyNumberFormat="0" applyProtection="0">
      <alignment horizontal="right" vertical="center"/>
    </xf>
    <xf numFmtId="4" fontId="60" fillId="28" borderId="233" applyNumberFormat="0" applyProtection="0">
      <alignment horizontal="righ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0" fontId="56" fillId="34" borderId="233" applyNumberFormat="0" applyProtection="0">
      <alignment horizontal="left" vertical="center" indent="1"/>
    </xf>
    <xf numFmtId="4" fontId="104" fillId="30" borderId="233" applyNumberFormat="0" applyProtection="0">
      <alignment horizontal="right" vertical="center"/>
    </xf>
    <xf numFmtId="0" fontId="56" fillId="33" borderId="233" applyNumberFormat="0" applyProtection="0">
      <alignment horizontal="left" vertical="center" indent="1"/>
    </xf>
    <xf numFmtId="0" fontId="118" fillId="54" borderId="239" applyNumberFormat="0" applyAlignment="0" applyProtection="0"/>
    <xf numFmtId="4" fontId="60" fillId="27" borderId="233" applyNumberFormat="0" applyProtection="0">
      <alignment horizontal="right" vertical="center"/>
    </xf>
    <xf numFmtId="4" fontId="60" fillId="32" borderId="233" applyNumberFormat="0" applyProtection="0">
      <alignment horizontal="left" vertical="center" indent="1"/>
    </xf>
    <xf numFmtId="0" fontId="56" fillId="32" borderId="233" applyNumberFormat="0" applyProtection="0">
      <alignment horizontal="left" vertical="center" indent="1"/>
    </xf>
    <xf numFmtId="4" fontId="60" fillId="2" borderId="233" applyNumberFormat="0" applyProtection="0">
      <alignment horizontal="left" vertical="center" indent="1"/>
    </xf>
    <xf numFmtId="0" fontId="163" fillId="111" borderId="233" applyNumberFormat="0" applyAlignment="0" applyProtection="0">
      <alignment vertical="center"/>
    </xf>
    <xf numFmtId="4" fontId="60" fillId="22" borderId="233" applyNumberFormat="0" applyProtection="0">
      <alignment horizontal="right" vertical="center"/>
    </xf>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60" fillId="21" borderId="233" applyNumberFormat="0" applyProtection="0">
      <alignment horizontal="right" vertical="center"/>
    </xf>
    <xf numFmtId="4" fontId="60" fillId="20" borderId="233" applyNumberFormat="0" applyProtection="0">
      <alignment horizontal="right" vertical="center"/>
    </xf>
    <xf numFmtId="4" fontId="100" fillId="30" borderId="233" applyNumberFormat="0" applyProtection="0">
      <alignment horizontal="right" vertical="center"/>
    </xf>
    <xf numFmtId="4" fontId="60" fillId="27" borderId="233" applyNumberFormat="0" applyProtection="0">
      <alignment horizontal="right" vertical="center"/>
    </xf>
    <xf numFmtId="0" fontId="118" fillId="54" borderId="239" applyNumberFormat="0" applyAlignment="0" applyProtection="0"/>
    <xf numFmtId="0" fontId="56" fillId="19" borderId="233" applyNumberFormat="0" applyProtection="0">
      <alignment horizontal="left" vertical="center" indent="1"/>
    </xf>
    <xf numFmtId="4" fontId="60" fillId="28" borderId="233" applyNumberFormat="0" applyProtection="0">
      <alignment horizontal="right" vertical="center"/>
    </xf>
    <xf numFmtId="4" fontId="60" fillId="28" borderId="233" applyNumberFormat="0" applyProtection="0">
      <alignment horizontal="right" vertical="center"/>
    </xf>
    <xf numFmtId="4" fontId="60" fillId="35" borderId="233" applyNumberFormat="0" applyProtection="0">
      <alignment horizontal="left" vertical="center" indent="1"/>
    </xf>
    <xf numFmtId="0" fontId="99" fillId="1" borderId="195" applyNumberFormat="0" applyFont="0" applyAlignment="0">
      <alignment horizontal="center"/>
    </xf>
    <xf numFmtId="4" fontId="104" fillId="30" borderId="233" applyNumberFormat="0" applyProtection="0">
      <alignment horizontal="right" vertical="center"/>
    </xf>
    <xf numFmtId="4" fontId="60" fillId="21" borderId="233" applyNumberFormat="0" applyProtection="0">
      <alignment horizontal="right" vertical="center"/>
    </xf>
    <xf numFmtId="0" fontId="56" fillId="34" borderId="233" applyNumberFormat="0" applyProtection="0">
      <alignment horizontal="left" vertical="center" indent="1"/>
    </xf>
    <xf numFmtId="0" fontId="56" fillId="34" borderId="233" applyNumberFormat="0" applyProtection="0">
      <alignment horizontal="left" vertical="center" indent="1"/>
    </xf>
    <xf numFmtId="4" fontId="60" fillId="22" borderId="233" applyNumberFormat="0" applyProtection="0">
      <alignment horizontal="right" vertical="center"/>
    </xf>
    <xf numFmtId="0" fontId="56" fillId="33" borderId="233" applyNumberFormat="0" applyProtection="0">
      <alignment horizontal="left" vertical="center" indent="1"/>
    </xf>
    <xf numFmtId="0" fontId="88" fillId="53" borderId="239" applyNumberFormat="0" applyFont="0" applyAlignment="0" applyProtection="0"/>
    <xf numFmtId="0" fontId="56" fillId="19" borderId="233" applyNumberFormat="0" applyProtection="0">
      <alignment horizontal="left" vertical="center" indent="1"/>
    </xf>
    <xf numFmtId="4" fontId="60" fillId="2" borderId="233" applyNumberFormat="0" applyProtection="0">
      <alignment vertical="center"/>
    </xf>
    <xf numFmtId="4" fontId="60" fillId="30"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1" borderId="233" applyNumberFormat="0" applyProtection="0">
      <alignment horizontal="right" vertical="center"/>
    </xf>
    <xf numFmtId="4" fontId="60" fillId="2" borderId="233" applyNumberFormat="0" applyProtection="0">
      <alignment horizontal="left" vertical="center" indent="1"/>
    </xf>
    <xf numFmtId="4" fontId="60" fillId="23"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2"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right" vertical="center"/>
    </xf>
    <xf numFmtId="4" fontId="60" fillId="35" borderId="233" applyNumberFormat="0" applyProtection="0">
      <alignmen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3" fontId="67" fillId="0" borderId="214"/>
    <xf numFmtId="0" fontId="56" fillId="34" borderId="233" applyNumberFormat="0" applyProtection="0">
      <alignment horizontal="left" vertical="center" indent="1"/>
    </xf>
    <xf numFmtId="4" fontId="60" fillId="32" borderId="233" applyNumberFormat="0" applyProtection="0">
      <alignment horizontal="left" vertical="center" indent="1"/>
    </xf>
    <xf numFmtId="0" fontId="56" fillId="33" borderId="233" applyNumberFormat="0" applyProtection="0">
      <alignment horizontal="left" vertical="center" indent="1"/>
    </xf>
    <xf numFmtId="0" fontId="118" fillId="54" borderId="239" applyNumberFormat="0" applyAlignment="0" applyProtection="0"/>
    <xf numFmtId="4" fontId="60" fillId="2" borderId="233" applyNumberFormat="0" applyProtection="0">
      <alignment horizontal="left" vertical="center" indent="1"/>
    </xf>
    <xf numFmtId="4" fontId="60" fillId="32" borderId="233" applyNumberFormat="0" applyProtection="0">
      <alignment horizontal="left" vertical="center" indent="1"/>
    </xf>
    <xf numFmtId="4" fontId="100" fillId="30" borderId="233" applyNumberFormat="0" applyProtection="0">
      <alignment horizontal="right" vertical="center"/>
    </xf>
    <xf numFmtId="0" fontId="151" fillId="111" borderId="230" applyNumberFormat="0" applyAlignment="0" applyProtection="0">
      <alignment vertical="center"/>
    </xf>
    <xf numFmtId="0" fontId="157" fillId="98" borderId="230" applyNumberFormat="0" applyAlignment="0" applyProtection="0">
      <alignment vertical="center"/>
    </xf>
    <xf numFmtId="4" fontId="60" fillId="26" borderId="233" applyNumberFormat="0" applyProtection="0">
      <alignment horizontal="right" vertical="center"/>
    </xf>
    <xf numFmtId="0" fontId="56" fillId="32" borderId="233" applyNumberFormat="0" applyProtection="0">
      <alignment horizontal="left" vertical="center" indent="1"/>
    </xf>
    <xf numFmtId="4" fontId="60" fillId="20" borderId="233" applyNumberFormat="0" applyProtection="0">
      <alignment horizontal="right" vertical="center"/>
    </xf>
    <xf numFmtId="0" fontId="56" fillId="32" borderId="233" applyNumberFormat="0" applyProtection="0">
      <alignment horizontal="left" vertical="center" indent="1"/>
    </xf>
    <xf numFmtId="0" fontId="120" fillId="56" borderId="233" applyNumberFormat="0" applyAlignment="0" applyProtection="0"/>
    <xf numFmtId="0" fontId="56" fillId="32" borderId="233" applyNumberFormat="0" applyProtection="0">
      <alignment horizontal="left" vertical="center" indent="1"/>
    </xf>
    <xf numFmtId="0" fontId="56" fillId="33" borderId="233" applyNumberFormat="0" applyProtection="0">
      <alignment horizontal="left" vertical="center" indent="1"/>
    </xf>
    <xf numFmtId="3" fontId="67" fillId="0" borderId="214"/>
    <xf numFmtId="4" fontId="60" fillId="27" borderId="233" applyNumberFormat="0" applyProtection="0">
      <alignment horizontal="right" vertical="center"/>
    </xf>
    <xf numFmtId="4" fontId="60" fillId="35" borderId="233" applyNumberFormat="0" applyProtection="0">
      <alignment horizontal="left" vertical="center" indent="1"/>
    </xf>
    <xf numFmtId="4" fontId="101" fillId="2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0" fontId="56" fillId="32" borderId="233" applyNumberFormat="0" applyProtection="0">
      <alignment horizontal="left" vertical="center" indent="1"/>
    </xf>
    <xf numFmtId="0" fontId="56" fillId="34" borderId="233" applyNumberFormat="0" applyProtection="0">
      <alignment horizontal="left" vertical="center" indent="1"/>
    </xf>
    <xf numFmtId="4" fontId="60" fillId="35" borderId="233" applyNumberFormat="0" applyProtection="0">
      <alignment horizontal="left" vertical="center" indent="1"/>
    </xf>
    <xf numFmtId="4" fontId="60" fillId="2" borderId="233" applyNumberFormat="0" applyProtection="0">
      <alignment horizontal="left" vertical="center" indent="1"/>
    </xf>
    <xf numFmtId="0" fontId="114" fillId="56" borderId="239" applyNumberFormat="0" applyAlignment="0" applyProtection="0"/>
    <xf numFmtId="4" fontId="100" fillId="35" borderId="233" applyNumberFormat="0" applyProtection="0">
      <alignment vertical="center"/>
    </xf>
    <xf numFmtId="0" fontId="121" fillId="60" borderId="238" applyBorder="0"/>
    <xf numFmtId="0" fontId="114" fillId="56" borderId="239" applyNumberFormat="0" applyAlignment="0" applyProtection="0"/>
    <xf numFmtId="0" fontId="120" fillId="56" borderId="233" applyNumberFormat="0" applyAlignment="0" applyProtection="0"/>
    <xf numFmtId="4" fontId="60" fillId="22" borderId="233" applyNumberFormat="0" applyProtection="0">
      <alignment horizontal="right" vertical="center"/>
    </xf>
    <xf numFmtId="0" fontId="56" fillId="19" borderId="233" applyNumberFormat="0" applyProtection="0">
      <alignment horizontal="left" vertical="center" indent="1"/>
    </xf>
    <xf numFmtId="4" fontId="100" fillId="30" borderId="233" applyNumberFormat="0" applyProtection="0">
      <alignment horizontal="right" vertical="center"/>
    </xf>
    <xf numFmtId="4" fontId="60" fillId="30" borderId="233" applyNumberFormat="0" applyProtection="0">
      <alignment horizontal="left" vertical="center" indent="1"/>
    </xf>
    <xf numFmtId="0" fontId="56" fillId="33" borderId="233" applyNumberFormat="0" applyProtection="0">
      <alignment horizontal="left" vertical="center" indent="1"/>
    </xf>
    <xf numFmtId="0" fontId="56" fillId="32" borderId="233" applyNumberFormat="0" applyProtection="0">
      <alignment horizontal="left" vertical="center" indent="1"/>
    </xf>
    <xf numFmtId="4" fontId="100" fillId="30" borderId="233" applyNumberFormat="0" applyProtection="0">
      <alignment horizontal="right" vertical="center"/>
    </xf>
    <xf numFmtId="4" fontId="60" fillId="32" borderId="233" applyNumberFormat="0" applyProtection="0">
      <alignment horizontal="left" vertical="center" indent="1"/>
    </xf>
    <xf numFmtId="0" fontId="121" fillId="60" borderId="238" applyBorder="0"/>
    <xf numFmtId="4" fontId="60" fillId="28" borderId="233" applyNumberFormat="0" applyProtection="0">
      <alignment horizontal="right" vertical="center"/>
    </xf>
    <xf numFmtId="0" fontId="151" fillId="111" borderId="230" applyNumberFormat="0" applyAlignment="0" applyProtection="0">
      <alignment vertical="center"/>
    </xf>
    <xf numFmtId="4" fontId="104" fillId="30" borderId="233" applyNumberFormat="0" applyProtection="0">
      <alignment horizontal="right" vertical="center"/>
    </xf>
    <xf numFmtId="4" fontId="60" fillId="25" borderId="233" applyNumberFormat="0" applyProtection="0">
      <alignment horizontal="right" vertical="center"/>
    </xf>
    <xf numFmtId="0" fontId="56" fillId="32" borderId="233" applyNumberFormat="0" applyProtection="0">
      <alignment horizontal="left" vertical="center" indent="1"/>
    </xf>
    <xf numFmtId="0" fontId="99" fillId="1" borderId="195" applyNumberFormat="0" applyFont="0" applyAlignment="0">
      <alignment horizontal="center"/>
    </xf>
    <xf numFmtId="4" fontId="60" fillId="35" borderId="233" applyNumberFormat="0" applyProtection="0">
      <alignment vertical="center"/>
    </xf>
    <xf numFmtId="0" fontId="118" fillId="54" borderId="239" applyNumberFormat="0" applyAlignment="0" applyProtection="0"/>
    <xf numFmtId="3" fontId="67" fillId="0" borderId="214"/>
    <xf numFmtId="0" fontId="56" fillId="34" borderId="233" applyNumberFormat="0" applyProtection="0">
      <alignment horizontal="left" vertical="center" indent="1"/>
    </xf>
    <xf numFmtId="0" fontId="56" fillId="32" borderId="233" applyNumberFormat="0" applyProtection="0">
      <alignment horizontal="left" vertical="center" indent="1"/>
    </xf>
    <xf numFmtId="4" fontId="60" fillId="32" borderId="233" applyNumberFormat="0" applyProtection="0">
      <alignment horizontal="left" vertical="center" indent="1"/>
    </xf>
    <xf numFmtId="4" fontId="60" fillId="25" borderId="233" applyNumberFormat="0" applyProtection="0">
      <alignment horizontal="right" vertical="center"/>
    </xf>
    <xf numFmtId="4" fontId="100" fillId="2" borderId="233" applyNumberFormat="0" applyProtection="0">
      <alignment vertical="center"/>
    </xf>
    <xf numFmtId="4" fontId="100" fillId="2" borderId="233" applyNumberFormat="0" applyProtection="0">
      <alignment vertical="center"/>
    </xf>
    <xf numFmtId="0" fontId="56" fillId="19" borderId="233" applyNumberFormat="0" applyProtection="0">
      <alignment horizontal="left" vertical="center" indent="1"/>
    </xf>
    <xf numFmtId="4" fontId="60" fillId="27" borderId="233" applyNumberFormat="0" applyProtection="0">
      <alignment horizontal="right" vertical="center"/>
    </xf>
    <xf numFmtId="4" fontId="101" fillId="29" borderId="233" applyNumberFormat="0" applyProtection="0">
      <alignment horizontal="left" vertical="center" indent="1"/>
    </xf>
    <xf numFmtId="0" fontId="120" fillId="56" borderId="233" applyNumberFormat="0" applyAlignment="0" applyProtection="0"/>
    <xf numFmtId="4" fontId="100" fillId="2" borderId="233" applyNumberFormat="0" applyProtection="0">
      <alignment vertical="center"/>
    </xf>
    <xf numFmtId="4" fontId="60" fillId="25" borderId="233" applyNumberFormat="0" applyProtection="0">
      <alignment horizontal="right" vertical="center"/>
    </xf>
    <xf numFmtId="0" fontId="121" fillId="60" borderId="238" applyBorder="0"/>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60" fillId="35" borderId="233" applyNumberFormat="0" applyProtection="0">
      <alignment horizontal="left" vertical="center" indent="1"/>
    </xf>
    <xf numFmtId="4" fontId="100" fillId="35" borderId="233" applyNumberFormat="0" applyProtection="0">
      <alignment vertical="center"/>
    </xf>
    <xf numFmtId="0" fontId="118" fillId="54" borderId="239" applyNumberFormat="0" applyAlignment="0" applyProtection="0"/>
    <xf numFmtId="0" fontId="120" fillId="56" borderId="233" applyNumberFormat="0" applyAlignment="0" applyProtection="0"/>
    <xf numFmtId="4" fontId="60" fillId="20" borderId="233" applyNumberFormat="0" applyProtection="0">
      <alignment horizontal="right" vertical="center"/>
    </xf>
    <xf numFmtId="4" fontId="60" fillId="28" borderId="233" applyNumberFormat="0" applyProtection="0">
      <alignment horizontal="righ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4" fontId="100" fillId="35" borderId="233" applyNumberFormat="0" applyProtection="0">
      <alignment vertical="center"/>
    </xf>
    <xf numFmtId="4" fontId="101" fillId="29" borderId="233" applyNumberFormat="0" applyProtection="0">
      <alignment horizontal="left" vertical="center" indent="1"/>
    </xf>
    <xf numFmtId="4" fontId="100" fillId="2" borderId="233" applyNumberFormat="0" applyProtection="0">
      <alignment vertical="center"/>
    </xf>
    <xf numFmtId="4" fontId="60" fillId="27" borderId="233" applyNumberFormat="0" applyProtection="0">
      <alignment horizontal="right" vertical="center"/>
    </xf>
    <xf numFmtId="4" fontId="60" fillId="32" borderId="233" applyNumberFormat="0" applyProtection="0">
      <alignment horizontal="left" vertical="center" indent="1"/>
    </xf>
    <xf numFmtId="4" fontId="60" fillId="35" borderId="233" applyNumberFormat="0" applyProtection="0">
      <alignment horizontal="left" vertical="center" indent="1"/>
    </xf>
    <xf numFmtId="4" fontId="60" fillId="22"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left" vertical="center" indent="1"/>
    </xf>
    <xf numFmtId="4" fontId="60" fillId="20" borderId="233" applyNumberFormat="0" applyProtection="0">
      <alignment horizontal="right" vertical="center"/>
    </xf>
    <xf numFmtId="4" fontId="60" fillId="2" borderId="233" applyNumberFormat="0" applyProtection="0">
      <alignment vertical="center"/>
    </xf>
    <xf numFmtId="4" fontId="60" fillId="30" borderId="233" applyNumberFormat="0" applyProtection="0">
      <alignment horizontal="right" vertical="center"/>
    </xf>
    <xf numFmtId="4" fontId="60" fillId="26" borderId="233" applyNumberFormat="0" applyProtection="0">
      <alignment horizontal="right" vertical="center"/>
    </xf>
    <xf numFmtId="0" fontId="118" fillId="54" borderId="239" applyNumberFormat="0" applyAlignment="0" applyProtection="0"/>
    <xf numFmtId="4" fontId="60" fillId="20" borderId="233" applyNumberFormat="0" applyProtection="0">
      <alignment horizontal="right" vertical="center"/>
    </xf>
    <xf numFmtId="4" fontId="101" fillId="29" borderId="233" applyNumberFormat="0" applyProtection="0">
      <alignment horizontal="left" vertical="center" indent="1"/>
    </xf>
    <xf numFmtId="0" fontId="56" fillId="33" borderId="233" applyNumberFormat="0" applyProtection="0">
      <alignment horizontal="left" vertical="center" indent="1"/>
    </xf>
    <xf numFmtId="4" fontId="60" fillId="35" borderId="233" applyNumberFormat="0" applyProtection="0">
      <alignment horizontal="left" vertical="center" indent="1"/>
    </xf>
    <xf numFmtId="0" fontId="56" fillId="32" borderId="233" applyNumberFormat="0" applyProtection="0">
      <alignment horizontal="left" vertical="center" indent="1"/>
    </xf>
    <xf numFmtId="4" fontId="60" fillId="23" borderId="233" applyNumberFormat="0" applyProtection="0">
      <alignment horizontal="right" vertical="center"/>
    </xf>
    <xf numFmtId="0" fontId="118" fillId="54" borderId="239" applyNumberFormat="0" applyAlignment="0" applyProtection="0"/>
    <xf numFmtId="4" fontId="100" fillId="2" borderId="233" applyNumberFormat="0" applyProtection="0">
      <alignment vertical="center"/>
    </xf>
    <xf numFmtId="4" fontId="60" fillId="23" borderId="233" applyNumberFormat="0" applyProtection="0">
      <alignment horizontal="right" vertical="center"/>
    </xf>
    <xf numFmtId="0" fontId="56" fillId="19" borderId="233" applyNumberFormat="0" applyProtection="0">
      <alignment horizontal="left" vertical="center" indent="1"/>
    </xf>
    <xf numFmtId="0" fontId="56" fillId="34" borderId="233" applyNumberFormat="0" applyProtection="0">
      <alignment horizontal="left" vertical="center" indent="1"/>
    </xf>
    <xf numFmtId="4" fontId="60" fillId="35" borderId="233" applyNumberFormat="0" applyProtection="0">
      <alignment horizontal="left" vertical="center" indent="1"/>
    </xf>
    <xf numFmtId="0" fontId="56" fillId="19" borderId="233" applyNumberFormat="0" applyProtection="0">
      <alignment horizontal="left" vertical="center" indent="1"/>
    </xf>
    <xf numFmtId="3" fontId="67" fillId="0" borderId="214"/>
    <xf numFmtId="4" fontId="60" fillId="35" borderId="233" applyNumberFormat="0" applyProtection="0">
      <alignment horizontal="left" vertical="center" indent="1"/>
    </xf>
    <xf numFmtId="0" fontId="118" fillId="54" borderId="239" applyNumberFormat="0" applyAlignment="0" applyProtection="0"/>
    <xf numFmtId="0" fontId="118" fillId="54" borderId="239" applyNumberFormat="0" applyAlignment="0" applyProtection="0"/>
    <xf numFmtId="196" fontId="83" fillId="0" borderId="214" applyFill="0" applyBorder="0" applyAlignment="0"/>
    <xf numFmtId="4" fontId="60" fillId="35" borderId="233" applyNumberFormat="0" applyProtection="0">
      <alignment vertical="center"/>
    </xf>
    <xf numFmtId="0" fontId="56" fillId="32" borderId="233" applyNumberFormat="0" applyProtection="0">
      <alignment horizontal="left" vertical="center" indent="1"/>
    </xf>
    <xf numFmtId="4" fontId="60" fillId="32" borderId="233" applyNumberFormat="0" applyProtection="0">
      <alignment horizontal="left" vertical="center" indent="1"/>
    </xf>
    <xf numFmtId="0" fontId="56" fillId="19" borderId="233" applyNumberFormat="0" applyProtection="0">
      <alignment horizontal="left" vertical="center" indent="1"/>
    </xf>
    <xf numFmtId="0" fontId="56" fillId="33"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0" fontId="56" fillId="34" borderId="233" applyNumberFormat="0" applyProtection="0">
      <alignment horizontal="left" vertical="center" indent="1"/>
    </xf>
    <xf numFmtId="4" fontId="60" fillId="35" borderId="233" applyNumberFormat="0" applyProtection="0">
      <alignment horizontal="left" vertical="center" indent="1"/>
    </xf>
    <xf numFmtId="0" fontId="56" fillId="33" borderId="233" applyNumberFormat="0" applyProtection="0">
      <alignment horizontal="left" vertical="center" indent="1"/>
    </xf>
    <xf numFmtId="4" fontId="60" fillId="35" borderId="233" applyNumberFormat="0" applyProtection="0">
      <alignment horizontal="left" vertical="center" indent="1"/>
    </xf>
    <xf numFmtId="4" fontId="100" fillId="35" borderId="233" applyNumberFormat="0" applyProtection="0">
      <alignment vertical="center"/>
    </xf>
    <xf numFmtId="4" fontId="100" fillId="30" borderId="233" applyNumberFormat="0" applyProtection="0">
      <alignment horizontal="right" vertical="center"/>
    </xf>
    <xf numFmtId="3" fontId="67" fillId="0" borderId="214"/>
    <xf numFmtId="4" fontId="60" fillId="35" borderId="233" applyNumberFormat="0" applyProtection="0">
      <alignment horizontal="left" vertical="center" indent="1"/>
    </xf>
    <xf numFmtId="0" fontId="114" fillId="56" borderId="239" applyNumberFormat="0" applyAlignment="0" applyProtection="0"/>
    <xf numFmtId="0" fontId="56" fillId="19" borderId="233" applyNumberFormat="0" applyProtection="0">
      <alignment horizontal="left" vertical="center" indent="1"/>
    </xf>
    <xf numFmtId="4" fontId="101" fillId="29" borderId="233" applyNumberFormat="0" applyProtection="0">
      <alignment horizontal="left" vertical="center" indent="1"/>
    </xf>
    <xf numFmtId="0" fontId="121" fillId="60" borderId="238" applyBorder="0"/>
    <xf numFmtId="0" fontId="114" fillId="56" borderId="239" applyNumberFormat="0" applyAlignment="0" applyProtection="0"/>
    <xf numFmtId="0" fontId="120" fillId="56" borderId="233" applyNumberFormat="0" applyAlignment="0" applyProtection="0"/>
    <xf numFmtId="0" fontId="56" fillId="19" borderId="233" applyNumberFormat="0" applyProtection="0">
      <alignment horizontal="left" vertical="center" indent="1"/>
    </xf>
    <xf numFmtId="3" fontId="67" fillId="0" borderId="214"/>
    <xf numFmtId="4" fontId="60" fillId="35" borderId="233" applyNumberFormat="0" applyProtection="0">
      <alignment horizontal="left" vertical="center" indent="1"/>
    </xf>
    <xf numFmtId="0" fontId="88" fillId="53" borderId="239" applyNumberFormat="0" applyFont="0" applyAlignment="0" applyProtection="0"/>
    <xf numFmtId="4" fontId="60" fillId="2" borderId="233" applyNumberFormat="0" applyProtection="0">
      <alignment horizontal="left" vertical="center" indent="1"/>
    </xf>
    <xf numFmtId="4" fontId="60" fillId="26" borderId="233" applyNumberFormat="0" applyProtection="0">
      <alignment horizontal="right" vertical="center"/>
    </xf>
    <xf numFmtId="0" fontId="56" fillId="32" borderId="233" applyNumberFormat="0" applyProtection="0">
      <alignment horizontal="left" vertical="center" indent="1"/>
    </xf>
    <xf numFmtId="4" fontId="100" fillId="30" borderId="233" applyNumberFormat="0" applyProtection="0">
      <alignment horizontal="right" vertical="center"/>
    </xf>
    <xf numFmtId="4" fontId="60" fillId="24" borderId="233" applyNumberFormat="0" applyProtection="0">
      <alignment horizontal="right" vertical="center"/>
    </xf>
    <xf numFmtId="0" fontId="121" fillId="60" borderId="238" applyBorder="0"/>
    <xf numFmtId="4" fontId="60" fillId="2" borderId="233" applyNumberFormat="0" applyProtection="0">
      <alignment vertical="center"/>
    </xf>
    <xf numFmtId="4" fontId="101" fillId="29" borderId="233" applyNumberFormat="0" applyProtection="0">
      <alignment horizontal="left" vertical="center" indent="1"/>
    </xf>
    <xf numFmtId="0" fontId="114" fillId="56" borderId="239" applyNumberFormat="0" applyAlignment="0" applyProtection="0"/>
    <xf numFmtId="0" fontId="114" fillId="56" borderId="239" applyNumberFormat="0" applyAlignment="0" applyProtection="0"/>
    <xf numFmtId="4" fontId="60" fillId="35" borderId="233" applyNumberFormat="0" applyProtection="0">
      <alignment vertical="center"/>
    </xf>
    <xf numFmtId="0" fontId="56" fillId="19" borderId="233" applyNumberFormat="0" applyProtection="0">
      <alignment horizontal="left" vertical="center" indent="1"/>
    </xf>
    <xf numFmtId="0" fontId="114" fillId="56" borderId="239" applyNumberFormat="0" applyAlignment="0" applyProtection="0"/>
    <xf numFmtId="0" fontId="56" fillId="19" borderId="233" applyNumberFormat="0" applyProtection="0">
      <alignment horizontal="left" vertical="center" indent="1"/>
    </xf>
    <xf numFmtId="0" fontId="56" fillId="32" borderId="233" applyNumberFormat="0" applyProtection="0">
      <alignment horizontal="left" vertical="center" indent="1"/>
    </xf>
    <xf numFmtId="0" fontId="56" fillId="19" borderId="233" applyNumberFormat="0" applyProtection="0">
      <alignment horizontal="left" vertical="center" indent="1"/>
    </xf>
    <xf numFmtId="196" fontId="83" fillId="0" borderId="214" applyFill="0" applyBorder="0" applyAlignment="0"/>
    <xf numFmtId="4" fontId="60" fillId="25" borderId="233" applyNumberFormat="0" applyProtection="0">
      <alignment horizontal="right" vertical="center"/>
    </xf>
    <xf numFmtId="0" fontId="56" fillId="34" borderId="233" applyNumberFormat="0" applyProtection="0">
      <alignment horizontal="left" vertical="center" indent="1"/>
    </xf>
    <xf numFmtId="4" fontId="60" fillId="27" borderId="233" applyNumberFormat="0" applyProtection="0">
      <alignment horizontal="right" vertical="center"/>
    </xf>
    <xf numFmtId="4" fontId="101" fillId="29" borderId="233" applyNumberFormat="0" applyProtection="0">
      <alignment horizontal="left" vertical="center" indent="1"/>
    </xf>
    <xf numFmtId="3" fontId="67" fillId="0" borderId="214"/>
    <xf numFmtId="0" fontId="56" fillId="32" borderId="233" applyNumberFormat="0" applyProtection="0">
      <alignment horizontal="left" vertical="center" indent="1"/>
    </xf>
    <xf numFmtId="0" fontId="56" fillId="34" borderId="233" applyNumberFormat="0" applyProtection="0">
      <alignment horizontal="left" vertical="center" indent="1"/>
    </xf>
    <xf numFmtId="0" fontId="118" fillId="54" borderId="239" applyNumberFormat="0" applyAlignment="0" applyProtection="0"/>
    <xf numFmtId="4" fontId="60" fillId="20" borderId="233" applyNumberFormat="0" applyProtection="0">
      <alignment horizontal="right" vertical="center"/>
    </xf>
    <xf numFmtId="4" fontId="60" fillId="28" borderId="233" applyNumberFormat="0" applyProtection="0">
      <alignment horizontal="right" vertical="center"/>
    </xf>
    <xf numFmtId="0" fontId="56" fillId="33" borderId="233" applyNumberFormat="0" applyProtection="0">
      <alignment horizontal="left" vertical="center" indent="1"/>
    </xf>
    <xf numFmtId="4" fontId="104" fillId="30" borderId="233" applyNumberFormat="0" applyProtection="0">
      <alignment horizontal="right" vertical="center"/>
    </xf>
    <xf numFmtId="4" fontId="100" fillId="30" borderId="233" applyNumberFormat="0" applyProtection="0">
      <alignment horizontal="right" vertical="center"/>
    </xf>
    <xf numFmtId="4" fontId="60" fillId="35" borderId="233" applyNumberFormat="0" applyProtection="0">
      <alignment horizontal="left" vertical="center" indent="1"/>
    </xf>
    <xf numFmtId="4" fontId="60" fillId="20" borderId="233" applyNumberFormat="0" applyProtection="0">
      <alignment horizontal="right" vertical="center"/>
    </xf>
    <xf numFmtId="4" fontId="60" fillId="30" borderId="233" applyNumberFormat="0" applyProtection="0">
      <alignment horizontal="right" vertical="center"/>
    </xf>
    <xf numFmtId="0" fontId="90" fillId="0" borderId="195">
      <alignment horizontal="left" vertical="center"/>
    </xf>
    <xf numFmtId="0" fontId="56" fillId="19" borderId="233" applyNumberFormat="0" applyProtection="0">
      <alignment horizontal="left" vertical="center" indent="1"/>
    </xf>
    <xf numFmtId="4" fontId="100" fillId="35" borderId="233" applyNumberFormat="0" applyProtection="0">
      <alignment vertical="center"/>
    </xf>
    <xf numFmtId="4" fontId="60" fillId="30" borderId="233" applyNumberFormat="0" applyProtection="0">
      <alignment horizontal="right" vertical="center"/>
    </xf>
    <xf numFmtId="4" fontId="60" fillId="30" borderId="233" applyNumberFormat="0" applyProtection="0">
      <alignment horizontal="left" vertical="center" indent="1"/>
    </xf>
    <xf numFmtId="0" fontId="56" fillId="19" borderId="233" applyNumberFormat="0" applyProtection="0">
      <alignment horizontal="left" vertical="center" indent="1"/>
    </xf>
    <xf numFmtId="4" fontId="60" fillId="2" borderId="233" applyNumberFormat="0" applyProtection="0">
      <alignment vertical="center"/>
    </xf>
    <xf numFmtId="4" fontId="60" fillId="30" borderId="233" applyNumberFormat="0" applyProtection="0">
      <alignment horizontal="right" vertical="center"/>
    </xf>
    <xf numFmtId="4" fontId="60" fillId="26" borderId="233" applyNumberFormat="0" applyProtection="0">
      <alignment horizontal="right" vertical="center"/>
    </xf>
    <xf numFmtId="0" fontId="118" fillId="54" borderId="239" applyNumberFormat="0" applyAlignment="0" applyProtection="0"/>
    <xf numFmtId="4" fontId="60" fillId="20" borderId="233" applyNumberFormat="0" applyProtection="0">
      <alignment horizontal="right" vertical="center"/>
    </xf>
    <xf numFmtId="0" fontId="118" fillId="54" borderId="239" applyNumberFormat="0" applyAlignment="0" applyProtection="0"/>
    <xf numFmtId="4" fontId="60" fillId="27" borderId="233" applyNumberFormat="0" applyProtection="0">
      <alignment horizontal="right" vertical="center"/>
    </xf>
    <xf numFmtId="4" fontId="60" fillId="24" borderId="233" applyNumberFormat="0" applyProtection="0">
      <alignment horizontal="right" vertical="center"/>
    </xf>
    <xf numFmtId="3" fontId="67" fillId="0" borderId="214"/>
    <xf numFmtId="4" fontId="100" fillId="2" borderId="233" applyNumberFormat="0" applyProtection="0">
      <alignment vertical="center"/>
    </xf>
    <xf numFmtId="4" fontId="60" fillId="24" borderId="233" applyNumberFormat="0" applyProtection="0">
      <alignment horizontal="right" vertical="center"/>
    </xf>
    <xf numFmtId="4" fontId="60" fillId="30" borderId="233" applyNumberFormat="0" applyProtection="0">
      <alignment horizontal="left" vertical="center" indent="1"/>
    </xf>
    <xf numFmtId="0" fontId="56" fillId="34" borderId="233" applyNumberFormat="0" applyProtection="0">
      <alignment horizontal="left" vertical="center" indent="1"/>
    </xf>
    <xf numFmtId="4" fontId="60" fillId="35" borderId="233" applyNumberFormat="0" applyProtection="0">
      <alignment horizontal="left" vertical="center" indent="1"/>
    </xf>
    <xf numFmtId="3" fontId="67" fillId="0" borderId="214"/>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34" borderId="233" applyNumberFormat="0" applyProtection="0">
      <alignment horizontal="left" vertical="center" indent="1"/>
    </xf>
    <xf numFmtId="4" fontId="60" fillId="21" borderId="233" applyNumberFormat="0" applyProtection="0">
      <alignment horizontal="right" vertical="center"/>
    </xf>
    <xf numFmtId="3" fontId="67" fillId="0" borderId="214"/>
    <xf numFmtId="0" fontId="56" fillId="34" borderId="233" applyNumberFormat="0" applyProtection="0">
      <alignment horizontal="left" vertical="center" indent="1"/>
    </xf>
    <xf numFmtId="3" fontId="67" fillId="0" borderId="214"/>
    <xf numFmtId="3" fontId="67" fillId="0" borderId="214"/>
    <xf numFmtId="4" fontId="60" fillId="30" borderId="233" applyNumberFormat="0" applyProtection="0">
      <alignment horizontal="left" vertical="center" indent="1"/>
    </xf>
    <xf numFmtId="0" fontId="118" fillId="54" borderId="239" applyNumberFormat="0" applyAlignment="0" applyProtection="0"/>
    <xf numFmtId="4" fontId="60" fillId="35" borderId="233" applyNumberFormat="0" applyProtection="0">
      <alignment horizontal="left" vertical="center" indent="1"/>
    </xf>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4" fontId="60" fillId="27" borderId="233" applyNumberFormat="0" applyProtection="0">
      <alignment horizontal="right" vertical="center"/>
    </xf>
    <xf numFmtId="196" fontId="83" fillId="0" borderId="214" applyFill="0" applyBorder="0" applyAlignment="0"/>
    <xf numFmtId="0" fontId="90" fillId="0" borderId="195">
      <alignment horizontal="left" vertical="center"/>
    </xf>
    <xf numFmtId="0" fontId="90" fillId="0" borderId="195">
      <alignment horizontal="left" vertical="center"/>
    </xf>
    <xf numFmtId="0" fontId="56" fillId="19" borderId="233" applyNumberFormat="0" applyProtection="0">
      <alignment horizontal="left" vertical="center" indent="1"/>
    </xf>
    <xf numFmtId="0" fontId="118" fillId="54" borderId="239" applyNumberFormat="0" applyAlignment="0" applyProtection="0"/>
    <xf numFmtId="10" fontId="88" fillId="17" borderId="214" applyNumberFormat="0" applyBorder="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35" borderId="233" applyNumberFormat="0" applyProtection="0">
      <alignment horizontal="left" vertical="center" indent="1"/>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24" borderId="233" applyNumberFormat="0" applyProtection="0">
      <alignment horizontal="right" vertical="center"/>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4" fontId="101" fillId="29"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88" fillId="61" borderId="214"/>
    <xf numFmtId="0" fontId="88" fillId="61" borderId="214"/>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0" fontId="99" fillId="1" borderId="195" applyNumberFormat="0" applyFont="0" applyAlignment="0">
      <alignment horizontal="center"/>
    </xf>
    <xf numFmtId="0" fontId="99" fillId="1" borderId="195" applyNumberFormat="0" applyFont="0" applyAlignment="0">
      <alignment horizontal="center"/>
    </xf>
    <xf numFmtId="0" fontId="88" fillId="53" borderId="239" applyNumberFormat="0" applyFont="0" applyAlignment="0" applyProtection="0"/>
    <xf numFmtId="4" fontId="60" fillId="25" borderId="233" applyNumberFormat="0" applyProtection="0">
      <alignment horizontal="right" vertical="center"/>
    </xf>
    <xf numFmtId="4" fontId="104" fillId="30" borderId="233" applyNumberFormat="0" applyProtection="0">
      <alignment horizontal="right" vertical="center"/>
    </xf>
    <xf numFmtId="4" fontId="60" fillId="30" borderId="233" applyNumberFormat="0" applyProtection="0">
      <alignment horizontal="right" vertical="center"/>
    </xf>
    <xf numFmtId="196" fontId="83" fillId="0" borderId="214" applyFill="0" applyBorder="0" applyAlignment="0"/>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2" borderId="233" applyNumberFormat="0" applyProtection="0">
      <alignment horizontal="right" vertical="center"/>
    </xf>
    <xf numFmtId="4" fontId="104" fillId="30" borderId="233" applyNumberFormat="0" applyProtection="0">
      <alignment horizontal="right" vertical="center"/>
    </xf>
    <xf numFmtId="4" fontId="60" fillId="2" borderId="233" applyNumberFormat="0" applyProtection="0">
      <alignment horizontal="left" vertical="center" indent="1"/>
    </xf>
    <xf numFmtId="4" fontId="104" fillId="30" borderId="233" applyNumberFormat="0" applyProtection="0">
      <alignment horizontal="right" vertical="center"/>
    </xf>
    <xf numFmtId="0" fontId="22" fillId="10" borderId="231" applyNumberFormat="0" applyFont="0" applyAlignment="0" applyProtection="0">
      <alignment vertical="center"/>
    </xf>
    <xf numFmtId="4" fontId="60" fillId="26" borderId="233" applyNumberFormat="0" applyProtection="0">
      <alignment horizontal="right" vertical="center"/>
    </xf>
    <xf numFmtId="0" fontId="114" fillId="56" borderId="239" applyNumberFormat="0" applyAlignment="0" applyProtection="0"/>
    <xf numFmtId="4" fontId="60" fillId="23" borderId="233" applyNumberFormat="0" applyProtection="0">
      <alignment horizontal="right" vertical="center"/>
    </xf>
    <xf numFmtId="4" fontId="60" fillId="21" borderId="233" applyNumberFormat="0" applyProtection="0">
      <alignment horizontal="right" vertical="center"/>
    </xf>
    <xf numFmtId="0" fontId="56" fillId="19" borderId="233" applyNumberFormat="0" applyProtection="0">
      <alignment horizontal="left" vertical="center" indent="1"/>
    </xf>
    <xf numFmtId="0" fontId="120" fillId="56" borderId="233" applyNumberFormat="0" applyAlignment="0" applyProtection="0"/>
    <xf numFmtId="4" fontId="60" fillId="30" borderId="233" applyNumberFormat="0" applyProtection="0">
      <alignment horizontal="right" vertical="center"/>
    </xf>
    <xf numFmtId="4" fontId="60" fillId="35"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14" fillId="56" borderId="239" applyNumberFormat="0" applyAlignment="0" applyProtection="0"/>
    <xf numFmtId="4" fontId="100" fillId="2" borderId="233" applyNumberFormat="0" applyProtection="0">
      <alignment vertical="center"/>
    </xf>
    <xf numFmtId="4" fontId="60" fillId="22" borderId="233" applyNumberFormat="0" applyProtection="0">
      <alignment horizontal="right" vertical="center"/>
    </xf>
    <xf numFmtId="4" fontId="100" fillId="30" borderId="233" applyNumberFormat="0" applyProtection="0">
      <alignment horizontal="right" vertical="center"/>
    </xf>
    <xf numFmtId="4" fontId="60" fillId="28" borderId="233" applyNumberFormat="0" applyProtection="0">
      <alignment horizontal="right" vertical="center"/>
    </xf>
    <xf numFmtId="4" fontId="60" fillId="2" borderId="233" applyNumberFormat="0" applyProtection="0">
      <alignment vertical="center"/>
    </xf>
    <xf numFmtId="0" fontId="56" fillId="19" borderId="233" applyNumberFormat="0" applyProtection="0">
      <alignment horizontal="left" vertical="center" indent="1"/>
    </xf>
    <xf numFmtId="4" fontId="60" fillId="26" borderId="233" applyNumberFormat="0" applyProtection="0">
      <alignment horizontal="right" vertical="center"/>
    </xf>
    <xf numFmtId="0" fontId="118" fillId="54" borderId="239" applyNumberFormat="0" applyAlignment="0" applyProtection="0"/>
    <xf numFmtId="4" fontId="60" fillId="21" borderId="233" applyNumberFormat="0" applyProtection="0">
      <alignment horizontal="right" vertical="center"/>
    </xf>
    <xf numFmtId="0" fontId="56" fillId="32" borderId="233" applyNumberFormat="0" applyProtection="0">
      <alignment horizontal="left" vertical="center" indent="1"/>
    </xf>
    <xf numFmtId="0" fontId="118" fillId="54" borderId="239" applyNumberFormat="0" applyAlignment="0" applyProtection="0"/>
    <xf numFmtId="4" fontId="60" fillId="25" borderId="233" applyNumberFormat="0" applyProtection="0">
      <alignment horizontal="right" vertical="center"/>
    </xf>
    <xf numFmtId="4" fontId="60" fillId="27" borderId="233" applyNumberFormat="0" applyProtection="0">
      <alignment horizontal="right" vertical="center"/>
    </xf>
    <xf numFmtId="0" fontId="114" fillId="56" borderId="239" applyNumberFormat="0" applyAlignment="0" applyProtection="0"/>
    <xf numFmtId="4" fontId="60" fillId="22" borderId="233" applyNumberFormat="0" applyProtection="0">
      <alignment horizontal="right" vertical="center"/>
    </xf>
    <xf numFmtId="4" fontId="100" fillId="2" borderId="233" applyNumberFormat="0" applyProtection="0">
      <alignment vertical="center"/>
    </xf>
    <xf numFmtId="4" fontId="101" fillId="29" borderId="233" applyNumberFormat="0" applyProtection="0">
      <alignment horizontal="left" vertical="center" indent="1"/>
    </xf>
    <xf numFmtId="0" fontId="120" fillId="56" borderId="233" applyNumberFormat="0" applyAlignment="0" applyProtection="0"/>
    <xf numFmtId="4" fontId="100" fillId="2" borderId="233" applyNumberFormat="0" applyProtection="0">
      <alignment vertical="center"/>
    </xf>
    <xf numFmtId="4" fontId="101" fillId="29" borderId="233" applyNumberFormat="0" applyProtection="0">
      <alignment horizontal="left" vertical="center" indent="1"/>
    </xf>
    <xf numFmtId="0" fontId="56" fillId="19" borderId="233" applyNumberFormat="0" applyProtection="0">
      <alignment horizontal="left" vertical="center" indent="1"/>
    </xf>
    <xf numFmtId="4" fontId="60" fillId="28" borderId="233" applyNumberFormat="0" applyProtection="0">
      <alignment horizontal="right" vertical="center"/>
    </xf>
    <xf numFmtId="4" fontId="60" fillId="2" borderId="233" applyNumberFormat="0" applyProtection="0">
      <alignment vertical="center"/>
    </xf>
    <xf numFmtId="4" fontId="60" fillId="35" borderId="233" applyNumberFormat="0" applyProtection="0">
      <alignment vertical="center"/>
    </xf>
    <xf numFmtId="4" fontId="60" fillId="2" borderId="233" applyNumberFormat="0" applyProtection="0">
      <alignment horizontal="left" vertical="center" indent="1"/>
    </xf>
    <xf numFmtId="4" fontId="60" fillId="22" borderId="233" applyNumberFormat="0" applyProtection="0">
      <alignment horizontal="right" vertical="center"/>
    </xf>
    <xf numFmtId="0" fontId="56" fillId="19" borderId="233" applyNumberFormat="0" applyProtection="0">
      <alignment horizontal="left" vertical="center" indent="1"/>
    </xf>
    <xf numFmtId="0" fontId="56" fillId="34" borderId="233" applyNumberFormat="0" applyProtection="0">
      <alignment horizontal="left" vertical="center" indent="1"/>
    </xf>
    <xf numFmtId="4" fontId="60" fillId="23" borderId="233" applyNumberFormat="0" applyProtection="0">
      <alignment horizontal="right" vertical="center"/>
    </xf>
    <xf numFmtId="4" fontId="60" fillId="28" borderId="233" applyNumberFormat="0" applyProtection="0">
      <alignment horizontal="right" vertical="center"/>
    </xf>
    <xf numFmtId="0" fontId="121" fillId="60" borderId="238" applyBorder="0"/>
    <xf numFmtId="0" fontId="56" fillId="19" borderId="233" applyNumberFormat="0" applyProtection="0">
      <alignment horizontal="left" vertical="center" indent="1"/>
    </xf>
    <xf numFmtId="4" fontId="60" fillId="2" borderId="233" applyNumberFormat="0" applyProtection="0">
      <alignment vertical="center"/>
    </xf>
    <xf numFmtId="4" fontId="60" fillId="21" borderId="233" applyNumberFormat="0" applyProtection="0">
      <alignment horizontal="right" vertical="center"/>
    </xf>
    <xf numFmtId="4" fontId="60" fillId="30" borderId="233" applyNumberFormat="0" applyProtection="0">
      <alignment horizontal="left" vertical="center" indent="1"/>
    </xf>
    <xf numFmtId="4" fontId="60" fillId="24" borderId="233" applyNumberFormat="0" applyProtection="0">
      <alignment horizontal="right" vertical="center"/>
    </xf>
    <xf numFmtId="4" fontId="60" fillId="2" borderId="233" applyNumberFormat="0" applyProtection="0">
      <alignment horizontal="left" vertical="center" indent="1"/>
    </xf>
    <xf numFmtId="0" fontId="56" fillId="33" borderId="233" applyNumberFormat="0" applyProtection="0">
      <alignment horizontal="left" vertical="center" indent="1"/>
    </xf>
    <xf numFmtId="0" fontId="118" fillId="54" borderId="239" applyNumberFormat="0" applyAlignment="0" applyProtection="0"/>
    <xf numFmtId="4" fontId="60" fillId="21" borderId="233" applyNumberFormat="0" applyProtection="0">
      <alignment horizontal="right" vertical="center"/>
    </xf>
    <xf numFmtId="4" fontId="60" fillId="2" borderId="233" applyNumberFormat="0" applyProtection="0">
      <alignment horizontal="left" vertical="center" indent="1"/>
    </xf>
    <xf numFmtId="4" fontId="60" fillId="26" borderId="233" applyNumberFormat="0" applyProtection="0">
      <alignment horizontal="right" vertical="center"/>
    </xf>
    <xf numFmtId="0" fontId="120" fillId="56" borderId="233" applyNumberFormat="0" applyAlignment="0" applyProtection="0"/>
    <xf numFmtId="0" fontId="56" fillId="19" borderId="233" applyNumberFormat="0" applyProtection="0">
      <alignment horizontal="left" vertical="center" indent="1"/>
    </xf>
    <xf numFmtId="4" fontId="60" fillId="30" borderId="235" applyNumberFormat="0" applyProtection="0">
      <alignment horizontal="left" vertical="center" indent="1"/>
    </xf>
    <xf numFmtId="4" fontId="60" fillId="24" borderId="233" applyNumberFormat="0" applyProtection="0">
      <alignment horizontal="right" vertical="center"/>
    </xf>
    <xf numFmtId="4" fontId="60" fillId="35" borderId="233" applyNumberFormat="0" applyProtection="0">
      <alignment vertical="center"/>
    </xf>
    <xf numFmtId="0" fontId="90" fillId="0" borderId="195">
      <alignment horizontal="lef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60" fillId="28" borderId="233" applyNumberFormat="0" applyProtection="0">
      <alignment horizontal="right" vertical="center"/>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19" borderId="233" applyNumberFormat="0" applyProtection="0">
      <alignment horizontal="left" vertical="center" indent="1"/>
    </xf>
    <xf numFmtId="4" fontId="60" fillId="30" borderId="235" applyNumberFormat="0" applyProtection="0">
      <alignment horizontal="left" vertical="center" indent="1"/>
    </xf>
    <xf numFmtId="4" fontId="60" fillId="35" borderId="233" applyNumberFormat="0" applyProtection="0">
      <alignment vertical="center"/>
    </xf>
    <xf numFmtId="0" fontId="118" fillId="54" borderId="239" applyNumberFormat="0" applyAlignment="0" applyProtection="0"/>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60" fillId="23" borderId="233" applyNumberFormat="0" applyProtection="0">
      <alignment horizontal="right" vertical="center"/>
    </xf>
    <xf numFmtId="4" fontId="60" fillId="35" borderId="233" applyNumberFormat="0" applyProtection="0">
      <alignment horizontal="left" vertical="center" indent="1"/>
    </xf>
    <xf numFmtId="0" fontId="99" fillId="1" borderId="195" applyNumberFormat="0" applyFont="0" applyAlignment="0">
      <alignment horizontal="center"/>
    </xf>
    <xf numFmtId="3" fontId="67" fillId="0" borderId="214"/>
    <xf numFmtId="3" fontId="67" fillId="0" borderId="214"/>
    <xf numFmtId="3" fontId="67" fillId="0" borderId="214"/>
    <xf numFmtId="3" fontId="67" fillId="0" borderId="214"/>
    <xf numFmtId="3" fontId="67" fillId="0" borderId="214"/>
    <xf numFmtId="3" fontId="67" fillId="0" borderId="214"/>
    <xf numFmtId="196" fontId="83" fillId="0" borderId="214" applyFill="0" applyBorder="0" applyAlignment="0"/>
    <xf numFmtId="196" fontId="83" fillId="0" borderId="214" applyFill="0" applyBorder="0" applyAlignment="0"/>
    <xf numFmtId="10" fontId="88" fillId="17" borderId="214" applyNumberFormat="0" applyBorder="0" applyAlignment="0" applyProtection="0"/>
    <xf numFmtId="10" fontId="88" fillId="17" borderId="214" applyNumberFormat="0" applyBorder="0" applyAlignment="0" applyProtection="0"/>
    <xf numFmtId="0" fontId="88" fillId="61" borderId="214"/>
    <xf numFmtId="0" fontId="88" fillId="61" borderId="214"/>
    <xf numFmtId="4" fontId="60" fillId="2" borderId="233" applyNumberFormat="0" applyProtection="0">
      <alignmen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 borderId="233" applyNumberFormat="0" applyProtection="0">
      <alignment vertical="center"/>
    </xf>
    <xf numFmtId="4" fontId="60" fillId="35" borderId="233" applyNumberFormat="0" applyProtection="0">
      <alignmen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4" fontId="60" fillId="27" borderId="233" applyNumberFormat="0" applyProtection="0">
      <alignment horizontal="right" vertical="center"/>
    </xf>
    <xf numFmtId="4" fontId="60" fillId="35" borderId="233" applyNumberFormat="0" applyProtection="0">
      <alignment horizontal="left" vertical="center" indent="1"/>
    </xf>
    <xf numFmtId="0" fontId="56" fillId="34" borderId="233" applyNumberFormat="0" applyProtection="0">
      <alignment horizontal="left" vertical="center" indent="1"/>
    </xf>
    <xf numFmtId="0" fontId="121" fillId="60" borderId="238" applyBorder="0"/>
    <xf numFmtId="3" fontId="67" fillId="0" borderId="214"/>
    <xf numFmtId="4" fontId="60" fillId="32" borderId="233" applyNumberFormat="0" applyProtection="0">
      <alignment horizontal="left" vertical="center" indent="1"/>
    </xf>
    <xf numFmtId="0" fontId="120" fillId="56" borderId="233" applyNumberFormat="0" applyAlignment="0" applyProtection="0"/>
    <xf numFmtId="0" fontId="118" fillId="54" borderId="239" applyNumberFormat="0" applyAlignment="0" applyProtection="0"/>
    <xf numFmtId="0" fontId="151" fillId="111" borderId="230" applyNumberFormat="0" applyAlignment="0" applyProtection="0">
      <alignment vertical="center"/>
    </xf>
    <xf numFmtId="4" fontId="100" fillId="30" borderId="233" applyNumberFormat="0" applyProtection="0">
      <alignment horizontal="right" vertical="center"/>
    </xf>
    <xf numFmtId="0" fontId="56" fillId="33" borderId="233" applyNumberFormat="0" applyProtection="0">
      <alignment horizontal="left" vertical="center" indent="1"/>
    </xf>
    <xf numFmtId="4" fontId="100" fillId="35" borderId="233" applyNumberFormat="0" applyProtection="0">
      <alignment vertical="center"/>
    </xf>
    <xf numFmtId="4" fontId="60" fillId="21" borderId="233" applyNumberFormat="0" applyProtection="0">
      <alignment horizontal="right" vertical="center"/>
    </xf>
    <xf numFmtId="0" fontId="56" fillId="32" borderId="233" applyNumberFormat="0" applyProtection="0">
      <alignment horizontal="left" vertical="center" indent="1"/>
    </xf>
    <xf numFmtId="4" fontId="60" fillId="30" borderId="233" applyNumberFormat="0" applyProtection="0">
      <alignment horizontal="right" vertical="center"/>
    </xf>
    <xf numFmtId="3" fontId="67" fillId="0" borderId="214"/>
    <xf numFmtId="4" fontId="101" fillId="29" borderId="233" applyNumberFormat="0" applyProtection="0">
      <alignment horizontal="left" vertical="center" indent="1"/>
    </xf>
    <xf numFmtId="0" fontId="120" fillId="56" borderId="233" applyNumberFormat="0" applyAlignment="0" applyProtection="0"/>
    <xf numFmtId="4" fontId="60" fillId="27" borderId="233" applyNumberFormat="0" applyProtection="0">
      <alignment horizontal="right" vertical="center"/>
    </xf>
    <xf numFmtId="4" fontId="60" fillId="32" borderId="233" applyNumberFormat="0" applyProtection="0">
      <alignment horizontal="left" vertical="center" indent="1"/>
    </xf>
    <xf numFmtId="0" fontId="56" fillId="19" borderId="233" applyNumberFormat="0" applyProtection="0">
      <alignment horizontal="left" vertical="center" indent="1"/>
    </xf>
    <xf numFmtId="4" fontId="101" fillId="29" borderId="233" applyNumberFormat="0" applyProtection="0">
      <alignment horizontal="left" vertical="center" indent="1"/>
    </xf>
    <xf numFmtId="0" fontId="56" fillId="19" borderId="233" applyNumberFormat="0" applyProtection="0">
      <alignment horizontal="left" vertical="center" indent="1"/>
    </xf>
    <xf numFmtId="4" fontId="101" fillId="29"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157" fillId="98" borderId="230" applyNumberFormat="0" applyAlignment="0" applyProtection="0">
      <alignment vertical="center"/>
    </xf>
    <xf numFmtId="10" fontId="88" fillId="17" borderId="214" applyNumberFormat="0" applyBorder="0" applyAlignment="0" applyProtection="0"/>
    <xf numFmtId="4" fontId="60" fillId="21" borderId="233" applyNumberFormat="0" applyProtection="0">
      <alignment horizontal="right" vertical="center"/>
    </xf>
    <xf numFmtId="4" fontId="60" fillId="2" borderId="233" applyNumberFormat="0" applyProtection="0">
      <alignment horizontal="left" vertical="center" indent="1"/>
    </xf>
    <xf numFmtId="0" fontId="120" fillId="56" borderId="233" applyNumberFormat="0" applyAlignment="0" applyProtection="0"/>
    <xf numFmtId="0" fontId="56" fillId="19" borderId="233" applyNumberFormat="0" applyProtection="0">
      <alignment horizontal="left" vertical="center" indent="1"/>
    </xf>
    <xf numFmtId="0" fontId="118" fillId="54" borderId="239" applyNumberFormat="0" applyAlignment="0" applyProtection="0"/>
    <xf numFmtId="4" fontId="60" fillId="20" borderId="233" applyNumberFormat="0" applyProtection="0">
      <alignment horizontal="right" vertical="center"/>
    </xf>
    <xf numFmtId="4" fontId="60" fillId="22" borderId="233" applyNumberFormat="0" applyProtection="0">
      <alignment horizontal="right" vertical="center"/>
    </xf>
    <xf numFmtId="0" fontId="56" fillId="34" borderId="233" applyNumberFormat="0" applyProtection="0">
      <alignment horizontal="left" vertical="center" indent="1"/>
    </xf>
    <xf numFmtId="0" fontId="114" fillId="56" borderId="239" applyNumberFormat="0" applyAlignment="0" applyProtection="0"/>
    <xf numFmtId="4" fontId="60" fillId="22" borderId="233" applyNumberFormat="0" applyProtection="0">
      <alignment horizontal="right" vertical="center"/>
    </xf>
    <xf numFmtId="0" fontId="56" fillId="33" borderId="233" applyNumberFormat="0" applyProtection="0">
      <alignment horizontal="left" vertical="center" indent="1"/>
    </xf>
    <xf numFmtId="4" fontId="60" fillId="2" borderId="233" applyNumberFormat="0" applyProtection="0">
      <alignment vertical="center"/>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0" fontId="118" fillId="54" borderId="239" applyNumberFormat="0" applyAlignment="0" applyProtection="0"/>
    <xf numFmtId="4" fontId="60" fillId="32" borderId="233" applyNumberFormat="0" applyProtection="0">
      <alignment horizontal="left" vertical="center" indent="1"/>
    </xf>
    <xf numFmtId="0" fontId="56" fillId="19" borderId="233" applyNumberFormat="0" applyProtection="0">
      <alignment horizontal="left" vertical="center" indent="1"/>
    </xf>
    <xf numFmtId="4" fontId="60" fillId="27" borderId="233" applyNumberFormat="0" applyProtection="0">
      <alignment horizontal="right" vertical="center"/>
    </xf>
    <xf numFmtId="4" fontId="60" fillId="2" borderId="233" applyNumberFormat="0" applyProtection="0">
      <alignment horizontal="left" vertical="center" indent="1"/>
    </xf>
    <xf numFmtId="4" fontId="100" fillId="2" borderId="233" applyNumberFormat="0" applyProtection="0">
      <alignment vertical="center"/>
    </xf>
    <xf numFmtId="4" fontId="60" fillId="35" borderId="233" applyNumberFormat="0" applyProtection="0">
      <alignment horizontal="left" vertical="center" indent="1"/>
    </xf>
    <xf numFmtId="4" fontId="100" fillId="30" borderId="233" applyNumberFormat="0" applyProtection="0">
      <alignment horizontal="right" vertical="center"/>
    </xf>
    <xf numFmtId="4" fontId="100" fillId="35" borderId="233" applyNumberFormat="0" applyProtection="0">
      <alignmen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33" borderId="233" applyNumberFormat="0" applyProtection="0">
      <alignment horizontal="left" vertical="center" indent="1"/>
    </xf>
    <xf numFmtId="4" fontId="100" fillId="2" borderId="233" applyNumberFormat="0" applyProtection="0">
      <alignmen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60" fillId="24" borderId="233" applyNumberFormat="0" applyProtection="0">
      <alignment horizontal="right" vertical="center"/>
    </xf>
    <xf numFmtId="0" fontId="56" fillId="34" borderId="233" applyNumberFormat="0" applyProtection="0">
      <alignment horizontal="left" vertical="center" indent="1"/>
    </xf>
    <xf numFmtId="4" fontId="60" fillId="35" borderId="233" applyNumberFormat="0" applyProtection="0">
      <alignment vertical="center"/>
    </xf>
    <xf numFmtId="4" fontId="60" fillId="30" borderId="235" applyNumberFormat="0" applyProtection="0">
      <alignment horizontal="left" vertical="center" indent="1"/>
    </xf>
    <xf numFmtId="4" fontId="60" fillId="23" borderId="233" applyNumberFormat="0" applyProtection="0">
      <alignment horizontal="right" vertical="center"/>
    </xf>
    <xf numFmtId="4" fontId="60" fillId="35" borderId="233" applyNumberFormat="0" applyProtection="0">
      <alignment horizontal="left" vertical="center" indent="1"/>
    </xf>
    <xf numFmtId="4" fontId="60" fillId="30" borderId="233" applyNumberFormat="0" applyProtection="0">
      <alignment horizontal="right" vertical="center"/>
    </xf>
    <xf numFmtId="0" fontId="56" fillId="33" borderId="233" applyNumberFormat="0" applyProtection="0">
      <alignment horizontal="left" vertical="center" indent="1"/>
    </xf>
    <xf numFmtId="4" fontId="60" fillId="35" borderId="233" applyNumberFormat="0" applyProtection="0">
      <alignment horizontal="left" vertical="center" indent="1"/>
    </xf>
    <xf numFmtId="4" fontId="60" fillId="20" borderId="233" applyNumberFormat="0" applyProtection="0">
      <alignment horizontal="right" vertical="center"/>
    </xf>
    <xf numFmtId="0" fontId="56" fillId="34" borderId="233" applyNumberFormat="0" applyProtection="0">
      <alignment horizontal="left" vertical="center" indent="1"/>
    </xf>
    <xf numFmtId="0" fontId="120" fillId="56" borderId="233" applyNumberFormat="0" applyAlignment="0" applyProtection="0"/>
    <xf numFmtId="4" fontId="60" fillId="27" borderId="233" applyNumberFormat="0" applyProtection="0">
      <alignment horizontal="right" vertical="center"/>
    </xf>
    <xf numFmtId="4" fontId="104" fillId="30" borderId="233" applyNumberFormat="0" applyProtection="0">
      <alignment horizontal="right" vertical="center"/>
    </xf>
    <xf numFmtId="0" fontId="118" fillId="54" borderId="239" applyNumberFormat="0" applyAlignment="0" applyProtection="0"/>
    <xf numFmtId="0" fontId="56" fillId="33" borderId="233" applyNumberFormat="0" applyProtection="0">
      <alignment horizontal="left" vertical="center" indent="1"/>
    </xf>
    <xf numFmtId="4" fontId="100" fillId="30" borderId="233" applyNumberFormat="0" applyProtection="0">
      <alignment horizontal="right" vertical="center"/>
    </xf>
    <xf numFmtId="4" fontId="60" fillId="20" borderId="233" applyNumberFormat="0" applyProtection="0">
      <alignment horizontal="right" vertical="center"/>
    </xf>
    <xf numFmtId="0" fontId="56" fillId="34" borderId="233" applyNumberFormat="0" applyProtection="0">
      <alignment horizontal="left" vertical="center" indent="1"/>
    </xf>
    <xf numFmtId="4" fontId="60" fillId="23" borderId="233" applyNumberFormat="0" applyProtection="0">
      <alignment horizontal="right" vertical="center"/>
    </xf>
    <xf numFmtId="0" fontId="121" fillId="60" borderId="238" applyBorder="0"/>
    <xf numFmtId="4" fontId="60" fillId="26" borderId="233" applyNumberFormat="0" applyProtection="0">
      <alignment horizontal="right" vertical="center"/>
    </xf>
    <xf numFmtId="4" fontId="60" fillId="35" borderId="233" applyNumberFormat="0" applyProtection="0">
      <alignment horizontal="left" vertical="center" indent="1"/>
    </xf>
    <xf numFmtId="4" fontId="101" fillId="29" borderId="233" applyNumberFormat="0" applyProtection="0">
      <alignment horizontal="left" vertical="center" indent="1"/>
    </xf>
    <xf numFmtId="4" fontId="60" fillId="35" borderId="233" applyNumberFormat="0" applyProtection="0">
      <alignment vertical="center"/>
    </xf>
    <xf numFmtId="0" fontId="56" fillId="32" borderId="233" applyNumberFormat="0" applyProtection="0">
      <alignment horizontal="left" vertical="center" indent="1"/>
    </xf>
    <xf numFmtId="0" fontId="90" fillId="0" borderId="195">
      <alignment horizontal="left" vertical="center"/>
    </xf>
    <xf numFmtId="4" fontId="6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0" fontId="99" fillId="1" borderId="195" applyNumberFormat="0" applyFont="0" applyAlignment="0">
      <alignment horizontal="center"/>
    </xf>
    <xf numFmtId="4" fontId="60" fillId="35" borderId="233" applyNumberFormat="0" applyProtection="0">
      <alignment horizontal="left" vertical="center" indent="1"/>
    </xf>
    <xf numFmtId="4" fontId="60" fillId="23" borderId="233" applyNumberFormat="0" applyProtection="0">
      <alignment horizontal="right" vertical="center"/>
    </xf>
    <xf numFmtId="0" fontId="88" fillId="53" borderId="239" applyNumberFormat="0" applyFont="0" applyAlignment="0" applyProtection="0"/>
    <xf numFmtId="0" fontId="56" fillId="33" borderId="233" applyNumberFormat="0" applyProtection="0">
      <alignment horizontal="left" vertical="center" indent="1"/>
    </xf>
    <xf numFmtId="0" fontId="56" fillId="32" borderId="233" applyNumberFormat="0" applyProtection="0">
      <alignment horizontal="left" vertical="center" indent="1"/>
    </xf>
    <xf numFmtId="0" fontId="120" fillId="56" borderId="233" applyNumberFormat="0" applyAlignment="0" applyProtection="0"/>
    <xf numFmtId="0" fontId="120" fillId="56" borderId="233" applyNumberFormat="0" applyAlignment="0" applyProtection="0"/>
    <xf numFmtId="3" fontId="67" fillId="0" borderId="214"/>
    <xf numFmtId="0" fontId="56" fillId="19" borderId="233" applyNumberFormat="0" applyProtection="0">
      <alignment horizontal="left" vertical="center" indent="1"/>
    </xf>
    <xf numFmtId="0" fontId="88" fillId="53" borderId="239" applyNumberFormat="0" applyFont="0" applyAlignment="0" applyProtection="0"/>
    <xf numFmtId="4" fontId="60" fillId="28"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horizontal="left" vertical="center" indent="1"/>
    </xf>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60" fillId="2" borderId="233" applyNumberFormat="0" applyProtection="0">
      <alignment horizontal="left" vertical="center" indent="1"/>
    </xf>
    <xf numFmtId="0" fontId="157" fillId="98" borderId="230" applyNumberFormat="0" applyAlignment="0" applyProtection="0">
      <alignment vertical="center"/>
    </xf>
    <xf numFmtId="3" fontId="67" fillId="0" borderId="214"/>
    <xf numFmtId="4" fontId="60" fillId="24" borderId="233" applyNumberFormat="0" applyProtection="0">
      <alignment horizontal="right" vertical="center"/>
    </xf>
    <xf numFmtId="4" fontId="101" fillId="2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horizontal="left" vertical="center" indent="1"/>
    </xf>
    <xf numFmtId="4" fontId="100" fillId="35" borderId="233" applyNumberFormat="0" applyProtection="0">
      <alignment vertical="center"/>
    </xf>
    <xf numFmtId="0" fontId="120" fillId="56" borderId="233" applyNumberFormat="0" applyAlignment="0" applyProtection="0"/>
    <xf numFmtId="0" fontId="56" fillId="19" borderId="233" applyNumberFormat="0" applyProtection="0">
      <alignment horizontal="left" vertical="center" indent="1"/>
    </xf>
    <xf numFmtId="4" fontId="60" fillId="35" borderId="233" applyNumberFormat="0" applyProtection="0">
      <alignment horizontal="left" vertical="center" indent="1"/>
    </xf>
    <xf numFmtId="4" fontId="60" fillId="20" borderId="233" applyNumberFormat="0" applyProtection="0">
      <alignment horizontal="right" vertical="center"/>
    </xf>
    <xf numFmtId="0" fontId="56" fillId="33" borderId="233" applyNumberFormat="0" applyProtection="0">
      <alignment horizontal="left" vertical="center" indent="1"/>
    </xf>
    <xf numFmtId="4" fontId="60" fillId="28" borderId="233" applyNumberFormat="0" applyProtection="0">
      <alignment horizontal="right" vertical="center"/>
    </xf>
    <xf numFmtId="0" fontId="56" fillId="19" borderId="233" applyNumberFormat="0" applyProtection="0">
      <alignment horizontal="left" vertical="center" indent="1"/>
    </xf>
    <xf numFmtId="4" fontId="60" fillId="27" borderId="233" applyNumberFormat="0" applyProtection="0">
      <alignment horizontal="right" vertical="center"/>
    </xf>
    <xf numFmtId="0" fontId="118" fillId="54" borderId="239" applyNumberFormat="0" applyAlignment="0" applyProtection="0"/>
    <xf numFmtId="0" fontId="56" fillId="34" borderId="233" applyNumberFormat="0" applyProtection="0">
      <alignment horizontal="left" vertical="center" indent="1"/>
    </xf>
    <xf numFmtId="4" fontId="60" fillId="35" borderId="233" applyNumberFormat="0" applyProtection="0">
      <alignment vertical="center"/>
    </xf>
    <xf numFmtId="0" fontId="99" fillId="1" borderId="195" applyNumberFormat="0" applyFont="0" applyAlignment="0">
      <alignment horizontal="center"/>
    </xf>
    <xf numFmtId="4" fontId="60" fillId="26" borderId="233" applyNumberFormat="0" applyProtection="0">
      <alignment horizontal="right" vertical="center"/>
    </xf>
    <xf numFmtId="0" fontId="118" fillId="54" borderId="239" applyNumberFormat="0" applyAlignment="0" applyProtection="0"/>
    <xf numFmtId="4" fontId="104" fillId="30" borderId="233" applyNumberFormat="0" applyProtection="0">
      <alignment horizontal="right" vertical="center"/>
    </xf>
    <xf numFmtId="0" fontId="56" fillId="33" borderId="233" applyNumberFormat="0" applyProtection="0">
      <alignment horizontal="left" vertical="center" indent="1"/>
    </xf>
    <xf numFmtId="4" fontId="60" fillId="28" borderId="233" applyNumberFormat="0" applyProtection="0">
      <alignment horizontal="right" vertical="center"/>
    </xf>
    <xf numFmtId="4" fontId="60" fillId="20" borderId="233" applyNumberFormat="0" applyProtection="0">
      <alignment horizontal="right" vertical="center"/>
    </xf>
    <xf numFmtId="0" fontId="114" fillId="56" borderId="239" applyNumberFormat="0" applyAlignment="0" applyProtection="0"/>
    <xf numFmtId="0" fontId="146" fillId="0" borderId="232" applyNumberFormat="0" applyFill="0" applyAlignment="0" applyProtection="0">
      <alignment vertical="center"/>
    </xf>
    <xf numFmtId="3" fontId="67" fillId="0" borderId="214"/>
    <xf numFmtId="0" fontId="56" fillId="32" borderId="233" applyNumberFormat="0" applyProtection="0">
      <alignment horizontal="left" vertical="center" indent="1"/>
    </xf>
    <xf numFmtId="0" fontId="121" fillId="60" borderId="238" applyBorder="0"/>
    <xf numFmtId="4" fontId="60" fillId="25" borderId="233" applyNumberFormat="0" applyProtection="0">
      <alignment horizontal="right" vertical="center"/>
    </xf>
    <xf numFmtId="4" fontId="101" fillId="29" borderId="233" applyNumberFormat="0" applyProtection="0">
      <alignment horizontal="left" vertical="center" indent="1"/>
    </xf>
    <xf numFmtId="4" fontId="60" fillId="27" borderId="233" applyNumberFormat="0" applyProtection="0">
      <alignment horizontal="right" vertical="center"/>
    </xf>
    <xf numFmtId="0" fontId="56" fillId="33" borderId="233" applyNumberFormat="0" applyProtection="0">
      <alignment horizontal="left" vertical="center" indent="1"/>
    </xf>
    <xf numFmtId="4" fontId="60" fillId="22" borderId="233" applyNumberFormat="0" applyProtection="0">
      <alignment horizontal="right" vertical="center"/>
    </xf>
    <xf numFmtId="4" fontId="60" fillId="2" borderId="233" applyNumberFormat="0" applyProtection="0">
      <alignment horizontal="left" vertical="center" indent="1"/>
    </xf>
    <xf numFmtId="4" fontId="60" fillId="2" borderId="233" applyNumberFormat="0" applyProtection="0">
      <alignment vertical="center"/>
    </xf>
    <xf numFmtId="4" fontId="60" fillId="25" borderId="233" applyNumberFormat="0" applyProtection="0">
      <alignment horizontal="right" vertical="center"/>
    </xf>
    <xf numFmtId="0" fontId="56" fillId="19" borderId="233" applyNumberFormat="0" applyProtection="0">
      <alignment horizontal="left" vertical="center" indent="1"/>
    </xf>
    <xf numFmtId="4" fontId="60" fillId="26" borderId="233" applyNumberFormat="0" applyProtection="0">
      <alignment horizontal="right" vertical="center"/>
    </xf>
    <xf numFmtId="4" fontId="60" fillId="20" borderId="233" applyNumberFormat="0" applyProtection="0">
      <alignment horizontal="right" vertical="center"/>
    </xf>
    <xf numFmtId="0" fontId="56" fillId="32" borderId="233" applyNumberFormat="0" applyProtection="0">
      <alignment horizontal="left" vertical="center" indent="1"/>
    </xf>
    <xf numFmtId="0" fontId="114" fillId="56" borderId="239" applyNumberFormat="0" applyAlignment="0" applyProtection="0"/>
    <xf numFmtId="0" fontId="22" fillId="10" borderId="231" applyNumberFormat="0" applyFont="0" applyAlignment="0" applyProtection="0">
      <alignment vertical="center"/>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33" borderId="233" applyNumberFormat="0" applyProtection="0">
      <alignment horizontal="left" vertical="center" indent="1"/>
    </xf>
    <xf numFmtId="0" fontId="56" fillId="32" borderId="233" applyNumberFormat="0" applyProtection="0">
      <alignment horizontal="left" vertical="center" indent="1"/>
    </xf>
    <xf numFmtId="0" fontId="56" fillId="19" borderId="233" applyNumberFormat="0" applyProtection="0">
      <alignment horizontal="left" vertical="center" indent="1"/>
    </xf>
    <xf numFmtId="4" fontId="60" fillId="22" borderId="233" applyNumberFormat="0" applyProtection="0">
      <alignment horizontal="right" vertical="center"/>
    </xf>
    <xf numFmtId="4" fontId="60" fillId="24" borderId="233" applyNumberFormat="0" applyProtection="0">
      <alignment horizontal="right" vertical="center"/>
    </xf>
    <xf numFmtId="4" fontId="60" fillId="21" borderId="233" applyNumberFormat="0" applyProtection="0">
      <alignment horizontal="right" vertical="center"/>
    </xf>
    <xf numFmtId="4" fontId="60" fillId="2" borderId="233" applyNumberFormat="0" applyProtection="0">
      <alignment horizontal="left" vertical="center" indent="1"/>
    </xf>
    <xf numFmtId="4" fontId="60" fillId="2" borderId="233" applyNumberFormat="0" applyProtection="0">
      <alignment vertical="center"/>
    </xf>
    <xf numFmtId="0" fontId="118" fillId="54" borderId="239" applyNumberFormat="0" applyAlignment="0" applyProtection="0"/>
    <xf numFmtId="0" fontId="56" fillId="32" borderId="233" applyNumberFormat="0" applyProtection="0">
      <alignment horizontal="left" vertical="center" indent="1"/>
    </xf>
    <xf numFmtId="0" fontId="56" fillId="32" borderId="233" applyNumberFormat="0" applyProtection="0">
      <alignment horizontal="left" vertical="center" indent="1"/>
    </xf>
    <xf numFmtId="4" fontId="60" fillId="35" borderId="233" applyNumberFormat="0" applyProtection="0">
      <alignment horizontal="left" vertical="center" indent="1"/>
    </xf>
    <xf numFmtId="4" fontId="60" fillId="28" borderId="233" applyNumberFormat="0" applyProtection="0">
      <alignment horizontal="right" vertical="center"/>
    </xf>
    <xf numFmtId="4" fontId="60" fillId="25" borderId="233" applyNumberFormat="0" applyProtection="0">
      <alignment horizontal="right" vertical="center"/>
    </xf>
    <xf numFmtId="0" fontId="56" fillId="19" borderId="233" applyNumberFormat="0" applyProtection="0">
      <alignment horizontal="left" vertical="center" indent="1"/>
    </xf>
    <xf numFmtId="0" fontId="118" fillId="54"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56" fillId="19" borderId="233" applyNumberFormat="0" applyProtection="0">
      <alignment horizontal="left" vertical="center" indent="1"/>
    </xf>
    <xf numFmtId="0" fontId="90" fillId="0" borderId="195">
      <alignment horizontal="left" vertical="center"/>
    </xf>
    <xf numFmtId="0" fontId="90" fillId="0" borderId="195">
      <alignment horizontal="left" vertical="center"/>
    </xf>
    <xf numFmtId="4" fontId="60" fillId="20" borderId="233" applyNumberFormat="0" applyProtection="0">
      <alignment horizontal="right" vertical="center"/>
    </xf>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100" fillId="35" borderId="233" applyNumberFormat="0" applyProtection="0">
      <alignment vertical="center"/>
    </xf>
    <xf numFmtId="0" fontId="56" fillId="34" borderId="233" applyNumberFormat="0" applyProtection="0">
      <alignment horizontal="left" vertical="center" indent="1"/>
    </xf>
    <xf numFmtId="0" fontId="121" fillId="60" borderId="238" applyBorder="0"/>
    <xf numFmtId="0" fontId="56" fillId="19" borderId="233" applyNumberFormat="0" applyProtection="0">
      <alignment horizontal="left" vertical="center" indent="1"/>
    </xf>
    <xf numFmtId="4" fontId="60" fillId="2" borderId="233" applyNumberFormat="0" applyProtection="0">
      <alignment vertical="center"/>
    </xf>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56" fillId="19" borderId="233" applyNumberFormat="0" applyProtection="0">
      <alignment horizontal="left" vertical="center" indent="1"/>
    </xf>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0" fontId="56" fillId="1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22" fillId="10" borderId="231" applyNumberFormat="0" applyFont="0" applyAlignment="0" applyProtection="0">
      <alignment vertical="center"/>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0" fontId="99" fillId="1" borderId="195" applyNumberFormat="0" applyFont="0" applyAlignment="0">
      <alignment horizontal="center"/>
    </xf>
    <xf numFmtId="0" fontId="99" fillId="1" borderId="195" applyNumberFormat="0" applyFont="0" applyAlignment="0">
      <alignment horizontal="center"/>
    </xf>
    <xf numFmtId="4" fontId="60" fillId="2" borderId="233" applyNumberFormat="0" applyProtection="0">
      <alignment vertical="center"/>
    </xf>
    <xf numFmtId="4" fontId="104" fillId="30" borderId="233" applyNumberFormat="0" applyProtection="0">
      <alignment horizontal="right" vertical="center"/>
    </xf>
    <xf numFmtId="0" fontId="90" fillId="0" borderId="195">
      <alignment horizontal="left" vertical="center"/>
    </xf>
    <xf numFmtId="0" fontId="56" fillId="32"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104" fillId="30" borderId="233" applyNumberFormat="0" applyProtection="0">
      <alignment horizontal="right" vertical="center"/>
    </xf>
    <xf numFmtId="4" fontId="60" fillId="25" borderId="233" applyNumberFormat="0" applyProtection="0">
      <alignment horizontal="right" vertical="center"/>
    </xf>
    <xf numFmtId="4" fontId="60" fillId="30" borderId="235" applyNumberFormat="0" applyProtection="0">
      <alignment horizontal="left" vertical="center" indent="1"/>
    </xf>
    <xf numFmtId="4" fontId="60" fillId="35" borderId="233" applyNumberFormat="0" applyProtection="0">
      <alignment horizontal="left" vertical="center" indent="1"/>
    </xf>
    <xf numFmtId="0" fontId="56" fillId="33" borderId="233" applyNumberFormat="0" applyProtection="0">
      <alignment horizontal="left" vertical="center" indent="1"/>
    </xf>
    <xf numFmtId="4" fontId="60" fillId="2" borderId="233" applyNumberFormat="0" applyProtection="0">
      <alignment horizontal="left" vertical="center" indent="1"/>
    </xf>
    <xf numFmtId="4" fontId="100" fillId="2" borderId="233" applyNumberFormat="0" applyProtection="0">
      <alignment vertical="center"/>
    </xf>
    <xf numFmtId="0" fontId="56" fillId="19" borderId="233" applyNumberFormat="0" applyProtection="0">
      <alignment horizontal="left" vertical="center" indent="1"/>
    </xf>
    <xf numFmtId="4" fontId="60" fillId="35" borderId="233" applyNumberFormat="0" applyProtection="0">
      <alignment horizontal="left" vertical="center" indent="1"/>
    </xf>
    <xf numFmtId="4" fontId="60" fillId="25" borderId="233" applyNumberFormat="0" applyProtection="0">
      <alignment horizontal="right" vertical="center"/>
    </xf>
    <xf numFmtId="4" fontId="60" fillId="2" borderId="233" applyNumberFormat="0" applyProtection="0">
      <alignment vertical="center"/>
    </xf>
    <xf numFmtId="3" fontId="67" fillId="0" borderId="214"/>
    <xf numFmtId="0" fontId="88" fillId="53" borderId="239" applyNumberFormat="0" applyFont="0" applyAlignment="0" applyProtection="0"/>
    <xf numFmtId="0" fontId="90" fillId="0" borderId="195">
      <alignment horizontal="left" vertical="center"/>
    </xf>
    <xf numFmtId="0" fontId="88" fillId="61" borderId="214"/>
    <xf numFmtId="0" fontId="118" fillId="54" borderId="239" applyNumberFormat="0" applyAlignment="0" applyProtection="0"/>
    <xf numFmtId="0" fontId="88" fillId="53" borderId="239" applyNumberFormat="0" applyFont="0" applyAlignment="0" applyProtection="0"/>
    <xf numFmtId="0" fontId="56" fillId="19" borderId="233" applyNumberFormat="0" applyProtection="0">
      <alignment horizontal="left" vertical="center" indent="1"/>
    </xf>
    <xf numFmtId="0" fontId="56" fillId="33" borderId="233" applyNumberFormat="0" applyProtection="0">
      <alignment horizontal="left" vertical="center" indent="1"/>
    </xf>
    <xf numFmtId="0" fontId="121" fillId="60" borderId="238" applyBorder="0"/>
    <xf numFmtId="0" fontId="120" fillId="56" borderId="233" applyNumberFormat="0" applyAlignment="0" applyProtection="0"/>
    <xf numFmtId="4" fontId="60" fillId="25" borderId="233" applyNumberFormat="0" applyProtection="0">
      <alignment horizontal="right" vertical="center"/>
    </xf>
    <xf numFmtId="0" fontId="56" fillId="33" borderId="233" applyNumberFormat="0" applyProtection="0">
      <alignment horizontal="left" vertical="center" indent="1"/>
    </xf>
    <xf numFmtId="4" fontId="104" fillId="30" borderId="233" applyNumberFormat="0" applyProtection="0">
      <alignment horizontal="right" vertical="center"/>
    </xf>
    <xf numFmtId="4" fontId="60" fillId="20" borderId="233" applyNumberFormat="0" applyProtection="0">
      <alignment horizontal="right" vertical="center"/>
    </xf>
    <xf numFmtId="4" fontId="60" fillId="30" borderId="235" applyNumberFormat="0" applyProtection="0">
      <alignment horizontal="left" vertical="center" indent="1"/>
    </xf>
    <xf numFmtId="4" fontId="60" fillId="26" borderId="233" applyNumberFormat="0" applyProtection="0">
      <alignment horizontal="right" vertical="center"/>
    </xf>
    <xf numFmtId="4" fontId="60" fillId="28" borderId="233" applyNumberFormat="0" applyProtection="0">
      <alignment horizontal="right" vertical="center"/>
    </xf>
    <xf numFmtId="0" fontId="88" fillId="61" borderId="214"/>
    <xf numFmtId="4" fontId="60" fillId="2" borderId="233" applyNumberFormat="0" applyProtection="0">
      <alignment horizontal="left" vertical="center" indent="1"/>
    </xf>
    <xf numFmtId="0" fontId="56" fillId="32" borderId="233" applyNumberFormat="0" applyProtection="0">
      <alignment horizontal="left" vertical="center" indent="1"/>
    </xf>
    <xf numFmtId="4" fontId="100" fillId="35" borderId="233" applyNumberFormat="0" applyProtection="0">
      <alignment vertical="center"/>
    </xf>
    <xf numFmtId="4" fontId="60" fillId="22" borderId="233" applyNumberFormat="0" applyProtection="0">
      <alignment horizontal="right" vertical="center"/>
    </xf>
    <xf numFmtId="4" fontId="60" fillId="2" borderId="233" applyNumberFormat="0" applyProtection="0">
      <alignment horizontal="left" vertical="center" indent="1"/>
    </xf>
    <xf numFmtId="4" fontId="101" fillId="29" borderId="233" applyNumberFormat="0" applyProtection="0">
      <alignment horizontal="left" vertical="center" indent="1"/>
    </xf>
    <xf numFmtId="4" fontId="60" fillId="20" borderId="233" applyNumberFormat="0" applyProtection="0">
      <alignment horizontal="right" vertical="center"/>
    </xf>
    <xf numFmtId="4" fontId="60" fillId="24" borderId="233" applyNumberFormat="0" applyProtection="0">
      <alignment horizontal="right" vertical="center"/>
    </xf>
    <xf numFmtId="196" fontId="83" fillId="0" borderId="214" applyFill="0" applyBorder="0" applyAlignment="0"/>
    <xf numFmtId="4" fontId="104" fillId="30" borderId="233" applyNumberFormat="0" applyProtection="0">
      <alignment horizontal="right" vertical="center"/>
    </xf>
    <xf numFmtId="4" fontId="101" fillId="29" borderId="233" applyNumberFormat="0" applyProtection="0">
      <alignment horizontal="left" vertical="center" indent="1"/>
    </xf>
    <xf numFmtId="0" fontId="56" fillId="32" borderId="233" applyNumberFormat="0" applyProtection="0">
      <alignment horizontal="left" vertical="center" indent="1"/>
    </xf>
    <xf numFmtId="0" fontId="56" fillId="34" borderId="233" applyNumberFormat="0" applyProtection="0">
      <alignment horizontal="left" vertical="center" indent="1"/>
    </xf>
    <xf numFmtId="4" fontId="60" fillId="28" borderId="233" applyNumberFormat="0" applyProtection="0">
      <alignment horizontal="right" vertical="center"/>
    </xf>
    <xf numFmtId="4" fontId="60" fillId="24" borderId="233" applyNumberFormat="0" applyProtection="0">
      <alignment horizontal="right" vertical="center"/>
    </xf>
    <xf numFmtId="4" fontId="60" fillId="23" borderId="233" applyNumberFormat="0" applyProtection="0">
      <alignment horizontal="right" vertical="center"/>
    </xf>
    <xf numFmtId="4" fontId="60" fillId="25" borderId="233" applyNumberFormat="0" applyProtection="0">
      <alignment horizontal="right" vertical="center"/>
    </xf>
    <xf numFmtId="4" fontId="60" fillId="24" borderId="233" applyNumberFormat="0" applyProtection="0">
      <alignment horizontal="right" vertical="center"/>
    </xf>
    <xf numFmtId="0" fontId="56" fillId="33" borderId="233" applyNumberFormat="0" applyProtection="0">
      <alignment horizontal="left" vertical="center" indent="1"/>
    </xf>
    <xf numFmtId="4" fontId="60" fillId="35" borderId="233" applyNumberFormat="0" applyProtection="0">
      <alignment horizontal="left" vertical="center" indent="1"/>
    </xf>
    <xf numFmtId="4" fontId="60" fillId="20" borderId="233" applyNumberFormat="0" applyProtection="0">
      <alignment horizontal="right" vertical="center"/>
    </xf>
    <xf numFmtId="4" fontId="104" fillId="30" borderId="233" applyNumberFormat="0" applyProtection="0">
      <alignment horizontal="right" vertical="center"/>
    </xf>
    <xf numFmtId="4" fontId="60" fillId="20" borderId="233" applyNumberFormat="0" applyProtection="0">
      <alignment horizontal="right" vertical="center"/>
    </xf>
    <xf numFmtId="0" fontId="56" fillId="32" borderId="233" applyNumberFormat="0" applyProtection="0">
      <alignment horizontal="left" vertical="center" indent="1"/>
    </xf>
    <xf numFmtId="0" fontId="22" fillId="10" borderId="231" applyNumberFormat="0" applyFont="0" applyAlignment="0" applyProtection="0">
      <alignment vertical="center"/>
    </xf>
    <xf numFmtId="4" fontId="60" fillId="35" borderId="233" applyNumberFormat="0" applyProtection="0">
      <alignment horizontal="left" vertical="center" indent="1"/>
    </xf>
    <xf numFmtId="4" fontId="60" fillId="2" borderId="233" applyNumberFormat="0" applyProtection="0">
      <alignment horizontal="left" vertical="center" indent="1"/>
    </xf>
    <xf numFmtId="4" fontId="100" fillId="30" borderId="233" applyNumberFormat="0" applyProtection="0">
      <alignment horizontal="right" vertical="center"/>
    </xf>
    <xf numFmtId="0" fontId="88" fillId="61" borderId="214"/>
    <xf numFmtId="4" fontId="60" fillId="21" borderId="233" applyNumberFormat="0" applyProtection="0">
      <alignment horizontal="right" vertical="center"/>
    </xf>
    <xf numFmtId="0" fontId="88" fillId="53" borderId="239" applyNumberFormat="0" applyFont="0" applyAlignment="0" applyProtection="0"/>
    <xf numFmtId="4" fontId="100" fillId="2" borderId="233" applyNumberFormat="0" applyProtection="0">
      <alignment vertical="center"/>
    </xf>
    <xf numFmtId="0" fontId="56" fillId="19" borderId="233" applyNumberFormat="0" applyProtection="0">
      <alignment horizontal="left" vertical="center" indent="1"/>
    </xf>
    <xf numFmtId="0" fontId="56" fillId="34" borderId="233" applyNumberFormat="0" applyProtection="0">
      <alignment horizontal="left" vertical="center" indent="1"/>
    </xf>
    <xf numFmtId="4" fontId="100" fillId="35" borderId="233" applyNumberFormat="0" applyProtection="0">
      <alignmen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0" fillId="35" borderId="233" applyNumberFormat="0" applyProtection="0">
      <alignment vertical="center"/>
    </xf>
    <xf numFmtId="0" fontId="120" fillId="56" borderId="233" applyNumberFormat="0" applyAlignment="0" applyProtection="0"/>
    <xf numFmtId="0" fontId="56" fillId="19" borderId="233" applyNumberFormat="0" applyProtection="0">
      <alignment horizontal="left" vertical="center" indent="1"/>
    </xf>
    <xf numFmtId="4" fontId="60" fillId="21" borderId="233" applyNumberFormat="0" applyProtection="0">
      <alignment horizontal="right" vertical="center"/>
    </xf>
    <xf numFmtId="4" fontId="60" fillId="27" borderId="233" applyNumberFormat="0" applyProtection="0">
      <alignment horizontal="right" vertical="center"/>
    </xf>
    <xf numFmtId="4" fontId="60" fillId="35" borderId="233" applyNumberFormat="0" applyProtection="0">
      <alignment horizontal="left" vertical="center" indent="1"/>
    </xf>
    <xf numFmtId="0" fontId="56" fillId="19" borderId="233" applyNumberFormat="0" applyProtection="0">
      <alignment horizontal="left" vertical="center" indent="1"/>
    </xf>
    <xf numFmtId="4" fontId="60" fillId="32" borderId="233" applyNumberFormat="0" applyProtection="0">
      <alignment horizontal="left" vertical="center" indent="1"/>
    </xf>
    <xf numFmtId="4" fontId="100" fillId="35" borderId="233" applyNumberFormat="0" applyProtection="0">
      <alignment vertical="center"/>
    </xf>
    <xf numFmtId="3" fontId="67" fillId="0" borderId="214"/>
    <xf numFmtId="4" fontId="60" fillId="35" borderId="233" applyNumberFormat="0" applyProtection="0">
      <alignment horizontal="left" vertical="center" indent="1"/>
    </xf>
    <xf numFmtId="0" fontId="56" fillId="19" borderId="233" applyNumberFormat="0" applyProtection="0">
      <alignment horizontal="left" vertical="center" indent="1"/>
    </xf>
    <xf numFmtId="4" fontId="60" fillId="23" borderId="233" applyNumberFormat="0" applyProtection="0">
      <alignment horizontal="right" vertical="center"/>
    </xf>
    <xf numFmtId="4" fontId="60" fillId="26" borderId="233" applyNumberFormat="0" applyProtection="0">
      <alignment horizontal="right" vertical="center"/>
    </xf>
    <xf numFmtId="4" fontId="60" fillId="2" borderId="233" applyNumberFormat="0" applyProtection="0">
      <alignment vertical="center"/>
    </xf>
    <xf numFmtId="0" fontId="99" fillId="1" borderId="195" applyNumberFormat="0" applyFont="0" applyAlignment="0">
      <alignment horizontal="center"/>
    </xf>
    <xf numFmtId="4" fontId="60" fillId="20" borderId="233" applyNumberFormat="0" applyProtection="0">
      <alignment horizontal="right" vertical="center"/>
    </xf>
    <xf numFmtId="0" fontId="56" fillId="19" borderId="233" applyNumberFormat="0" applyProtection="0">
      <alignment horizontal="left" vertical="center" indent="1"/>
    </xf>
    <xf numFmtId="4" fontId="60" fillId="23" borderId="233" applyNumberFormat="0" applyProtection="0">
      <alignment horizontal="right" vertical="center"/>
    </xf>
    <xf numFmtId="0" fontId="88" fillId="61" borderId="214"/>
    <xf numFmtId="4" fontId="60" fillId="2" borderId="233" applyNumberFormat="0" applyProtection="0">
      <alignment horizontal="left" vertical="center" indent="1"/>
    </xf>
    <xf numFmtId="0" fontId="56" fillId="32" borderId="233" applyNumberFormat="0" applyProtection="0">
      <alignment horizontal="left" vertical="center" indent="1"/>
    </xf>
    <xf numFmtId="0" fontId="121" fillId="60" borderId="238" applyBorder="0"/>
    <xf numFmtId="0" fontId="56" fillId="34" borderId="233" applyNumberFormat="0" applyProtection="0">
      <alignment horizontal="left" vertical="center" indent="1"/>
    </xf>
    <xf numFmtId="4" fontId="60" fillId="21" borderId="233" applyNumberFormat="0" applyProtection="0">
      <alignment horizontal="right" vertical="center"/>
    </xf>
    <xf numFmtId="0" fontId="56" fillId="32" borderId="233" applyNumberFormat="0" applyProtection="0">
      <alignment horizontal="left" vertical="center" indent="1"/>
    </xf>
    <xf numFmtId="3" fontId="67" fillId="0" borderId="214"/>
    <xf numFmtId="0" fontId="114" fillId="56" borderId="239" applyNumberFormat="0" applyAlignment="0" applyProtection="0"/>
    <xf numFmtId="4" fontId="60" fillId="24" borderId="233" applyNumberFormat="0" applyProtection="0">
      <alignment horizontal="right" vertical="center"/>
    </xf>
    <xf numFmtId="4" fontId="60" fillId="35" borderId="233" applyNumberFormat="0" applyProtection="0">
      <alignment vertical="center"/>
    </xf>
    <xf numFmtId="4" fontId="60" fillId="21" borderId="233" applyNumberFormat="0" applyProtection="0">
      <alignment horizontal="right" vertical="center"/>
    </xf>
    <xf numFmtId="4" fontId="60" fillId="30" borderId="233" applyNumberFormat="0" applyProtection="0">
      <alignment horizontal="left" vertical="center" indent="1"/>
    </xf>
    <xf numFmtId="4" fontId="60" fillId="23" borderId="233" applyNumberFormat="0" applyProtection="0">
      <alignment horizontal="right" vertical="center"/>
    </xf>
    <xf numFmtId="0" fontId="114" fillId="56" borderId="239" applyNumberFormat="0" applyAlignment="0" applyProtection="0"/>
    <xf numFmtId="0" fontId="56" fillId="19" borderId="233" applyNumberFormat="0" applyProtection="0">
      <alignment horizontal="left" vertical="center" indent="1"/>
    </xf>
    <xf numFmtId="0" fontId="56" fillId="33" borderId="233" applyNumberFormat="0" applyProtection="0">
      <alignment horizontal="left" vertical="center" indent="1"/>
    </xf>
    <xf numFmtId="4" fontId="100" fillId="2" borderId="233" applyNumberFormat="0" applyProtection="0">
      <alignmen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0" fontId="114" fillId="56" borderId="239" applyNumberFormat="0" applyAlignment="0" applyProtection="0"/>
    <xf numFmtId="0" fontId="56" fillId="19" borderId="233" applyNumberFormat="0" applyProtection="0">
      <alignment horizontal="left" vertical="center" indent="1"/>
    </xf>
    <xf numFmtId="10" fontId="88" fillId="17" borderId="214" applyNumberFormat="0" applyBorder="0" applyAlignment="0" applyProtection="0"/>
    <xf numFmtId="4" fontId="60" fillId="28" borderId="233" applyNumberFormat="0" applyProtection="0">
      <alignment horizontal="right" vertical="center"/>
    </xf>
    <xf numFmtId="4" fontId="60" fillId="21" borderId="233" applyNumberFormat="0" applyProtection="0">
      <alignment horizontal="right" vertical="center"/>
    </xf>
    <xf numFmtId="0" fontId="56" fillId="33" borderId="233" applyNumberFormat="0" applyProtection="0">
      <alignment horizontal="left" vertical="center" indent="1"/>
    </xf>
    <xf numFmtId="4" fontId="60" fillId="30" borderId="233" applyNumberFormat="0" applyProtection="0">
      <alignment horizontal="right" vertical="center"/>
    </xf>
    <xf numFmtId="0" fontId="121" fillId="60" borderId="238" applyBorder="0"/>
    <xf numFmtId="4" fontId="100" fillId="2" borderId="233" applyNumberFormat="0" applyProtection="0">
      <alignment vertical="center"/>
    </xf>
    <xf numFmtId="0" fontId="88" fillId="53" borderId="239" applyNumberFormat="0" applyFont="0" applyAlignment="0" applyProtection="0"/>
    <xf numFmtId="4" fontId="100" fillId="30" borderId="233" applyNumberFormat="0" applyProtection="0">
      <alignment horizontal="right" vertical="center"/>
    </xf>
    <xf numFmtId="4" fontId="60" fillId="2" borderId="233" applyNumberFormat="0" applyProtection="0">
      <alignment horizontal="left" vertical="center" indent="1"/>
    </xf>
    <xf numFmtId="4" fontId="101" fillId="29" borderId="233" applyNumberFormat="0" applyProtection="0">
      <alignment horizontal="left" vertical="center" indent="1"/>
    </xf>
    <xf numFmtId="4" fontId="104" fillId="30" borderId="233" applyNumberFormat="0" applyProtection="0">
      <alignment horizontal="right" vertical="center"/>
    </xf>
    <xf numFmtId="0" fontId="56" fillId="33" borderId="233" applyNumberFormat="0" applyProtection="0">
      <alignment horizontal="left" vertical="center" indent="1"/>
    </xf>
    <xf numFmtId="0" fontId="56" fillId="32" borderId="233" applyNumberFormat="0" applyProtection="0">
      <alignment horizontal="left" vertical="center" indent="1"/>
    </xf>
    <xf numFmtId="4" fontId="100" fillId="2" borderId="233" applyNumberFormat="0" applyProtection="0">
      <alignment vertical="center"/>
    </xf>
    <xf numFmtId="0" fontId="56" fillId="32" borderId="233" applyNumberFormat="0" applyProtection="0">
      <alignment horizontal="left" vertical="center" indent="1"/>
    </xf>
    <xf numFmtId="0" fontId="56" fillId="19" borderId="233" applyNumberFormat="0" applyProtection="0">
      <alignment horizontal="left" vertical="center" indent="1"/>
    </xf>
    <xf numFmtId="4" fontId="60" fillId="3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5" borderId="233" applyNumberFormat="0" applyProtection="0">
      <alignment horizontal="right" vertical="center"/>
    </xf>
    <xf numFmtId="4" fontId="100" fillId="35" borderId="233" applyNumberFormat="0" applyProtection="0">
      <alignment vertical="center"/>
    </xf>
    <xf numFmtId="4" fontId="60" fillId="28"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left" vertical="center" indent="1"/>
    </xf>
    <xf numFmtId="0" fontId="56" fillId="19" borderId="233" applyNumberFormat="0" applyProtection="0">
      <alignment horizontal="left" vertical="center" indent="1"/>
    </xf>
    <xf numFmtId="0" fontId="118" fillId="54" borderId="239" applyNumberFormat="0" applyAlignment="0" applyProtection="0"/>
    <xf numFmtId="0" fontId="56" fillId="19" borderId="233" applyNumberFormat="0" applyProtection="0">
      <alignment horizontal="left" vertical="center" indent="1"/>
    </xf>
    <xf numFmtId="4" fontId="100" fillId="30" borderId="233" applyNumberFormat="0" applyProtection="0">
      <alignment horizontal="right" vertical="center"/>
    </xf>
    <xf numFmtId="0" fontId="56" fillId="32" borderId="233" applyNumberFormat="0" applyProtection="0">
      <alignment horizontal="left" vertical="center" indent="1"/>
    </xf>
    <xf numFmtId="0" fontId="56" fillId="19" borderId="233" applyNumberFormat="0" applyProtection="0">
      <alignment horizontal="left" vertical="center" indent="1"/>
    </xf>
    <xf numFmtId="4" fontId="60" fillId="26" borderId="233" applyNumberFormat="0" applyProtection="0">
      <alignment horizontal="right" vertical="center"/>
    </xf>
    <xf numFmtId="4" fontId="60" fillId="35" borderId="233" applyNumberFormat="0" applyProtection="0">
      <alignment vertical="center"/>
    </xf>
    <xf numFmtId="0" fontId="56" fillId="34" borderId="233" applyNumberFormat="0" applyProtection="0">
      <alignment horizontal="left" vertical="center" indent="1"/>
    </xf>
    <xf numFmtId="4" fontId="104" fillId="30" borderId="233" applyNumberFormat="0" applyProtection="0">
      <alignment horizontal="right" vertical="center"/>
    </xf>
    <xf numFmtId="4" fontId="60" fillId="35" borderId="233" applyNumberFormat="0" applyProtection="0">
      <alignment horizontal="left" vertical="center" indent="1"/>
    </xf>
    <xf numFmtId="4" fontId="104" fillId="30" borderId="233" applyNumberFormat="0" applyProtection="0">
      <alignment horizontal="right" vertical="center"/>
    </xf>
    <xf numFmtId="0" fontId="114" fillId="56" borderId="239" applyNumberFormat="0" applyAlignment="0" applyProtection="0"/>
    <xf numFmtId="4" fontId="60" fillId="24" borderId="233" applyNumberFormat="0" applyProtection="0">
      <alignment horizontal="right" vertical="center"/>
    </xf>
    <xf numFmtId="0" fontId="121" fillId="60" borderId="238" applyBorder="0"/>
    <xf numFmtId="0" fontId="56" fillId="33" borderId="233" applyNumberFormat="0" applyProtection="0">
      <alignment horizontal="left" vertical="center" indent="1"/>
    </xf>
    <xf numFmtId="0" fontId="56" fillId="33" borderId="233" applyNumberFormat="0" applyProtection="0">
      <alignment horizontal="left" vertical="center" indent="1"/>
    </xf>
    <xf numFmtId="4" fontId="100" fillId="35" borderId="233" applyNumberFormat="0" applyProtection="0">
      <alignment vertical="center"/>
    </xf>
    <xf numFmtId="4" fontId="101" fillId="29" borderId="233" applyNumberFormat="0" applyProtection="0">
      <alignment horizontal="left" vertical="center" indent="1"/>
    </xf>
    <xf numFmtId="4" fontId="60" fillId="21" borderId="233" applyNumberFormat="0" applyProtection="0">
      <alignment horizontal="right" vertical="center"/>
    </xf>
    <xf numFmtId="0" fontId="22" fillId="10" borderId="231" applyNumberFormat="0" applyFont="0" applyAlignment="0" applyProtection="0">
      <alignment vertical="center"/>
    </xf>
    <xf numFmtId="4" fontId="60" fillId="20" borderId="233" applyNumberFormat="0" applyProtection="0">
      <alignment horizontal="right" vertical="center"/>
    </xf>
    <xf numFmtId="4" fontId="101" fillId="29" borderId="233" applyNumberFormat="0" applyProtection="0">
      <alignment horizontal="left" vertical="center" indent="1"/>
    </xf>
    <xf numFmtId="0" fontId="56" fillId="34" borderId="233" applyNumberFormat="0" applyProtection="0">
      <alignment horizontal="left" vertical="center" indent="1"/>
    </xf>
    <xf numFmtId="0" fontId="56" fillId="32"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4" fontId="60" fillId="24" borderId="233" applyNumberFormat="0" applyProtection="0">
      <alignment horizontal="right" vertical="center"/>
    </xf>
    <xf numFmtId="4" fontId="60" fillId="2" borderId="233" applyNumberFormat="0" applyProtection="0">
      <alignment vertical="center"/>
    </xf>
    <xf numFmtId="4" fontId="60" fillId="26" borderId="233" applyNumberFormat="0" applyProtection="0">
      <alignment horizontal="right" vertical="center"/>
    </xf>
    <xf numFmtId="0" fontId="56" fillId="19" borderId="233" applyNumberFormat="0" applyProtection="0">
      <alignment horizontal="left" vertical="center" indent="1"/>
    </xf>
    <xf numFmtId="4" fontId="60" fillId="28" borderId="233" applyNumberFormat="0" applyProtection="0">
      <alignment horizontal="right" vertical="center"/>
    </xf>
    <xf numFmtId="4" fontId="60" fillId="27" borderId="233" applyNumberFormat="0" applyProtection="0">
      <alignment horizontal="right" vertical="center"/>
    </xf>
    <xf numFmtId="0" fontId="56" fillId="32" borderId="233" applyNumberFormat="0" applyProtection="0">
      <alignment horizontal="left" vertical="center" indent="1"/>
    </xf>
    <xf numFmtId="4" fontId="60" fillId="2" borderId="233" applyNumberFormat="0" applyProtection="0">
      <alignment horizontal="left" vertical="center" indent="1"/>
    </xf>
    <xf numFmtId="0" fontId="157" fillId="98" borderId="230" applyNumberFormat="0" applyAlignment="0" applyProtection="0">
      <alignment vertical="center"/>
    </xf>
    <xf numFmtId="4" fontId="60" fillId="2" borderId="233" applyNumberFormat="0" applyProtection="0">
      <alignment horizontal="left" vertical="center" indent="1"/>
    </xf>
    <xf numFmtId="0" fontId="56" fillId="34" borderId="233" applyNumberFormat="0" applyProtection="0">
      <alignment horizontal="left" vertical="center" indent="1"/>
    </xf>
    <xf numFmtId="0" fontId="56" fillId="32" borderId="233" applyNumberFormat="0" applyProtection="0">
      <alignment horizontal="left" vertical="center" indent="1"/>
    </xf>
    <xf numFmtId="0" fontId="118" fillId="54" borderId="239" applyNumberFormat="0" applyAlignment="0" applyProtection="0"/>
    <xf numFmtId="0" fontId="88" fillId="53" borderId="239" applyNumberFormat="0" applyFont="0" applyAlignment="0" applyProtection="0"/>
    <xf numFmtId="4" fontId="60" fillId="35" borderId="233" applyNumberFormat="0" applyProtection="0">
      <alignment horizontal="left" vertical="center" indent="1"/>
    </xf>
    <xf numFmtId="4" fontId="60" fillId="25" borderId="233" applyNumberFormat="0" applyProtection="0">
      <alignment horizontal="right" vertical="center"/>
    </xf>
    <xf numFmtId="0" fontId="56" fillId="19" borderId="233" applyNumberFormat="0" applyProtection="0">
      <alignment horizontal="left" vertical="center" indent="1"/>
    </xf>
    <xf numFmtId="4" fontId="60" fillId="2" borderId="233" applyNumberFormat="0" applyProtection="0">
      <alignment horizontal="left" vertical="center" indent="1"/>
    </xf>
    <xf numFmtId="4" fontId="60" fillId="35" borderId="233" applyNumberFormat="0" applyProtection="0">
      <alignment horizontal="left" vertical="center" indent="1"/>
    </xf>
    <xf numFmtId="4" fontId="60" fillId="25" borderId="233" applyNumberFormat="0" applyProtection="0">
      <alignment horizontal="right" vertical="center"/>
    </xf>
    <xf numFmtId="0" fontId="56" fillId="33" borderId="233" applyNumberFormat="0" applyProtection="0">
      <alignment horizontal="left" vertical="center" indent="1"/>
    </xf>
    <xf numFmtId="0" fontId="56" fillId="33" borderId="233" applyNumberFormat="0" applyProtection="0">
      <alignment horizontal="left" vertical="center" indent="1"/>
    </xf>
    <xf numFmtId="4" fontId="60" fillId="26" borderId="233" applyNumberFormat="0" applyProtection="0">
      <alignment horizontal="right" vertical="center"/>
    </xf>
    <xf numFmtId="4" fontId="100" fillId="2" borderId="233" applyNumberFormat="0" applyProtection="0">
      <alignment vertical="center"/>
    </xf>
    <xf numFmtId="4" fontId="60" fillId="25" borderId="233" applyNumberFormat="0" applyProtection="0">
      <alignment horizontal="right" vertical="center"/>
    </xf>
    <xf numFmtId="0" fontId="56" fillId="19" borderId="233" applyNumberFormat="0" applyProtection="0">
      <alignment horizontal="left" vertical="center" indent="1"/>
    </xf>
    <xf numFmtId="4" fontId="101" fillId="29" borderId="233" applyNumberFormat="0" applyProtection="0">
      <alignment horizontal="left" vertical="center" indent="1"/>
    </xf>
    <xf numFmtId="0" fontId="56" fillId="33" borderId="233" applyNumberFormat="0" applyProtection="0">
      <alignment horizontal="left" vertical="center" indent="1"/>
    </xf>
    <xf numFmtId="4" fontId="100" fillId="35" borderId="233" applyNumberFormat="0" applyProtection="0">
      <alignment vertical="center"/>
    </xf>
    <xf numFmtId="0" fontId="121" fillId="60" borderId="238" applyBorder="0"/>
    <xf numFmtId="4" fontId="100" fillId="30" borderId="233" applyNumberFormat="0" applyProtection="0">
      <alignment horizontal="right" vertical="center"/>
    </xf>
    <xf numFmtId="4" fontId="60" fillId="2" borderId="233" applyNumberFormat="0" applyProtection="0">
      <alignment horizontal="left" vertical="center" indent="1"/>
    </xf>
    <xf numFmtId="0" fontId="118" fillId="54" borderId="239" applyNumberFormat="0" applyAlignment="0" applyProtection="0"/>
    <xf numFmtId="0" fontId="56" fillId="19" borderId="233" applyNumberFormat="0" applyProtection="0">
      <alignment horizontal="left" vertical="center" indent="1"/>
    </xf>
    <xf numFmtId="0" fontId="88" fillId="53" borderId="239" applyNumberFormat="0" applyFont="0" applyAlignment="0" applyProtection="0"/>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0" fillId="56" borderId="233" applyNumberFormat="0" applyAlignment="0" applyProtection="0"/>
    <xf numFmtId="4" fontId="60" fillId="28" borderId="233" applyNumberFormat="0" applyProtection="0">
      <alignment horizontal="right" vertical="center"/>
    </xf>
    <xf numFmtId="4" fontId="60" fillId="20" borderId="233" applyNumberFormat="0" applyProtection="0">
      <alignment horizontal="right" vertical="center"/>
    </xf>
    <xf numFmtId="0" fontId="56" fillId="19" borderId="233" applyNumberFormat="0" applyProtection="0">
      <alignment horizontal="left" vertical="center" indent="1"/>
    </xf>
    <xf numFmtId="4" fontId="60" fillId="35" borderId="233" applyNumberFormat="0" applyProtection="0">
      <alignment horizontal="left" vertical="center" indent="1"/>
    </xf>
    <xf numFmtId="4" fontId="60" fillId="27" borderId="233" applyNumberFormat="0" applyProtection="0">
      <alignment horizontal="right" vertical="center"/>
    </xf>
    <xf numFmtId="4" fontId="60" fillId="27" borderId="233" applyNumberFormat="0" applyProtection="0">
      <alignment horizontal="right" vertical="center"/>
    </xf>
    <xf numFmtId="0" fontId="56" fillId="19" borderId="233" applyNumberFormat="0" applyProtection="0">
      <alignment horizontal="left" vertical="center" indent="1"/>
    </xf>
    <xf numFmtId="4" fontId="60" fillId="25" borderId="233" applyNumberFormat="0" applyProtection="0">
      <alignment horizontal="right" vertical="center"/>
    </xf>
    <xf numFmtId="4" fontId="60" fillId="2" borderId="233" applyNumberFormat="0" applyProtection="0">
      <alignment horizontal="left" vertical="center" indent="1"/>
    </xf>
    <xf numFmtId="3" fontId="67" fillId="0" borderId="214"/>
    <xf numFmtId="3" fontId="67" fillId="0" borderId="214"/>
    <xf numFmtId="3" fontId="67" fillId="0" borderId="214"/>
    <xf numFmtId="3" fontId="67" fillId="0" borderId="214"/>
    <xf numFmtId="3" fontId="67" fillId="0" borderId="214"/>
    <xf numFmtId="3" fontId="67" fillId="0" borderId="214"/>
    <xf numFmtId="196" fontId="83" fillId="0" borderId="214" applyFill="0" applyBorder="0" applyAlignment="0"/>
    <xf numFmtId="196" fontId="83" fillId="0" borderId="214" applyFill="0" applyBorder="0" applyAlignment="0"/>
    <xf numFmtId="10" fontId="88" fillId="17" borderId="214" applyNumberFormat="0" applyBorder="0" applyAlignment="0" applyProtection="0"/>
    <xf numFmtId="10" fontId="88" fillId="17" borderId="214" applyNumberFormat="0" applyBorder="0" applyAlignment="0" applyProtection="0"/>
    <xf numFmtId="0" fontId="88" fillId="61" borderId="214"/>
    <xf numFmtId="0" fontId="88" fillId="61" borderId="214"/>
    <xf numFmtId="4" fontId="60" fillId="22"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33" borderId="233" applyNumberFormat="0" applyProtection="0">
      <alignment horizontal="left" vertical="center" indent="1"/>
    </xf>
    <xf numFmtId="4" fontId="100" fillId="2" borderId="233" applyNumberFormat="0" applyProtection="0">
      <alignment vertical="center"/>
    </xf>
    <xf numFmtId="4" fontId="60" fillId="2" borderId="233" applyNumberFormat="0" applyProtection="0">
      <alignmen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4" fontId="60" fillId="21" borderId="233" applyNumberFormat="0" applyProtection="0">
      <alignment horizontal="right" vertical="center"/>
    </xf>
    <xf numFmtId="4" fontId="60" fillId="21" borderId="233" applyNumberFormat="0" applyProtection="0">
      <alignment horizontal="right" vertical="center"/>
    </xf>
    <xf numFmtId="4" fontId="60" fillId="26" borderId="233" applyNumberFormat="0" applyProtection="0">
      <alignment horizontal="right" vertical="center"/>
    </xf>
    <xf numFmtId="0" fontId="56" fillId="32" borderId="233" applyNumberFormat="0" applyProtection="0">
      <alignment horizontal="left" vertical="center" indent="1"/>
    </xf>
    <xf numFmtId="4" fontId="60" fillId="28" borderId="233" applyNumberFormat="0" applyProtection="0">
      <alignment horizontal="right" vertical="center"/>
    </xf>
    <xf numFmtId="4" fontId="100" fillId="2" borderId="233" applyNumberFormat="0" applyProtection="0">
      <alignment vertical="center"/>
    </xf>
    <xf numFmtId="0" fontId="56" fillId="33" borderId="233" applyNumberFormat="0" applyProtection="0">
      <alignment horizontal="left" vertical="center" indent="1"/>
    </xf>
    <xf numFmtId="4" fontId="100" fillId="35" borderId="233" applyNumberFormat="0" applyProtection="0">
      <alignment vertical="center"/>
    </xf>
    <xf numFmtId="4" fontId="60" fillId="23" borderId="233" applyNumberFormat="0" applyProtection="0">
      <alignment horizontal="right" vertical="center"/>
    </xf>
    <xf numFmtId="4" fontId="60" fillId="35" borderId="233" applyNumberFormat="0" applyProtection="0">
      <alignment horizontal="left" vertical="center" indent="1"/>
    </xf>
    <xf numFmtId="4" fontId="60" fillId="2" borderId="233" applyNumberFormat="0" applyProtection="0">
      <alignment horizontal="left" vertical="center" indent="1"/>
    </xf>
    <xf numFmtId="4" fontId="60" fillId="35" borderId="233" applyNumberFormat="0" applyProtection="0">
      <alignment horizontal="left" vertical="center" indent="1"/>
    </xf>
    <xf numFmtId="0" fontId="56" fillId="32" borderId="233" applyNumberFormat="0" applyProtection="0">
      <alignment horizontal="left" vertical="center" indent="1"/>
    </xf>
    <xf numFmtId="4" fontId="100" fillId="2" borderId="233" applyNumberFormat="0" applyProtection="0">
      <alignment vertical="center"/>
    </xf>
    <xf numFmtId="3" fontId="67" fillId="0" borderId="214"/>
    <xf numFmtId="4" fontId="100" fillId="35" borderId="233" applyNumberFormat="0" applyProtection="0">
      <alignment vertical="center"/>
    </xf>
    <xf numFmtId="4" fontId="60" fillId="30" borderId="233" applyNumberFormat="0" applyProtection="0">
      <alignment horizontal="right" vertical="center"/>
    </xf>
    <xf numFmtId="4" fontId="100" fillId="30" borderId="233" applyNumberFormat="0" applyProtection="0">
      <alignment horizontal="right" vertical="center"/>
    </xf>
    <xf numFmtId="0" fontId="114" fillId="56" borderId="239" applyNumberFormat="0" applyAlignment="0" applyProtection="0"/>
    <xf numFmtId="4" fontId="60" fillId="35" borderId="233" applyNumberFormat="0" applyProtection="0">
      <alignment horizontal="left" vertical="center" indent="1"/>
    </xf>
    <xf numFmtId="4" fontId="60" fillId="24" borderId="233" applyNumberFormat="0" applyProtection="0">
      <alignment horizontal="right" vertical="center"/>
    </xf>
    <xf numFmtId="0" fontId="56" fillId="33" borderId="233" applyNumberFormat="0" applyProtection="0">
      <alignment horizontal="left" vertical="center" indent="1"/>
    </xf>
    <xf numFmtId="4" fontId="100" fillId="30" borderId="233" applyNumberFormat="0" applyProtection="0">
      <alignment horizontal="right" vertical="center"/>
    </xf>
    <xf numFmtId="4" fontId="60" fillId="21" borderId="233" applyNumberFormat="0" applyProtection="0">
      <alignment horizontal="right" vertical="center"/>
    </xf>
    <xf numFmtId="4" fontId="60" fillId="24" borderId="233" applyNumberFormat="0" applyProtection="0">
      <alignment horizontal="right" vertical="center"/>
    </xf>
    <xf numFmtId="4" fontId="60" fillId="2" borderId="233" applyNumberFormat="0" applyProtection="0">
      <alignment horizontal="left" vertical="center" indent="1"/>
    </xf>
    <xf numFmtId="0" fontId="56" fillId="32" borderId="233" applyNumberFormat="0" applyProtection="0">
      <alignment horizontal="left" vertical="center" indent="1"/>
    </xf>
    <xf numFmtId="4" fontId="104" fillId="30" borderId="233" applyNumberFormat="0" applyProtection="0">
      <alignment horizontal="right" vertical="center"/>
    </xf>
    <xf numFmtId="0" fontId="121" fillId="60" borderId="238" applyBorder="0"/>
    <xf numFmtId="4" fontId="101" fillId="29" borderId="233" applyNumberFormat="0" applyProtection="0">
      <alignment horizontal="left" vertical="center" indent="1"/>
    </xf>
    <xf numFmtId="4" fontId="60" fillId="20" borderId="233" applyNumberFormat="0" applyProtection="0">
      <alignment horizontal="right" vertical="center"/>
    </xf>
    <xf numFmtId="0" fontId="56" fillId="34" borderId="233" applyNumberFormat="0" applyProtection="0">
      <alignment horizontal="left" vertical="center" indent="1"/>
    </xf>
    <xf numFmtId="0" fontId="56" fillId="34" borderId="233" applyNumberFormat="0" applyProtection="0">
      <alignment horizontal="left" vertical="center" indent="1"/>
    </xf>
    <xf numFmtId="4" fontId="100" fillId="30" borderId="233" applyNumberFormat="0" applyProtection="0">
      <alignment horizontal="right" vertical="center"/>
    </xf>
    <xf numFmtId="4" fontId="60" fillId="32" borderId="233" applyNumberFormat="0" applyProtection="0">
      <alignment horizontal="left" vertical="center" indent="1"/>
    </xf>
    <xf numFmtId="4" fontId="60" fillId="2" borderId="233" applyNumberFormat="0" applyProtection="0">
      <alignment vertical="center"/>
    </xf>
    <xf numFmtId="4" fontId="60" fillId="21" borderId="233" applyNumberFormat="0" applyProtection="0">
      <alignment horizontal="right" vertical="center"/>
    </xf>
    <xf numFmtId="4" fontId="60" fillId="2" borderId="233" applyNumberFormat="0" applyProtection="0">
      <alignment horizontal="left" vertical="center" indent="1"/>
    </xf>
    <xf numFmtId="4" fontId="60" fillId="2" borderId="233" applyNumberFormat="0" applyProtection="0">
      <alignment vertical="center"/>
    </xf>
    <xf numFmtId="4" fontId="101" fillId="29" borderId="233" applyNumberFormat="0" applyProtection="0">
      <alignment horizontal="left" vertical="center" indent="1"/>
    </xf>
    <xf numFmtId="4" fontId="60" fillId="32" borderId="233" applyNumberFormat="0" applyProtection="0">
      <alignment horizontal="left" vertical="center" indent="1"/>
    </xf>
    <xf numFmtId="0" fontId="118" fillId="54" borderId="239" applyNumberFormat="0" applyAlignment="0" applyProtection="0"/>
    <xf numFmtId="4" fontId="104" fillId="30" borderId="233" applyNumberFormat="0" applyProtection="0">
      <alignment horizontal="right" vertical="center"/>
    </xf>
    <xf numFmtId="0" fontId="118" fillId="54" borderId="239" applyNumberFormat="0" applyAlignment="0" applyProtection="0"/>
    <xf numFmtId="0" fontId="114" fillId="56" borderId="239" applyNumberFormat="0" applyAlignment="0" applyProtection="0"/>
    <xf numFmtId="4" fontId="60" fillId="2" borderId="233" applyNumberFormat="0" applyProtection="0">
      <alignment horizontal="left" vertical="center" indent="1"/>
    </xf>
    <xf numFmtId="0" fontId="118" fillId="54" borderId="239" applyNumberFormat="0" applyAlignment="0" applyProtection="0"/>
    <xf numFmtId="0" fontId="99" fillId="1" borderId="195" applyNumberFormat="0" applyFont="0" applyAlignment="0">
      <alignment horizontal="center"/>
    </xf>
    <xf numFmtId="0" fontId="56" fillId="19" borderId="233" applyNumberFormat="0" applyProtection="0">
      <alignment horizontal="left" vertical="center" indent="1"/>
    </xf>
    <xf numFmtId="0" fontId="56" fillId="33" borderId="233" applyNumberFormat="0" applyProtection="0">
      <alignment horizontal="left" vertical="center" indent="1"/>
    </xf>
    <xf numFmtId="0" fontId="22" fillId="10" borderId="231" applyNumberFormat="0" applyFont="0" applyAlignment="0" applyProtection="0">
      <alignment vertical="center"/>
    </xf>
    <xf numFmtId="4" fontId="60" fillId="35" borderId="233" applyNumberFormat="0" applyProtection="0">
      <alignment horizontal="left" vertical="center" indent="1"/>
    </xf>
    <xf numFmtId="0" fontId="120" fillId="56" borderId="233" applyNumberFormat="0" applyAlignment="0" applyProtection="0"/>
    <xf numFmtId="0" fontId="56" fillId="33" borderId="233" applyNumberFormat="0" applyProtection="0">
      <alignment horizontal="left" vertical="center" indent="1"/>
    </xf>
    <xf numFmtId="0" fontId="151" fillId="111" borderId="230" applyNumberFormat="0" applyAlignment="0" applyProtection="0">
      <alignmen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60" fillId="22" borderId="233" applyNumberFormat="0" applyProtection="0">
      <alignment horizontal="right" vertical="center"/>
    </xf>
    <xf numFmtId="0" fontId="56" fillId="19" borderId="233" applyNumberFormat="0" applyProtection="0">
      <alignment horizontal="left" vertical="center" indent="1"/>
    </xf>
    <xf numFmtId="4" fontId="60" fillId="2" borderId="233" applyNumberFormat="0" applyProtection="0">
      <alignment vertical="center"/>
    </xf>
    <xf numFmtId="4" fontId="60" fillId="2" borderId="233" applyNumberFormat="0" applyProtection="0">
      <alignment vertical="center"/>
    </xf>
    <xf numFmtId="4" fontId="60" fillId="27" borderId="233" applyNumberFormat="0" applyProtection="0">
      <alignment horizontal="right" vertical="center"/>
    </xf>
    <xf numFmtId="4" fontId="60" fillId="35" borderId="233" applyNumberFormat="0" applyProtection="0">
      <alignment horizontal="left" vertical="center" indent="1"/>
    </xf>
    <xf numFmtId="4" fontId="60" fillId="22" borderId="233" applyNumberFormat="0" applyProtection="0">
      <alignment horizontal="right" vertical="center"/>
    </xf>
    <xf numFmtId="4" fontId="60" fillId="30" borderId="233" applyNumberFormat="0" applyProtection="0">
      <alignment horizontal="right" vertical="center"/>
    </xf>
    <xf numFmtId="4" fontId="60" fillId="28" borderId="233" applyNumberFormat="0" applyProtection="0">
      <alignment horizontal="right" vertical="center"/>
    </xf>
    <xf numFmtId="0" fontId="56" fillId="19" borderId="233" applyNumberFormat="0" applyProtection="0">
      <alignment horizontal="left" vertical="center" indent="1"/>
    </xf>
    <xf numFmtId="0" fontId="163" fillId="111" borderId="233" applyNumberFormat="0" applyAlignment="0" applyProtection="0">
      <alignment vertical="center"/>
    </xf>
    <xf numFmtId="0" fontId="90" fillId="0" borderId="195">
      <alignment horizontal="left" vertical="center"/>
    </xf>
    <xf numFmtId="4" fontId="6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0" fontId="99" fillId="1" borderId="195" applyNumberFormat="0" applyFont="0" applyAlignment="0">
      <alignment horizontal="center"/>
    </xf>
    <xf numFmtId="0" fontId="56" fillId="19" borderId="233" applyNumberFormat="0" applyProtection="0">
      <alignment horizontal="left" vertical="center" indent="1"/>
    </xf>
    <xf numFmtId="4" fontId="100" fillId="35" borderId="233" applyNumberFormat="0" applyProtection="0">
      <alignment vertical="center"/>
    </xf>
    <xf numFmtId="4" fontId="60" fillId="35" borderId="233" applyNumberFormat="0" applyProtection="0">
      <alignment horizontal="left" vertical="center" indent="1"/>
    </xf>
    <xf numFmtId="4" fontId="60" fillId="25" borderId="233" applyNumberFormat="0" applyProtection="0">
      <alignment horizontal="right" vertical="center"/>
    </xf>
    <xf numFmtId="0" fontId="56" fillId="19" borderId="233" applyNumberFormat="0" applyProtection="0">
      <alignment horizontal="left" vertical="center" indent="1"/>
    </xf>
    <xf numFmtId="0" fontId="118" fillId="54" borderId="239" applyNumberFormat="0" applyAlignment="0" applyProtection="0"/>
    <xf numFmtId="4" fontId="60" fillId="2" borderId="233" applyNumberFormat="0" applyProtection="0">
      <alignment vertical="center"/>
    </xf>
    <xf numFmtId="4" fontId="60" fillId="30" borderId="233" applyNumberFormat="0" applyProtection="0">
      <alignment horizontal="left" vertical="center" indent="1"/>
    </xf>
    <xf numFmtId="0" fontId="56" fillId="32" borderId="233" applyNumberFormat="0" applyProtection="0">
      <alignment horizontal="left" vertical="center" indent="1"/>
    </xf>
    <xf numFmtId="4" fontId="60" fillId="25" borderId="233" applyNumberFormat="0" applyProtection="0">
      <alignment horizontal="right" vertical="center"/>
    </xf>
    <xf numFmtId="0" fontId="56" fillId="33" borderId="233" applyNumberFormat="0" applyProtection="0">
      <alignment horizontal="left" vertical="center" indent="1"/>
    </xf>
    <xf numFmtId="4" fontId="104" fillId="30" borderId="233" applyNumberFormat="0" applyProtection="0">
      <alignment horizontal="right" vertical="center"/>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32" borderId="233" applyNumberFormat="0" applyProtection="0">
      <alignment horizontal="left" vertical="center" indent="1"/>
    </xf>
    <xf numFmtId="0" fontId="163" fillId="111" borderId="233" applyNumberFormat="0" applyAlignment="0" applyProtection="0">
      <alignment vertical="center"/>
    </xf>
    <xf numFmtId="0" fontId="163" fillId="111" borderId="233" applyNumberFormat="0" applyAlignment="0" applyProtection="0">
      <alignment vertical="center"/>
    </xf>
    <xf numFmtId="0" fontId="157" fillId="98" borderId="230" applyNumberFormat="0" applyAlignment="0" applyProtection="0">
      <alignment vertical="center"/>
    </xf>
    <xf numFmtId="0" fontId="157" fillId="98" borderId="230" applyNumberFormat="0" applyAlignment="0" applyProtection="0">
      <alignment vertical="center"/>
    </xf>
    <xf numFmtId="0" fontId="146" fillId="0" borderId="232" applyNumberFormat="0" applyFill="0" applyAlignment="0" applyProtection="0">
      <alignment vertical="center"/>
    </xf>
    <xf numFmtId="0" fontId="146" fillId="0" borderId="232" applyNumberFormat="0" applyFill="0" applyAlignment="0" applyProtection="0">
      <alignment vertical="center"/>
    </xf>
    <xf numFmtId="0" fontId="22" fillId="10" borderId="231" applyNumberFormat="0" applyFont="0" applyAlignment="0" applyProtection="0">
      <alignment vertical="center"/>
    </xf>
    <xf numFmtId="0" fontId="22" fillId="10" borderId="231" applyNumberFormat="0" applyFont="0" applyAlignment="0" applyProtection="0">
      <alignment vertical="center"/>
    </xf>
    <xf numFmtId="0" fontId="151" fillId="111" borderId="230" applyNumberFormat="0" applyAlignment="0" applyProtection="0">
      <alignment vertical="center"/>
    </xf>
    <xf numFmtId="0" fontId="151" fillId="111" borderId="230" applyNumberFormat="0" applyAlignment="0" applyProtection="0">
      <alignment vertical="center"/>
    </xf>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90" fillId="0" borderId="195">
      <alignment horizontal="left" vertical="center"/>
    </xf>
    <xf numFmtId="0" fontId="90" fillId="0" borderId="195">
      <alignment horizontal="left" vertical="center"/>
    </xf>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0" fontId="99" fillId="1" borderId="195" applyNumberFormat="0" applyFont="0" applyAlignment="0">
      <alignment horizontal="center"/>
    </xf>
    <xf numFmtId="0" fontId="99" fillId="1" borderId="195" applyNumberFormat="0" applyFont="0" applyAlignment="0">
      <alignment horizontal="center"/>
    </xf>
    <xf numFmtId="4" fontId="60" fillId="23" borderId="233" applyNumberFormat="0" applyProtection="0">
      <alignment horizontal="right" vertical="center"/>
    </xf>
    <xf numFmtId="0" fontId="90" fillId="0" borderId="195">
      <alignment horizontal="left" vertical="center"/>
    </xf>
    <xf numFmtId="0" fontId="56" fillId="33" borderId="233" applyNumberFormat="0" applyProtection="0">
      <alignment horizontal="left" vertical="center" indent="1"/>
    </xf>
    <xf numFmtId="0" fontId="121" fillId="60" borderId="238" applyBorder="0"/>
    <xf numFmtId="0" fontId="56" fillId="19" borderId="233" applyNumberFormat="0" applyProtection="0">
      <alignment horizontal="left" vertical="center" indent="1"/>
    </xf>
    <xf numFmtId="0" fontId="146" fillId="0" borderId="232" applyNumberFormat="0" applyFill="0" applyAlignment="0" applyProtection="0">
      <alignment vertical="center"/>
    </xf>
    <xf numFmtId="0" fontId="88" fillId="53" borderId="239" applyNumberFormat="0" applyFont="0" applyAlignment="0" applyProtection="0"/>
    <xf numFmtId="4" fontId="60" fillId="30" borderId="233" applyNumberFormat="0" applyProtection="0">
      <alignment horizontal="right" vertical="center"/>
    </xf>
    <xf numFmtId="0" fontId="118" fillId="54" borderId="239" applyNumberFormat="0" applyAlignment="0" applyProtection="0"/>
    <xf numFmtId="4" fontId="60" fillId="27" borderId="233" applyNumberFormat="0" applyProtection="0">
      <alignment horizontal="right" vertical="center"/>
    </xf>
    <xf numFmtId="4" fontId="60" fillId="22" borderId="233" applyNumberFormat="0" applyProtection="0">
      <alignment horizontal="right" vertical="center"/>
    </xf>
    <xf numFmtId="4" fontId="60" fillId="26" borderId="233" applyNumberFormat="0" applyProtection="0">
      <alignment horizontal="right" vertical="center"/>
    </xf>
    <xf numFmtId="4" fontId="104"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4" fontId="60" fillId="35" borderId="233" applyNumberFormat="0" applyProtection="0">
      <alignment horizontal="left" vertical="center" indent="1"/>
    </xf>
    <xf numFmtId="4" fontId="60" fillId="32" borderId="233" applyNumberFormat="0" applyProtection="0">
      <alignment horizontal="left" vertical="center" indent="1"/>
    </xf>
    <xf numFmtId="4" fontId="60" fillId="25" borderId="233" applyNumberFormat="0" applyProtection="0">
      <alignment horizontal="right" vertical="center"/>
    </xf>
    <xf numFmtId="4" fontId="100" fillId="2" borderId="233" applyNumberFormat="0" applyProtection="0">
      <alignment vertical="center"/>
    </xf>
    <xf numFmtId="4" fontId="60" fillId="21" borderId="233" applyNumberFormat="0" applyProtection="0">
      <alignment horizontal="right" vertical="center"/>
    </xf>
    <xf numFmtId="0" fontId="120" fillId="56" borderId="233" applyNumberFormat="0" applyAlignment="0" applyProtection="0"/>
    <xf numFmtId="0" fontId="88" fillId="53" borderId="239" applyNumberFormat="0" applyFont="0" applyAlignment="0" applyProtection="0"/>
    <xf numFmtId="0" fontId="120" fillId="56" borderId="233" applyNumberFormat="0" applyAlignment="0" applyProtection="0"/>
    <xf numFmtId="0" fontId="88" fillId="53" borderId="239" applyNumberFormat="0" applyFont="0" applyAlignment="0" applyProtection="0"/>
    <xf numFmtId="4" fontId="60" fillId="20" borderId="233" applyNumberFormat="0" applyProtection="0">
      <alignment horizontal="right" vertical="center"/>
    </xf>
    <xf numFmtId="4" fontId="60" fillId="2" borderId="233" applyNumberFormat="0" applyProtection="0">
      <alignment horizontal="left" vertical="center" indent="1"/>
    </xf>
    <xf numFmtId="0" fontId="120" fillId="56" borderId="233" applyNumberFormat="0" applyAlignment="0" applyProtection="0"/>
    <xf numFmtId="4" fontId="60" fillId="25" borderId="233" applyNumberFormat="0" applyProtection="0">
      <alignment horizontal="right" vertical="center"/>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151" fillId="111" borderId="230" applyNumberFormat="0" applyAlignment="0" applyProtection="0">
      <alignment vertical="center"/>
    </xf>
    <xf numFmtId="4" fontId="60" fillId="22" borderId="233" applyNumberFormat="0" applyProtection="0">
      <alignment horizontal="right" vertical="center"/>
    </xf>
    <xf numFmtId="0" fontId="88" fillId="61" borderId="214"/>
    <xf numFmtId="4" fontId="60" fillId="2" borderId="233" applyNumberFormat="0" applyProtection="0">
      <alignment horizontal="left" vertical="center" indent="1"/>
    </xf>
    <xf numFmtId="0" fontId="56" fillId="34" borderId="233" applyNumberFormat="0" applyProtection="0">
      <alignment horizontal="left" vertical="center" indent="1"/>
    </xf>
    <xf numFmtId="4" fontId="60" fillId="28" borderId="233" applyNumberFormat="0" applyProtection="0">
      <alignment horizontal="right" vertical="center"/>
    </xf>
    <xf numFmtId="0" fontId="56" fillId="34" borderId="233" applyNumberFormat="0" applyProtection="0">
      <alignment horizontal="left" vertical="center" indent="1"/>
    </xf>
    <xf numFmtId="3" fontId="67" fillId="0" borderId="214"/>
    <xf numFmtId="0" fontId="118" fillId="54" borderId="239" applyNumberFormat="0" applyAlignment="0" applyProtection="0"/>
    <xf numFmtId="10" fontId="88" fillId="17" borderId="214" applyNumberFormat="0" applyBorder="0" applyAlignment="0" applyProtection="0"/>
    <xf numFmtId="4" fontId="60" fillId="21" borderId="233" applyNumberFormat="0" applyProtection="0">
      <alignment horizontal="right" vertical="center"/>
    </xf>
    <xf numFmtId="0" fontId="56" fillId="34" borderId="233" applyNumberFormat="0" applyProtection="0">
      <alignment horizontal="left" vertical="center" indent="1"/>
    </xf>
    <xf numFmtId="4" fontId="60" fillId="24" borderId="233" applyNumberFormat="0" applyProtection="0">
      <alignment horizontal="right" vertical="center"/>
    </xf>
    <xf numFmtId="4" fontId="60" fillId="21" borderId="233" applyNumberFormat="0" applyProtection="0">
      <alignment horizontal="right" vertical="center"/>
    </xf>
    <xf numFmtId="4" fontId="104" fillId="30" borderId="233" applyNumberFormat="0" applyProtection="0">
      <alignment horizontal="right" vertical="center"/>
    </xf>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60" fillId="35" borderId="233" applyNumberFormat="0" applyProtection="0">
      <alignment vertical="center"/>
    </xf>
    <xf numFmtId="0" fontId="56" fillId="32" borderId="233" applyNumberFormat="0" applyProtection="0">
      <alignment horizontal="left" vertical="center" indent="1"/>
    </xf>
    <xf numFmtId="0" fontId="56" fillId="33" borderId="233" applyNumberFormat="0" applyProtection="0">
      <alignment horizontal="left" vertical="center" indent="1"/>
    </xf>
    <xf numFmtId="4" fontId="60" fillId="27" borderId="233" applyNumberFormat="0" applyProtection="0">
      <alignment horizontal="right" vertical="center"/>
    </xf>
    <xf numFmtId="4" fontId="60" fillId="27" borderId="233" applyNumberFormat="0" applyProtection="0">
      <alignment horizontal="right" vertical="center"/>
    </xf>
    <xf numFmtId="4" fontId="60" fillId="2" borderId="233" applyNumberFormat="0" applyProtection="0">
      <alignment vertical="center"/>
    </xf>
    <xf numFmtId="3" fontId="67" fillId="0" borderId="214"/>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0" fontId="56" fillId="19" borderId="233" applyNumberFormat="0" applyProtection="0">
      <alignment horizontal="left" vertical="center" indent="1"/>
    </xf>
    <xf numFmtId="4" fontId="100" fillId="35" borderId="233" applyNumberFormat="0" applyProtection="0">
      <alignment vertical="center"/>
    </xf>
    <xf numFmtId="4" fontId="60" fillId="35" borderId="233" applyNumberFormat="0" applyProtection="0">
      <alignment horizontal="left" vertical="center" indent="1"/>
    </xf>
    <xf numFmtId="4" fontId="100" fillId="35" borderId="233" applyNumberFormat="0" applyProtection="0">
      <alignment vertical="center"/>
    </xf>
    <xf numFmtId="4" fontId="60" fillId="27" borderId="233" applyNumberFormat="0" applyProtection="0">
      <alignment horizontal="right" vertical="center"/>
    </xf>
    <xf numFmtId="4" fontId="60" fillId="35" borderId="233" applyNumberFormat="0" applyProtection="0">
      <alignment horizontal="left" vertical="center" indent="1"/>
    </xf>
    <xf numFmtId="4" fontId="60" fillId="32" borderId="233" applyNumberFormat="0" applyProtection="0">
      <alignment horizontal="left" vertical="center" indent="1"/>
    </xf>
    <xf numFmtId="4" fontId="60" fillId="25" borderId="233" applyNumberFormat="0" applyProtection="0">
      <alignment horizontal="right" vertical="center"/>
    </xf>
    <xf numFmtId="0" fontId="56" fillId="33" borderId="233" applyNumberFormat="0" applyProtection="0">
      <alignment horizontal="left" vertical="center" indent="1"/>
    </xf>
    <xf numFmtId="4" fontId="60" fillId="28" borderId="233" applyNumberFormat="0" applyProtection="0">
      <alignment horizontal="right" vertical="center"/>
    </xf>
    <xf numFmtId="10" fontId="88" fillId="17" borderId="214" applyNumberFormat="0" applyBorder="0" applyAlignment="0" applyProtection="0"/>
    <xf numFmtId="4" fontId="60" fillId="30"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4" fontId="60" fillId="35" borderId="233" applyNumberFormat="0" applyProtection="0">
      <alignment vertical="center"/>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30" borderId="235" applyNumberFormat="0" applyProtection="0">
      <alignment horizontal="left" vertical="center" indent="1"/>
    </xf>
    <xf numFmtId="4" fontId="101" fillId="29" borderId="233" applyNumberFormat="0" applyProtection="0">
      <alignment horizontal="left" vertical="center" indent="1"/>
    </xf>
    <xf numFmtId="0" fontId="56" fillId="19" borderId="233" applyNumberFormat="0" applyProtection="0">
      <alignment horizontal="left" vertical="center" indent="1"/>
    </xf>
    <xf numFmtId="4" fontId="100" fillId="35" borderId="233" applyNumberFormat="0" applyProtection="0">
      <alignment vertical="center"/>
    </xf>
    <xf numFmtId="0" fontId="118" fillId="54" borderId="239" applyNumberFormat="0" applyAlignment="0" applyProtection="0"/>
    <xf numFmtId="0" fontId="88" fillId="53" borderId="239" applyNumberFormat="0" applyFont="0" applyAlignment="0" applyProtection="0"/>
    <xf numFmtId="4" fontId="60" fillId="24" borderId="233" applyNumberFormat="0" applyProtection="0">
      <alignment horizontal="right" vertical="center"/>
    </xf>
    <xf numFmtId="4" fontId="60" fillId="2" borderId="233" applyNumberFormat="0" applyProtection="0">
      <alignment vertical="center"/>
    </xf>
    <xf numFmtId="4" fontId="60" fillId="28" borderId="233" applyNumberFormat="0" applyProtection="0">
      <alignment horizontal="right" vertical="center"/>
    </xf>
    <xf numFmtId="0" fontId="118" fillId="54" borderId="239" applyNumberFormat="0" applyAlignment="0" applyProtection="0"/>
    <xf numFmtId="0" fontId="56" fillId="34" borderId="233" applyNumberFormat="0" applyProtection="0">
      <alignment horizontal="left" vertical="center" indent="1"/>
    </xf>
    <xf numFmtId="4" fontId="104" fillId="30" borderId="233" applyNumberFormat="0" applyProtection="0">
      <alignment horizontal="right" vertical="center"/>
    </xf>
    <xf numFmtId="0" fontId="118" fillId="54" borderId="239" applyNumberFormat="0" applyAlignment="0" applyProtection="0"/>
    <xf numFmtId="4" fontId="60" fillId="23" borderId="233" applyNumberFormat="0" applyProtection="0">
      <alignment horizontal="right" vertical="center"/>
    </xf>
    <xf numFmtId="0" fontId="56" fillId="33" borderId="233" applyNumberFormat="0" applyProtection="0">
      <alignment horizontal="left" vertical="center" indent="1"/>
    </xf>
    <xf numFmtId="4" fontId="100" fillId="30" borderId="233" applyNumberFormat="0" applyProtection="0">
      <alignment horizontal="right" vertical="center"/>
    </xf>
    <xf numFmtId="4" fontId="100" fillId="30" borderId="233" applyNumberFormat="0" applyProtection="0">
      <alignment horizontal="right" vertical="center"/>
    </xf>
    <xf numFmtId="0" fontId="146" fillId="0" borderId="232" applyNumberFormat="0" applyFill="0" applyAlignment="0" applyProtection="0">
      <alignment vertical="center"/>
    </xf>
    <xf numFmtId="0" fontId="118" fillId="54" borderId="239" applyNumberFormat="0" applyAlignment="0" applyProtection="0"/>
    <xf numFmtId="0" fontId="114" fillId="56" borderId="239" applyNumberFormat="0" applyAlignment="0" applyProtection="0"/>
    <xf numFmtId="4" fontId="60" fillId="32" borderId="233" applyNumberFormat="0" applyProtection="0">
      <alignment horizontal="left" vertical="center" indent="1"/>
    </xf>
    <xf numFmtId="4" fontId="104" fillId="30" borderId="233" applyNumberFormat="0" applyProtection="0">
      <alignment horizontal="right" vertical="center"/>
    </xf>
    <xf numFmtId="0" fontId="118" fillId="54" borderId="239" applyNumberFormat="0" applyAlignment="0" applyProtection="0"/>
    <xf numFmtId="0" fontId="118" fillId="54" borderId="239" applyNumberFormat="0" applyAlignment="0" applyProtection="0"/>
    <xf numFmtId="3" fontId="67" fillId="0" borderId="214"/>
    <xf numFmtId="4" fontId="60" fillId="30" borderId="233" applyNumberFormat="0" applyProtection="0">
      <alignment horizontal="right" vertical="center"/>
    </xf>
    <xf numFmtId="0" fontId="56" fillId="32" borderId="233" applyNumberFormat="0" applyProtection="0">
      <alignment horizontal="left" vertical="center" indent="1"/>
    </xf>
    <xf numFmtId="0" fontId="56" fillId="33" borderId="233" applyNumberFormat="0" applyProtection="0">
      <alignment horizontal="left" vertical="center" indent="1"/>
    </xf>
    <xf numFmtId="4" fontId="60" fillId="21"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right" vertical="center"/>
    </xf>
    <xf numFmtId="0" fontId="157" fillId="98" borderId="230" applyNumberFormat="0" applyAlignment="0" applyProtection="0">
      <alignment vertical="center"/>
    </xf>
    <xf numFmtId="0" fontId="114" fillId="56" borderId="239" applyNumberFormat="0" applyAlignment="0" applyProtection="0"/>
    <xf numFmtId="0" fontId="56" fillId="34" borderId="233" applyNumberFormat="0" applyProtection="0">
      <alignment horizontal="left" vertical="center" indent="1"/>
    </xf>
    <xf numFmtId="0" fontId="56" fillId="33" borderId="233" applyNumberFormat="0" applyProtection="0">
      <alignment horizontal="left" vertical="center" indent="1"/>
    </xf>
    <xf numFmtId="4" fontId="100" fillId="2" borderId="233" applyNumberFormat="0" applyProtection="0">
      <alignment vertical="center"/>
    </xf>
    <xf numFmtId="4" fontId="60" fillId="21" borderId="233" applyNumberFormat="0" applyProtection="0">
      <alignment horizontal="right" vertical="center"/>
    </xf>
    <xf numFmtId="0" fontId="99" fillId="1" borderId="195" applyNumberFormat="0" applyFont="0" applyAlignment="0">
      <alignment horizontal="center"/>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25" borderId="233" applyNumberFormat="0" applyProtection="0">
      <alignment horizontal="right" vertical="center"/>
    </xf>
    <xf numFmtId="0" fontId="56" fillId="32" borderId="233" applyNumberFormat="0" applyProtection="0">
      <alignment horizontal="left" vertical="center" indent="1"/>
    </xf>
    <xf numFmtId="4" fontId="60" fillId="23" borderId="233" applyNumberFormat="0" applyProtection="0">
      <alignment horizontal="right" vertical="center"/>
    </xf>
    <xf numFmtId="4" fontId="60" fillId="2" borderId="233" applyNumberFormat="0" applyProtection="0">
      <alignment vertical="center"/>
    </xf>
    <xf numFmtId="4" fontId="60" fillId="26" borderId="233" applyNumberFormat="0" applyProtection="0">
      <alignment horizontal="right" vertical="center"/>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30" borderId="233" applyNumberFormat="0" applyProtection="0">
      <alignment horizontal="right" vertical="center"/>
    </xf>
    <xf numFmtId="4" fontId="60" fillId="22" borderId="233" applyNumberFormat="0" applyProtection="0">
      <alignment horizontal="right" vertical="center"/>
    </xf>
    <xf numFmtId="4" fontId="100" fillId="30" borderId="233" applyNumberFormat="0" applyProtection="0">
      <alignment horizontal="right" vertical="center"/>
    </xf>
    <xf numFmtId="4" fontId="60" fillId="2" borderId="233" applyNumberFormat="0" applyProtection="0">
      <alignment horizontal="left" vertical="center" indent="1"/>
    </xf>
    <xf numFmtId="0" fontId="56" fillId="34" borderId="233" applyNumberFormat="0" applyProtection="0">
      <alignment horizontal="left" vertical="center" indent="1"/>
    </xf>
    <xf numFmtId="4" fontId="60" fillId="26" borderId="233" applyNumberFormat="0" applyProtection="0">
      <alignment horizontal="right" vertical="center"/>
    </xf>
    <xf numFmtId="4" fontId="60" fillId="2" borderId="233" applyNumberFormat="0" applyProtection="0">
      <alignment horizontal="left" vertical="center" indent="1"/>
    </xf>
    <xf numFmtId="196" fontId="83" fillId="0" borderId="214" applyFill="0" applyBorder="0" applyAlignment="0"/>
    <xf numFmtId="4" fontId="60" fillId="28" borderId="233" applyNumberFormat="0" applyProtection="0">
      <alignment horizontal="right" vertical="center"/>
    </xf>
    <xf numFmtId="0" fontId="121" fillId="60" borderId="238" applyBorder="0"/>
    <xf numFmtId="4" fontId="60" fillId="24" borderId="233" applyNumberFormat="0" applyProtection="0">
      <alignment horizontal="right" vertical="center"/>
    </xf>
    <xf numFmtId="4" fontId="60" fillId="28" borderId="233" applyNumberFormat="0" applyProtection="0">
      <alignment horizontal="right" vertical="center"/>
    </xf>
    <xf numFmtId="4" fontId="60" fillId="25" borderId="233" applyNumberFormat="0" applyProtection="0">
      <alignment horizontal="right" vertical="center"/>
    </xf>
    <xf numFmtId="4" fontId="60" fillId="35" borderId="233" applyNumberFormat="0" applyProtection="0">
      <alignment horizontal="left" vertical="center" indent="1"/>
    </xf>
    <xf numFmtId="0" fontId="146" fillId="0" borderId="232" applyNumberFormat="0" applyFill="0" applyAlignment="0" applyProtection="0">
      <alignment vertical="center"/>
    </xf>
    <xf numFmtId="4" fontId="60" fillId="26" borderId="233" applyNumberFormat="0" applyProtection="0">
      <alignment horizontal="right" vertical="center"/>
    </xf>
    <xf numFmtId="0" fontId="120" fillId="56" borderId="233" applyNumberFormat="0" applyAlignment="0" applyProtection="0"/>
    <xf numFmtId="0" fontId="118" fillId="54" borderId="239" applyNumberFormat="0" applyAlignment="0" applyProtection="0"/>
    <xf numFmtId="4" fontId="60" fillId="30" borderId="235" applyNumberFormat="0" applyProtection="0">
      <alignment horizontal="left" vertical="center" indent="1"/>
    </xf>
    <xf numFmtId="0" fontId="22" fillId="10" borderId="231" applyNumberFormat="0" applyFont="0" applyAlignment="0" applyProtection="0">
      <alignment vertical="center"/>
    </xf>
    <xf numFmtId="0" fontId="88" fillId="53" borderId="239" applyNumberFormat="0" applyFont="0" applyAlignment="0" applyProtection="0"/>
    <xf numFmtId="0" fontId="56" fillId="34" borderId="233" applyNumberFormat="0" applyProtection="0">
      <alignment horizontal="left" vertical="center" indent="1"/>
    </xf>
    <xf numFmtId="0" fontId="56" fillId="33" borderId="233" applyNumberFormat="0" applyProtection="0">
      <alignment horizontal="left" vertical="center" indent="1"/>
    </xf>
    <xf numFmtId="4" fontId="100" fillId="35" borderId="233" applyNumberFormat="0" applyProtection="0">
      <alignment vertical="center"/>
    </xf>
    <xf numFmtId="0" fontId="56" fillId="19" borderId="233" applyNumberFormat="0" applyProtection="0">
      <alignment horizontal="left" vertical="center" indent="1"/>
    </xf>
    <xf numFmtId="4" fontId="100" fillId="35" borderId="233" applyNumberFormat="0" applyProtection="0">
      <alignment vertical="center"/>
    </xf>
    <xf numFmtId="4" fontId="100" fillId="30" borderId="233" applyNumberFormat="0" applyProtection="0">
      <alignment horizontal="right" vertical="center"/>
    </xf>
    <xf numFmtId="0" fontId="121" fillId="60" borderId="238" applyBorder="0"/>
    <xf numFmtId="4" fontId="60" fillId="20" borderId="233" applyNumberFormat="0" applyProtection="0">
      <alignment horizontal="right" vertical="center"/>
    </xf>
    <xf numFmtId="4" fontId="60" fillId="30" borderId="233" applyNumberFormat="0" applyProtection="0">
      <alignment horizontal="left" vertical="center" indent="1"/>
    </xf>
    <xf numFmtId="4" fontId="60" fillId="35" borderId="233" applyNumberFormat="0" applyProtection="0">
      <alignment horizontal="left" vertical="center" indent="1"/>
    </xf>
    <xf numFmtId="0" fontId="56" fillId="34" borderId="233" applyNumberFormat="0" applyProtection="0">
      <alignment horizontal="left" vertical="center" indent="1"/>
    </xf>
    <xf numFmtId="0" fontId="121" fillId="60" borderId="238" applyBorder="0"/>
    <xf numFmtId="0" fontId="56" fillId="32" borderId="233" applyNumberFormat="0" applyProtection="0">
      <alignment horizontal="left" vertical="center" indent="1"/>
    </xf>
    <xf numFmtId="4" fontId="60" fillId="27" borderId="233" applyNumberFormat="0" applyProtection="0">
      <alignment horizontal="right" vertical="center"/>
    </xf>
    <xf numFmtId="0" fontId="56" fillId="19" borderId="233" applyNumberFormat="0" applyProtection="0">
      <alignment horizontal="left" vertical="center" indent="1"/>
    </xf>
    <xf numFmtId="4" fontId="100" fillId="35" borderId="233" applyNumberFormat="0" applyProtection="0">
      <alignment vertical="center"/>
    </xf>
    <xf numFmtId="4" fontId="60" fillId="30" borderId="233" applyNumberFormat="0" applyProtection="0">
      <alignment horizontal="right" vertical="center"/>
    </xf>
    <xf numFmtId="4" fontId="60" fillId="2" borderId="233" applyNumberFormat="0" applyProtection="0">
      <alignment horizontal="left" vertical="center" indent="1"/>
    </xf>
    <xf numFmtId="4" fontId="60" fillId="30" borderId="233" applyNumberFormat="0" applyProtection="0">
      <alignment horizontal="left" vertical="center" indent="1"/>
    </xf>
    <xf numFmtId="0" fontId="56" fillId="32" borderId="233" applyNumberFormat="0" applyProtection="0">
      <alignment horizontal="left" vertical="center" indent="1"/>
    </xf>
    <xf numFmtId="4" fontId="100" fillId="2" borderId="233" applyNumberFormat="0" applyProtection="0">
      <alignment vertical="center"/>
    </xf>
    <xf numFmtId="4" fontId="100" fillId="30" borderId="233" applyNumberFormat="0" applyProtection="0">
      <alignment horizontal="right" vertical="center"/>
    </xf>
    <xf numFmtId="4" fontId="60" fillId="24" borderId="233" applyNumberFormat="0" applyProtection="0">
      <alignment horizontal="right" vertical="center"/>
    </xf>
    <xf numFmtId="4" fontId="104" fillId="30" borderId="233" applyNumberFormat="0" applyProtection="0">
      <alignment horizontal="right" vertical="center"/>
    </xf>
    <xf numFmtId="0" fontId="56" fillId="19" borderId="233" applyNumberFormat="0" applyProtection="0">
      <alignment horizontal="left" vertical="center" indent="1"/>
    </xf>
    <xf numFmtId="4" fontId="60" fillId="28" borderId="233" applyNumberFormat="0" applyProtection="0">
      <alignment horizontal="right" vertical="center"/>
    </xf>
    <xf numFmtId="0" fontId="90" fillId="0" borderId="195">
      <alignment horizontal="left" vertical="center"/>
    </xf>
    <xf numFmtId="0" fontId="118" fillId="54" borderId="239" applyNumberFormat="0" applyAlignment="0" applyProtection="0"/>
    <xf numFmtId="0" fontId="56" fillId="34" borderId="233" applyNumberFormat="0" applyProtection="0">
      <alignment horizontal="left" vertical="center" indent="1"/>
    </xf>
    <xf numFmtId="0" fontId="56" fillId="32" borderId="233" applyNumberFormat="0" applyProtection="0">
      <alignment horizontal="left" vertical="center" indent="1"/>
    </xf>
    <xf numFmtId="0" fontId="56" fillId="19" borderId="233" applyNumberFormat="0" applyProtection="0">
      <alignment horizontal="left" vertical="center" indent="1"/>
    </xf>
    <xf numFmtId="4" fontId="100" fillId="30" borderId="233" applyNumberFormat="0" applyProtection="0">
      <alignment horizontal="right" vertical="center"/>
    </xf>
    <xf numFmtId="4" fontId="60" fillId="30" borderId="233" applyNumberFormat="0" applyProtection="0">
      <alignment horizontal="left" vertical="center" indent="1"/>
    </xf>
    <xf numFmtId="4" fontId="60" fillId="35" borderId="233" applyNumberFormat="0" applyProtection="0">
      <alignment horizontal="left" vertical="center" indent="1"/>
    </xf>
    <xf numFmtId="0" fontId="56" fillId="32" borderId="233" applyNumberFormat="0" applyProtection="0">
      <alignment horizontal="left" vertical="center" indent="1"/>
    </xf>
    <xf numFmtId="0" fontId="56" fillId="19" borderId="233" applyNumberFormat="0" applyProtection="0">
      <alignment horizontal="left" vertical="center" indent="1"/>
    </xf>
    <xf numFmtId="4" fontId="60" fillId="28" borderId="233" applyNumberFormat="0" applyProtection="0">
      <alignment horizontal="right" vertical="center"/>
    </xf>
    <xf numFmtId="4" fontId="60" fillId="23" borderId="233" applyNumberFormat="0" applyProtection="0">
      <alignment horizontal="right" vertical="center"/>
    </xf>
    <xf numFmtId="0" fontId="121" fillId="60" borderId="238" applyBorder="0"/>
    <xf numFmtId="0" fontId="121" fillId="60" borderId="238" applyBorder="0"/>
    <xf numFmtId="4" fontId="60" fillId="30" borderId="233" applyNumberFormat="0" applyProtection="0">
      <alignment horizontal="left" vertical="center" indent="1"/>
    </xf>
    <xf numFmtId="0" fontId="56" fillId="33" borderId="233" applyNumberFormat="0" applyProtection="0">
      <alignment horizontal="left" vertical="center" indent="1"/>
    </xf>
    <xf numFmtId="0" fontId="99" fillId="1" borderId="195" applyNumberFormat="0" applyFont="0" applyAlignment="0">
      <alignment horizontal="center"/>
    </xf>
    <xf numFmtId="4" fontId="60" fillId="32" borderId="233" applyNumberFormat="0" applyProtection="0">
      <alignment horizontal="left" vertical="center" indent="1"/>
    </xf>
    <xf numFmtId="0" fontId="56" fillId="32" borderId="233" applyNumberFormat="0" applyProtection="0">
      <alignment horizontal="left" vertical="center" indent="1"/>
    </xf>
    <xf numFmtId="4" fontId="60" fillId="26" borderId="233" applyNumberFormat="0" applyProtection="0">
      <alignment horizontal="right" vertical="center"/>
    </xf>
    <xf numFmtId="4" fontId="60" fillId="35" borderId="233" applyNumberFormat="0" applyProtection="0">
      <alignment horizontal="left" vertical="center" indent="1"/>
    </xf>
    <xf numFmtId="0" fontId="118" fillId="54" borderId="239" applyNumberFormat="0" applyAlignment="0" applyProtection="0"/>
    <xf numFmtId="0" fontId="56" fillId="33" borderId="233" applyNumberFormat="0" applyProtection="0">
      <alignment horizontal="left" vertical="center" indent="1"/>
    </xf>
    <xf numFmtId="4" fontId="100" fillId="30" borderId="233" applyNumberFormat="0" applyProtection="0">
      <alignment horizontal="right" vertical="center"/>
    </xf>
    <xf numFmtId="4" fontId="60" fillId="24" borderId="233" applyNumberFormat="0" applyProtection="0">
      <alignment horizontal="right" vertical="center"/>
    </xf>
    <xf numFmtId="0" fontId="56" fillId="33" borderId="233" applyNumberFormat="0" applyProtection="0">
      <alignment horizontal="left" vertical="center" indent="1"/>
    </xf>
    <xf numFmtId="4" fontId="100" fillId="30" borderId="233" applyNumberFormat="0" applyProtection="0">
      <alignment horizontal="right" vertical="center"/>
    </xf>
    <xf numFmtId="4" fontId="100" fillId="2" borderId="233" applyNumberFormat="0" applyProtection="0">
      <alignment vertical="center"/>
    </xf>
    <xf numFmtId="0" fontId="121" fillId="60" borderId="238" applyBorder="0"/>
    <xf numFmtId="4" fontId="60" fillId="23" borderId="233" applyNumberFormat="0" applyProtection="0">
      <alignment horizontal="right" vertical="center"/>
    </xf>
    <xf numFmtId="0" fontId="56" fillId="34" borderId="233" applyNumberFormat="0" applyProtection="0">
      <alignment horizontal="left" vertical="center" indent="1"/>
    </xf>
    <xf numFmtId="0" fontId="56" fillId="32" borderId="233" applyNumberFormat="0" applyProtection="0">
      <alignment horizontal="left" vertical="center" indent="1"/>
    </xf>
    <xf numFmtId="4" fontId="104" fillId="30" borderId="233" applyNumberFormat="0" applyProtection="0">
      <alignment horizontal="right" vertical="center"/>
    </xf>
    <xf numFmtId="0" fontId="118" fillId="54" borderId="239" applyNumberFormat="0" applyAlignment="0" applyProtection="0"/>
    <xf numFmtId="4" fontId="60" fillId="24" borderId="233" applyNumberFormat="0" applyProtection="0">
      <alignment horizontal="right" vertical="center"/>
    </xf>
    <xf numFmtId="0" fontId="56" fillId="19" borderId="233" applyNumberFormat="0" applyProtection="0">
      <alignment horizontal="left" vertical="center" indent="1"/>
    </xf>
    <xf numFmtId="0" fontId="114" fillId="56" borderId="239" applyNumberFormat="0" applyAlignment="0" applyProtection="0"/>
    <xf numFmtId="4" fontId="60" fillId="26" borderId="233" applyNumberFormat="0" applyProtection="0">
      <alignment horizontal="right" vertical="center"/>
    </xf>
    <xf numFmtId="0" fontId="56" fillId="19" borderId="233" applyNumberFormat="0" applyProtection="0">
      <alignment horizontal="left" vertical="center" indent="1"/>
    </xf>
    <xf numFmtId="4" fontId="60" fillId="35" borderId="233" applyNumberFormat="0" applyProtection="0">
      <alignment vertical="center"/>
    </xf>
    <xf numFmtId="0" fontId="56" fillId="34" borderId="233" applyNumberFormat="0" applyProtection="0">
      <alignment horizontal="left" vertical="center" indent="1"/>
    </xf>
    <xf numFmtId="4" fontId="60" fillId="2" borderId="233" applyNumberFormat="0" applyProtection="0">
      <alignment horizontal="left" vertical="center" indent="1"/>
    </xf>
    <xf numFmtId="10" fontId="88" fillId="17" borderId="214" applyNumberFormat="0" applyBorder="0" applyAlignment="0" applyProtection="0"/>
    <xf numFmtId="0" fontId="56" fillId="34" borderId="233" applyNumberFormat="0" applyProtection="0">
      <alignment horizontal="left" vertical="center" indent="1"/>
    </xf>
    <xf numFmtId="4" fontId="60" fillId="2" borderId="233" applyNumberFormat="0" applyProtection="0">
      <alignment vertical="center"/>
    </xf>
    <xf numFmtId="4" fontId="60" fillId="30" borderId="235" applyNumberFormat="0" applyProtection="0">
      <alignment horizontal="left" vertical="center" indent="1"/>
    </xf>
    <xf numFmtId="0" fontId="114" fillId="56" borderId="239" applyNumberFormat="0" applyAlignment="0" applyProtection="0"/>
    <xf numFmtId="4" fontId="60" fillId="24" borderId="233" applyNumberFormat="0" applyProtection="0">
      <alignment horizontal="right" vertical="center"/>
    </xf>
    <xf numFmtId="4" fontId="60" fillId="23" borderId="233" applyNumberFormat="0" applyProtection="0">
      <alignment horizontal="right" vertical="center"/>
    </xf>
    <xf numFmtId="0" fontId="90" fillId="0" borderId="195">
      <alignment horizontal="left" vertical="center"/>
    </xf>
    <xf numFmtId="4" fontId="60" fillId="35" borderId="233" applyNumberFormat="0" applyProtection="0">
      <alignment horizontal="left" vertical="center" indent="1"/>
    </xf>
    <xf numFmtId="4" fontId="60" fillId="28" borderId="233" applyNumberFormat="0" applyProtection="0">
      <alignment horizontal="right" vertical="center"/>
    </xf>
    <xf numFmtId="0" fontId="56" fillId="19" borderId="233" applyNumberFormat="0" applyProtection="0">
      <alignment horizontal="left" vertical="center" indent="1"/>
    </xf>
    <xf numFmtId="4" fontId="60" fillId="20" borderId="233" applyNumberFormat="0" applyProtection="0">
      <alignment horizontal="right" vertical="center"/>
    </xf>
    <xf numFmtId="4" fontId="100" fillId="2" borderId="233" applyNumberFormat="0" applyProtection="0">
      <alignment vertical="center"/>
    </xf>
    <xf numFmtId="4" fontId="60" fillId="35" borderId="233" applyNumberFormat="0" applyProtection="0">
      <alignment horizontal="left" vertical="center" indent="1"/>
    </xf>
    <xf numFmtId="0" fontId="118" fillId="54" borderId="239" applyNumberFormat="0" applyAlignment="0" applyProtection="0"/>
    <xf numFmtId="4" fontId="60" fillId="26" borderId="233" applyNumberFormat="0" applyProtection="0">
      <alignment horizontal="right" vertical="center"/>
    </xf>
    <xf numFmtId="0" fontId="60" fillId="0" borderId="0">
      <alignment vertical="top"/>
    </xf>
    <xf numFmtId="4" fontId="60" fillId="2" borderId="233" applyNumberFormat="0" applyProtection="0">
      <alignment vertical="center"/>
    </xf>
    <xf numFmtId="4" fontId="60" fillId="26" borderId="233" applyNumberFormat="0" applyProtection="0">
      <alignment horizontal="right" vertical="center"/>
    </xf>
    <xf numFmtId="0" fontId="56" fillId="19" borderId="233" applyNumberFormat="0" applyProtection="0">
      <alignment horizontal="left" vertical="center" indent="1"/>
    </xf>
    <xf numFmtId="0" fontId="120" fillId="56" borderId="233" applyNumberFormat="0" applyAlignment="0" applyProtection="0"/>
    <xf numFmtId="0" fontId="56" fillId="34" borderId="233" applyNumberFormat="0" applyProtection="0">
      <alignment horizontal="left" vertical="center" indent="1"/>
    </xf>
    <xf numFmtId="4" fontId="60" fillId="27" borderId="233" applyNumberFormat="0" applyProtection="0">
      <alignment horizontal="right" vertical="center"/>
    </xf>
    <xf numFmtId="0" fontId="118" fillId="54" borderId="239" applyNumberFormat="0" applyAlignment="0" applyProtection="0"/>
    <xf numFmtId="4" fontId="60" fillId="2" borderId="233" applyNumberFormat="0" applyProtection="0">
      <alignment horizontal="left" vertical="center" indent="1"/>
    </xf>
    <xf numFmtId="0" fontId="56" fillId="34" borderId="233" applyNumberFormat="0" applyProtection="0">
      <alignment horizontal="left" vertical="center" indent="1"/>
    </xf>
    <xf numFmtId="4" fontId="60" fillId="2" borderId="233" applyNumberFormat="0" applyProtection="0">
      <alignment horizontal="left" vertical="center" indent="1"/>
    </xf>
    <xf numFmtId="4" fontId="60" fillId="35" borderId="233" applyNumberFormat="0" applyProtection="0">
      <alignment horizontal="left" vertical="center" indent="1"/>
    </xf>
    <xf numFmtId="0" fontId="56" fillId="34" borderId="233" applyNumberFormat="0" applyProtection="0">
      <alignment horizontal="left" vertical="center" indent="1"/>
    </xf>
    <xf numFmtId="0" fontId="56" fillId="33" borderId="233" applyNumberFormat="0" applyProtection="0">
      <alignment horizontal="left" vertical="center" indent="1"/>
    </xf>
    <xf numFmtId="4" fontId="60" fillId="20" borderId="233" applyNumberFormat="0" applyProtection="0">
      <alignment horizontal="right" vertical="center"/>
    </xf>
    <xf numFmtId="4" fontId="60" fillId="30" borderId="233" applyNumberFormat="0" applyProtection="0">
      <alignment horizontal="left" vertical="center" indent="1"/>
    </xf>
    <xf numFmtId="4" fontId="60" fillId="20" borderId="233" applyNumberFormat="0" applyProtection="0">
      <alignment horizontal="right" vertical="center"/>
    </xf>
    <xf numFmtId="4" fontId="60" fillId="32" borderId="233" applyNumberFormat="0" applyProtection="0">
      <alignment horizontal="left" vertical="center" indent="1"/>
    </xf>
    <xf numFmtId="4" fontId="100" fillId="30" borderId="233" applyNumberFormat="0" applyProtection="0">
      <alignment horizontal="right" vertical="center"/>
    </xf>
    <xf numFmtId="4" fontId="100" fillId="2" borderId="233" applyNumberFormat="0" applyProtection="0">
      <alignment vertical="center"/>
    </xf>
    <xf numFmtId="4" fontId="60" fillId="28" borderId="233" applyNumberFormat="0" applyProtection="0">
      <alignment horizontal="right" vertical="center"/>
    </xf>
    <xf numFmtId="4" fontId="60" fillId="24" borderId="233" applyNumberFormat="0" applyProtection="0">
      <alignment horizontal="right" vertical="center"/>
    </xf>
    <xf numFmtId="4" fontId="60" fillId="28" borderId="233" applyNumberFormat="0" applyProtection="0">
      <alignment horizontal="right" vertical="center"/>
    </xf>
    <xf numFmtId="4" fontId="100" fillId="30" borderId="233" applyNumberFormat="0" applyProtection="0">
      <alignment horizontal="right" vertical="center"/>
    </xf>
    <xf numFmtId="0" fontId="56" fillId="33" borderId="233" applyNumberFormat="0" applyProtection="0">
      <alignment horizontal="left" vertical="center" indent="1"/>
    </xf>
    <xf numFmtId="0" fontId="118" fillId="54" borderId="239" applyNumberFormat="0" applyAlignment="0" applyProtection="0"/>
    <xf numFmtId="4" fontId="60" fillId="22" borderId="233" applyNumberFormat="0" applyProtection="0">
      <alignment horizontal="right" vertical="center"/>
    </xf>
    <xf numFmtId="0" fontId="56" fillId="33" borderId="233" applyNumberFormat="0" applyProtection="0">
      <alignment horizontal="left" vertical="center" indent="1"/>
    </xf>
    <xf numFmtId="4" fontId="60" fillId="35" borderId="233" applyNumberFormat="0" applyProtection="0">
      <alignment horizontal="left" vertical="center" indent="1"/>
    </xf>
    <xf numFmtId="4" fontId="60" fillId="22" borderId="233" applyNumberFormat="0" applyProtection="0">
      <alignment horizontal="right" vertical="center"/>
    </xf>
    <xf numFmtId="4" fontId="60" fillId="35" borderId="233" applyNumberFormat="0" applyProtection="0">
      <alignment horizontal="left" vertical="center" indent="1"/>
    </xf>
    <xf numFmtId="4" fontId="60" fillId="20" borderId="233" applyNumberFormat="0" applyProtection="0">
      <alignment horizontal="right" vertical="center"/>
    </xf>
    <xf numFmtId="0" fontId="146" fillId="0" borderId="232" applyNumberFormat="0" applyFill="0" applyAlignment="0" applyProtection="0">
      <alignment vertical="center"/>
    </xf>
    <xf numFmtId="4" fontId="60" fillId="21" borderId="233" applyNumberFormat="0" applyProtection="0">
      <alignment horizontal="right" vertical="center"/>
    </xf>
    <xf numFmtId="0" fontId="157" fillId="98" borderId="230" applyNumberFormat="0" applyAlignment="0" applyProtection="0">
      <alignment vertical="center"/>
    </xf>
    <xf numFmtId="4" fontId="60" fillId="35" borderId="233" applyNumberFormat="0" applyProtection="0">
      <alignment horizontal="left" vertical="center" indent="1"/>
    </xf>
    <xf numFmtId="4" fontId="104" fillId="30" borderId="233" applyNumberFormat="0" applyProtection="0">
      <alignment horizontal="right" vertical="center"/>
    </xf>
    <xf numFmtId="4" fontId="60" fillId="23" borderId="233" applyNumberFormat="0" applyProtection="0">
      <alignment horizontal="right" vertical="center"/>
    </xf>
    <xf numFmtId="4" fontId="60" fillId="27" borderId="233" applyNumberFormat="0" applyProtection="0">
      <alignment horizontal="right" vertical="center"/>
    </xf>
    <xf numFmtId="4" fontId="60" fillId="30" borderId="233" applyNumberFormat="0" applyProtection="0">
      <alignment horizontal="left" vertical="center" indent="1"/>
    </xf>
    <xf numFmtId="4" fontId="60" fillId="35" borderId="233" applyNumberFormat="0" applyProtection="0">
      <alignment vertical="center"/>
    </xf>
    <xf numFmtId="4" fontId="60" fillId="20" borderId="233" applyNumberFormat="0" applyProtection="0">
      <alignment horizontal="right" vertical="center"/>
    </xf>
    <xf numFmtId="4" fontId="60" fillId="30" borderId="233" applyNumberFormat="0" applyProtection="0">
      <alignment horizontal="left" vertical="center" indent="1"/>
    </xf>
    <xf numFmtId="4" fontId="60" fillId="35" borderId="233" applyNumberFormat="0" applyProtection="0">
      <alignment horizontal="left" vertical="center" indent="1"/>
    </xf>
    <xf numFmtId="0" fontId="56" fillId="34" borderId="233" applyNumberFormat="0" applyProtection="0">
      <alignment horizontal="left" vertical="center" indent="1"/>
    </xf>
    <xf numFmtId="0" fontId="121" fillId="60" borderId="238" applyBorder="0"/>
    <xf numFmtId="4" fontId="60" fillId="28" borderId="233" applyNumberFormat="0" applyProtection="0">
      <alignment horizontal="right" vertical="center"/>
    </xf>
    <xf numFmtId="0" fontId="56" fillId="19"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4" fontId="60" fillId="24" borderId="233" applyNumberFormat="0" applyProtection="0">
      <alignment horizontal="right" vertical="center"/>
    </xf>
    <xf numFmtId="4" fontId="104" fillId="30" borderId="233" applyNumberFormat="0" applyProtection="0">
      <alignment horizontal="right" vertical="center"/>
    </xf>
    <xf numFmtId="4" fontId="60" fillId="2" borderId="233" applyNumberFormat="0" applyProtection="0">
      <alignment horizontal="left" vertical="center" indent="1"/>
    </xf>
    <xf numFmtId="4" fontId="60" fillId="26"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vertical="center"/>
    </xf>
    <xf numFmtId="0" fontId="56" fillId="19" borderId="233" applyNumberFormat="0" applyProtection="0">
      <alignment horizontal="left" vertical="center" indent="1"/>
    </xf>
    <xf numFmtId="0" fontId="56" fillId="33" borderId="233" applyNumberFormat="0" applyProtection="0">
      <alignment horizontal="left" vertical="center" indent="1"/>
    </xf>
    <xf numFmtId="4" fontId="60" fillId="2" borderId="233" applyNumberFormat="0" applyProtection="0">
      <alignment horizontal="left" vertical="center" indent="1"/>
    </xf>
    <xf numFmtId="4" fontId="60" fillId="20" borderId="233" applyNumberFormat="0" applyProtection="0">
      <alignment horizontal="right" vertical="center"/>
    </xf>
    <xf numFmtId="10" fontId="88" fillId="17" borderId="214" applyNumberFormat="0" applyBorder="0" applyAlignment="0" applyProtection="0"/>
    <xf numFmtId="0" fontId="99" fillId="1" borderId="195" applyNumberFormat="0" applyFont="0" applyAlignment="0">
      <alignment horizontal="center"/>
    </xf>
    <xf numFmtId="4" fontId="60" fillId="30" borderId="233" applyNumberFormat="0" applyProtection="0">
      <alignment horizontal="right" vertical="center"/>
    </xf>
    <xf numFmtId="0" fontId="151" fillId="111" borderId="230" applyNumberFormat="0" applyAlignment="0" applyProtection="0">
      <alignment vertical="center"/>
    </xf>
    <xf numFmtId="4" fontId="60" fillId="28" borderId="233" applyNumberFormat="0" applyProtection="0">
      <alignment horizontal="right" vertical="center"/>
    </xf>
    <xf numFmtId="4" fontId="60" fillId="20" borderId="233" applyNumberFormat="0" applyProtection="0">
      <alignment horizontal="right" vertical="center"/>
    </xf>
    <xf numFmtId="0" fontId="56" fillId="19" borderId="233" applyNumberFormat="0" applyProtection="0">
      <alignment horizontal="left" vertical="center" indent="1"/>
    </xf>
    <xf numFmtId="4" fontId="60" fillId="2" borderId="233" applyNumberFormat="0" applyProtection="0">
      <alignment vertical="center"/>
    </xf>
    <xf numFmtId="4" fontId="60" fillId="26" borderId="233" applyNumberFormat="0" applyProtection="0">
      <alignment horizontal="right" vertical="center"/>
    </xf>
    <xf numFmtId="0" fontId="120" fillId="56" borderId="233" applyNumberFormat="0" applyAlignment="0" applyProtection="0"/>
    <xf numFmtId="4" fontId="60" fillId="2" borderId="233" applyNumberFormat="0" applyProtection="0">
      <alignment vertical="center"/>
    </xf>
    <xf numFmtId="4" fontId="60" fillId="20" borderId="233" applyNumberFormat="0" applyProtection="0">
      <alignment horizontal="right" vertical="center"/>
    </xf>
    <xf numFmtId="0" fontId="118" fillId="54" borderId="239" applyNumberFormat="0" applyAlignment="0" applyProtection="0"/>
    <xf numFmtId="0" fontId="118" fillId="54" borderId="239" applyNumberFormat="0" applyAlignment="0" applyProtection="0"/>
    <xf numFmtId="4" fontId="101" fillId="29" borderId="233" applyNumberFormat="0" applyProtection="0">
      <alignment horizontal="left" vertical="center" indent="1"/>
    </xf>
    <xf numFmtId="0" fontId="56" fillId="33" borderId="233" applyNumberFormat="0" applyProtection="0">
      <alignment horizontal="left" vertical="center" indent="1"/>
    </xf>
    <xf numFmtId="4" fontId="100" fillId="35" borderId="233" applyNumberFormat="0" applyProtection="0">
      <alignment vertical="center"/>
    </xf>
    <xf numFmtId="0" fontId="56" fillId="19" borderId="233" applyNumberFormat="0" applyProtection="0">
      <alignment horizontal="left" vertical="center" indent="1"/>
    </xf>
    <xf numFmtId="4" fontId="60" fillId="24" borderId="233" applyNumberFormat="0" applyProtection="0">
      <alignment horizontal="right" vertical="center"/>
    </xf>
    <xf numFmtId="0" fontId="56" fillId="33" borderId="233" applyNumberFormat="0" applyProtection="0">
      <alignment horizontal="left" vertical="center" indent="1"/>
    </xf>
    <xf numFmtId="4" fontId="100" fillId="30"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6" borderId="233" applyNumberFormat="0" applyProtection="0">
      <alignment horizontal="right" vertical="center"/>
    </xf>
    <xf numFmtId="0" fontId="56" fillId="19" borderId="233" applyNumberFormat="0" applyProtection="0">
      <alignment horizontal="left" vertical="center" indent="1"/>
    </xf>
    <xf numFmtId="4" fontId="60" fillId="20" borderId="233" applyNumberFormat="0" applyProtection="0">
      <alignment horizontal="right" vertical="center"/>
    </xf>
    <xf numFmtId="0" fontId="56" fillId="32" borderId="233" applyNumberFormat="0" applyProtection="0">
      <alignment horizontal="left" vertical="center" indent="1"/>
    </xf>
    <xf numFmtId="0" fontId="60" fillId="0" borderId="0">
      <alignment vertical="top"/>
    </xf>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4" fillId="56"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118" fillId="54" borderId="239" applyNumberForma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88" fillId="53" borderId="239" applyNumberFormat="0" applyFon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0" fontId="121" fillId="60" borderId="238" applyBorder="0"/>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60" fillId="26" borderId="233" applyNumberFormat="0" applyProtection="0">
      <alignment horizontal="right" vertical="center"/>
    </xf>
    <xf numFmtId="0" fontId="56" fillId="32" borderId="233" applyNumberFormat="0" applyProtection="0">
      <alignment horizontal="left" vertical="center" indent="1"/>
    </xf>
    <xf numFmtId="4" fontId="100" fillId="35" borderId="233" applyNumberFormat="0" applyProtection="0">
      <alignment vertical="center"/>
    </xf>
    <xf numFmtId="3" fontId="67" fillId="0" borderId="214"/>
    <xf numFmtId="4" fontId="60" fillId="35" borderId="233" applyNumberFormat="0" applyProtection="0">
      <alignment vertical="center"/>
    </xf>
    <xf numFmtId="0" fontId="99" fillId="1" borderId="195" applyNumberFormat="0" applyFont="0" applyAlignment="0">
      <alignment horizontal="center"/>
    </xf>
    <xf numFmtId="0" fontId="56" fillId="19" borderId="233" applyNumberFormat="0" applyProtection="0">
      <alignment horizontal="left" vertical="center" indent="1"/>
    </xf>
    <xf numFmtId="4" fontId="100" fillId="35" borderId="233" applyNumberFormat="0" applyProtection="0">
      <alignment vertical="center"/>
    </xf>
    <xf numFmtId="0" fontId="118" fillId="54" borderId="239" applyNumberFormat="0" applyAlignment="0" applyProtection="0"/>
    <xf numFmtId="0" fontId="22" fillId="10" borderId="231" applyNumberFormat="0" applyFont="0" applyAlignment="0" applyProtection="0">
      <alignmen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4" fontId="60" fillId="23" borderId="233" applyNumberFormat="0" applyProtection="0">
      <alignment horizontal="right" vertical="center"/>
    </xf>
    <xf numFmtId="0" fontId="118" fillId="54" borderId="239" applyNumberFormat="0" applyAlignment="0" applyProtection="0"/>
    <xf numFmtId="4" fontId="60" fillId="32" borderId="233" applyNumberFormat="0" applyProtection="0">
      <alignment horizontal="left" vertical="center" indent="1"/>
    </xf>
    <xf numFmtId="4" fontId="60" fillId="24" borderId="233" applyNumberFormat="0" applyProtection="0">
      <alignment horizontal="right" vertical="center"/>
    </xf>
    <xf numFmtId="4" fontId="60" fillId="21" borderId="233" applyNumberFormat="0" applyProtection="0">
      <alignment horizontal="right" vertical="center"/>
    </xf>
    <xf numFmtId="0" fontId="56" fillId="19" borderId="233" applyNumberFormat="0" applyProtection="0">
      <alignment horizontal="left" vertical="center" indent="1"/>
    </xf>
    <xf numFmtId="4" fontId="60" fillId="23" borderId="233" applyNumberFormat="0" applyProtection="0">
      <alignment horizontal="right" vertical="center"/>
    </xf>
    <xf numFmtId="0" fontId="90" fillId="0" borderId="195">
      <alignment horizontal="left" vertical="center"/>
    </xf>
    <xf numFmtId="4" fontId="60" fillId="32" borderId="233" applyNumberFormat="0" applyProtection="0">
      <alignment horizontal="left" vertical="center" indent="1"/>
    </xf>
    <xf numFmtId="0" fontId="114" fillId="56" borderId="239" applyNumberFormat="0" applyAlignment="0" applyProtection="0"/>
    <xf numFmtId="4" fontId="60" fillId="24" borderId="233" applyNumberFormat="0" applyProtection="0">
      <alignment horizontal="right" vertical="center"/>
    </xf>
    <xf numFmtId="4" fontId="60" fillId="27" borderId="233" applyNumberFormat="0" applyProtection="0">
      <alignment horizontal="right" vertical="center"/>
    </xf>
    <xf numFmtId="4" fontId="60" fillId="30" borderId="233" applyNumberFormat="0" applyProtection="0">
      <alignment horizontal="left" vertical="center" indent="1"/>
    </xf>
    <xf numFmtId="4" fontId="100" fillId="2" borderId="233" applyNumberFormat="0" applyProtection="0">
      <alignment vertical="center"/>
    </xf>
    <xf numFmtId="4" fontId="60" fillId="2" borderId="233" applyNumberFormat="0" applyProtection="0">
      <alignment vertical="center"/>
    </xf>
    <xf numFmtId="4" fontId="60" fillId="26"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4" fontId="60" fillId="2" borderId="233" applyNumberFormat="0" applyProtection="0">
      <alignment horizontal="left" vertical="center" indent="1"/>
    </xf>
    <xf numFmtId="0" fontId="56" fillId="34" borderId="233" applyNumberFormat="0" applyProtection="0">
      <alignment horizontal="left" vertical="center" indent="1"/>
    </xf>
    <xf numFmtId="0" fontId="88" fillId="53" borderId="239" applyNumberFormat="0" applyFont="0" applyAlignment="0" applyProtection="0"/>
    <xf numFmtId="0" fontId="118" fillId="54" borderId="239" applyNumberFormat="0" applyAlignment="0" applyProtection="0"/>
    <xf numFmtId="4" fontId="60" fillId="35" borderId="233" applyNumberFormat="0" applyProtection="0">
      <alignment horizontal="left" vertical="center" indent="1"/>
    </xf>
    <xf numFmtId="4" fontId="60" fillId="30" borderId="233" applyNumberFormat="0" applyProtection="0">
      <alignment horizontal="left" vertical="center" indent="1"/>
    </xf>
    <xf numFmtId="4" fontId="100" fillId="2" borderId="233" applyNumberFormat="0" applyProtection="0">
      <alignment vertical="center"/>
    </xf>
    <xf numFmtId="4" fontId="60" fillId="2" borderId="233" applyNumberFormat="0" applyProtection="0">
      <alignment vertical="center"/>
    </xf>
    <xf numFmtId="4" fontId="60" fillId="35" borderId="233" applyNumberFormat="0" applyProtection="0">
      <alignment horizontal="left" vertical="center" indent="1"/>
    </xf>
    <xf numFmtId="4" fontId="60" fillId="2" borderId="233" applyNumberFormat="0" applyProtection="0">
      <alignment vertical="center"/>
    </xf>
    <xf numFmtId="0" fontId="56" fillId="19" borderId="233" applyNumberFormat="0" applyProtection="0">
      <alignment horizontal="left" vertical="center" indent="1"/>
    </xf>
    <xf numFmtId="0" fontId="114" fillId="56" borderId="239" applyNumberFormat="0" applyAlignment="0" applyProtection="0"/>
    <xf numFmtId="4" fontId="60" fillId="21" borderId="233" applyNumberFormat="0" applyProtection="0">
      <alignment horizontal="right" vertical="center"/>
    </xf>
    <xf numFmtId="0" fontId="56" fillId="19" borderId="233" applyNumberFormat="0" applyProtection="0">
      <alignment horizontal="left" vertical="center" indent="1"/>
    </xf>
    <xf numFmtId="4" fontId="100" fillId="35" borderId="233" applyNumberFormat="0" applyProtection="0">
      <alignment vertical="center"/>
    </xf>
    <xf numFmtId="4" fontId="100" fillId="35" borderId="233" applyNumberFormat="0" applyProtection="0">
      <alignment vertical="center"/>
    </xf>
    <xf numFmtId="4" fontId="60" fillId="24" borderId="233" applyNumberFormat="0" applyProtection="0">
      <alignment horizontal="right" vertical="center"/>
    </xf>
    <xf numFmtId="4" fontId="101" fillId="29" borderId="233" applyNumberFormat="0" applyProtection="0">
      <alignment horizontal="left" vertical="center" indent="1"/>
    </xf>
    <xf numFmtId="0" fontId="88" fillId="61" borderId="214"/>
    <xf numFmtId="0" fontId="56" fillId="34" borderId="233" applyNumberFormat="0" applyProtection="0">
      <alignment horizontal="left" vertical="center" indent="1"/>
    </xf>
    <xf numFmtId="4" fontId="60" fillId="2" borderId="233" applyNumberFormat="0" applyProtection="0">
      <alignment horizontal="left" vertical="center" indent="1"/>
    </xf>
    <xf numFmtId="4" fontId="60" fillId="23" borderId="233" applyNumberFormat="0" applyProtection="0">
      <alignment horizontal="right" vertical="center"/>
    </xf>
    <xf numFmtId="0" fontId="90" fillId="0" borderId="195">
      <alignment horizontal="left" vertical="center"/>
    </xf>
    <xf numFmtId="4" fontId="101" fillId="29" borderId="233" applyNumberFormat="0" applyProtection="0">
      <alignment horizontal="left" vertical="center" indent="1"/>
    </xf>
    <xf numFmtId="4" fontId="60" fillId="30" borderId="233" applyNumberFormat="0" applyProtection="0">
      <alignment horizontal="left" vertical="center" indent="1"/>
    </xf>
    <xf numFmtId="4" fontId="60" fillId="24"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2" borderId="233" applyNumberFormat="0" applyProtection="0">
      <alignment horizontal="left" vertical="center" indent="1"/>
    </xf>
    <xf numFmtId="0" fontId="56" fillId="33"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32" borderId="233" applyNumberFormat="0" applyProtection="0">
      <alignment horizontal="left" vertical="center" indent="1"/>
    </xf>
    <xf numFmtId="0" fontId="146" fillId="0" borderId="232" applyNumberFormat="0" applyFill="0" applyAlignment="0" applyProtection="0">
      <alignment vertical="center"/>
    </xf>
    <xf numFmtId="4" fontId="60" fillId="35" borderId="233" applyNumberFormat="0" applyProtection="0">
      <alignment horizontal="left" vertical="center" indent="1"/>
    </xf>
    <xf numFmtId="4" fontId="60" fillId="20" borderId="233" applyNumberFormat="0" applyProtection="0">
      <alignment horizontal="right" vertical="center"/>
    </xf>
    <xf numFmtId="4" fontId="60" fillId="30" borderId="233" applyNumberFormat="0" applyProtection="0">
      <alignment horizontal="left" vertical="center" indent="1"/>
    </xf>
    <xf numFmtId="4" fontId="60" fillId="30" borderId="233" applyNumberFormat="0" applyProtection="0">
      <alignment horizontal="right" vertical="center"/>
    </xf>
    <xf numFmtId="0" fontId="56" fillId="19" borderId="233" applyNumberFormat="0" applyProtection="0">
      <alignment horizontal="left" vertical="center" indent="1"/>
    </xf>
    <xf numFmtId="4" fontId="60" fillId="26" borderId="233" applyNumberFormat="0" applyProtection="0">
      <alignment horizontal="right" vertical="center"/>
    </xf>
    <xf numFmtId="4" fontId="6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33" borderId="233" applyNumberFormat="0" applyProtection="0">
      <alignment horizontal="left" vertical="center" indent="1"/>
    </xf>
    <xf numFmtId="4" fontId="60" fillId="28" borderId="233" applyNumberFormat="0" applyProtection="0">
      <alignment horizontal="right" vertical="center"/>
    </xf>
    <xf numFmtId="0" fontId="56" fillId="19" borderId="233" applyNumberFormat="0" applyProtection="0">
      <alignment horizontal="left" vertical="center" indent="1"/>
    </xf>
    <xf numFmtId="4" fontId="60" fillId="27" borderId="233" applyNumberFormat="0" applyProtection="0">
      <alignment horizontal="right" vertical="center"/>
    </xf>
    <xf numFmtId="4" fontId="101" fillId="29" borderId="233" applyNumberFormat="0" applyProtection="0">
      <alignment horizontal="left" vertical="center" indent="1"/>
    </xf>
    <xf numFmtId="4" fontId="60" fillId="2" borderId="233" applyNumberFormat="0" applyProtection="0">
      <alignment horizontal="left" vertical="center" indent="1"/>
    </xf>
    <xf numFmtId="4" fontId="60" fillId="30" borderId="233" applyNumberFormat="0" applyProtection="0">
      <alignment horizontal="left" vertical="center" indent="1"/>
    </xf>
    <xf numFmtId="0" fontId="56" fillId="19" borderId="233" applyNumberFormat="0" applyProtection="0">
      <alignment horizontal="left" vertical="center" indent="1"/>
    </xf>
    <xf numFmtId="4" fontId="60" fillId="28" borderId="233" applyNumberFormat="0" applyProtection="0">
      <alignment horizontal="right" vertical="center"/>
    </xf>
    <xf numFmtId="0" fontId="56" fillId="32" borderId="233" applyNumberFormat="0" applyProtection="0">
      <alignment horizontal="left" vertical="center" indent="1"/>
    </xf>
    <xf numFmtId="0" fontId="120" fillId="56" borderId="233" applyNumberFormat="0" applyAlignment="0" applyProtection="0"/>
    <xf numFmtId="0" fontId="56" fillId="33" borderId="233" applyNumberFormat="0" applyProtection="0">
      <alignment horizontal="left" vertical="center" indent="1"/>
    </xf>
    <xf numFmtId="4" fontId="60" fillId="2"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3" fontId="67" fillId="0" borderId="214"/>
    <xf numFmtId="0" fontId="99" fillId="1" borderId="195" applyNumberFormat="0" applyFont="0" applyAlignment="0">
      <alignment horizontal="center"/>
    </xf>
    <xf numFmtId="4" fontId="60" fillId="27"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0" fontId="118" fillId="54" borderId="239" applyNumberFormat="0" applyAlignment="0" applyProtection="0"/>
    <xf numFmtId="0" fontId="163" fillId="111" borderId="233" applyNumberFormat="0" applyAlignment="0" applyProtection="0">
      <alignment vertical="center"/>
    </xf>
    <xf numFmtId="0" fontId="56" fillId="32" borderId="233" applyNumberFormat="0" applyProtection="0">
      <alignment horizontal="left" vertical="center" indent="1"/>
    </xf>
    <xf numFmtId="0" fontId="121" fillId="60" borderId="238" applyBorder="0"/>
    <xf numFmtId="0" fontId="151" fillId="111" borderId="230" applyNumberFormat="0" applyAlignment="0" applyProtection="0">
      <alignment vertical="center"/>
    </xf>
    <xf numFmtId="4" fontId="60" fillId="22" borderId="233" applyNumberFormat="0" applyProtection="0">
      <alignment horizontal="right" vertical="center"/>
    </xf>
    <xf numFmtId="0" fontId="56" fillId="34" borderId="233" applyNumberFormat="0" applyProtection="0">
      <alignment horizontal="left" vertical="center" indent="1"/>
    </xf>
    <xf numFmtId="4" fontId="60" fillId="22" borderId="233" applyNumberFormat="0" applyProtection="0">
      <alignment horizontal="right" vertical="center"/>
    </xf>
    <xf numFmtId="0" fontId="56" fillId="19" borderId="233" applyNumberFormat="0" applyProtection="0">
      <alignment horizontal="left" vertical="center" indent="1"/>
    </xf>
    <xf numFmtId="0" fontId="120" fillId="56" borderId="233" applyNumberFormat="0" applyAlignment="0" applyProtection="0"/>
    <xf numFmtId="4" fontId="60" fillId="20" borderId="233" applyNumberFormat="0" applyProtection="0">
      <alignment horizontal="right" vertical="center"/>
    </xf>
    <xf numFmtId="4" fontId="60" fillId="24" borderId="233" applyNumberFormat="0" applyProtection="0">
      <alignment horizontal="right" vertical="center"/>
    </xf>
    <xf numFmtId="0" fontId="56" fillId="33" borderId="233" applyNumberFormat="0" applyProtection="0">
      <alignment horizontal="left" vertical="center" indent="1"/>
    </xf>
    <xf numFmtId="4" fontId="100" fillId="30" borderId="233" applyNumberFormat="0" applyProtection="0">
      <alignment horizontal="right" vertical="center"/>
    </xf>
    <xf numFmtId="0" fontId="56" fillId="19" borderId="233" applyNumberFormat="0" applyProtection="0">
      <alignment horizontal="left" vertical="center" indent="1"/>
    </xf>
    <xf numFmtId="4" fontId="60" fillId="23" borderId="233" applyNumberFormat="0" applyProtection="0">
      <alignment horizontal="right" vertical="center"/>
    </xf>
    <xf numFmtId="0" fontId="120" fillId="56" borderId="233" applyNumberFormat="0" applyAlignment="0" applyProtection="0"/>
    <xf numFmtId="0" fontId="56" fillId="32" borderId="233" applyNumberFormat="0" applyProtection="0">
      <alignment horizontal="left" vertical="center" indent="1"/>
    </xf>
    <xf numFmtId="0" fontId="88" fillId="61" borderId="214"/>
    <xf numFmtId="0" fontId="151" fillId="111" borderId="230" applyNumberFormat="0" applyAlignment="0" applyProtection="0">
      <alignment vertical="center"/>
    </xf>
    <xf numFmtId="0" fontId="151" fillId="111" borderId="230" applyNumberFormat="0" applyAlignment="0" applyProtection="0">
      <alignment vertical="center"/>
    </xf>
    <xf numFmtId="0" fontId="22" fillId="10" borderId="231" applyNumberFormat="0" applyFont="0" applyAlignment="0" applyProtection="0">
      <alignment vertical="center"/>
    </xf>
    <xf numFmtId="0" fontId="22" fillId="10" borderId="231" applyNumberFormat="0" applyFont="0" applyAlignment="0" applyProtection="0">
      <alignment vertical="center"/>
    </xf>
    <xf numFmtId="0" fontId="157" fillId="98" borderId="230" applyNumberFormat="0" applyAlignment="0" applyProtection="0">
      <alignment vertical="center"/>
    </xf>
    <xf numFmtId="0" fontId="157" fillId="98" borderId="230" applyNumberFormat="0" applyAlignment="0" applyProtection="0">
      <alignment vertical="center"/>
    </xf>
    <xf numFmtId="0" fontId="56" fillId="19" borderId="233" applyNumberFormat="0" applyProtection="0">
      <alignment horizontal="left" vertical="center" indent="1"/>
    </xf>
    <xf numFmtId="4" fontId="60" fillId="21" borderId="233" applyNumberFormat="0" applyProtection="0">
      <alignment horizontal="right" vertical="center"/>
    </xf>
    <xf numFmtId="4" fontId="60" fillId="2" borderId="233" applyNumberFormat="0" applyProtection="0">
      <alignment horizontal="left" vertical="center" indent="1"/>
    </xf>
    <xf numFmtId="4" fontId="60" fillId="30" borderId="233" applyNumberFormat="0" applyProtection="0">
      <alignment horizontal="right" vertical="center"/>
    </xf>
    <xf numFmtId="4" fontId="60" fillId="21" borderId="233" applyNumberFormat="0" applyProtection="0">
      <alignment horizontal="right" vertical="center"/>
    </xf>
    <xf numFmtId="4" fontId="60" fillId="30" borderId="233" applyNumberFormat="0" applyProtection="0">
      <alignment horizontal="left" vertical="center" indent="1"/>
    </xf>
    <xf numFmtId="0" fontId="88" fillId="61" borderId="214"/>
    <xf numFmtId="4" fontId="60" fillId="2" borderId="233" applyNumberFormat="0" applyProtection="0">
      <alignment horizontal="left" vertical="center" indent="1"/>
    </xf>
    <xf numFmtId="4" fontId="60" fillId="23" borderId="233" applyNumberFormat="0" applyProtection="0">
      <alignment horizontal="right" vertical="center"/>
    </xf>
    <xf numFmtId="0" fontId="88" fillId="53" borderId="239" applyNumberFormat="0" applyFont="0" applyAlignment="0" applyProtection="0"/>
    <xf numFmtId="4" fontId="101" fillId="29" borderId="233" applyNumberFormat="0" applyProtection="0">
      <alignment horizontal="left" vertical="center" indent="1"/>
    </xf>
    <xf numFmtId="0" fontId="56" fillId="32" borderId="233" applyNumberFormat="0" applyProtection="0">
      <alignment horizontal="left" vertical="center" indent="1"/>
    </xf>
    <xf numFmtId="0" fontId="90" fillId="0" borderId="195">
      <alignment horizontal="left" vertical="center"/>
    </xf>
    <xf numFmtId="0" fontId="56" fillId="34" borderId="233" applyNumberFormat="0" applyProtection="0">
      <alignment horizontal="left" vertical="center" indent="1"/>
    </xf>
    <xf numFmtId="0" fontId="90" fillId="0" borderId="108" applyNumberFormat="0" applyAlignment="0" applyProtection="0">
      <alignment horizontal="left" vertical="center"/>
    </xf>
    <xf numFmtId="4" fontId="60" fillId="21" borderId="233" applyNumberFormat="0" applyProtection="0">
      <alignment horizontal="right" vertical="center"/>
    </xf>
    <xf numFmtId="0" fontId="56" fillId="34" borderId="233" applyNumberFormat="0" applyProtection="0">
      <alignment horizontal="left" vertical="center" indent="1"/>
    </xf>
    <xf numFmtId="4" fontId="60" fillId="30" borderId="233" applyNumberFormat="0" applyProtection="0">
      <alignment horizontal="right" vertical="center"/>
    </xf>
    <xf numFmtId="4" fontId="60" fillId="35" borderId="233" applyNumberFormat="0" applyProtection="0">
      <alignment horizontal="left" vertical="center" indent="1"/>
    </xf>
    <xf numFmtId="4" fontId="100" fillId="2" borderId="233" applyNumberFormat="0" applyProtection="0">
      <alignment vertical="center"/>
    </xf>
    <xf numFmtId="0" fontId="56" fillId="19" borderId="233"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0" fillId="30" borderId="233" applyNumberFormat="0" applyProtection="0">
      <alignment horizontal="right" vertical="center"/>
    </xf>
    <xf numFmtId="0" fontId="118" fillId="54" borderId="239" applyNumberFormat="0" applyAlignment="0" applyProtection="0"/>
    <xf numFmtId="0" fontId="118" fillId="54" borderId="239" applyNumberFormat="0" applyAlignment="0" applyProtection="0"/>
    <xf numFmtId="4" fontId="60" fillId="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4" fontId="60" fillId="35" borderId="233" applyNumberFormat="0" applyProtection="0">
      <alignment horizontal="left" vertical="center" indent="1"/>
    </xf>
    <xf numFmtId="4" fontId="60" fillId="20" borderId="233" applyNumberFormat="0" applyProtection="0">
      <alignment horizontal="right" vertical="center"/>
    </xf>
    <xf numFmtId="4" fontId="100" fillId="2" borderId="233" applyNumberFormat="0" applyProtection="0">
      <alignment vertical="center"/>
    </xf>
    <xf numFmtId="0" fontId="88" fillId="53" borderId="239" applyNumberFormat="0" applyFont="0" applyAlignment="0" applyProtection="0"/>
    <xf numFmtId="0" fontId="118" fillId="54" borderId="239" applyNumberFormat="0" applyAlignment="0" applyProtection="0"/>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4" fontId="60" fillId="35" borderId="233" applyNumberFormat="0" applyProtection="0">
      <alignment vertical="center"/>
    </xf>
    <xf numFmtId="4" fontId="60" fillId="25" borderId="233" applyNumberFormat="0" applyProtection="0">
      <alignment horizontal="right" vertical="center"/>
    </xf>
    <xf numFmtId="3" fontId="67" fillId="0" borderId="214"/>
    <xf numFmtId="3" fontId="67" fillId="0" borderId="214"/>
    <xf numFmtId="4" fontId="60" fillId="27" borderId="233" applyNumberFormat="0" applyProtection="0">
      <alignment horizontal="right" vertical="center"/>
    </xf>
    <xf numFmtId="4" fontId="60" fillId="2" borderId="233" applyNumberFormat="0" applyProtection="0">
      <alignment vertical="center"/>
    </xf>
    <xf numFmtId="4" fontId="60" fillId="28" borderId="233" applyNumberFormat="0" applyProtection="0">
      <alignment horizontal="right" vertical="center"/>
    </xf>
    <xf numFmtId="0" fontId="56" fillId="19"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vertical="center"/>
    </xf>
    <xf numFmtId="0" fontId="56" fillId="34" borderId="233" applyNumberFormat="0" applyProtection="0">
      <alignment horizontal="left" vertical="center" indent="1"/>
    </xf>
    <xf numFmtId="4" fontId="100" fillId="30" borderId="233" applyNumberFormat="0" applyProtection="0">
      <alignment horizontal="right" vertical="center"/>
    </xf>
    <xf numFmtId="4" fontId="60" fillId="26" borderId="233" applyNumberFormat="0" applyProtection="0">
      <alignment horizontal="right" vertical="center"/>
    </xf>
    <xf numFmtId="4" fontId="60" fillId="22" borderId="233" applyNumberFormat="0" applyProtection="0">
      <alignment horizontal="right" vertical="center"/>
    </xf>
    <xf numFmtId="0" fontId="56" fillId="19" borderId="233" applyNumberFormat="0" applyProtection="0">
      <alignment horizontal="left" vertical="center" indent="1"/>
    </xf>
    <xf numFmtId="0" fontId="56" fillId="33"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56" fillId="33" borderId="233" applyNumberFormat="0" applyProtection="0">
      <alignment horizontal="left" vertical="center" indent="1"/>
    </xf>
    <xf numFmtId="0" fontId="56" fillId="33" borderId="233" applyNumberFormat="0" applyProtection="0">
      <alignment horizontal="left" vertical="center" indent="1"/>
    </xf>
    <xf numFmtId="4" fontId="100" fillId="35" borderId="233" applyNumberFormat="0" applyProtection="0">
      <alignment vertical="center"/>
    </xf>
    <xf numFmtId="4" fontId="60" fillId="24" borderId="233" applyNumberFormat="0" applyProtection="0">
      <alignment horizontal="right" vertical="center"/>
    </xf>
    <xf numFmtId="0" fontId="56" fillId="19" borderId="233" applyNumberFormat="0" applyProtection="0">
      <alignment horizontal="left" vertical="center" indent="1"/>
    </xf>
    <xf numFmtId="4" fontId="60" fillId="30" borderId="233" applyNumberFormat="0" applyProtection="0">
      <alignment horizontal="right" vertical="center"/>
    </xf>
    <xf numFmtId="0" fontId="56" fillId="33" borderId="233" applyNumberFormat="0" applyProtection="0">
      <alignment horizontal="left" vertical="center" indent="1"/>
    </xf>
    <xf numFmtId="4" fontId="60" fillId="21" borderId="233" applyNumberFormat="0" applyProtection="0">
      <alignment horizontal="right" vertical="center"/>
    </xf>
    <xf numFmtId="4" fontId="60" fillId="32" borderId="233" applyNumberFormat="0" applyProtection="0">
      <alignment horizontal="left" vertical="center" indent="1"/>
    </xf>
    <xf numFmtId="0" fontId="56" fillId="19" borderId="233" applyNumberFormat="0" applyProtection="0">
      <alignment horizontal="left" vertical="center" indent="1"/>
    </xf>
    <xf numFmtId="0" fontId="118" fillId="54" borderId="239" applyNumberFormat="0" applyAlignment="0" applyProtection="0"/>
    <xf numFmtId="4" fontId="60" fillId="22" borderId="233" applyNumberFormat="0" applyProtection="0">
      <alignment horizontal="right" vertical="center"/>
    </xf>
    <xf numFmtId="0" fontId="56" fillId="19" borderId="233" applyNumberFormat="0" applyProtection="0">
      <alignment horizontal="left" vertical="center" indent="1"/>
    </xf>
    <xf numFmtId="0" fontId="56" fillId="34" borderId="233" applyNumberFormat="0" applyProtection="0">
      <alignment horizontal="left" vertical="center" indent="1"/>
    </xf>
    <xf numFmtId="4" fontId="60" fillId="30" borderId="233" applyNumberFormat="0" applyProtection="0">
      <alignment horizontal="left" vertical="center" indent="1"/>
    </xf>
    <xf numFmtId="0" fontId="56" fillId="19" borderId="233" applyNumberFormat="0" applyProtection="0">
      <alignment horizontal="left" vertical="center" indent="1"/>
    </xf>
    <xf numFmtId="0" fontId="114" fillId="56" borderId="239" applyNumberFormat="0" applyAlignment="0" applyProtection="0"/>
    <xf numFmtId="0" fontId="56" fillId="34" borderId="233" applyNumberFormat="0" applyProtection="0">
      <alignment horizontal="left" vertical="center" indent="1"/>
    </xf>
    <xf numFmtId="10" fontId="88" fillId="17" borderId="214" applyNumberFormat="0" applyBorder="0" applyAlignment="0" applyProtection="0"/>
    <xf numFmtId="0" fontId="56" fillId="19" borderId="233" applyNumberFormat="0" applyProtection="0">
      <alignment horizontal="left" vertical="center" indent="1"/>
    </xf>
    <xf numFmtId="4" fontId="60" fillId="32" borderId="233" applyNumberFormat="0" applyProtection="0">
      <alignment horizontal="left" vertical="center" indent="1"/>
    </xf>
    <xf numFmtId="4" fontId="100" fillId="35" borderId="233" applyNumberFormat="0" applyProtection="0">
      <alignment vertical="center"/>
    </xf>
    <xf numFmtId="4" fontId="60" fillId="35" borderId="233" applyNumberFormat="0" applyProtection="0">
      <alignment horizontal="left" vertical="center" indent="1"/>
    </xf>
    <xf numFmtId="0" fontId="56" fillId="19" borderId="233" applyNumberFormat="0" applyProtection="0">
      <alignment horizontal="left" vertical="center" indent="1"/>
    </xf>
    <xf numFmtId="4" fontId="60" fillId="21" borderId="233" applyNumberFormat="0" applyProtection="0">
      <alignment horizontal="right" vertical="center"/>
    </xf>
    <xf numFmtId="4" fontId="60" fillId="30" borderId="233" applyNumberFormat="0" applyProtection="0">
      <alignment horizontal="left" vertical="center" indent="1"/>
    </xf>
    <xf numFmtId="4" fontId="60" fillId="30" borderId="233" applyNumberFormat="0" applyProtection="0">
      <alignment horizontal="right" vertical="center"/>
    </xf>
    <xf numFmtId="4" fontId="60" fillId="23" borderId="233" applyNumberFormat="0" applyProtection="0">
      <alignment horizontal="right" vertical="center"/>
    </xf>
    <xf numFmtId="0" fontId="56" fillId="34" borderId="233" applyNumberFormat="0" applyProtection="0">
      <alignment horizontal="left" vertical="center" indent="1"/>
    </xf>
    <xf numFmtId="4" fontId="100" fillId="35" borderId="233" applyNumberFormat="0" applyProtection="0">
      <alignment vertical="center"/>
    </xf>
    <xf numFmtId="0" fontId="56" fillId="19" borderId="233" applyNumberFormat="0" applyProtection="0">
      <alignment horizontal="left" vertical="center" indent="1"/>
    </xf>
    <xf numFmtId="4" fontId="60" fillId="28" borderId="233" applyNumberFormat="0" applyProtection="0">
      <alignment horizontal="right" vertical="center"/>
    </xf>
    <xf numFmtId="0" fontId="56" fillId="19" borderId="233" applyNumberFormat="0" applyProtection="0">
      <alignment horizontal="left" vertical="center" indent="1"/>
    </xf>
    <xf numFmtId="4" fontId="60" fillId="30"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right" vertical="center"/>
    </xf>
    <xf numFmtId="0" fontId="56" fillId="19" borderId="233" applyNumberFormat="0" applyProtection="0">
      <alignment horizontal="left" vertical="center" indent="1"/>
    </xf>
    <xf numFmtId="0" fontId="90" fillId="0" borderId="195">
      <alignment horizontal="left" vertical="center"/>
    </xf>
    <xf numFmtId="0" fontId="56" fillId="19" borderId="233" applyNumberFormat="0" applyProtection="0">
      <alignment horizontal="left" vertical="center" indent="1"/>
    </xf>
    <xf numFmtId="4" fontId="60" fillId="24" borderId="233" applyNumberFormat="0" applyProtection="0">
      <alignment horizontal="right" vertical="center"/>
    </xf>
    <xf numFmtId="4" fontId="60" fillId="26" borderId="233" applyNumberFormat="0" applyProtection="0">
      <alignment horizontal="right" vertical="center"/>
    </xf>
    <xf numFmtId="0" fontId="121" fillId="60" borderId="238" applyBorder="0"/>
    <xf numFmtId="0" fontId="56" fillId="33" borderId="233" applyNumberFormat="0" applyProtection="0">
      <alignment horizontal="left" vertical="center" indent="1"/>
    </xf>
    <xf numFmtId="0" fontId="56" fillId="19" borderId="233" applyNumberFormat="0" applyProtection="0">
      <alignment horizontal="left" vertical="center" indent="1"/>
    </xf>
    <xf numFmtId="0" fontId="56" fillId="32" borderId="233" applyNumberFormat="0" applyProtection="0">
      <alignment horizontal="left" vertical="center" indent="1"/>
    </xf>
    <xf numFmtId="0" fontId="118" fillId="54" borderId="239" applyNumberFormat="0" applyAlignment="0" applyProtection="0"/>
    <xf numFmtId="0" fontId="56" fillId="19" borderId="233" applyNumberFormat="0" applyProtection="0">
      <alignment horizontal="left" vertical="center" indent="1"/>
    </xf>
    <xf numFmtId="0" fontId="56" fillId="32"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4" fontId="60" fillId="23" borderId="233" applyNumberFormat="0" applyProtection="0">
      <alignment horizontal="right" vertical="center"/>
    </xf>
    <xf numFmtId="4" fontId="60" fillId="22" borderId="233" applyNumberFormat="0" applyProtection="0">
      <alignment horizontal="right" vertical="center"/>
    </xf>
    <xf numFmtId="4" fontId="60" fillId="2" borderId="233" applyNumberFormat="0" applyProtection="0">
      <alignment vertical="center"/>
    </xf>
    <xf numFmtId="4" fontId="60" fillId="28" borderId="233" applyNumberFormat="0" applyProtection="0">
      <alignment horizontal="right" vertical="center"/>
    </xf>
    <xf numFmtId="0" fontId="56" fillId="33" borderId="233" applyNumberFormat="0" applyProtection="0">
      <alignment horizontal="left" vertical="center" indent="1"/>
    </xf>
    <xf numFmtId="4" fontId="60" fillId="2" borderId="233" applyNumberFormat="0" applyProtection="0">
      <alignment vertical="center"/>
    </xf>
    <xf numFmtId="0" fontId="157" fillId="98" borderId="230" applyNumberFormat="0" applyAlignment="0" applyProtection="0">
      <alignment vertical="center"/>
    </xf>
    <xf numFmtId="0" fontId="118" fillId="54" borderId="239" applyNumberFormat="0" applyAlignment="0" applyProtection="0"/>
    <xf numFmtId="0" fontId="118" fillId="54" borderId="239" applyNumberFormat="0" applyAlignment="0" applyProtection="0"/>
    <xf numFmtId="4" fontId="60" fillId="22" borderId="233" applyNumberFormat="0" applyProtection="0">
      <alignment horizontal="right" vertical="center"/>
    </xf>
    <xf numFmtId="4" fontId="60" fillId="24" borderId="233" applyNumberFormat="0" applyProtection="0">
      <alignment horizontal="righ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4" fontId="60" fillId="2" borderId="233" applyNumberFormat="0" applyProtection="0">
      <alignment vertical="center"/>
    </xf>
    <xf numFmtId="0" fontId="56" fillId="19" borderId="233" applyNumberFormat="0" applyProtection="0">
      <alignment horizontal="left" vertical="center" indent="1"/>
    </xf>
    <xf numFmtId="4" fontId="60" fillId="32" borderId="233" applyNumberFormat="0" applyProtection="0">
      <alignment horizontal="left" vertical="center" indent="1"/>
    </xf>
    <xf numFmtId="4" fontId="60" fillId="30" borderId="233" applyNumberFormat="0" applyProtection="0">
      <alignment horizontal="left" vertical="center" indent="1"/>
    </xf>
    <xf numFmtId="0" fontId="22" fillId="10" borderId="231" applyNumberFormat="0" applyFont="0" applyAlignment="0" applyProtection="0">
      <alignment vertical="center"/>
    </xf>
    <xf numFmtId="0" fontId="114" fillId="56" borderId="239" applyNumberFormat="0" applyAlignment="0" applyProtection="0"/>
    <xf numFmtId="4" fontId="100" fillId="30" borderId="233" applyNumberFormat="0" applyProtection="0">
      <alignment horizontal="right" vertical="center"/>
    </xf>
    <xf numFmtId="0" fontId="118" fillId="54" borderId="239" applyNumberFormat="0" applyAlignment="0" applyProtection="0"/>
    <xf numFmtId="0" fontId="118" fillId="54" borderId="239" applyNumberFormat="0" applyAlignment="0" applyProtection="0"/>
    <xf numFmtId="0" fontId="56" fillId="32" borderId="233" applyNumberFormat="0" applyProtection="0">
      <alignment horizontal="left" vertical="center" indent="1"/>
    </xf>
    <xf numFmtId="4" fontId="60" fillId="25" borderId="233" applyNumberFormat="0" applyProtection="0">
      <alignment horizontal="right" vertical="center"/>
    </xf>
    <xf numFmtId="0" fontId="118" fillId="54" borderId="239" applyNumberFormat="0" applyAlignment="0" applyProtection="0"/>
    <xf numFmtId="0" fontId="56" fillId="19" borderId="233" applyNumberFormat="0" applyProtection="0">
      <alignment horizontal="left" vertical="center" indent="1"/>
    </xf>
    <xf numFmtId="4" fontId="100" fillId="2" borderId="233" applyNumberFormat="0" applyProtection="0">
      <alignment vertical="center"/>
    </xf>
    <xf numFmtId="0" fontId="121" fillId="60" borderId="238" applyBorder="0"/>
    <xf numFmtId="4" fontId="60" fillId="35" borderId="233" applyNumberFormat="0" applyProtection="0">
      <alignment vertical="center"/>
    </xf>
    <xf numFmtId="4" fontId="60" fillId="2" borderId="233" applyNumberFormat="0" applyProtection="0">
      <alignment horizontal="left" vertical="center" indent="1"/>
    </xf>
    <xf numFmtId="4" fontId="100" fillId="35" borderId="233" applyNumberFormat="0" applyProtection="0">
      <alignment vertical="center"/>
    </xf>
    <xf numFmtId="4" fontId="60" fillId="2" borderId="233" applyNumberFormat="0" applyProtection="0">
      <alignment vertical="center"/>
    </xf>
    <xf numFmtId="4" fontId="101" fillId="29" borderId="233" applyNumberFormat="0" applyProtection="0">
      <alignment horizontal="left" vertical="center" indent="1"/>
    </xf>
    <xf numFmtId="0" fontId="114" fillId="56" borderId="239" applyNumberFormat="0" applyAlignment="0" applyProtection="0"/>
    <xf numFmtId="0" fontId="56" fillId="19" borderId="233" applyNumberFormat="0" applyProtection="0">
      <alignment horizontal="left" vertical="center" indent="1"/>
    </xf>
    <xf numFmtId="0" fontId="118" fillId="54" borderId="239" applyNumberFormat="0" applyAlignment="0" applyProtection="0"/>
    <xf numFmtId="4" fontId="60" fillId="2" borderId="233" applyNumberFormat="0" applyProtection="0">
      <alignment horizontal="left" vertical="center" indent="1"/>
    </xf>
    <xf numFmtId="4" fontId="60" fillId="35" borderId="233" applyNumberFormat="0" applyProtection="0">
      <alignment vertical="center"/>
    </xf>
    <xf numFmtId="0" fontId="56" fillId="34" borderId="233" applyNumberFormat="0" applyProtection="0">
      <alignment horizontal="left" vertical="center" indent="1"/>
    </xf>
    <xf numFmtId="0" fontId="88" fillId="53" borderId="239" applyNumberFormat="0" applyFont="0" applyAlignment="0" applyProtection="0"/>
    <xf numFmtId="4" fontId="60" fillId="27" borderId="233" applyNumberFormat="0" applyProtection="0">
      <alignment horizontal="right" vertical="center"/>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2" borderId="233" applyNumberFormat="0" applyProtection="0">
      <alignment horizontal="right" vertical="center"/>
    </xf>
    <xf numFmtId="0" fontId="56" fillId="19" borderId="233" applyNumberFormat="0" applyProtection="0">
      <alignment horizontal="left" vertical="center" indent="1"/>
    </xf>
    <xf numFmtId="4" fontId="60" fillId="23" borderId="233" applyNumberFormat="0" applyProtection="0">
      <alignment horizontal="right" vertical="center"/>
    </xf>
    <xf numFmtId="0" fontId="56" fillId="19" borderId="233" applyNumberFormat="0" applyProtection="0">
      <alignment horizontal="left" vertical="center" indent="1"/>
    </xf>
    <xf numFmtId="0" fontId="88" fillId="53" borderId="239" applyNumberFormat="0" applyFont="0" applyAlignment="0" applyProtection="0"/>
    <xf numFmtId="4" fontId="60" fillId="26" borderId="233" applyNumberFormat="0" applyProtection="0">
      <alignment horizontal="righ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4" fontId="60" fillId="27" borderId="233" applyNumberFormat="0" applyProtection="0">
      <alignment horizontal="right" vertical="center"/>
    </xf>
    <xf numFmtId="4" fontId="60" fillId="35" borderId="233" applyNumberFormat="0" applyProtection="0">
      <alignment vertical="center"/>
    </xf>
    <xf numFmtId="4" fontId="60" fillId="32" borderId="233" applyNumberFormat="0" applyProtection="0">
      <alignment horizontal="left" vertical="center" indent="1"/>
    </xf>
    <xf numFmtId="4" fontId="60" fillId="26"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4" fontId="60" fillId="2" borderId="233" applyNumberFormat="0" applyProtection="0">
      <alignment vertical="center"/>
    </xf>
    <xf numFmtId="4" fontId="60" fillId="24" borderId="233" applyNumberFormat="0" applyProtection="0">
      <alignment horizontal="right" vertical="center"/>
    </xf>
    <xf numFmtId="0" fontId="56" fillId="33" borderId="233" applyNumberFormat="0" applyProtection="0">
      <alignment horizontal="left" vertical="center" indent="1"/>
    </xf>
    <xf numFmtId="4" fontId="60" fillId="22" borderId="233" applyNumberFormat="0" applyProtection="0">
      <alignment horizontal="right" vertical="center"/>
    </xf>
    <xf numFmtId="4" fontId="60" fillId="28" borderId="233" applyNumberFormat="0" applyProtection="0">
      <alignment horizontal="right" vertical="center"/>
    </xf>
    <xf numFmtId="4" fontId="100" fillId="35" borderId="233" applyNumberFormat="0" applyProtection="0">
      <alignmen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118" fillId="54" borderId="239"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0" fontId="120" fillId="56" borderId="233" applyNumberFormat="0" applyAlignment="0" applyProtection="0"/>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6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100" fillId="2" borderId="233" applyNumberFormat="0" applyProtection="0">
      <alignment vertical="center"/>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0"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1"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2"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3"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4"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5"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6"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7"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60" fillId="28" borderId="233" applyNumberFormat="0" applyProtection="0">
      <alignment horizontal="right" vertical="center"/>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101" fillId="29" borderId="233" applyNumberFormat="0" applyProtection="0">
      <alignment horizontal="left" vertical="center" indent="1"/>
    </xf>
    <xf numFmtId="4" fontId="60" fillId="30" borderId="235" applyNumberFormat="0" applyProtection="0">
      <alignment horizontal="left" vertical="center" indent="1"/>
    </xf>
    <xf numFmtId="4" fontId="60" fillId="30" borderId="235"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4" fontId="60"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2"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3"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6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100" fillId="35" borderId="233" applyNumberFormat="0" applyProtection="0">
      <alignment vertical="center"/>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5" borderId="233" applyNumberFormat="0" applyProtection="0">
      <alignment horizontal="left" vertical="center" indent="1"/>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6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4" fontId="10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4" fontId="104" fillId="30" borderId="233" applyNumberFormat="0" applyProtection="0">
      <alignment horizontal="right" vertical="center"/>
    </xf>
    <xf numFmtId="0" fontId="56" fillId="19" borderId="233" applyNumberFormat="0" applyProtection="0">
      <alignment horizontal="left" vertical="center" indent="1"/>
    </xf>
    <xf numFmtId="4" fontId="60" fillId="20" borderId="233" applyNumberFormat="0" applyProtection="0">
      <alignment horizontal="right" vertical="center"/>
    </xf>
    <xf numFmtId="4" fontId="60" fillId="2" borderId="233" applyNumberFormat="0" applyProtection="0">
      <alignment horizontal="left" vertical="center" indent="1"/>
    </xf>
    <xf numFmtId="4" fontId="60" fillId="35" borderId="233" applyNumberFormat="0" applyProtection="0">
      <alignment vertical="center"/>
    </xf>
    <xf numFmtId="0" fontId="56" fillId="32" borderId="233" applyNumberFormat="0" applyProtection="0">
      <alignment horizontal="left" vertical="center" indent="1"/>
    </xf>
    <xf numFmtId="0" fontId="118" fillId="54" borderId="239" applyNumberFormat="0" applyAlignment="0" applyProtection="0"/>
    <xf numFmtId="0" fontId="56" fillId="19" borderId="233" applyNumberFormat="0" applyProtection="0">
      <alignment horizontal="left" vertical="center" indent="1"/>
    </xf>
    <xf numFmtId="0" fontId="56" fillId="34" borderId="233" applyNumberFormat="0" applyProtection="0">
      <alignment horizontal="left" vertical="center" indent="1"/>
    </xf>
    <xf numFmtId="4" fontId="60" fillId="2" borderId="233" applyNumberFormat="0" applyProtection="0">
      <alignment horizontal="left" vertical="center" indent="1"/>
    </xf>
    <xf numFmtId="0" fontId="118" fillId="54" borderId="239" applyNumberFormat="0" applyAlignment="0" applyProtection="0"/>
    <xf numFmtId="4" fontId="101" fillId="29" borderId="233" applyNumberFormat="0" applyProtection="0">
      <alignment horizontal="left" vertical="center" indent="1"/>
    </xf>
    <xf numFmtId="4" fontId="60" fillId="2" borderId="233" applyNumberFormat="0" applyProtection="0">
      <alignment vertical="center"/>
    </xf>
    <xf numFmtId="4" fontId="60" fillId="23" borderId="233" applyNumberFormat="0" applyProtection="0">
      <alignment horizontal="right" vertical="center"/>
    </xf>
    <xf numFmtId="4" fontId="60" fillId="28" borderId="233" applyNumberFormat="0" applyProtection="0">
      <alignment horizontal="right" vertical="center"/>
    </xf>
    <xf numFmtId="0" fontId="56" fillId="19" borderId="233" applyNumberFormat="0" applyProtection="0">
      <alignment horizontal="left" vertical="center" indent="1"/>
    </xf>
    <xf numFmtId="196" fontId="83" fillId="0" borderId="214" applyFill="0" applyBorder="0" applyAlignment="0"/>
    <xf numFmtId="0" fontId="56" fillId="33" borderId="233" applyNumberFormat="0" applyProtection="0">
      <alignment horizontal="left" vertical="center" indent="1"/>
    </xf>
    <xf numFmtId="0" fontId="118" fillId="54" borderId="239" applyNumberFormat="0" applyAlignment="0" applyProtection="0"/>
    <xf numFmtId="0" fontId="56" fillId="19" borderId="233" applyNumberFormat="0" applyProtection="0">
      <alignment horizontal="left" vertical="center" indent="1"/>
    </xf>
    <xf numFmtId="0" fontId="56" fillId="33" borderId="233" applyNumberFormat="0" applyProtection="0">
      <alignment horizontal="left" vertical="center" indent="1"/>
    </xf>
    <xf numFmtId="4" fontId="60" fillId="23" borderId="233" applyNumberFormat="0" applyProtection="0">
      <alignment horizontal="right" vertical="center"/>
    </xf>
    <xf numFmtId="0" fontId="56" fillId="19" borderId="233" applyNumberFormat="0" applyProtection="0">
      <alignment horizontal="left" vertical="center" indent="1"/>
    </xf>
    <xf numFmtId="0" fontId="56" fillId="32"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0" fillId="2" borderId="233" applyNumberFormat="0" applyProtection="0">
      <alignment vertical="center"/>
    </xf>
    <xf numFmtId="4" fontId="100" fillId="2" borderId="233" applyNumberFormat="0" applyProtection="0">
      <alignment vertical="center"/>
    </xf>
    <xf numFmtId="4" fontId="101" fillId="29" borderId="233" applyNumberFormat="0" applyProtection="0">
      <alignment horizontal="left" vertical="center" indent="1"/>
    </xf>
    <xf numFmtId="0" fontId="56" fillId="19" borderId="233" applyNumberFormat="0" applyProtection="0">
      <alignment horizontal="left" vertical="center" indent="1"/>
    </xf>
    <xf numFmtId="4" fontId="60" fillId="28" borderId="233" applyNumberFormat="0" applyProtection="0">
      <alignment horizontal="right" vertical="center"/>
    </xf>
    <xf numFmtId="0" fontId="88" fillId="53" borderId="239" applyNumberFormat="0" applyFont="0" applyAlignment="0" applyProtection="0"/>
    <xf numFmtId="4" fontId="60" fillId="22" borderId="233" applyNumberFormat="0" applyProtection="0">
      <alignment horizontal="right" vertical="center"/>
    </xf>
    <xf numFmtId="4" fontId="100" fillId="35" borderId="233" applyNumberFormat="0" applyProtection="0">
      <alignment vertical="center"/>
    </xf>
    <xf numFmtId="0" fontId="120" fillId="56" borderId="233" applyNumberFormat="0" applyAlignment="0" applyProtection="0"/>
    <xf numFmtId="0" fontId="56" fillId="32" borderId="233" applyNumberFormat="0" applyProtection="0">
      <alignment horizontal="left" vertical="center" indent="1"/>
    </xf>
    <xf numFmtId="4" fontId="60" fillId="30" borderId="233" applyNumberFormat="0" applyProtection="0">
      <alignment horizontal="right" vertical="center"/>
    </xf>
    <xf numFmtId="0" fontId="56" fillId="19" borderId="233" applyNumberFormat="0" applyProtection="0">
      <alignment horizontal="left" vertical="center" indent="1"/>
    </xf>
    <xf numFmtId="0" fontId="114" fillId="56" borderId="239" applyNumberFormat="0" applyAlignment="0" applyProtection="0"/>
    <xf numFmtId="0" fontId="163" fillId="111" borderId="233" applyNumberFormat="0" applyAlignment="0" applyProtection="0">
      <alignment vertical="center"/>
    </xf>
    <xf numFmtId="0" fontId="121" fillId="60" borderId="238" applyBorder="0"/>
    <xf numFmtId="4" fontId="104" fillId="30" borderId="233" applyNumberFormat="0" applyProtection="0">
      <alignment horizontal="right" vertical="center"/>
    </xf>
    <xf numFmtId="4" fontId="60" fillId="30" borderId="233" applyNumberFormat="0" applyProtection="0">
      <alignment horizontal="left" vertical="center" indent="1"/>
    </xf>
    <xf numFmtId="4" fontId="60" fillId="28" borderId="233" applyNumberFormat="0" applyProtection="0">
      <alignment horizontal="right" vertical="center"/>
    </xf>
    <xf numFmtId="0" fontId="56" fillId="19" borderId="233" applyNumberFormat="0" applyProtection="0">
      <alignment horizontal="left" vertical="center" indent="1"/>
    </xf>
    <xf numFmtId="4" fontId="60" fillId="35" borderId="233" applyNumberFormat="0" applyProtection="0">
      <alignment horizontal="left" vertical="center" indent="1"/>
    </xf>
    <xf numFmtId="0" fontId="118" fillId="54" borderId="239" applyNumberFormat="0" applyAlignment="0" applyProtection="0"/>
    <xf numFmtId="4" fontId="60" fillId="30" borderId="233" applyNumberFormat="0" applyProtection="0">
      <alignment horizontal="right" vertical="center"/>
    </xf>
    <xf numFmtId="4" fontId="60" fillId="2" borderId="233" applyNumberFormat="0" applyProtection="0">
      <alignment horizontal="left" vertical="center" indent="1"/>
    </xf>
    <xf numFmtId="0" fontId="121" fillId="60" borderId="238" applyBorder="0"/>
    <xf numFmtId="4" fontId="60" fillId="32" borderId="233" applyNumberFormat="0" applyProtection="0">
      <alignment horizontal="left" vertical="center" indent="1"/>
    </xf>
    <xf numFmtId="0" fontId="56" fillId="19" borderId="233" applyNumberFormat="0" applyProtection="0">
      <alignment horizontal="left" vertical="center" indent="1"/>
    </xf>
    <xf numFmtId="0" fontId="22" fillId="10" borderId="231" applyNumberFormat="0" applyFont="0" applyAlignment="0" applyProtection="0">
      <alignment vertical="center"/>
    </xf>
    <xf numFmtId="4" fontId="60" fillId="30" borderId="233" applyNumberFormat="0" applyProtection="0">
      <alignment horizontal="right" vertical="center"/>
    </xf>
    <xf numFmtId="4" fontId="60" fillId="30" borderId="233" applyNumberFormat="0" applyProtection="0">
      <alignment horizontal="left" vertical="center" indent="1"/>
    </xf>
    <xf numFmtId="4" fontId="60" fillId="21" borderId="233" applyNumberFormat="0" applyProtection="0">
      <alignment horizontal="right" vertical="center"/>
    </xf>
    <xf numFmtId="0" fontId="56" fillId="32" borderId="233" applyNumberFormat="0" applyProtection="0">
      <alignment horizontal="left" vertical="center" indent="1"/>
    </xf>
    <xf numFmtId="4" fontId="60" fillId="30" borderId="233" applyNumberFormat="0" applyProtection="0">
      <alignment horizontal="right" vertical="center"/>
    </xf>
    <xf numFmtId="0" fontId="56" fillId="19" borderId="233" applyNumberFormat="0" applyProtection="0">
      <alignment horizontal="left" vertical="center" indent="1"/>
    </xf>
    <xf numFmtId="4" fontId="60" fillId="32" borderId="233" applyNumberFormat="0" applyProtection="0">
      <alignment horizontal="left" vertical="center" indent="1"/>
    </xf>
    <xf numFmtId="0" fontId="90" fillId="0" borderId="195">
      <alignment horizontal="left" vertical="center"/>
    </xf>
    <xf numFmtId="4" fontId="60" fillId="23" borderId="233" applyNumberFormat="0" applyProtection="0">
      <alignment horizontal="right" vertical="center"/>
    </xf>
    <xf numFmtId="4" fontId="60" fillId="35" borderId="233" applyNumberFormat="0" applyProtection="0">
      <alignment horizontal="left" vertical="center" indent="1"/>
    </xf>
    <xf numFmtId="0" fontId="118" fillId="54" borderId="239" applyNumberFormat="0" applyAlignment="0" applyProtection="0"/>
    <xf numFmtId="0" fontId="88" fillId="53" borderId="239" applyNumberFormat="0" applyFont="0" applyAlignment="0" applyProtection="0"/>
    <xf numFmtId="0" fontId="56" fillId="19" borderId="233" applyNumberFormat="0" applyProtection="0">
      <alignment horizontal="left" vertical="center" indent="1"/>
    </xf>
    <xf numFmtId="4" fontId="60" fillId="35" borderId="233" applyNumberFormat="0" applyProtection="0">
      <alignment horizontal="left" vertical="center" indent="1"/>
    </xf>
    <xf numFmtId="4" fontId="104" fillId="30" borderId="233" applyNumberFormat="0" applyProtection="0">
      <alignment horizontal="right" vertical="center"/>
    </xf>
    <xf numFmtId="0" fontId="56" fillId="3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0" fontId="118" fillId="54" borderId="239" applyNumberFormat="0" applyAlignment="0" applyProtection="0"/>
    <xf numFmtId="0" fontId="99" fillId="1" borderId="195" applyNumberFormat="0" applyFont="0" applyAlignment="0">
      <alignment horizontal="center"/>
    </xf>
    <xf numFmtId="0" fontId="56" fillId="19" borderId="233" applyNumberFormat="0" applyProtection="0">
      <alignment horizontal="left" vertical="center" indent="1"/>
    </xf>
    <xf numFmtId="4" fontId="60" fillId="27" borderId="233" applyNumberFormat="0" applyProtection="0">
      <alignment horizontal="right" vertical="center"/>
    </xf>
    <xf numFmtId="4" fontId="60" fillId="35" borderId="233" applyNumberFormat="0" applyProtection="0">
      <alignment vertical="center"/>
    </xf>
    <xf numFmtId="4" fontId="100" fillId="35" borderId="233" applyNumberFormat="0" applyProtection="0">
      <alignment vertical="center"/>
    </xf>
    <xf numFmtId="0" fontId="56" fillId="34" borderId="233" applyNumberFormat="0" applyProtection="0">
      <alignment horizontal="left" vertical="center" indent="1"/>
    </xf>
    <xf numFmtId="4" fontId="60" fillId="28" borderId="233" applyNumberFormat="0" applyProtection="0">
      <alignment horizontal="right" vertical="center"/>
    </xf>
    <xf numFmtId="4" fontId="60" fillId="2" borderId="233" applyNumberFormat="0" applyProtection="0">
      <alignment horizontal="left" vertical="center" indent="1"/>
    </xf>
    <xf numFmtId="4" fontId="101" fillId="29" borderId="233" applyNumberFormat="0" applyProtection="0">
      <alignment horizontal="left" vertical="center" indent="1"/>
    </xf>
    <xf numFmtId="10" fontId="88" fillId="17" borderId="214" applyNumberFormat="0" applyBorder="0" applyAlignment="0" applyProtection="0"/>
    <xf numFmtId="4" fontId="60" fillId="35" borderId="233" applyNumberFormat="0" applyProtection="0">
      <alignment vertical="center"/>
    </xf>
    <xf numFmtId="4" fontId="101" fillId="29" borderId="233" applyNumberFormat="0" applyProtection="0">
      <alignment horizontal="left" vertical="center" indent="1"/>
    </xf>
    <xf numFmtId="0" fontId="88" fillId="53" borderId="239" applyNumberFormat="0" applyFont="0" applyAlignment="0" applyProtection="0"/>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100" fillId="35" borderId="233" applyNumberFormat="0" applyProtection="0">
      <alignment vertical="center"/>
    </xf>
    <xf numFmtId="0" fontId="120" fillId="56" borderId="233" applyNumberFormat="0" applyAlignment="0" applyProtection="0"/>
    <xf numFmtId="4" fontId="60" fillId="23" borderId="233" applyNumberFormat="0" applyProtection="0">
      <alignment horizontal="right" vertical="center"/>
    </xf>
    <xf numFmtId="4" fontId="60" fillId="35" borderId="233" applyNumberFormat="0" applyProtection="0">
      <alignment horizontal="left" vertical="center" indent="1"/>
    </xf>
    <xf numFmtId="0" fontId="56" fillId="34" borderId="233" applyNumberFormat="0" applyProtection="0">
      <alignment horizontal="left" vertical="center" indent="1"/>
    </xf>
    <xf numFmtId="4" fontId="100" fillId="30" borderId="233" applyNumberFormat="0" applyProtection="0">
      <alignment horizontal="right" vertical="center"/>
    </xf>
    <xf numFmtId="4" fontId="60" fillId="30" borderId="233" applyNumberFormat="0" applyProtection="0">
      <alignment horizontal="left" vertical="center" indent="1"/>
    </xf>
    <xf numFmtId="3" fontId="67" fillId="0" borderId="214"/>
    <xf numFmtId="4" fontId="100" fillId="2" borderId="233" applyNumberFormat="0" applyProtection="0">
      <alignment vertical="center"/>
    </xf>
    <xf numFmtId="0" fontId="120" fillId="56" borderId="233" applyNumberFormat="0" applyAlignment="0" applyProtection="0"/>
    <xf numFmtId="4" fontId="60" fillId="25" borderId="233" applyNumberFormat="0" applyProtection="0">
      <alignment horizontal="righ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0" fontId="56" fillId="32" borderId="233" applyNumberFormat="0" applyProtection="0">
      <alignment horizontal="left" vertical="center" indent="1"/>
    </xf>
    <xf numFmtId="0" fontId="56" fillId="19" borderId="233" applyNumberFormat="0" applyProtection="0">
      <alignment horizontal="left" vertical="center" indent="1"/>
    </xf>
    <xf numFmtId="4" fontId="100" fillId="2" borderId="233" applyNumberFormat="0" applyProtection="0">
      <alignment vertical="center"/>
    </xf>
    <xf numFmtId="0" fontId="56" fillId="32" borderId="233" applyNumberFormat="0" applyProtection="0">
      <alignment horizontal="left" vertical="center" indent="1"/>
    </xf>
    <xf numFmtId="4" fontId="60" fillId="21" borderId="233" applyNumberFormat="0" applyProtection="0">
      <alignment horizontal="right" vertical="center"/>
    </xf>
    <xf numFmtId="0" fontId="88" fillId="53" borderId="239" applyNumberFormat="0" applyFont="0" applyAlignment="0" applyProtection="0"/>
    <xf numFmtId="0" fontId="118" fillId="54" borderId="239" applyNumberFormat="0" applyAlignment="0" applyProtection="0"/>
    <xf numFmtId="4" fontId="60" fillId="30" borderId="233" applyNumberFormat="0" applyProtection="0">
      <alignment horizontal="left" vertical="center" indent="1"/>
    </xf>
    <xf numFmtId="4" fontId="60" fillId="27" borderId="233" applyNumberFormat="0" applyProtection="0">
      <alignment horizontal="right" vertical="center"/>
    </xf>
    <xf numFmtId="0" fontId="146" fillId="0" borderId="232" applyNumberFormat="0" applyFill="0" applyAlignment="0" applyProtection="0">
      <alignment vertical="center"/>
    </xf>
    <xf numFmtId="4" fontId="60" fillId="35" borderId="233" applyNumberFormat="0" applyProtection="0">
      <alignment vertical="center"/>
    </xf>
    <xf numFmtId="0" fontId="56" fillId="34" borderId="233" applyNumberFormat="0" applyProtection="0">
      <alignment horizontal="left" vertical="center" indent="1"/>
    </xf>
    <xf numFmtId="4" fontId="60" fillId="20" borderId="233" applyNumberFormat="0" applyProtection="0">
      <alignment horizontal="right" vertical="center"/>
    </xf>
    <xf numFmtId="4" fontId="60" fillId="35" borderId="233" applyNumberFormat="0" applyProtection="0">
      <alignment horizontal="left" vertical="center" indent="1"/>
    </xf>
    <xf numFmtId="0" fontId="114" fillId="56" borderId="239" applyNumberFormat="0" applyAlignment="0" applyProtection="0"/>
    <xf numFmtId="4" fontId="60" fillId="21" borderId="233" applyNumberFormat="0" applyProtection="0">
      <alignment horizontal="right" vertical="center"/>
    </xf>
    <xf numFmtId="0" fontId="56" fillId="19" borderId="233" applyNumberFormat="0" applyProtection="0">
      <alignment horizontal="left" vertical="center" indent="1"/>
    </xf>
    <xf numFmtId="3" fontId="67" fillId="0" borderId="214"/>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 borderId="233" applyNumberFormat="0" applyProtection="0">
      <alignment horizontal="left" vertical="center" indent="1"/>
    </xf>
    <xf numFmtId="4" fontId="60" fillId="26" borderId="233" applyNumberFormat="0" applyProtection="0">
      <alignment horizontal="right" vertical="center"/>
    </xf>
    <xf numFmtId="4" fontId="60" fillId="35" borderId="233" applyNumberFormat="0" applyProtection="0">
      <alignment horizontal="left" vertical="center" indent="1"/>
    </xf>
    <xf numFmtId="10" fontId="88" fillId="17" borderId="214" applyNumberFormat="0" applyBorder="0" applyAlignment="0" applyProtection="0"/>
    <xf numFmtId="4" fontId="60" fillId="27" borderId="233" applyNumberFormat="0" applyProtection="0">
      <alignment horizontal="right" vertical="center"/>
    </xf>
    <xf numFmtId="0" fontId="157" fillId="98" borderId="230" applyNumberFormat="0" applyAlignment="0" applyProtection="0">
      <alignment vertical="center"/>
    </xf>
    <xf numFmtId="10" fontId="88" fillId="17" borderId="214" applyNumberFormat="0" applyBorder="0" applyAlignment="0" applyProtection="0"/>
    <xf numFmtId="4" fontId="100" fillId="30" borderId="233" applyNumberFormat="0" applyProtection="0">
      <alignment horizontal="right" vertical="center"/>
    </xf>
    <xf numFmtId="4" fontId="60" fillId="21" borderId="233" applyNumberFormat="0" applyProtection="0">
      <alignment horizontal="right" vertical="center"/>
    </xf>
    <xf numFmtId="0" fontId="120" fillId="56" borderId="233" applyNumberFormat="0" applyAlignment="0" applyProtection="0"/>
    <xf numFmtId="4" fontId="60" fillId="25" borderId="233" applyNumberFormat="0" applyProtection="0">
      <alignment horizontal="right" vertical="center"/>
    </xf>
    <xf numFmtId="0" fontId="56" fillId="34" borderId="233" applyNumberFormat="0" applyProtection="0">
      <alignment horizontal="left" vertical="center" indent="1"/>
    </xf>
    <xf numFmtId="4" fontId="60" fillId="2" borderId="233" applyNumberFormat="0" applyProtection="0">
      <alignment vertical="center"/>
    </xf>
    <xf numFmtId="4" fontId="60" fillId="22" borderId="233" applyNumberFormat="0" applyProtection="0">
      <alignment horizontal="right" vertical="center"/>
    </xf>
    <xf numFmtId="0" fontId="114" fillId="56" borderId="239" applyNumberFormat="0" applyAlignment="0" applyProtection="0"/>
    <xf numFmtId="0" fontId="118" fillId="54" borderId="239" applyNumberFormat="0" applyAlignment="0" applyProtection="0"/>
    <xf numFmtId="4" fontId="60" fillId="2" borderId="233" applyNumberFormat="0" applyProtection="0">
      <alignment horizontal="left" vertical="center" indent="1"/>
    </xf>
    <xf numFmtId="0" fontId="56" fillId="34" borderId="233" applyNumberFormat="0" applyProtection="0">
      <alignment horizontal="left" vertical="center" indent="1"/>
    </xf>
    <xf numFmtId="4" fontId="60" fillId="27" borderId="233" applyNumberFormat="0" applyProtection="0">
      <alignment horizontal="right" vertical="center"/>
    </xf>
    <xf numFmtId="4" fontId="60" fillId="26" borderId="233" applyNumberFormat="0" applyProtection="0">
      <alignment horizontal="right" vertical="center"/>
    </xf>
    <xf numFmtId="4" fontId="60" fillId="30" borderId="235" applyNumberFormat="0" applyProtection="0">
      <alignment horizontal="left" vertical="center" indent="1"/>
    </xf>
    <xf numFmtId="4" fontId="60" fillId="30" borderId="233" applyNumberFormat="0" applyProtection="0">
      <alignment horizontal="left" vertical="center" indent="1"/>
    </xf>
    <xf numFmtId="0" fontId="118" fillId="54" borderId="239" applyNumberFormat="0" applyAlignment="0" applyProtection="0"/>
    <xf numFmtId="4" fontId="60" fillId="35" borderId="233" applyNumberFormat="0" applyProtection="0">
      <alignment horizontal="left" vertical="center" indent="1"/>
    </xf>
    <xf numFmtId="4" fontId="104" fillId="30" borderId="233" applyNumberFormat="0" applyProtection="0">
      <alignment horizontal="right" vertical="center"/>
    </xf>
    <xf numFmtId="4" fontId="60" fillId="35" borderId="233" applyNumberFormat="0" applyProtection="0">
      <alignment horizontal="left" vertical="center" indent="1"/>
    </xf>
    <xf numFmtId="0" fontId="120" fillId="56" borderId="233" applyNumberFormat="0" applyAlignment="0" applyProtection="0"/>
    <xf numFmtId="4" fontId="60" fillId="32" borderId="233" applyNumberFormat="0" applyProtection="0">
      <alignment horizontal="left" vertical="center" indent="1"/>
    </xf>
    <xf numFmtId="4" fontId="60" fillId="21" borderId="233" applyNumberFormat="0" applyProtection="0">
      <alignment horizontal="right" vertical="center"/>
    </xf>
    <xf numFmtId="0" fontId="56" fillId="33" borderId="233" applyNumberFormat="0" applyProtection="0">
      <alignment horizontal="left" vertical="center" indent="1"/>
    </xf>
    <xf numFmtId="4" fontId="60" fillId="35" borderId="233" applyNumberFormat="0" applyProtection="0">
      <alignment vertical="center"/>
    </xf>
    <xf numFmtId="4" fontId="100" fillId="2" borderId="233" applyNumberFormat="0" applyProtection="0">
      <alignment vertical="center"/>
    </xf>
    <xf numFmtId="4" fontId="104" fillId="30" borderId="233" applyNumberFormat="0" applyProtection="0">
      <alignment horizontal="right" vertical="center"/>
    </xf>
    <xf numFmtId="0" fontId="22" fillId="10" borderId="231" applyNumberFormat="0" applyFont="0" applyAlignment="0" applyProtection="0">
      <alignment vertical="center"/>
    </xf>
    <xf numFmtId="0" fontId="56" fillId="32" borderId="233" applyNumberFormat="0" applyProtection="0">
      <alignment horizontal="left" vertical="center" indent="1"/>
    </xf>
    <xf numFmtId="4" fontId="100" fillId="2" borderId="233" applyNumberFormat="0" applyProtection="0">
      <alignment vertical="center"/>
    </xf>
    <xf numFmtId="3" fontId="67" fillId="0" borderId="214"/>
    <xf numFmtId="4" fontId="60" fillId="25" borderId="233" applyNumberFormat="0" applyProtection="0">
      <alignment horizontal="right" vertical="center"/>
    </xf>
    <xf numFmtId="4" fontId="60" fillId="24" borderId="233" applyNumberFormat="0" applyProtection="0">
      <alignment horizontal="right" vertical="center"/>
    </xf>
    <xf numFmtId="4" fontId="60" fillId="2" borderId="233" applyNumberFormat="0" applyProtection="0">
      <alignment horizontal="left" vertical="center" indent="1"/>
    </xf>
    <xf numFmtId="4" fontId="101" fillId="29"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2" borderId="233" applyNumberFormat="0" applyProtection="0">
      <alignment horizontal="left" vertical="center" indent="1"/>
    </xf>
    <xf numFmtId="4" fontId="60" fillId="35" borderId="233" applyNumberFormat="0" applyProtection="0">
      <alignment horizontal="left" vertical="center" indent="1"/>
    </xf>
    <xf numFmtId="4" fontId="100" fillId="35" borderId="233" applyNumberFormat="0" applyProtection="0">
      <alignment vertical="center"/>
    </xf>
    <xf numFmtId="4" fontId="104" fillId="30" borderId="233" applyNumberFormat="0" applyProtection="0">
      <alignment horizontal="right" vertical="center"/>
    </xf>
    <xf numFmtId="0" fontId="56" fillId="19" borderId="233" applyNumberFormat="0" applyProtection="0">
      <alignment horizontal="left" vertical="center" indent="1"/>
    </xf>
    <xf numFmtId="4" fontId="100" fillId="2" borderId="233" applyNumberFormat="0" applyProtection="0">
      <alignment vertical="center"/>
    </xf>
    <xf numFmtId="4" fontId="60" fillId="30" borderId="233" applyNumberFormat="0" applyProtection="0">
      <alignment horizontal="left" vertical="center" indent="1"/>
    </xf>
    <xf numFmtId="3" fontId="67" fillId="0" borderId="214"/>
    <xf numFmtId="0" fontId="121" fillId="60" borderId="238" applyBorder="0"/>
    <xf numFmtId="0" fontId="121" fillId="60" borderId="238" applyBorder="0"/>
    <xf numFmtId="4" fontId="100" fillId="2" borderId="233" applyNumberFormat="0" applyProtection="0">
      <alignment vertical="center"/>
    </xf>
    <xf numFmtId="4" fontId="60" fillId="2" borderId="233" applyNumberFormat="0" applyProtection="0">
      <alignment horizontal="left" vertical="center" indent="1"/>
    </xf>
    <xf numFmtId="4" fontId="101" fillId="29" borderId="233" applyNumberFormat="0" applyProtection="0">
      <alignment horizontal="left" vertical="center" indent="1"/>
    </xf>
    <xf numFmtId="4" fontId="60" fillId="35" borderId="233" applyNumberFormat="0" applyProtection="0">
      <alignment vertical="center"/>
    </xf>
    <xf numFmtId="0" fontId="56" fillId="19" borderId="233" applyNumberFormat="0" applyProtection="0">
      <alignment horizontal="left" vertical="center" indent="1"/>
    </xf>
    <xf numFmtId="4" fontId="60" fillId="28" borderId="233" applyNumberFormat="0" applyProtection="0">
      <alignment horizontal="right" vertical="center"/>
    </xf>
    <xf numFmtId="4" fontId="60" fillId="30" borderId="233" applyNumberFormat="0" applyProtection="0">
      <alignment horizontal="right" vertical="center"/>
    </xf>
    <xf numFmtId="3" fontId="67" fillId="0" borderId="214"/>
    <xf numFmtId="4" fontId="60" fillId="22" borderId="233" applyNumberFormat="0" applyProtection="0">
      <alignment horizontal="right" vertical="center"/>
    </xf>
    <xf numFmtId="4" fontId="100" fillId="35" borderId="233" applyNumberFormat="0" applyProtection="0">
      <alignment vertical="center"/>
    </xf>
    <xf numFmtId="0" fontId="88" fillId="53" borderId="239" applyNumberFormat="0" applyFont="0" applyAlignment="0" applyProtection="0"/>
    <xf numFmtId="196" fontId="83" fillId="0" borderId="214" applyFill="0" applyBorder="0" applyAlignment="0"/>
    <xf numFmtId="4" fontId="60" fillId="2" borderId="233" applyNumberFormat="0" applyProtection="0">
      <alignment vertical="center"/>
    </xf>
    <xf numFmtId="4" fontId="60" fillId="26" borderId="233" applyNumberFormat="0" applyProtection="0">
      <alignment horizontal="right" vertical="center"/>
    </xf>
    <xf numFmtId="4" fontId="60" fillId="25" borderId="233" applyNumberFormat="0" applyProtection="0">
      <alignment horizontal="right" vertical="center"/>
    </xf>
    <xf numFmtId="4" fontId="60" fillId="30"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0" fontId="99" fillId="1" borderId="195" applyNumberFormat="0" applyFont="0" applyAlignment="0">
      <alignment horizont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101" fillId="29" borderId="233" applyNumberFormat="0" applyProtection="0">
      <alignment horizontal="left" vertical="center" indent="1"/>
    </xf>
    <xf numFmtId="4" fontId="104" fillId="30" borderId="233" applyNumberFormat="0" applyProtection="0">
      <alignment horizontal="right" vertical="center"/>
    </xf>
    <xf numFmtId="4" fontId="60" fillId="22" borderId="233" applyNumberFormat="0" applyProtection="0">
      <alignment horizontal="right" vertical="center"/>
    </xf>
    <xf numFmtId="196" fontId="83" fillId="0" borderId="214" applyFill="0" applyBorder="0" applyAlignment="0"/>
    <xf numFmtId="0" fontId="56" fillId="19" borderId="233" applyNumberFormat="0" applyProtection="0">
      <alignment horizontal="left" vertical="center" indent="1"/>
    </xf>
    <xf numFmtId="4" fontId="60" fillId="30" borderId="233" applyNumberFormat="0" applyProtection="0">
      <alignment horizontal="left" vertical="center" indent="1"/>
    </xf>
    <xf numFmtId="4" fontId="60" fillId="30" borderId="233" applyNumberFormat="0" applyProtection="0">
      <alignment horizontal="left" vertical="center" indent="1"/>
    </xf>
    <xf numFmtId="0" fontId="121" fillId="60" borderId="238" applyBorder="0"/>
    <xf numFmtId="0" fontId="56" fillId="19" borderId="233" applyNumberFormat="0" applyProtection="0">
      <alignment horizontal="left" vertical="center" indent="1"/>
    </xf>
    <xf numFmtId="0" fontId="56" fillId="33" borderId="233" applyNumberFormat="0" applyProtection="0">
      <alignment horizontal="left" vertical="center" indent="1"/>
    </xf>
    <xf numFmtId="4" fontId="60" fillId="21" borderId="233" applyNumberFormat="0" applyProtection="0">
      <alignment horizontal="right" vertical="center"/>
    </xf>
    <xf numFmtId="4" fontId="60" fillId="22" borderId="233" applyNumberFormat="0" applyProtection="0">
      <alignment horizontal="right" vertical="center"/>
    </xf>
    <xf numFmtId="0" fontId="56" fillId="19" borderId="233" applyNumberFormat="0" applyProtection="0">
      <alignment horizontal="left" vertical="center" indent="1"/>
    </xf>
    <xf numFmtId="0" fontId="56" fillId="32" borderId="233" applyNumberFormat="0" applyProtection="0">
      <alignment horizontal="left" vertical="center" indent="1"/>
    </xf>
    <xf numFmtId="4" fontId="60" fillId="25" borderId="233" applyNumberFormat="0" applyProtection="0">
      <alignment horizontal="right" vertical="center"/>
    </xf>
    <xf numFmtId="4" fontId="60" fillId="25" borderId="233" applyNumberFormat="0" applyProtection="0">
      <alignment horizontal="right" vertical="center"/>
    </xf>
    <xf numFmtId="0" fontId="56" fillId="32" borderId="233" applyNumberFormat="0" applyProtection="0">
      <alignment horizontal="left" vertical="center" indent="1"/>
    </xf>
    <xf numFmtId="0" fontId="56" fillId="19" borderId="233" applyNumberFormat="0" applyProtection="0">
      <alignment horizontal="left" vertical="center" indent="1"/>
    </xf>
    <xf numFmtId="4" fontId="60" fillId="30" borderId="235" applyNumberFormat="0" applyProtection="0">
      <alignment horizontal="left" vertical="center" indent="1"/>
    </xf>
    <xf numFmtId="4" fontId="60" fillId="35" borderId="233" applyNumberFormat="0" applyProtection="0">
      <alignment vertical="center"/>
    </xf>
    <xf numFmtId="0" fontId="56" fillId="19" borderId="233" applyNumberFormat="0" applyProtection="0">
      <alignment horizontal="left" vertical="center" indent="1"/>
    </xf>
    <xf numFmtId="4" fontId="60" fillId="32" borderId="233" applyNumberFormat="0" applyProtection="0">
      <alignment horizontal="left" vertical="center" indent="1"/>
    </xf>
    <xf numFmtId="0" fontId="56" fillId="34" borderId="233" applyNumberFormat="0" applyProtection="0">
      <alignment horizontal="left" vertical="center" indent="1"/>
    </xf>
    <xf numFmtId="4" fontId="60" fillId="35" borderId="233" applyNumberFormat="0" applyProtection="0">
      <alignment horizontal="left" vertical="center" indent="1"/>
    </xf>
    <xf numFmtId="0" fontId="56" fillId="19" borderId="233" applyNumberFormat="0" applyProtection="0">
      <alignment horizontal="left" vertical="center" indent="1"/>
    </xf>
    <xf numFmtId="4" fontId="104" fillId="30" borderId="233" applyNumberFormat="0" applyProtection="0">
      <alignment horizontal="right" vertical="center"/>
    </xf>
    <xf numFmtId="4" fontId="60" fillId="23" borderId="233" applyNumberFormat="0" applyProtection="0">
      <alignment horizontal="right" vertical="center"/>
    </xf>
    <xf numFmtId="4" fontId="60" fillId="35" borderId="233" applyNumberFormat="0" applyProtection="0">
      <alignment horizontal="left" vertical="center" indent="1"/>
    </xf>
    <xf numFmtId="0" fontId="163" fillId="111" borderId="233" applyNumberFormat="0" applyAlignment="0" applyProtection="0">
      <alignment vertical="center"/>
    </xf>
    <xf numFmtId="196" fontId="83" fillId="0" borderId="214" applyFill="0" applyBorder="0" applyAlignment="0"/>
    <xf numFmtId="4" fontId="60" fillId="32" borderId="233" applyNumberFormat="0" applyProtection="0">
      <alignment horizontal="left" vertical="center" indent="1"/>
    </xf>
    <xf numFmtId="4" fontId="60" fillId="25" borderId="233" applyNumberFormat="0" applyProtection="0">
      <alignment horizontal="right" vertical="center"/>
    </xf>
    <xf numFmtId="0" fontId="118" fillId="54" borderId="239" applyNumberFormat="0" applyAlignment="0" applyProtection="0"/>
    <xf numFmtId="4" fontId="104" fillId="30" borderId="233" applyNumberFormat="0" applyProtection="0">
      <alignment horizontal="right" vertical="center"/>
    </xf>
    <xf numFmtId="0" fontId="56" fillId="32" borderId="233" applyNumberFormat="0" applyProtection="0">
      <alignment horizontal="left" vertical="center" indent="1"/>
    </xf>
    <xf numFmtId="4" fontId="60" fillId="32" borderId="233" applyNumberFormat="0" applyProtection="0">
      <alignment horizontal="left" vertical="center" indent="1"/>
    </xf>
    <xf numFmtId="4" fontId="60" fillId="35" borderId="233" applyNumberFormat="0" applyProtection="0">
      <alignment vertical="center"/>
    </xf>
    <xf numFmtId="4" fontId="60" fillId="2" borderId="233" applyNumberFormat="0" applyProtection="0">
      <alignment horizontal="left" vertical="center" indent="1"/>
    </xf>
    <xf numFmtId="4" fontId="60" fillId="26" borderId="233" applyNumberFormat="0" applyProtection="0">
      <alignment horizontal="right" vertical="center"/>
    </xf>
    <xf numFmtId="4" fontId="60" fillId="35" borderId="233" applyNumberFormat="0" applyProtection="0">
      <alignment vertical="center"/>
    </xf>
    <xf numFmtId="0" fontId="56" fillId="34" borderId="233" applyNumberFormat="0" applyProtection="0">
      <alignment horizontal="left" vertical="center" indent="1"/>
    </xf>
    <xf numFmtId="0" fontId="56" fillId="33" borderId="233" applyNumberFormat="0" applyProtection="0">
      <alignment horizontal="left" vertical="center" indent="1"/>
    </xf>
    <xf numFmtId="4" fontId="60" fillId="35" borderId="233" applyNumberFormat="0" applyProtection="0">
      <alignment horizontal="left" vertical="center" indent="1"/>
    </xf>
    <xf numFmtId="4" fontId="100" fillId="30" borderId="233" applyNumberFormat="0" applyProtection="0">
      <alignment horizontal="right" vertical="center"/>
    </xf>
    <xf numFmtId="4" fontId="60" fillId="35" borderId="233" applyNumberFormat="0" applyProtection="0">
      <alignment vertical="center"/>
    </xf>
    <xf numFmtId="4" fontId="60" fillId="2" borderId="233" applyNumberFormat="0" applyProtection="0">
      <alignment horizontal="left" vertical="center" indent="1"/>
    </xf>
    <xf numFmtId="4" fontId="60" fillId="35" borderId="233" applyNumberFormat="0" applyProtection="0">
      <alignment horizontal="left" vertical="center" indent="1"/>
    </xf>
    <xf numFmtId="4" fontId="60" fillId="2" borderId="233" applyNumberFormat="0" applyProtection="0">
      <alignment vertical="center"/>
    </xf>
    <xf numFmtId="0" fontId="56" fillId="19" borderId="233" applyNumberFormat="0" applyProtection="0">
      <alignment horizontal="left" vertical="center" indent="1"/>
    </xf>
    <xf numFmtId="0" fontId="56" fillId="34" borderId="233" applyNumberFormat="0" applyProtection="0">
      <alignment horizontal="left" vertical="center" indent="1"/>
    </xf>
    <xf numFmtId="0" fontId="120" fillId="56" borderId="233" applyNumberFormat="0" applyAlignment="0" applyProtection="0"/>
    <xf numFmtId="4" fontId="104" fillId="30" borderId="233" applyNumberFormat="0" applyProtection="0">
      <alignment horizontal="right" vertical="center"/>
    </xf>
    <xf numFmtId="4" fontId="60" fillId="23" borderId="233" applyNumberFormat="0" applyProtection="0">
      <alignment horizontal="righ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100" fillId="35" borderId="233" applyNumberFormat="0" applyProtection="0">
      <alignment vertical="center"/>
    </xf>
    <xf numFmtId="4" fontId="60" fillId="35" borderId="233" applyNumberFormat="0" applyProtection="0">
      <alignment horizontal="left" vertical="center" indent="1"/>
    </xf>
    <xf numFmtId="4" fontId="60" fillId="2" borderId="233" applyNumberFormat="0" applyProtection="0">
      <alignment horizontal="left" vertical="center" indent="1"/>
    </xf>
    <xf numFmtId="0" fontId="114" fillId="56" borderId="239" applyNumberFormat="0" applyAlignment="0" applyProtection="0"/>
    <xf numFmtId="4" fontId="60" fillId="25" borderId="233" applyNumberFormat="0" applyProtection="0">
      <alignment horizontal="right" vertical="center"/>
    </xf>
    <xf numFmtId="0" fontId="56" fillId="33" borderId="233" applyNumberFormat="0" applyProtection="0">
      <alignment horizontal="left" vertical="center" indent="1"/>
    </xf>
    <xf numFmtId="0" fontId="56" fillId="19" borderId="233" applyNumberFormat="0" applyProtection="0">
      <alignment horizontal="left" vertical="center" indent="1"/>
    </xf>
    <xf numFmtId="4" fontId="60" fillId="25" borderId="233" applyNumberFormat="0" applyProtection="0">
      <alignment horizontal="right" vertical="center"/>
    </xf>
    <xf numFmtId="0" fontId="56" fillId="34" borderId="233" applyNumberFormat="0" applyProtection="0">
      <alignment horizontal="left" vertical="center" indent="1"/>
    </xf>
    <xf numFmtId="4" fontId="60" fillId="30" borderId="233" applyNumberFormat="0" applyProtection="0">
      <alignment horizontal="right" vertical="center"/>
    </xf>
    <xf numFmtId="10" fontId="88" fillId="17" borderId="214" applyNumberFormat="0" applyBorder="0" applyAlignment="0" applyProtection="0"/>
    <xf numFmtId="4" fontId="60" fillId="2" borderId="233" applyNumberFormat="0" applyProtection="0">
      <alignment horizontal="left" vertical="center" indent="1"/>
    </xf>
    <xf numFmtId="0" fontId="56" fillId="32" borderId="233" applyNumberFormat="0" applyProtection="0">
      <alignment horizontal="left" vertical="center" indent="1"/>
    </xf>
    <xf numFmtId="0" fontId="88" fillId="61" borderId="214"/>
    <xf numFmtId="0" fontId="88" fillId="53" borderId="239" applyNumberFormat="0" applyFont="0" applyAlignment="0" applyProtection="0"/>
    <xf numFmtId="0" fontId="56" fillId="19"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6" borderId="233" applyNumberFormat="0" applyProtection="0">
      <alignment horizontal="right" vertical="center"/>
    </xf>
    <xf numFmtId="4" fontId="60" fillId="2" borderId="233" applyNumberFormat="0" applyProtection="0">
      <alignment horizontal="left" vertical="center" indent="1"/>
    </xf>
    <xf numFmtId="4" fontId="60" fillId="27" borderId="233" applyNumberFormat="0" applyProtection="0">
      <alignment horizontal="right" vertic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0" borderId="235" applyNumberFormat="0" applyProtection="0">
      <alignment horizontal="left" vertical="center" indent="1"/>
    </xf>
    <xf numFmtId="4" fontId="60" fillId="35" borderId="233" applyNumberFormat="0" applyProtection="0">
      <alignment vertical="center"/>
    </xf>
    <xf numFmtId="4" fontId="60" fillId="22" borderId="233" applyNumberFormat="0" applyProtection="0">
      <alignment horizontal="right" vertical="center"/>
    </xf>
    <xf numFmtId="4" fontId="60" fillId="30" borderId="233" applyNumberFormat="0" applyProtection="0">
      <alignment horizontal="left" vertical="center" indent="1"/>
    </xf>
    <xf numFmtId="4" fontId="60" fillId="21" borderId="233" applyNumberFormat="0" applyProtection="0">
      <alignment horizontal="right" vertical="center"/>
    </xf>
    <xf numFmtId="0" fontId="118" fillId="54" borderId="239" applyNumberFormat="0" applyAlignment="0" applyProtection="0"/>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24" borderId="233" applyNumberFormat="0" applyProtection="0">
      <alignment horizontal="right" vertical="center"/>
    </xf>
    <xf numFmtId="4" fontId="101" fillId="29" borderId="233" applyNumberFormat="0" applyProtection="0">
      <alignment horizontal="left" vertical="center" indent="1"/>
    </xf>
    <xf numFmtId="4" fontId="60" fillId="30" borderId="235" applyNumberFormat="0" applyProtection="0">
      <alignment horizontal="left" vertical="center" indent="1"/>
    </xf>
    <xf numFmtId="4" fontId="60" fillId="22" borderId="233" applyNumberFormat="0" applyProtection="0">
      <alignment horizontal="right" vertical="center"/>
    </xf>
    <xf numFmtId="4" fontId="100" fillId="30" borderId="233" applyNumberFormat="0" applyProtection="0">
      <alignment horizontal="right" vertical="center"/>
    </xf>
    <xf numFmtId="0" fontId="118" fillId="54" borderId="239" applyNumberFormat="0" applyAlignment="0" applyProtection="0"/>
    <xf numFmtId="0" fontId="120" fillId="56" borderId="233" applyNumberFormat="0" applyAlignment="0" applyProtection="0"/>
    <xf numFmtId="4" fontId="60" fillId="26" borderId="233" applyNumberFormat="0" applyProtection="0">
      <alignment horizontal="right" vertical="center"/>
    </xf>
    <xf numFmtId="0" fontId="56" fillId="19" borderId="233" applyNumberFormat="0" applyProtection="0">
      <alignment horizontal="left" vertical="center" indent="1"/>
    </xf>
    <xf numFmtId="0" fontId="56" fillId="33" borderId="233" applyNumberFormat="0" applyProtection="0">
      <alignment horizontal="left" vertical="center" indent="1"/>
    </xf>
    <xf numFmtId="0" fontId="56" fillId="19" borderId="233" applyNumberFormat="0" applyProtection="0">
      <alignment horizontal="left" vertical="center" indent="1"/>
    </xf>
    <xf numFmtId="0" fontId="120" fillId="56" borderId="233" applyNumberFormat="0" applyAlignment="0" applyProtection="0"/>
    <xf numFmtId="4" fontId="60" fillId="22" borderId="233" applyNumberFormat="0" applyProtection="0">
      <alignment horizontal="right" vertical="center"/>
    </xf>
    <xf numFmtId="0" fontId="118" fillId="54" borderId="239" applyNumberFormat="0" applyAlignment="0" applyProtection="0"/>
    <xf numFmtId="4" fontId="60" fillId="2"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4" fontId="60" fillId="2" borderId="233" applyNumberFormat="0" applyProtection="0">
      <alignment horizontal="left" vertical="center" indent="1"/>
    </xf>
    <xf numFmtId="4" fontId="60" fillId="32" borderId="233" applyNumberFormat="0" applyProtection="0">
      <alignment horizontal="left" vertical="center" indent="1"/>
    </xf>
    <xf numFmtId="4" fontId="60" fillId="24" borderId="233" applyNumberFormat="0" applyProtection="0">
      <alignment horizontal="right" vertical="center"/>
    </xf>
    <xf numFmtId="4" fontId="100" fillId="2" borderId="233" applyNumberFormat="0" applyProtection="0">
      <alignment vertical="center"/>
    </xf>
    <xf numFmtId="0" fontId="146" fillId="0" borderId="232" applyNumberFormat="0" applyFill="0" applyAlignment="0" applyProtection="0">
      <alignment vertical="center"/>
    </xf>
    <xf numFmtId="4" fontId="60" fillId="23" borderId="233" applyNumberFormat="0" applyProtection="0">
      <alignment horizontal="right" vertical="center"/>
    </xf>
    <xf numFmtId="0" fontId="118" fillId="54" borderId="239" applyNumberFormat="0" applyAlignment="0" applyProtection="0"/>
    <xf numFmtId="196" fontId="83" fillId="0" borderId="214" applyFill="0" applyBorder="0" applyAlignment="0"/>
    <xf numFmtId="4" fontId="60" fillId="26" borderId="233" applyNumberFormat="0" applyProtection="0">
      <alignment horizontal="right" vertical="center"/>
    </xf>
    <xf numFmtId="4" fontId="60" fillId="30" borderId="233" applyNumberFormat="0" applyProtection="0">
      <alignment horizontal="right" vertical="center"/>
    </xf>
    <xf numFmtId="0" fontId="56" fillId="19" borderId="233" applyNumberFormat="0" applyProtection="0">
      <alignment horizontal="left" vertical="center" indent="1"/>
    </xf>
    <xf numFmtId="4" fontId="60" fillId="32" borderId="233" applyNumberFormat="0" applyProtection="0">
      <alignment horizontal="left" vertical="center" indent="1"/>
    </xf>
    <xf numFmtId="4" fontId="60" fillId="25" borderId="233" applyNumberFormat="0" applyProtection="0">
      <alignment horizontal="right" vertical="center"/>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101" fillId="29" borderId="233" applyNumberFormat="0" applyProtection="0">
      <alignment horizontal="left" vertical="center" indent="1"/>
    </xf>
    <xf numFmtId="4" fontId="60" fillId="35" borderId="233" applyNumberFormat="0" applyProtection="0">
      <alignment vertical="center"/>
    </xf>
    <xf numFmtId="4" fontId="104" fillId="30" borderId="233" applyNumberFormat="0" applyProtection="0">
      <alignment horizontal="right" vertical="center"/>
    </xf>
    <xf numFmtId="4" fontId="60" fillId="30" borderId="233" applyNumberFormat="0" applyProtection="0">
      <alignment horizontal="right" vertical="center"/>
    </xf>
    <xf numFmtId="0" fontId="56" fillId="34" borderId="233" applyNumberFormat="0" applyProtection="0">
      <alignment horizontal="left" vertical="center" indent="1"/>
    </xf>
    <xf numFmtId="0" fontId="56" fillId="19" borderId="233" applyNumberFormat="0" applyProtection="0">
      <alignment horizontal="left" vertical="center" indent="1"/>
    </xf>
    <xf numFmtId="4" fontId="60" fillId="21" borderId="233" applyNumberFormat="0" applyProtection="0">
      <alignment horizontal="right" vertical="center"/>
    </xf>
    <xf numFmtId="0" fontId="88" fillId="53" borderId="239" applyNumberFormat="0" applyFont="0" applyAlignment="0" applyProtection="0"/>
    <xf numFmtId="4" fontId="60" fillId="25" borderId="233" applyNumberFormat="0" applyProtection="0">
      <alignment horizontal="right" vertical="center"/>
    </xf>
    <xf numFmtId="4" fontId="60" fillId="35" borderId="233" applyNumberFormat="0" applyProtection="0">
      <alignment vertical="center"/>
    </xf>
    <xf numFmtId="0" fontId="120" fillId="56" borderId="233" applyNumberFormat="0" applyAlignment="0" applyProtection="0"/>
    <xf numFmtId="4" fontId="100" fillId="2" borderId="233" applyNumberFormat="0" applyProtection="0">
      <alignment vertical="center"/>
    </xf>
    <xf numFmtId="0" fontId="56" fillId="19" borderId="233" applyNumberFormat="0" applyProtection="0">
      <alignment horizontal="left" vertical="center" indent="1"/>
    </xf>
    <xf numFmtId="4" fontId="100" fillId="35" borderId="233" applyNumberFormat="0" applyProtection="0">
      <alignment vertical="center"/>
    </xf>
    <xf numFmtId="0" fontId="56" fillId="34" borderId="233" applyNumberFormat="0" applyProtection="0">
      <alignment horizontal="left" vertical="center" indent="1"/>
    </xf>
    <xf numFmtId="0" fontId="118" fillId="54" borderId="239" applyNumberFormat="0" applyAlignment="0" applyProtection="0"/>
    <xf numFmtId="0" fontId="56" fillId="19"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56" fillId="33" borderId="233" applyNumberFormat="0" applyProtection="0">
      <alignment horizontal="left" vertical="center" indent="1"/>
    </xf>
    <xf numFmtId="4" fontId="60" fillId="35" borderId="233" applyNumberFormat="0" applyProtection="0">
      <alignment horizontal="left" vertical="center" indent="1"/>
    </xf>
    <xf numFmtId="0" fontId="56" fillId="19" borderId="233" applyNumberFormat="0" applyProtection="0">
      <alignment horizontal="left" vertical="center" indent="1"/>
    </xf>
    <xf numFmtId="4" fontId="60" fillId="24" borderId="233" applyNumberFormat="0" applyProtection="0">
      <alignment horizontal="right" vertical="center"/>
    </xf>
    <xf numFmtId="0" fontId="56" fillId="19" borderId="233" applyNumberFormat="0" applyProtection="0">
      <alignment horizontal="left" vertical="center" indent="1"/>
    </xf>
    <xf numFmtId="4" fontId="60" fillId="30" borderId="233" applyNumberFormat="0" applyProtection="0">
      <alignment horizontal="right" vertical="center"/>
    </xf>
    <xf numFmtId="4" fontId="60" fillId="24" borderId="233" applyNumberFormat="0" applyProtection="0">
      <alignment horizontal="right" vertical="center"/>
    </xf>
    <xf numFmtId="4" fontId="60" fillId="30" borderId="233" applyNumberFormat="0" applyProtection="0">
      <alignment horizontal="right" vertical="center"/>
    </xf>
    <xf numFmtId="0" fontId="56" fillId="34" borderId="233" applyNumberFormat="0" applyProtection="0">
      <alignment horizontal="left" vertical="center" indent="1"/>
    </xf>
    <xf numFmtId="0" fontId="56" fillId="19" borderId="233" applyNumberFormat="0" applyProtection="0">
      <alignment horizontal="left" vertical="center" indent="1"/>
    </xf>
    <xf numFmtId="0" fontId="120" fillId="56" borderId="233" applyNumberFormat="0" applyAlignment="0" applyProtection="0"/>
    <xf numFmtId="0" fontId="88" fillId="53" borderId="239" applyNumberFormat="0" applyFont="0" applyAlignment="0" applyProtection="0"/>
    <xf numFmtId="0" fontId="56" fillId="19" borderId="233" applyNumberFormat="0" applyProtection="0">
      <alignment horizontal="left" vertical="center" indent="1"/>
    </xf>
    <xf numFmtId="0" fontId="90" fillId="0" borderId="195">
      <alignment horizontal="left" vertical="center"/>
    </xf>
    <xf numFmtId="4" fontId="60" fillId="23" borderId="233" applyNumberFormat="0" applyProtection="0">
      <alignment horizontal="right" vertical="center"/>
    </xf>
    <xf numFmtId="0" fontId="88" fillId="61" borderId="214"/>
    <xf numFmtId="4" fontId="101" fillId="29" borderId="233" applyNumberFormat="0" applyProtection="0">
      <alignment horizontal="left" vertical="center" indent="1"/>
    </xf>
    <xf numFmtId="0" fontId="90" fillId="0" borderId="195">
      <alignment horizontal="left" vertical="center"/>
    </xf>
    <xf numFmtId="4" fontId="60" fillId="27" borderId="233" applyNumberFormat="0" applyProtection="0">
      <alignment horizontal="right" vertical="center"/>
    </xf>
    <xf numFmtId="0" fontId="56" fillId="19" borderId="233" applyNumberFormat="0" applyProtection="0">
      <alignment horizontal="left" vertical="center" indent="1"/>
    </xf>
    <xf numFmtId="0" fontId="56" fillId="34"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4" fontId="60" fillId="23" borderId="233" applyNumberFormat="0" applyProtection="0">
      <alignment horizontal="right" vertical="center"/>
    </xf>
    <xf numFmtId="4" fontId="60" fillId="2" borderId="233" applyNumberFormat="0" applyProtection="0">
      <alignment vertical="center"/>
    </xf>
    <xf numFmtId="4" fontId="60" fillId="32" borderId="233" applyNumberFormat="0" applyProtection="0">
      <alignment horizontal="left" vertical="center" indent="1"/>
    </xf>
    <xf numFmtId="4" fontId="60" fillId="20" borderId="233" applyNumberFormat="0" applyProtection="0">
      <alignment horizontal="right" vertical="center"/>
    </xf>
    <xf numFmtId="4" fontId="60" fillId="30" borderId="233" applyNumberFormat="0" applyProtection="0">
      <alignment horizontal="left" vertical="center" indent="1"/>
    </xf>
    <xf numFmtId="0" fontId="56" fillId="19" borderId="233" applyNumberFormat="0" applyProtection="0">
      <alignment horizontal="left" vertical="center" indent="1"/>
    </xf>
    <xf numFmtId="4" fontId="100" fillId="35" borderId="233" applyNumberFormat="0" applyProtection="0">
      <alignment vertical="center"/>
    </xf>
    <xf numFmtId="4" fontId="60" fillId="28" borderId="233" applyNumberFormat="0" applyProtection="0">
      <alignment horizontal="right" vertical="center"/>
    </xf>
    <xf numFmtId="4" fontId="60" fillId="27" borderId="233" applyNumberFormat="0" applyProtection="0">
      <alignment horizontal="right" vertical="center"/>
    </xf>
    <xf numFmtId="0" fontId="56" fillId="19" borderId="233" applyNumberFormat="0" applyProtection="0">
      <alignment horizontal="left" vertical="center" indent="1"/>
    </xf>
    <xf numFmtId="0" fontId="118" fillId="54" borderId="239" applyNumberFormat="0" applyAlignment="0" applyProtection="0"/>
    <xf numFmtId="4" fontId="60" fillId="27" borderId="233" applyNumberFormat="0" applyProtection="0">
      <alignment horizontal="right" vertical="center"/>
    </xf>
    <xf numFmtId="4" fontId="100" fillId="30" borderId="233" applyNumberFormat="0" applyProtection="0">
      <alignment horizontal="right" vertical="center"/>
    </xf>
    <xf numFmtId="0" fontId="157" fillId="98" borderId="230" applyNumberFormat="0" applyAlignment="0" applyProtection="0">
      <alignment vertical="center"/>
    </xf>
    <xf numFmtId="4" fontId="60" fillId="20" borderId="233" applyNumberFormat="0" applyProtection="0">
      <alignment horizontal="right" vertical="center"/>
    </xf>
    <xf numFmtId="4" fontId="60" fillId="21" borderId="233" applyNumberFormat="0" applyProtection="0">
      <alignment horizontal="right" vertical="center"/>
    </xf>
    <xf numFmtId="0" fontId="56" fillId="33" borderId="233" applyNumberFormat="0" applyProtection="0">
      <alignment horizontal="left" vertical="center" indent="1"/>
    </xf>
    <xf numFmtId="4" fontId="60" fillId="30" borderId="233" applyNumberFormat="0" applyProtection="0">
      <alignment horizontal="right" vertical="center"/>
    </xf>
    <xf numFmtId="4" fontId="60" fillId="28" borderId="233" applyNumberFormat="0" applyProtection="0">
      <alignment horizontal="right" vertical="center"/>
    </xf>
    <xf numFmtId="0" fontId="88" fillId="53" borderId="239" applyNumberFormat="0" applyFont="0" applyAlignment="0" applyProtection="0"/>
    <xf numFmtId="0" fontId="56" fillId="19" borderId="233" applyNumberFormat="0" applyProtection="0">
      <alignment horizontal="left" vertical="center" indent="1"/>
    </xf>
    <xf numFmtId="4" fontId="60" fillId="23" borderId="233" applyNumberFormat="0" applyProtection="0">
      <alignment horizontal="right" vertical="center"/>
    </xf>
    <xf numFmtId="4" fontId="60" fillId="2" borderId="233" applyNumberFormat="0" applyProtection="0">
      <alignment vertical="center"/>
    </xf>
    <xf numFmtId="0" fontId="163" fillId="111" borderId="233" applyNumberFormat="0" applyAlignment="0" applyProtection="0">
      <alignment vertical="center"/>
    </xf>
    <xf numFmtId="4" fontId="60" fillId="22" borderId="233" applyNumberFormat="0" applyProtection="0">
      <alignment horizontal="right" vertical="center"/>
    </xf>
    <xf numFmtId="0" fontId="121" fillId="60" borderId="238" applyBorder="0"/>
    <xf numFmtId="4" fontId="60" fillId="30" borderId="233" applyNumberFormat="0" applyProtection="0">
      <alignment horizontal="right" vertical="center"/>
    </xf>
    <xf numFmtId="0" fontId="56" fillId="34" borderId="233" applyNumberFormat="0" applyProtection="0">
      <alignment horizontal="left" vertical="center" indent="1"/>
    </xf>
    <xf numFmtId="4" fontId="101" fillId="29" borderId="233" applyNumberFormat="0" applyProtection="0">
      <alignment horizontal="left" vertical="center" indent="1"/>
    </xf>
    <xf numFmtId="0" fontId="88" fillId="53" borderId="239" applyNumberFormat="0" applyFont="0" applyAlignment="0" applyProtection="0"/>
    <xf numFmtId="4" fontId="60" fillId="30" borderId="233" applyNumberFormat="0" applyProtection="0">
      <alignment horizontal="right" vertical="center"/>
    </xf>
    <xf numFmtId="4" fontId="60" fillId="35" borderId="233" applyNumberFormat="0" applyProtection="0">
      <alignment horizontal="left" vertical="center" indent="1"/>
    </xf>
    <xf numFmtId="0" fontId="118" fillId="54" borderId="239" applyNumberFormat="0" applyAlignment="0" applyProtection="0"/>
    <xf numFmtId="4" fontId="60" fillId="30" borderId="233" applyNumberFormat="0" applyProtection="0">
      <alignment horizontal="right" vertical="center"/>
    </xf>
    <xf numFmtId="0" fontId="56" fillId="34" borderId="233" applyNumberFormat="0" applyProtection="0">
      <alignment horizontal="left" vertical="center" indent="1"/>
    </xf>
    <xf numFmtId="4" fontId="60" fillId="30" borderId="235" applyNumberFormat="0" applyProtection="0">
      <alignment horizontal="left" vertical="center" indent="1"/>
    </xf>
    <xf numFmtId="4" fontId="60" fillId="22" borderId="233" applyNumberFormat="0" applyProtection="0">
      <alignment horizontal="right" vertical="center"/>
    </xf>
    <xf numFmtId="4" fontId="60" fillId="2" borderId="233" applyNumberFormat="0" applyProtection="0">
      <alignment vertical="center"/>
    </xf>
    <xf numFmtId="4" fontId="60" fillId="30" borderId="233" applyNumberFormat="0" applyProtection="0">
      <alignment horizontal="left" vertical="center" indent="1"/>
    </xf>
    <xf numFmtId="0" fontId="151" fillId="111" borderId="230" applyNumberFormat="0" applyAlignment="0" applyProtection="0">
      <alignment vertical="center"/>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4" borderId="233" applyNumberFormat="0" applyProtection="0">
      <alignment horizontal="right" vertical="center"/>
    </xf>
    <xf numFmtId="0" fontId="56" fillId="33" borderId="233" applyNumberFormat="0" applyProtection="0">
      <alignment horizontal="left" vertical="center" indent="1"/>
    </xf>
    <xf numFmtId="4" fontId="100" fillId="35" borderId="233" applyNumberFormat="0" applyProtection="0">
      <alignment vertical="center"/>
    </xf>
    <xf numFmtId="4" fontId="60" fillId="27" borderId="233" applyNumberFormat="0" applyProtection="0">
      <alignment horizontal="right" vertical="center"/>
    </xf>
    <xf numFmtId="4" fontId="60" fillId="2" borderId="233" applyNumberFormat="0" applyProtection="0">
      <alignment horizontal="left" vertical="center" indent="1"/>
    </xf>
    <xf numFmtId="0" fontId="118" fillId="54" borderId="239" applyNumberFormat="0" applyAlignment="0" applyProtection="0"/>
    <xf numFmtId="4" fontId="60" fillId="27" borderId="233" applyNumberFormat="0" applyProtection="0">
      <alignment horizontal="right" vertical="center"/>
    </xf>
    <xf numFmtId="4" fontId="100" fillId="30" borderId="233" applyNumberFormat="0" applyProtection="0">
      <alignment horizontal="right" vertical="center"/>
    </xf>
    <xf numFmtId="4" fontId="60" fillId="21" borderId="233" applyNumberFormat="0" applyProtection="0">
      <alignment horizontal="right" vertical="center"/>
    </xf>
    <xf numFmtId="0" fontId="56" fillId="33" borderId="233" applyNumberFormat="0" applyProtection="0">
      <alignment horizontal="left" vertical="center" indent="1"/>
    </xf>
    <xf numFmtId="4" fontId="100" fillId="30" borderId="233" applyNumberFormat="0" applyProtection="0">
      <alignment horizontal="right" vertical="center"/>
    </xf>
    <xf numFmtId="4" fontId="60" fillId="21" borderId="233" applyNumberFormat="0" applyProtection="0">
      <alignment horizontal="right" vertical="center"/>
    </xf>
    <xf numFmtId="4" fontId="60" fillId="25" borderId="233" applyNumberFormat="0" applyProtection="0">
      <alignment horizontal="right" vertical="center"/>
    </xf>
    <xf numFmtId="0" fontId="88" fillId="53" borderId="239" applyNumberFormat="0" applyFont="0" applyAlignment="0" applyProtection="0"/>
    <xf numFmtId="4" fontId="60" fillId="23" borderId="233" applyNumberFormat="0" applyProtection="0">
      <alignment horizontal="right" vertical="center"/>
    </xf>
    <xf numFmtId="4" fontId="60" fillId="35" borderId="233" applyNumberFormat="0" applyProtection="0">
      <alignment horizontal="left" vertical="center" indent="1"/>
    </xf>
    <xf numFmtId="0" fontId="56" fillId="32" borderId="233" applyNumberFormat="0" applyProtection="0">
      <alignment horizontal="left" vertical="center" indent="1"/>
    </xf>
    <xf numFmtId="0" fontId="114" fillId="56" borderId="239" applyNumberFormat="0" applyAlignment="0" applyProtection="0"/>
    <xf numFmtId="4" fontId="60" fillId="21" borderId="233" applyNumberFormat="0" applyProtection="0">
      <alignment horizontal="right" vertical="center"/>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121" fillId="60" borderId="238" applyBorder="0"/>
    <xf numFmtId="0" fontId="56" fillId="32" borderId="233" applyNumberFormat="0" applyProtection="0">
      <alignment horizontal="left" vertical="center" indent="1"/>
    </xf>
    <xf numFmtId="4" fontId="60" fillId="24" borderId="233" applyNumberFormat="0" applyProtection="0">
      <alignment horizontal="right" vertical="center"/>
    </xf>
    <xf numFmtId="0" fontId="22" fillId="10" borderId="231" applyNumberFormat="0" applyFont="0" applyAlignment="0" applyProtection="0">
      <alignment vertical="center"/>
    </xf>
    <xf numFmtId="4" fontId="60" fillId="26" borderId="233" applyNumberFormat="0" applyProtection="0">
      <alignment horizontal="right" vertical="center"/>
    </xf>
    <xf numFmtId="0" fontId="56" fillId="19" borderId="233" applyNumberFormat="0" applyProtection="0">
      <alignment horizontal="left" vertical="center" indent="1"/>
    </xf>
    <xf numFmtId="0" fontId="114" fillId="56" borderId="239" applyNumberFormat="0" applyAlignment="0" applyProtection="0"/>
    <xf numFmtId="0" fontId="88" fillId="61" borderId="214"/>
    <xf numFmtId="4" fontId="60" fillId="2" borderId="233" applyNumberFormat="0" applyProtection="0">
      <alignment vertical="center"/>
    </xf>
    <xf numFmtId="0" fontId="121" fillId="60" borderId="238" applyBorder="0"/>
    <xf numFmtId="0" fontId="56" fillId="19" borderId="233" applyNumberFormat="0" applyProtection="0">
      <alignment horizontal="left" vertical="center" indent="1"/>
    </xf>
    <xf numFmtId="4" fontId="100" fillId="30" borderId="233" applyNumberFormat="0" applyProtection="0">
      <alignment horizontal="right" vertical="center"/>
    </xf>
    <xf numFmtId="0" fontId="56" fillId="32" borderId="233" applyNumberFormat="0" applyProtection="0">
      <alignment horizontal="left" vertical="center" indent="1"/>
    </xf>
    <xf numFmtId="4" fontId="60" fillId="26" borderId="233" applyNumberFormat="0" applyProtection="0">
      <alignment horizontal="right" vertical="center"/>
    </xf>
    <xf numFmtId="4" fontId="60" fillId="2" borderId="233" applyNumberFormat="0" applyProtection="0">
      <alignment horizontal="left" vertical="center" indent="1"/>
    </xf>
    <xf numFmtId="0" fontId="88" fillId="53" borderId="239" applyNumberFormat="0" applyFont="0" applyAlignment="0" applyProtection="0"/>
    <xf numFmtId="4" fontId="60" fillId="30" borderId="233" applyNumberFormat="0" applyProtection="0">
      <alignment horizontal="left" vertical="center" indent="1"/>
    </xf>
    <xf numFmtId="4" fontId="60" fillId="30" borderId="233" applyNumberFormat="0" applyProtection="0">
      <alignment horizontal="left" vertical="center" indent="1"/>
    </xf>
    <xf numFmtId="0" fontId="56" fillId="19" borderId="233" applyNumberFormat="0" applyProtection="0">
      <alignment horizontal="left" vertical="center" indent="1"/>
    </xf>
    <xf numFmtId="4" fontId="60" fillId="21" borderId="233" applyNumberFormat="0" applyProtection="0">
      <alignment horizontal="right" vertical="center"/>
    </xf>
    <xf numFmtId="4" fontId="60" fillId="27" borderId="233" applyNumberFormat="0" applyProtection="0">
      <alignment horizontal="right" vertical="center"/>
    </xf>
    <xf numFmtId="4" fontId="60" fillId="22" borderId="233" applyNumberFormat="0" applyProtection="0">
      <alignment horizontal="right" vertical="center"/>
    </xf>
    <xf numFmtId="4" fontId="60" fillId="30" borderId="233" applyNumberFormat="0" applyProtection="0">
      <alignment horizontal="left" vertical="center" indent="1"/>
    </xf>
    <xf numFmtId="4" fontId="100" fillId="2" borderId="233" applyNumberFormat="0" applyProtection="0">
      <alignment vertical="center"/>
    </xf>
    <xf numFmtId="4" fontId="60" fillId="30" borderId="233" applyNumberFormat="0" applyProtection="0">
      <alignment horizontal="right" vertical="center"/>
    </xf>
    <xf numFmtId="0" fontId="56" fillId="19" borderId="233" applyNumberFormat="0" applyProtection="0">
      <alignment horizontal="left" vertical="center" indent="1"/>
    </xf>
    <xf numFmtId="4" fontId="60" fillId="22" borderId="233" applyNumberFormat="0" applyProtection="0">
      <alignment horizontal="right" vertical="center"/>
    </xf>
    <xf numFmtId="0" fontId="120" fillId="56" borderId="233" applyNumberFormat="0" applyAlignment="0" applyProtection="0"/>
    <xf numFmtId="4" fontId="60" fillId="24" borderId="233" applyNumberFormat="0" applyProtection="0">
      <alignment horizontal="right" vertical="center"/>
    </xf>
    <xf numFmtId="4" fontId="60" fillId="35" borderId="233" applyNumberFormat="0" applyProtection="0">
      <alignment vertical="center"/>
    </xf>
    <xf numFmtId="4" fontId="60" fillId="30" borderId="235" applyNumberFormat="0" applyProtection="0">
      <alignment horizontal="left" vertical="center" indent="1"/>
    </xf>
    <xf numFmtId="4" fontId="60" fillId="35" borderId="233" applyNumberFormat="0" applyProtection="0">
      <alignment vertical="center"/>
    </xf>
    <xf numFmtId="0" fontId="56" fillId="19" borderId="233" applyNumberFormat="0" applyProtection="0">
      <alignment horizontal="left" vertical="center" indent="1"/>
    </xf>
    <xf numFmtId="0" fontId="114" fillId="56" borderId="239" applyNumberFormat="0" applyAlignment="0" applyProtection="0"/>
    <xf numFmtId="4" fontId="60" fillId="2"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34" borderId="233" applyNumberFormat="0" applyProtection="0">
      <alignment horizontal="left" vertical="center" indent="1"/>
    </xf>
    <xf numFmtId="4" fontId="60" fillId="25" borderId="233" applyNumberFormat="0" applyProtection="0">
      <alignment horizontal="right" vertical="center"/>
    </xf>
    <xf numFmtId="4" fontId="60" fillId="30" borderId="233" applyNumberFormat="0" applyProtection="0">
      <alignment horizontal="right" vertical="center"/>
    </xf>
    <xf numFmtId="0" fontId="60" fillId="0" borderId="0">
      <alignment vertical="top"/>
    </xf>
    <xf numFmtId="0" fontId="99" fillId="1" borderId="195" applyNumberFormat="0" applyFont="0" applyAlignment="0">
      <alignment horizontal="center"/>
    </xf>
    <xf numFmtId="0" fontId="56" fillId="19" borderId="233" applyNumberFormat="0" applyProtection="0">
      <alignment horizontal="left" vertical="center" indent="1"/>
    </xf>
    <xf numFmtId="0" fontId="56" fillId="19" borderId="233" applyNumberFormat="0" applyProtection="0">
      <alignment horizontal="left" vertical="center" indent="1"/>
    </xf>
    <xf numFmtId="4" fontId="60" fillId="32" borderId="233" applyNumberFormat="0" applyProtection="0">
      <alignment horizontal="left" vertical="center" indent="1"/>
    </xf>
    <xf numFmtId="4" fontId="60" fillId="23" borderId="233" applyNumberFormat="0" applyProtection="0">
      <alignment horizontal="right" vertical="center"/>
    </xf>
    <xf numFmtId="4" fontId="60" fillId="2" borderId="233" applyNumberFormat="0" applyProtection="0">
      <alignment vertical="center"/>
    </xf>
    <xf numFmtId="0" fontId="157" fillId="98" borderId="230" applyNumberFormat="0" applyAlignment="0" applyProtection="0">
      <alignment vertical="center"/>
    </xf>
    <xf numFmtId="4" fontId="60" fillId="22" borderId="233" applyNumberFormat="0" applyProtection="0">
      <alignment horizontal="right" vertical="center"/>
    </xf>
    <xf numFmtId="196" fontId="83" fillId="0" borderId="214" applyFill="0" applyBorder="0" applyAlignment="0"/>
    <xf numFmtId="196" fontId="83" fillId="0" borderId="214" applyFill="0" applyBorder="0" applyAlignment="0"/>
    <xf numFmtId="4" fontId="60" fillId="30" borderId="233" applyNumberFormat="0" applyProtection="0">
      <alignment horizontal="right" vertical="center"/>
    </xf>
    <xf numFmtId="0" fontId="56" fillId="19" borderId="233" applyNumberFormat="0" applyProtection="0">
      <alignment horizontal="left" vertical="center" indent="1"/>
    </xf>
    <xf numFmtId="4" fontId="60" fillId="32" borderId="233" applyNumberFormat="0" applyProtection="0">
      <alignment horizontal="left" vertical="center" indent="1"/>
    </xf>
    <xf numFmtId="4" fontId="60" fillId="25" borderId="233" applyNumberFormat="0" applyProtection="0">
      <alignment horizontal="right" vertical="center"/>
    </xf>
    <xf numFmtId="4" fontId="60" fillId="2" borderId="233" applyNumberFormat="0" applyProtection="0">
      <alignment horizontal="left" vertical="center" indent="1"/>
    </xf>
    <xf numFmtId="0" fontId="56" fillId="19" borderId="233" applyNumberFormat="0" applyProtection="0">
      <alignment horizontal="left" vertical="center" indent="1"/>
    </xf>
    <xf numFmtId="4" fontId="60" fillId="28" borderId="233" applyNumberFormat="0" applyProtection="0">
      <alignment horizontal="right" vertical="center"/>
    </xf>
    <xf numFmtId="4" fontId="60" fillId="30" borderId="233" applyNumberFormat="0" applyProtection="0">
      <alignment horizontal="left" vertical="center" indent="1"/>
    </xf>
    <xf numFmtId="0" fontId="56" fillId="19" borderId="233" applyNumberFormat="0" applyProtection="0">
      <alignment horizontal="left" vertical="center" indent="1"/>
    </xf>
    <xf numFmtId="4" fontId="60" fillId="35" borderId="233" applyNumberFormat="0" applyProtection="0">
      <alignment horizontal="left" vertical="center" indent="1"/>
    </xf>
    <xf numFmtId="0" fontId="56" fillId="34" borderId="233" applyNumberFormat="0" applyProtection="0">
      <alignment horizontal="left" vertical="center" indent="1"/>
    </xf>
    <xf numFmtId="0" fontId="56" fillId="19" borderId="233" applyNumberFormat="0" applyProtection="0">
      <alignment horizontal="left" vertical="center" indent="1"/>
    </xf>
    <xf numFmtId="4" fontId="60" fillId="21" borderId="233" applyNumberFormat="0" applyProtection="0">
      <alignment horizontal="right" vertical="center"/>
    </xf>
    <xf numFmtId="0" fontId="88" fillId="53" borderId="239" applyNumberFormat="0" applyFont="0" applyAlignment="0" applyProtection="0"/>
    <xf numFmtId="4" fontId="60" fillId="25" borderId="233" applyNumberFormat="0" applyProtection="0">
      <alignment horizontal="right" vertical="center"/>
    </xf>
    <xf numFmtId="4" fontId="100" fillId="35" borderId="233" applyNumberFormat="0" applyProtection="0">
      <alignment vertical="center"/>
    </xf>
    <xf numFmtId="0" fontId="120" fillId="56" borderId="233" applyNumberFormat="0" applyAlignment="0" applyProtection="0"/>
    <xf numFmtId="4" fontId="100" fillId="2" borderId="233" applyNumberFormat="0" applyProtection="0">
      <alignment vertical="center"/>
    </xf>
    <xf numFmtId="0" fontId="56" fillId="19" borderId="233" applyNumberFormat="0" applyProtection="0">
      <alignment horizontal="left" vertical="center" indent="1"/>
    </xf>
    <xf numFmtId="4" fontId="60" fillId="35" borderId="233" applyNumberFormat="0" applyProtection="0">
      <alignment horizontal="left" vertical="center" indent="1"/>
    </xf>
    <xf numFmtId="0" fontId="56" fillId="33" borderId="233" applyNumberFormat="0" applyProtection="0">
      <alignment horizontal="left" vertical="center" indent="1"/>
    </xf>
    <xf numFmtId="0" fontId="118" fillId="54" borderId="239" applyNumberFormat="0" applyAlignment="0" applyProtection="0"/>
    <xf numFmtId="0" fontId="56" fillId="19" borderId="233" applyNumberFormat="0" applyProtection="0">
      <alignment horizontal="left" vertical="center" indent="1"/>
    </xf>
    <xf numFmtId="4" fontId="60" fillId="2" borderId="233" applyNumberFormat="0" applyProtection="0">
      <alignment horizontal="left" vertical="center" indent="1"/>
    </xf>
    <xf numFmtId="0" fontId="56" fillId="19" borderId="233" applyNumberFormat="0" applyProtection="0">
      <alignment horizontal="left" vertical="center" indent="1"/>
    </xf>
    <xf numFmtId="0" fontId="56" fillId="34" borderId="233" applyNumberFormat="0" applyProtection="0">
      <alignment horizontal="left" vertical="center" indent="1"/>
    </xf>
    <xf numFmtId="0" fontId="60" fillId="0" borderId="0">
      <alignment vertical="top"/>
    </xf>
    <xf numFmtId="0" fontId="8" fillId="0" borderId="0">
      <alignment vertical="center"/>
    </xf>
    <xf numFmtId="0" fontId="8" fillId="0" borderId="0">
      <alignment vertical="center"/>
    </xf>
    <xf numFmtId="0" fontId="65" fillId="0" borderId="245">
      <alignment horizontal="center"/>
    </xf>
    <xf numFmtId="3" fontId="67" fillId="0" borderId="240"/>
    <xf numFmtId="0" fontId="99" fillId="1" borderId="246" applyNumberFormat="0" applyFont="0" applyAlignment="0">
      <alignment horizontal="center"/>
    </xf>
    <xf numFmtId="4" fontId="104" fillId="30" borderId="247" applyNumberFormat="0" applyProtection="0">
      <alignment horizontal="right" vertical="center"/>
    </xf>
    <xf numFmtId="0" fontId="56" fillId="19" borderId="247" applyNumberFormat="0" applyProtection="0">
      <alignment horizontal="left" vertical="center" indent="1"/>
    </xf>
    <xf numFmtId="0" fontId="56" fillId="19" borderId="247" applyNumberFormat="0" applyProtection="0">
      <alignment horizontal="left" vertical="center" indent="1"/>
    </xf>
    <xf numFmtId="4" fontId="100" fillId="30" borderId="247" applyNumberFormat="0" applyProtection="0">
      <alignment horizontal="right" vertical="center"/>
    </xf>
    <xf numFmtId="4" fontId="60" fillId="30" borderId="247" applyNumberFormat="0" applyProtection="0">
      <alignment horizontal="right" vertical="center"/>
    </xf>
    <xf numFmtId="4" fontId="60" fillId="35" borderId="247" applyNumberFormat="0" applyProtection="0">
      <alignment horizontal="left" vertical="center" indent="1"/>
    </xf>
    <xf numFmtId="4" fontId="60" fillId="35" borderId="247" applyNumberFormat="0" applyProtection="0">
      <alignment horizontal="left" vertical="center" indent="1"/>
    </xf>
    <xf numFmtId="4" fontId="100" fillId="35" borderId="247" applyNumberFormat="0" applyProtection="0">
      <alignment vertical="center"/>
    </xf>
    <xf numFmtId="4" fontId="60" fillId="35" borderId="247" applyNumberFormat="0" applyProtection="0">
      <alignment vertical="center"/>
    </xf>
    <xf numFmtId="0" fontId="56" fillId="19" borderId="247" applyNumberFormat="0" applyProtection="0">
      <alignment horizontal="left" vertical="center" indent="1"/>
    </xf>
    <xf numFmtId="0" fontId="56" fillId="19" borderId="247" applyNumberFormat="0" applyProtection="0">
      <alignment horizontal="left" vertical="center" indent="1"/>
    </xf>
    <xf numFmtId="0" fontId="56" fillId="34" borderId="247" applyNumberFormat="0" applyProtection="0">
      <alignment horizontal="left" vertical="center" indent="1"/>
    </xf>
    <xf numFmtId="0" fontId="56" fillId="34" borderId="247" applyNumberFormat="0" applyProtection="0">
      <alignment horizontal="left" vertical="center" indent="1"/>
    </xf>
    <xf numFmtId="0" fontId="56" fillId="33" borderId="247" applyNumberFormat="0" applyProtection="0">
      <alignment horizontal="left" vertical="center" indent="1"/>
    </xf>
    <xf numFmtId="0" fontId="56" fillId="33" borderId="247" applyNumberFormat="0" applyProtection="0">
      <alignment horizontal="left" vertical="center" indent="1"/>
    </xf>
    <xf numFmtId="0" fontId="56" fillId="32" borderId="247" applyNumberFormat="0" applyProtection="0">
      <alignment horizontal="left" vertical="center" indent="1"/>
    </xf>
    <xf numFmtId="0" fontId="56" fillId="32" borderId="247" applyNumberFormat="0" applyProtection="0">
      <alignment horizontal="left" vertical="center" indent="1"/>
    </xf>
    <xf numFmtId="4" fontId="60" fillId="32" borderId="247" applyNumberFormat="0" applyProtection="0">
      <alignment horizontal="left" vertical="center" indent="1"/>
    </xf>
    <xf numFmtId="4" fontId="60" fillId="30" borderId="247" applyNumberFormat="0" applyProtection="0">
      <alignment horizontal="left" vertical="center" indent="1"/>
    </xf>
    <xf numFmtId="0" fontId="56" fillId="19" borderId="247" applyNumberFormat="0" applyProtection="0">
      <alignment horizontal="left" vertical="center" indent="1"/>
    </xf>
    <xf numFmtId="4" fontId="60" fillId="30" borderId="248" applyNumberFormat="0" applyProtection="0">
      <alignment horizontal="left" vertical="center" indent="1"/>
    </xf>
    <xf numFmtId="4" fontId="101" fillId="29" borderId="247" applyNumberFormat="0" applyProtection="0">
      <alignment horizontal="left" vertical="center" indent="1"/>
    </xf>
    <xf numFmtId="4" fontId="60" fillId="28" borderId="247" applyNumberFormat="0" applyProtection="0">
      <alignment horizontal="right" vertical="center"/>
    </xf>
    <xf numFmtId="4" fontId="60" fillId="27" borderId="247" applyNumberFormat="0" applyProtection="0">
      <alignment horizontal="right" vertical="center"/>
    </xf>
    <xf numFmtId="4" fontId="60" fillId="26" borderId="247" applyNumberFormat="0" applyProtection="0">
      <alignment horizontal="right" vertical="center"/>
    </xf>
    <xf numFmtId="4" fontId="60" fillId="25" borderId="247" applyNumberFormat="0" applyProtection="0">
      <alignment horizontal="right" vertical="center"/>
    </xf>
    <xf numFmtId="4" fontId="60" fillId="24" borderId="247" applyNumberFormat="0" applyProtection="0">
      <alignment horizontal="right" vertical="center"/>
    </xf>
    <xf numFmtId="4" fontId="60" fillId="23" borderId="247" applyNumberFormat="0" applyProtection="0">
      <alignment horizontal="right" vertical="center"/>
    </xf>
    <xf numFmtId="4" fontId="60" fillId="22" borderId="247" applyNumberFormat="0" applyProtection="0">
      <alignment horizontal="right" vertical="center"/>
    </xf>
    <xf numFmtId="4" fontId="60" fillId="21" borderId="247" applyNumberFormat="0" applyProtection="0">
      <alignment horizontal="right" vertical="center"/>
    </xf>
    <xf numFmtId="4" fontId="60" fillId="20" borderId="247" applyNumberFormat="0" applyProtection="0">
      <alignment horizontal="right" vertical="center"/>
    </xf>
    <xf numFmtId="0" fontId="56" fillId="19" borderId="247" applyNumberFormat="0" applyProtection="0">
      <alignment horizontal="left" vertical="center" indent="1"/>
    </xf>
    <xf numFmtId="4" fontId="60" fillId="2" borderId="247" applyNumberFormat="0" applyProtection="0">
      <alignment horizontal="left" vertical="center" indent="1"/>
    </xf>
    <xf numFmtId="4" fontId="60" fillId="2" borderId="247" applyNumberFormat="0" applyProtection="0">
      <alignment horizontal="left" vertical="center" indent="1"/>
    </xf>
    <xf numFmtId="4" fontId="100" fillId="2" borderId="247" applyNumberFormat="0" applyProtection="0">
      <alignment vertical="center"/>
    </xf>
    <xf numFmtId="4" fontId="60" fillId="2" borderId="247" applyNumberFormat="0" applyProtection="0">
      <alignment vertical="center"/>
    </xf>
    <xf numFmtId="0" fontId="90" fillId="0" borderId="246">
      <alignment horizontal="left" vertical="center"/>
    </xf>
    <xf numFmtId="0" fontId="97" fillId="0" borderId="109"/>
    <xf numFmtId="0" fontId="92" fillId="0" borderId="109">
      <alignment horizontal="center"/>
    </xf>
    <xf numFmtId="3" fontId="67" fillId="0" borderId="240"/>
    <xf numFmtId="3" fontId="67" fillId="0" borderId="240"/>
    <xf numFmtId="196" fontId="83" fillId="0" borderId="240" applyFill="0" applyBorder="0" applyAlignment="0"/>
    <xf numFmtId="10" fontId="88" fillId="17" borderId="240" applyNumberFormat="0" applyBorder="0" applyAlignment="0" applyProtection="0"/>
    <xf numFmtId="3" fontId="67" fillId="0" borderId="249"/>
    <xf numFmtId="3" fontId="67" fillId="0" borderId="249"/>
    <xf numFmtId="41" fontId="73" fillId="0" borderId="0" applyFont="0" applyFill="0" applyBorder="0" applyAlignment="0" applyProtection="0">
      <alignment vertical="center"/>
    </xf>
    <xf numFmtId="0" fontId="73" fillId="0" borderId="0">
      <alignment vertical="center"/>
    </xf>
    <xf numFmtId="3" fontId="67" fillId="0" borderId="249"/>
    <xf numFmtId="196" fontId="83" fillId="0" borderId="249" applyFill="0" applyBorder="0" applyAlignment="0"/>
    <xf numFmtId="10" fontId="88" fillId="17" borderId="249" applyNumberFormat="0" applyBorder="0" applyAlignment="0" applyProtection="0"/>
    <xf numFmtId="4" fontId="60" fillId="2" borderId="247" applyNumberFormat="0" applyProtection="0">
      <alignment vertical="center"/>
    </xf>
    <xf numFmtId="4" fontId="100" fillId="2" borderId="247" applyNumberFormat="0" applyProtection="0">
      <alignment vertical="center"/>
    </xf>
    <xf numFmtId="4" fontId="60" fillId="2" borderId="247" applyNumberFormat="0" applyProtection="0">
      <alignment horizontal="left" vertical="center" indent="1"/>
    </xf>
    <xf numFmtId="4" fontId="60" fillId="2" borderId="247" applyNumberFormat="0" applyProtection="0">
      <alignment horizontal="left" vertical="center" indent="1"/>
    </xf>
    <xf numFmtId="0" fontId="56" fillId="19" borderId="247" applyNumberFormat="0" applyProtection="0">
      <alignment horizontal="left" vertical="center" indent="1"/>
    </xf>
    <xf numFmtId="4" fontId="60" fillId="20" borderId="247" applyNumberFormat="0" applyProtection="0">
      <alignment horizontal="right" vertical="center"/>
    </xf>
    <xf numFmtId="4" fontId="60" fillId="21" borderId="247" applyNumberFormat="0" applyProtection="0">
      <alignment horizontal="right" vertical="center"/>
    </xf>
    <xf numFmtId="4" fontId="60" fillId="22" borderId="247" applyNumberFormat="0" applyProtection="0">
      <alignment horizontal="right" vertical="center"/>
    </xf>
    <xf numFmtId="4" fontId="60" fillId="23" borderId="247" applyNumberFormat="0" applyProtection="0">
      <alignment horizontal="right" vertical="center"/>
    </xf>
    <xf numFmtId="4" fontId="60" fillId="24" borderId="247" applyNumberFormat="0" applyProtection="0">
      <alignment horizontal="right" vertical="center"/>
    </xf>
    <xf numFmtId="4" fontId="60" fillId="25" borderId="247" applyNumberFormat="0" applyProtection="0">
      <alignment horizontal="right" vertical="center"/>
    </xf>
    <xf numFmtId="4" fontId="60" fillId="26" borderId="247" applyNumberFormat="0" applyProtection="0">
      <alignment horizontal="right" vertical="center"/>
    </xf>
    <xf numFmtId="4" fontId="60" fillId="27" borderId="247" applyNumberFormat="0" applyProtection="0">
      <alignment horizontal="right" vertical="center"/>
    </xf>
    <xf numFmtId="4" fontId="60" fillId="28" borderId="247" applyNumberFormat="0" applyProtection="0">
      <alignment horizontal="right" vertical="center"/>
    </xf>
    <xf numFmtId="4" fontId="101" fillId="29" borderId="247" applyNumberFormat="0" applyProtection="0">
      <alignment horizontal="left" vertical="center" indent="1"/>
    </xf>
    <xf numFmtId="0" fontId="56" fillId="19" borderId="247" applyNumberFormat="0" applyProtection="0">
      <alignment horizontal="left" vertical="center" indent="1"/>
    </xf>
    <xf numFmtId="4" fontId="60" fillId="30" borderId="247" applyNumberFormat="0" applyProtection="0">
      <alignment horizontal="left" vertical="center" indent="1"/>
    </xf>
    <xf numFmtId="4" fontId="60" fillId="32" borderId="247" applyNumberFormat="0" applyProtection="0">
      <alignment horizontal="left" vertical="center" indent="1"/>
    </xf>
    <xf numFmtId="0" fontId="56" fillId="32" borderId="247" applyNumberFormat="0" applyProtection="0">
      <alignment horizontal="left" vertical="center" indent="1"/>
    </xf>
    <xf numFmtId="0" fontId="56" fillId="32" borderId="247" applyNumberFormat="0" applyProtection="0">
      <alignment horizontal="left" vertical="center" indent="1"/>
    </xf>
    <xf numFmtId="0" fontId="56" fillId="33" borderId="247" applyNumberFormat="0" applyProtection="0">
      <alignment horizontal="left" vertical="center" indent="1"/>
    </xf>
    <xf numFmtId="0" fontId="56" fillId="33" borderId="247" applyNumberFormat="0" applyProtection="0">
      <alignment horizontal="left" vertical="center" indent="1"/>
    </xf>
    <xf numFmtId="0" fontId="56" fillId="34" borderId="247" applyNumberFormat="0" applyProtection="0">
      <alignment horizontal="left" vertical="center" indent="1"/>
    </xf>
    <xf numFmtId="0" fontId="56" fillId="34" borderId="247" applyNumberFormat="0" applyProtection="0">
      <alignment horizontal="left" vertical="center" indent="1"/>
    </xf>
    <xf numFmtId="0" fontId="56" fillId="19" borderId="247" applyNumberFormat="0" applyProtection="0">
      <alignment horizontal="left" vertical="center" indent="1"/>
    </xf>
    <xf numFmtId="0" fontId="56" fillId="19" borderId="247" applyNumberFormat="0" applyProtection="0">
      <alignment horizontal="left" vertical="center" indent="1"/>
    </xf>
    <xf numFmtId="4" fontId="60" fillId="35" borderId="247" applyNumberFormat="0" applyProtection="0">
      <alignment vertical="center"/>
    </xf>
    <xf numFmtId="4" fontId="100" fillId="35" borderId="247" applyNumberFormat="0" applyProtection="0">
      <alignment vertical="center"/>
    </xf>
    <xf numFmtId="4" fontId="60" fillId="35" borderId="247" applyNumberFormat="0" applyProtection="0">
      <alignment horizontal="left" vertical="center" indent="1"/>
    </xf>
    <xf numFmtId="4" fontId="60" fillId="35" borderId="247" applyNumberFormat="0" applyProtection="0">
      <alignment horizontal="left" vertical="center" indent="1"/>
    </xf>
    <xf numFmtId="4" fontId="60" fillId="30" borderId="247" applyNumberFormat="0" applyProtection="0">
      <alignment horizontal="right" vertical="center"/>
    </xf>
    <xf numFmtId="4" fontId="100" fillId="30" borderId="247" applyNumberFormat="0" applyProtection="0">
      <alignment horizontal="right" vertical="center"/>
    </xf>
    <xf numFmtId="0" fontId="56" fillId="19" borderId="247" applyNumberFormat="0" applyProtection="0">
      <alignment horizontal="left" vertical="center" indent="1"/>
    </xf>
    <xf numFmtId="0" fontId="56" fillId="19" borderId="247" applyNumberFormat="0" applyProtection="0">
      <alignment horizontal="left" vertical="center" indent="1"/>
    </xf>
    <xf numFmtId="4" fontId="104" fillId="30" borderId="247" applyNumberFormat="0" applyProtection="0">
      <alignment horizontal="right" vertical="center"/>
    </xf>
    <xf numFmtId="0" fontId="151" fillId="111" borderId="250" applyNumberFormat="0" applyAlignment="0" applyProtection="0">
      <alignment vertical="center"/>
    </xf>
    <xf numFmtId="0" fontId="151" fillId="111" borderId="250" applyNumberFormat="0" applyAlignment="0" applyProtection="0">
      <alignment vertical="center"/>
    </xf>
    <xf numFmtId="0" fontId="22" fillId="10" borderId="251" applyNumberFormat="0" applyFont="0" applyAlignment="0" applyProtection="0">
      <alignment vertical="center"/>
    </xf>
    <xf numFmtId="0" fontId="22" fillId="10" borderId="251" applyNumberFormat="0" applyFont="0" applyAlignment="0" applyProtection="0">
      <alignment vertical="center"/>
    </xf>
    <xf numFmtId="9" fontId="73" fillId="0" borderId="0" applyFont="0" applyFill="0" applyBorder="0" applyAlignment="0" applyProtection="0">
      <alignment vertical="center"/>
    </xf>
    <xf numFmtId="9" fontId="73" fillId="0" borderId="0" applyFont="0" applyFill="0" applyBorder="0" applyAlignment="0" applyProtection="0">
      <alignment vertical="center"/>
    </xf>
    <xf numFmtId="41" fontId="73" fillId="0" borderId="0" applyFont="0" applyFill="0" applyBorder="0" applyAlignment="0" applyProtection="0">
      <alignment vertical="center"/>
    </xf>
    <xf numFmtId="0" fontId="146" fillId="0" borderId="252" applyNumberFormat="0" applyFill="0" applyAlignment="0" applyProtection="0">
      <alignment vertical="center"/>
    </xf>
    <xf numFmtId="0" fontId="146" fillId="0" borderId="252" applyNumberFormat="0" applyFill="0" applyAlignment="0" applyProtection="0">
      <alignment vertical="center"/>
    </xf>
    <xf numFmtId="0" fontId="157" fillId="98" borderId="250" applyNumberFormat="0" applyAlignment="0" applyProtection="0">
      <alignment vertical="center"/>
    </xf>
    <xf numFmtId="0" fontId="157" fillId="98" borderId="250" applyNumberFormat="0" applyAlignment="0" applyProtection="0">
      <alignment vertical="center"/>
    </xf>
    <xf numFmtId="0" fontId="163" fillId="111" borderId="247" applyNumberFormat="0" applyAlignment="0" applyProtection="0">
      <alignment vertical="center"/>
    </xf>
    <xf numFmtId="0" fontId="163" fillId="111" borderId="247" applyNumberFormat="0" applyAlignment="0" applyProtection="0">
      <alignment vertical="center"/>
    </xf>
    <xf numFmtId="0" fontId="58" fillId="0" borderId="0">
      <alignment vertical="center"/>
    </xf>
    <xf numFmtId="0" fontId="58" fillId="0" borderId="0">
      <alignment vertical="center"/>
    </xf>
    <xf numFmtId="0" fontId="7" fillId="0" borderId="0">
      <alignment vertical="center"/>
    </xf>
    <xf numFmtId="41" fontId="7" fillId="0" borderId="0" applyFont="0" applyFill="0" applyBorder="0" applyAlignment="0" applyProtection="0">
      <alignment vertical="center"/>
    </xf>
    <xf numFmtId="0" fontId="7" fillId="0" borderId="0">
      <alignment vertical="center"/>
    </xf>
    <xf numFmtId="0" fontId="6" fillId="0" borderId="0">
      <alignment vertical="center"/>
    </xf>
    <xf numFmtId="41" fontId="6" fillId="0" borderId="0" applyFont="0" applyFill="0" applyBorder="0" applyAlignment="0" applyProtection="0">
      <alignment vertical="center"/>
    </xf>
    <xf numFmtId="0" fontId="6" fillId="0" borderId="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0" fontId="22" fillId="0" borderId="0">
      <alignment vertical="center"/>
    </xf>
    <xf numFmtId="0" fontId="3" fillId="0" borderId="0">
      <alignment vertical="center"/>
    </xf>
    <xf numFmtId="41"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41" fontId="203" fillId="0" borderId="0" applyFont="0" applyFill="0" applyBorder="0" applyAlignment="0" applyProtection="0">
      <alignment vertical="center"/>
    </xf>
    <xf numFmtId="4" fontId="60" fillId="2" borderId="398" applyNumberFormat="0" applyProtection="0">
      <alignment vertical="center"/>
    </xf>
    <xf numFmtId="4" fontId="100" fillId="2" borderId="398" applyNumberFormat="0" applyProtection="0">
      <alignment vertical="center"/>
    </xf>
    <xf numFmtId="4" fontId="60" fillId="2" borderId="398" applyNumberFormat="0" applyProtection="0">
      <alignment horizontal="left" vertical="center" indent="1"/>
    </xf>
    <xf numFmtId="4" fontId="60" fillId="2" borderId="398" applyNumberFormat="0" applyProtection="0">
      <alignment horizontal="left" vertical="center" indent="1"/>
    </xf>
    <xf numFmtId="0" fontId="56" fillId="19" borderId="398" applyNumberFormat="0" applyProtection="0">
      <alignment horizontal="left" vertical="center" indent="1"/>
    </xf>
    <xf numFmtId="4" fontId="60" fillId="20" borderId="398" applyNumberFormat="0" applyProtection="0">
      <alignment horizontal="right" vertical="center"/>
    </xf>
    <xf numFmtId="4" fontId="60" fillId="21" borderId="398" applyNumberFormat="0" applyProtection="0">
      <alignment horizontal="right" vertical="center"/>
    </xf>
    <xf numFmtId="4" fontId="60" fillId="22" borderId="398" applyNumberFormat="0" applyProtection="0">
      <alignment horizontal="right" vertical="center"/>
    </xf>
    <xf numFmtId="4" fontId="60" fillId="23" borderId="398" applyNumberFormat="0" applyProtection="0">
      <alignment horizontal="right" vertical="center"/>
    </xf>
    <xf numFmtId="4" fontId="60" fillId="24" borderId="398" applyNumberFormat="0" applyProtection="0">
      <alignment horizontal="right" vertical="center"/>
    </xf>
    <xf numFmtId="4" fontId="60" fillId="25" borderId="398" applyNumberFormat="0" applyProtection="0">
      <alignment horizontal="right" vertical="center"/>
    </xf>
    <xf numFmtId="4" fontId="60" fillId="26" borderId="398" applyNumberFormat="0" applyProtection="0">
      <alignment horizontal="right" vertical="center"/>
    </xf>
    <xf numFmtId="4" fontId="60" fillId="27" borderId="398" applyNumberFormat="0" applyProtection="0">
      <alignment horizontal="right" vertical="center"/>
    </xf>
    <xf numFmtId="4" fontId="60" fillId="28" borderId="398" applyNumberFormat="0" applyProtection="0">
      <alignment horizontal="right" vertical="center"/>
    </xf>
    <xf numFmtId="4" fontId="101" fillId="29" borderId="398" applyNumberFormat="0" applyProtection="0">
      <alignment horizontal="left" vertical="center" indent="1"/>
    </xf>
    <xf numFmtId="4" fontId="60" fillId="30" borderId="399" applyNumberFormat="0" applyProtection="0">
      <alignment horizontal="left" vertical="center" indent="1"/>
    </xf>
    <xf numFmtId="0" fontId="56" fillId="19" borderId="398" applyNumberFormat="0" applyProtection="0">
      <alignment horizontal="left" vertical="center" indent="1"/>
    </xf>
    <xf numFmtId="4" fontId="60" fillId="30" borderId="398" applyNumberFormat="0" applyProtection="0">
      <alignment horizontal="left" vertical="center" indent="1"/>
    </xf>
    <xf numFmtId="4" fontId="60" fillId="32" borderId="398" applyNumberFormat="0" applyProtection="0">
      <alignment horizontal="left" vertical="center" indent="1"/>
    </xf>
    <xf numFmtId="0" fontId="56" fillId="32" borderId="398" applyNumberFormat="0" applyProtection="0">
      <alignment horizontal="left" vertical="center" indent="1"/>
    </xf>
    <xf numFmtId="0" fontId="56" fillId="32" borderId="398" applyNumberFormat="0" applyProtection="0">
      <alignment horizontal="left" vertical="center" indent="1"/>
    </xf>
    <xf numFmtId="0" fontId="56" fillId="33" borderId="398" applyNumberFormat="0" applyProtection="0">
      <alignment horizontal="left" vertical="center" indent="1"/>
    </xf>
    <xf numFmtId="0" fontId="56" fillId="33" borderId="398" applyNumberFormat="0" applyProtection="0">
      <alignment horizontal="left" vertical="center" indent="1"/>
    </xf>
    <xf numFmtId="0" fontId="56" fillId="34" borderId="398" applyNumberFormat="0" applyProtection="0">
      <alignment horizontal="left" vertical="center" indent="1"/>
    </xf>
    <xf numFmtId="0" fontId="56" fillId="34"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4" fontId="60" fillId="35" borderId="398" applyNumberFormat="0" applyProtection="0">
      <alignment vertical="center"/>
    </xf>
    <xf numFmtId="4" fontId="100" fillId="35" borderId="398" applyNumberFormat="0" applyProtection="0">
      <alignment vertical="center"/>
    </xf>
    <xf numFmtId="4" fontId="60" fillId="35" borderId="398" applyNumberFormat="0" applyProtection="0">
      <alignment horizontal="left" vertical="center" indent="1"/>
    </xf>
    <xf numFmtId="4" fontId="60" fillId="35" borderId="398" applyNumberFormat="0" applyProtection="0">
      <alignment horizontal="left" vertical="center" indent="1"/>
    </xf>
    <xf numFmtId="4" fontId="60" fillId="30" borderId="398" applyNumberFormat="0" applyProtection="0">
      <alignment horizontal="right" vertical="center"/>
    </xf>
    <xf numFmtId="4" fontId="100" fillId="30" borderId="398" applyNumberFormat="0" applyProtection="0">
      <alignment horizontal="right" vertical="center"/>
    </xf>
    <xf numFmtId="0" fontId="56" fillId="19" borderId="398" applyNumberFormat="0" applyProtection="0">
      <alignment horizontal="left" vertical="center" indent="1"/>
    </xf>
    <xf numFmtId="0" fontId="56" fillId="19" borderId="398" applyNumberFormat="0" applyProtection="0">
      <alignment horizontal="left" vertical="center" indent="1"/>
    </xf>
    <xf numFmtId="4" fontId="104" fillId="30" borderId="398" applyNumberFormat="0" applyProtection="0">
      <alignment horizontal="right" vertical="center"/>
    </xf>
    <xf numFmtId="0" fontId="151" fillId="111" borderId="400" applyNumberFormat="0" applyAlignment="0" applyProtection="0">
      <alignment vertical="center"/>
    </xf>
    <xf numFmtId="0" fontId="22" fillId="10" borderId="401" applyNumberFormat="0" applyFont="0" applyAlignment="0" applyProtection="0">
      <alignment vertical="center"/>
    </xf>
    <xf numFmtId="9" fontId="22" fillId="0" borderId="0" applyFont="0" applyFill="0" applyBorder="0" applyAlignment="0" applyProtection="0"/>
    <xf numFmtId="9"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0" fontId="146" fillId="0" borderId="402" applyNumberFormat="0" applyFill="0" applyAlignment="0" applyProtection="0">
      <alignment vertical="center"/>
    </xf>
    <xf numFmtId="0" fontId="157" fillId="98" borderId="400" applyNumberFormat="0" applyAlignment="0" applyProtection="0">
      <alignment vertical="center"/>
    </xf>
    <xf numFmtId="9" fontId="3" fillId="0" borderId="0" applyFont="0" applyFill="0" applyBorder="0" applyAlignment="0" applyProtection="0">
      <alignment vertical="center"/>
    </xf>
    <xf numFmtId="0" fontId="163" fillId="111" borderId="398" applyNumberFormat="0" applyAlignment="0" applyProtection="0">
      <alignment vertical="center"/>
    </xf>
    <xf numFmtId="0" fontId="22" fillId="0" borderId="0"/>
    <xf numFmtId="0" fontId="22" fillId="0" borderId="0"/>
    <xf numFmtId="0" fontId="61" fillId="0" borderId="0">
      <protection locked="0"/>
    </xf>
    <xf numFmtId="0" fontId="65" fillId="0" borderId="382">
      <alignment horizontal="center"/>
    </xf>
    <xf numFmtId="3" fontId="67" fillId="0" borderId="412"/>
    <xf numFmtId="3" fontId="67" fillId="0" borderId="412"/>
    <xf numFmtId="3" fontId="67" fillId="0" borderId="412"/>
    <xf numFmtId="196" fontId="83" fillId="0" borderId="412" applyFill="0" applyBorder="0" applyAlignment="0"/>
    <xf numFmtId="0" fontId="90" fillId="0" borderId="413">
      <alignment horizontal="left" vertical="center"/>
    </xf>
    <xf numFmtId="10" fontId="88" fillId="17" borderId="412" applyNumberFormat="0" applyBorder="0" applyAlignment="0" applyProtection="0"/>
    <xf numFmtId="0" fontId="99" fillId="1" borderId="413" applyNumberFormat="0" applyFont="0" applyAlignment="0">
      <alignment horizontal="center"/>
    </xf>
    <xf numFmtId="3" fontId="67" fillId="0" borderId="412"/>
    <xf numFmtId="3" fontId="67" fillId="0" borderId="412"/>
    <xf numFmtId="3" fontId="67" fillId="0" borderId="412"/>
    <xf numFmtId="0" fontId="114" fillId="56" borderId="414" applyNumberFormat="0" applyAlignment="0" applyProtection="0"/>
    <xf numFmtId="0" fontId="114" fillId="56" borderId="414" applyNumberFormat="0" applyAlignment="0" applyProtection="0"/>
    <xf numFmtId="0" fontId="114" fillId="56" borderId="414" applyNumberFormat="0" applyAlignment="0" applyProtection="0"/>
    <xf numFmtId="0" fontId="114" fillId="56" borderId="414" applyNumberFormat="0" applyAlignment="0" applyProtection="0"/>
    <xf numFmtId="0" fontId="114" fillId="56" borderId="414" applyNumberFormat="0" applyAlignment="0" applyProtection="0"/>
    <xf numFmtId="196" fontId="83" fillId="0" borderId="412" applyFill="0" applyBorder="0" applyAlignment="0"/>
    <xf numFmtId="0" fontId="90" fillId="0" borderId="413">
      <alignment horizontal="left" vertical="center"/>
    </xf>
    <xf numFmtId="0" fontId="90" fillId="0" borderId="413">
      <alignment horizontal="left" vertical="center"/>
    </xf>
    <xf numFmtId="0" fontId="118" fillId="54" borderId="414" applyNumberFormat="0" applyAlignment="0" applyProtection="0"/>
    <xf numFmtId="10" fontId="88" fillId="17" borderId="412" applyNumberFormat="0" applyBorder="0" applyAlignment="0" applyProtection="0"/>
    <xf numFmtId="0" fontId="118" fillId="54" borderId="414" applyNumberFormat="0" applyAlignment="0" applyProtection="0"/>
    <xf numFmtId="0" fontId="118" fillId="54" borderId="414" applyNumberFormat="0" applyAlignment="0" applyProtection="0"/>
    <xf numFmtId="0" fontId="118" fillId="54" borderId="414" applyNumberFormat="0" applyAlignment="0" applyProtection="0"/>
    <xf numFmtId="0" fontId="118" fillId="54" borderId="414" applyNumberFormat="0" applyAlignment="0" applyProtection="0"/>
    <xf numFmtId="0" fontId="118" fillId="54" borderId="414" applyNumberFormat="0" applyAlignment="0" applyProtection="0"/>
    <xf numFmtId="0" fontId="118" fillId="54" borderId="414" applyNumberFormat="0" applyAlignment="0" applyProtection="0"/>
    <xf numFmtId="0" fontId="118" fillId="54" borderId="414" applyNumberFormat="0" applyAlignment="0" applyProtection="0"/>
    <xf numFmtId="0" fontId="118" fillId="54" borderId="414" applyNumberFormat="0" applyAlignment="0" applyProtection="0"/>
    <xf numFmtId="0" fontId="88" fillId="53" borderId="414" applyNumberFormat="0" applyFont="0" applyAlignment="0" applyProtection="0"/>
    <xf numFmtId="0" fontId="88" fillId="53" borderId="414" applyNumberFormat="0" applyFont="0" applyAlignment="0" applyProtection="0"/>
    <xf numFmtId="0" fontId="88" fillId="53" borderId="414" applyNumberFormat="0" applyFont="0" applyAlignment="0" applyProtection="0"/>
    <xf numFmtId="0" fontId="88" fillId="53" borderId="414" applyNumberFormat="0" applyFont="0" applyAlignment="0" applyProtection="0"/>
    <xf numFmtId="0" fontId="88" fillId="53" borderId="414" applyNumberFormat="0" applyFont="0" applyAlignment="0" applyProtection="0"/>
    <xf numFmtId="0" fontId="120" fillId="56" borderId="398" applyNumberFormat="0" applyAlignment="0" applyProtection="0"/>
    <xf numFmtId="0" fontId="120" fillId="56" borderId="398" applyNumberFormat="0" applyAlignment="0" applyProtection="0"/>
    <xf numFmtId="0" fontId="120" fillId="56" borderId="398" applyNumberFormat="0" applyAlignment="0" applyProtection="0"/>
    <xf numFmtId="0" fontId="120" fillId="56" borderId="398" applyNumberFormat="0" applyAlignment="0" applyProtection="0"/>
    <xf numFmtId="0" fontId="120" fillId="56" borderId="398" applyNumberFormat="0" applyAlignment="0" applyProtection="0"/>
    <xf numFmtId="4" fontId="60" fillId="2" borderId="398" applyNumberFormat="0" applyProtection="0">
      <alignment vertical="center"/>
    </xf>
    <xf numFmtId="4" fontId="60" fillId="2" borderId="398" applyNumberFormat="0" applyProtection="0">
      <alignment vertical="center"/>
    </xf>
    <xf numFmtId="4" fontId="60" fillId="2" borderId="398" applyNumberFormat="0" applyProtection="0">
      <alignment vertical="center"/>
    </xf>
    <xf numFmtId="4" fontId="60" fillId="2" borderId="398" applyNumberFormat="0" applyProtection="0">
      <alignment vertical="center"/>
    </xf>
    <xf numFmtId="4" fontId="100" fillId="2" borderId="398" applyNumberFormat="0" applyProtection="0">
      <alignment vertical="center"/>
    </xf>
    <xf numFmtId="4" fontId="100" fillId="2" borderId="398" applyNumberFormat="0" applyProtection="0">
      <alignment vertical="center"/>
    </xf>
    <xf numFmtId="4" fontId="100" fillId="2" borderId="398" applyNumberFormat="0" applyProtection="0">
      <alignment vertical="center"/>
    </xf>
    <xf numFmtId="4" fontId="100" fillId="2" borderId="398" applyNumberFormat="0" applyProtection="0">
      <alignment vertical="center"/>
    </xf>
    <xf numFmtId="4" fontId="60" fillId="2" borderId="398" applyNumberFormat="0" applyProtection="0">
      <alignment horizontal="left" vertical="center" indent="1"/>
    </xf>
    <xf numFmtId="4" fontId="60" fillId="2" borderId="398" applyNumberFormat="0" applyProtection="0">
      <alignment horizontal="left" vertical="center" indent="1"/>
    </xf>
    <xf numFmtId="4" fontId="60" fillId="2" borderId="398" applyNumberFormat="0" applyProtection="0">
      <alignment horizontal="left" vertical="center" indent="1"/>
    </xf>
    <xf numFmtId="4" fontId="60" fillId="2" borderId="398" applyNumberFormat="0" applyProtection="0">
      <alignment horizontal="left" vertical="center" indent="1"/>
    </xf>
    <xf numFmtId="4" fontId="60" fillId="2" borderId="398" applyNumberFormat="0" applyProtection="0">
      <alignment horizontal="left" vertical="center" indent="1"/>
    </xf>
    <xf numFmtId="4" fontId="60" fillId="2" borderId="398" applyNumberFormat="0" applyProtection="0">
      <alignment horizontal="left" vertical="center" indent="1"/>
    </xf>
    <xf numFmtId="4" fontId="60" fillId="2" borderId="398" applyNumberFormat="0" applyProtection="0">
      <alignment horizontal="left" vertical="center" indent="1"/>
    </xf>
    <xf numFmtId="4" fontId="60" fillId="2"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4" fontId="60" fillId="20" borderId="398" applyNumberFormat="0" applyProtection="0">
      <alignment horizontal="right" vertical="center"/>
    </xf>
    <xf numFmtId="4" fontId="60" fillId="20" borderId="398" applyNumberFormat="0" applyProtection="0">
      <alignment horizontal="right" vertical="center"/>
    </xf>
    <xf numFmtId="4" fontId="60" fillId="20" borderId="398" applyNumberFormat="0" applyProtection="0">
      <alignment horizontal="right" vertical="center"/>
    </xf>
    <xf numFmtId="4" fontId="60" fillId="20" borderId="398" applyNumberFormat="0" applyProtection="0">
      <alignment horizontal="right" vertical="center"/>
    </xf>
    <xf numFmtId="4" fontId="60" fillId="21" borderId="398" applyNumberFormat="0" applyProtection="0">
      <alignment horizontal="right" vertical="center"/>
    </xf>
    <xf numFmtId="4" fontId="60" fillId="21" borderId="398" applyNumberFormat="0" applyProtection="0">
      <alignment horizontal="right" vertical="center"/>
    </xf>
    <xf numFmtId="4" fontId="60" fillId="21" borderId="398" applyNumberFormat="0" applyProtection="0">
      <alignment horizontal="right" vertical="center"/>
    </xf>
    <xf numFmtId="4" fontId="60" fillId="21" borderId="398" applyNumberFormat="0" applyProtection="0">
      <alignment horizontal="right" vertical="center"/>
    </xf>
    <xf numFmtId="4" fontId="60" fillId="22" borderId="398" applyNumberFormat="0" applyProtection="0">
      <alignment horizontal="right" vertical="center"/>
    </xf>
    <xf numFmtId="4" fontId="60" fillId="22" borderId="398" applyNumberFormat="0" applyProtection="0">
      <alignment horizontal="right" vertical="center"/>
    </xf>
    <xf numFmtId="4" fontId="60" fillId="22" borderId="398" applyNumberFormat="0" applyProtection="0">
      <alignment horizontal="right" vertical="center"/>
    </xf>
    <xf numFmtId="4" fontId="60" fillId="22" borderId="398" applyNumberFormat="0" applyProtection="0">
      <alignment horizontal="right" vertical="center"/>
    </xf>
    <xf numFmtId="4" fontId="60" fillId="23" borderId="398" applyNumberFormat="0" applyProtection="0">
      <alignment horizontal="right" vertical="center"/>
    </xf>
    <xf numFmtId="4" fontId="60" fillId="23" borderId="398" applyNumberFormat="0" applyProtection="0">
      <alignment horizontal="right" vertical="center"/>
    </xf>
    <xf numFmtId="4" fontId="60" fillId="23" borderId="398" applyNumberFormat="0" applyProtection="0">
      <alignment horizontal="right" vertical="center"/>
    </xf>
    <xf numFmtId="4" fontId="60" fillId="23" borderId="398" applyNumberFormat="0" applyProtection="0">
      <alignment horizontal="right" vertical="center"/>
    </xf>
    <xf numFmtId="4" fontId="60" fillId="24" borderId="398" applyNumberFormat="0" applyProtection="0">
      <alignment horizontal="right" vertical="center"/>
    </xf>
    <xf numFmtId="4" fontId="60" fillId="24" borderId="398" applyNumberFormat="0" applyProtection="0">
      <alignment horizontal="right" vertical="center"/>
    </xf>
    <xf numFmtId="4" fontId="60" fillId="24" borderId="398" applyNumberFormat="0" applyProtection="0">
      <alignment horizontal="right" vertical="center"/>
    </xf>
    <xf numFmtId="4" fontId="60" fillId="24" borderId="398" applyNumberFormat="0" applyProtection="0">
      <alignment horizontal="right" vertical="center"/>
    </xf>
    <xf numFmtId="4" fontId="60" fillId="25" borderId="398" applyNumberFormat="0" applyProtection="0">
      <alignment horizontal="right" vertical="center"/>
    </xf>
    <xf numFmtId="4" fontId="60" fillId="25" borderId="398" applyNumberFormat="0" applyProtection="0">
      <alignment horizontal="right" vertical="center"/>
    </xf>
    <xf numFmtId="4" fontId="60" fillId="25" borderId="398" applyNumberFormat="0" applyProtection="0">
      <alignment horizontal="right" vertical="center"/>
    </xf>
    <xf numFmtId="4" fontId="60" fillId="25" borderId="398" applyNumberFormat="0" applyProtection="0">
      <alignment horizontal="right" vertical="center"/>
    </xf>
    <xf numFmtId="4" fontId="60" fillId="26" borderId="398" applyNumberFormat="0" applyProtection="0">
      <alignment horizontal="right" vertical="center"/>
    </xf>
    <xf numFmtId="4" fontId="60" fillId="26" borderId="398" applyNumberFormat="0" applyProtection="0">
      <alignment horizontal="right" vertical="center"/>
    </xf>
    <xf numFmtId="4" fontId="60" fillId="26" borderId="398" applyNumberFormat="0" applyProtection="0">
      <alignment horizontal="right" vertical="center"/>
    </xf>
    <xf numFmtId="4" fontId="60" fillId="26" borderId="398" applyNumberFormat="0" applyProtection="0">
      <alignment horizontal="right" vertical="center"/>
    </xf>
    <xf numFmtId="4" fontId="60" fillId="27" borderId="398" applyNumberFormat="0" applyProtection="0">
      <alignment horizontal="right" vertical="center"/>
    </xf>
    <xf numFmtId="4" fontId="60" fillId="27" borderId="398" applyNumberFormat="0" applyProtection="0">
      <alignment horizontal="right" vertical="center"/>
    </xf>
    <xf numFmtId="4" fontId="60" fillId="27" borderId="398" applyNumberFormat="0" applyProtection="0">
      <alignment horizontal="right" vertical="center"/>
    </xf>
    <xf numFmtId="4" fontId="60" fillId="27" borderId="398" applyNumberFormat="0" applyProtection="0">
      <alignment horizontal="right" vertical="center"/>
    </xf>
    <xf numFmtId="4" fontId="60" fillId="28" borderId="398" applyNumberFormat="0" applyProtection="0">
      <alignment horizontal="right" vertical="center"/>
    </xf>
    <xf numFmtId="4" fontId="60" fillId="28" borderId="398" applyNumberFormat="0" applyProtection="0">
      <alignment horizontal="right" vertical="center"/>
    </xf>
    <xf numFmtId="4" fontId="60" fillId="28" borderId="398" applyNumberFormat="0" applyProtection="0">
      <alignment horizontal="right" vertical="center"/>
    </xf>
    <xf numFmtId="4" fontId="60" fillId="28" borderId="398" applyNumberFormat="0" applyProtection="0">
      <alignment horizontal="right" vertical="center"/>
    </xf>
    <xf numFmtId="4" fontId="101" fillId="29" borderId="398" applyNumberFormat="0" applyProtection="0">
      <alignment horizontal="left" vertical="center" indent="1"/>
    </xf>
    <xf numFmtId="4" fontId="101" fillId="29" borderId="398" applyNumberFormat="0" applyProtection="0">
      <alignment horizontal="left" vertical="center" indent="1"/>
    </xf>
    <xf numFmtId="4" fontId="101" fillId="29" borderId="398" applyNumberFormat="0" applyProtection="0">
      <alignment horizontal="left" vertical="center" indent="1"/>
    </xf>
    <xf numFmtId="4" fontId="101" fillId="29" borderId="398" applyNumberFormat="0" applyProtection="0">
      <alignment horizontal="left" vertical="center" indent="1"/>
    </xf>
    <xf numFmtId="4" fontId="60" fillId="30" borderId="399"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4" fontId="60" fillId="30" borderId="398" applyNumberFormat="0" applyProtection="0">
      <alignment horizontal="left" vertical="center" indent="1"/>
    </xf>
    <xf numFmtId="4" fontId="60" fillId="30" borderId="398" applyNumberFormat="0" applyProtection="0">
      <alignment horizontal="left" vertical="center" indent="1"/>
    </xf>
    <xf numFmtId="4" fontId="60" fillId="30" borderId="398" applyNumberFormat="0" applyProtection="0">
      <alignment horizontal="left" vertical="center" indent="1"/>
    </xf>
    <xf numFmtId="4" fontId="60" fillId="30" borderId="398" applyNumberFormat="0" applyProtection="0">
      <alignment horizontal="left" vertical="center" indent="1"/>
    </xf>
    <xf numFmtId="4" fontId="60" fillId="32" borderId="398" applyNumberFormat="0" applyProtection="0">
      <alignment horizontal="left" vertical="center" indent="1"/>
    </xf>
    <xf numFmtId="4" fontId="60" fillId="32" borderId="398" applyNumberFormat="0" applyProtection="0">
      <alignment horizontal="left" vertical="center" indent="1"/>
    </xf>
    <xf numFmtId="4" fontId="60" fillId="32" borderId="398" applyNumberFormat="0" applyProtection="0">
      <alignment horizontal="left" vertical="center" indent="1"/>
    </xf>
    <xf numFmtId="4" fontId="60" fillId="32" borderId="398" applyNumberFormat="0" applyProtection="0">
      <alignment horizontal="left" vertical="center" indent="1"/>
    </xf>
    <xf numFmtId="0" fontId="56" fillId="32" borderId="398" applyNumberFormat="0" applyProtection="0">
      <alignment horizontal="left" vertical="center" indent="1"/>
    </xf>
    <xf numFmtId="0" fontId="56" fillId="32" borderId="398" applyNumberFormat="0" applyProtection="0">
      <alignment horizontal="left" vertical="center" indent="1"/>
    </xf>
    <xf numFmtId="0" fontId="56" fillId="32" borderId="398" applyNumberFormat="0" applyProtection="0">
      <alignment horizontal="left" vertical="center" indent="1"/>
    </xf>
    <xf numFmtId="0" fontId="56" fillId="32" borderId="398" applyNumberFormat="0" applyProtection="0">
      <alignment horizontal="left" vertical="center" indent="1"/>
    </xf>
    <xf numFmtId="0" fontId="56" fillId="32" borderId="398" applyNumberFormat="0" applyProtection="0">
      <alignment horizontal="left" vertical="center" indent="1"/>
    </xf>
    <xf numFmtId="0" fontId="56" fillId="32" borderId="398" applyNumberFormat="0" applyProtection="0">
      <alignment horizontal="left" vertical="center" indent="1"/>
    </xf>
    <xf numFmtId="0" fontId="56" fillId="32" borderId="398" applyNumberFormat="0" applyProtection="0">
      <alignment horizontal="left" vertical="center" indent="1"/>
    </xf>
    <xf numFmtId="0" fontId="56" fillId="32" borderId="398" applyNumberFormat="0" applyProtection="0">
      <alignment horizontal="left" vertical="center" indent="1"/>
    </xf>
    <xf numFmtId="0" fontId="56" fillId="33" borderId="398" applyNumberFormat="0" applyProtection="0">
      <alignment horizontal="left" vertical="center" indent="1"/>
    </xf>
    <xf numFmtId="0" fontId="56" fillId="33" borderId="398" applyNumberFormat="0" applyProtection="0">
      <alignment horizontal="left" vertical="center" indent="1"/>
    </xf>
    <xf numFmtId="0" fontId="56" fillId="33" borderId="398" applyNumberFormat="0" applyProtection="0">
      <alignment horizontal="left" vertical="center" indent="1"/>
    </xf>
    <xf numFmtId="0" fontId="56" fillId="33" borderId="398" applyNumberFormat="0" applyProtection="0">
      <alignment horizontal="left" vertical="center" indent="1"/>
    </xf>
    <xf numFmtId="0" fontId="56" fillId="33" borderId="398" applyNumberFormat="0" applyProtection="0">
      <alignment horizontal="left" vertical="center" indent="1"/>
    </xf>
    <xf numFmtId="0" fontId="56" fillId="33" borderId="398" applyNumberFormat="0" applyProtection="0">
      <alignment horizontal="left" vertical="center" indent="1"/>
    </xf>
    <xf numFmtId="0" fontId="56" fillId="33" borderId="398" applyNumberFormat="0" applyProtection="0">
      <alignment horizontal="left" vertical="center" indent="1"/>
    </xf>
    <xf numFmtId="0" fontId="56" fillId="33" borderId="398" applyNumberFormat="0" applyProtection="0">
      <alignment horizontal="left" vertical="center" indent="1"/>
    </xf>
    <xf numFmtId="0" fontId="56" fillId="34" borderId="398" applyNumberFormat="0" applyProtection="0">
      <alignment horizontal="left" vertical="center" indent="1"/>
    </xf>
    <xf numFmtId="0" fontId="56" fillId="34" borderId="398" applyNumberFormat="0" applyProtection="0">
      <alignment horizontal="left" vertical="center" indent="1"/>
    </xf>
    <xf numFmtId="0" fontId="56" fillId="34" borderId="398" applyNumberFormat="0" applyProtection="0">
      <alignment horizontal="left" vertical="center" indent="1"/>
    </xf>
    <xf numFmtId="0" fontId="56" fillId="34" borderId="398" applyNumberFormat="0" applyProtection="0">
      <alignment horizontal="left" vertical="center" indent="1"/>
    </xf>
    <xf numFmtId="0" fontId="56" fillId="34" borderId="398" applyNumberFormat="0" applyProtection="0">
      <alignment horizontal="left" vertical="center" indent="1"/>
    </xf>
    <xf numFmtId="0" fontId="56" fillId="34" borderId="398" applyNumberFormat="0" applyProtection="0">
      <alignment horizontal="left" vertical="center" indent="1"/>
    </xf>
    <xf numFmtId="0" fontId="56" fillId="34" borderId="398" applyNumberFormat="0" applyProtection="0">
      <alignment horizontal="left" vertical="center" indent="1"/>
    </xf>
    <xf numFmtId="0" fontId="56" fillId="34"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121" fillId="60" borderId="415" applyBorder="0"/>
    <xf numFmtId="0" fontId="121" fillId="60" borderId="415" applyBorder="0"/>
    <xf numFmtId="0" fontId="121" fillId="60" borderId="415" applyBorder="0"/>
    <xf numFmtId="0" fontId="121" fillId="60" borderId="415" applyBorder="0"/>
    <xf numFmtId="0" fontId="121" fillId="60" borderId="415" applyBorder="0"/>
    <xf numFmtId="0" fontId="121" fillId="60" borderId="415" applyBorder="0"/>
    <xf numFmtId="4" fontId="60" fillId="35" borderId="398" applyNumberFormat="0" applyProtection="0">
      <alignment vertical="center"/>
    </xf>
    <xf numFmtId="4" fontId="60" fillId="35" borderId="398" applyNumberFormat="0" applyProtection="0">
      <alignment vertical="center"/>
    </xf>
    <xf numFmtId="4" fontId="60" fillId="35" borderId="398" applyNumberFormat="0" applyProtection="0">
      <alignment vertical="center"/>
    </xf>
    <xf numFmtId="4" fontId="60" fillId="35" borderId="398" applyNumberFormat="0" applyProtection="0">
      <alignment vertical="center"/>
    </xf>
    <xf numFmtId="4" fontId="100" fillId="35" borderId="398" applyNumberFormat="0" applyProtection="0">
      <alignment vertical="center"/>
    </xf>
    <xf numFmtId="4" fontId="100" fillId="35" borderId="398" applyNumberFormat="0" applyProtection="0">
      <alignment vertical="center"/>
    </xf>
    <xf numFmtId="4" fontId="100" fillId="35" borderId="398" applyNumberFormat="0" applyProtection="0">
      <alignment vertical="center"/>
    </xf>
    <xf numFmtId="4" fontId="100" fillId="35" borderId="398" applyNumberFormat="0" applyProtection="0">
      <alignment vertical="center"/>
    </xf>
    <xf numFmtId="4" fontId="60" fillId="35" borderId="398" applyNumberFormat="0" applyProtection="0">
      <alignment horizontal="left" vertical="center" indent="1"/>
    </xf>
    <xf numFmtId="4" fontId="60" fillId="35" borderId="398" applyNumberFormat="0" applyProtection="0">
      <alignment horizontal="left" vertical="center" indent="1"/>
    </xf>
    <xf numFmtId="4" fontId="60" fillId="35" borderId="398" applyNumberFormat="0" applyProtection="0">
      <alignment horizontal="left" vertical="center" indent="1"/>
    </xf>
    <xf numFmtId="4" fontId="60" fillId="35" borderId="398" applyNumberFormat="0" applyProtection="0">
      <alignment horizontal="left" vertical="center" indent="1"/>
    </xf>
    <xf numFmtId="4" fontId="60" fillId="35" borderId="398" applyNumberFormat="0" applyProtection="0">
      <alignment horizontal="left" vertical="center" indent="1"/>
    </xf>
    <xf numFmtId="4" fontId="60" fillId="35" borderId="398" applyNumberFormat="0" applyProtection="0">
      <alignment horizontal="left" vertical="center" indent="1"/>
    </xf>
    <xf numFmtId="4" fontId="60" fillId="35" borderId="398" applyNumberFormat="0" applyProtection="0">
      <alignment horizontal="left" vertical="center" indent="1"/>
    </xf>
    <xf numFmtId="4" fontId="60" fillId="35" borderId="398" applyNumberFormat="0" applyProtection="0">
      <alignment horizontal="left" vertical="center" indent="1"/>
    </xf>
    <xf numFmtId="4" fontId="60" fillId="30" borderId="398" applyNumberFormat="0" applyProtection="0">
      <alignment horizontal="right" vertical="center"/>
    </xf>
    <xf numFmtId="4" fontId="60" fillId="30" borderId="398" applyNumberFormat="0" applyProtection="0">
      <alignment horizontal="right" vertical="center"/>
    </xf>
    <xf numFmtId="4" fontId="60" fillId="30" borderId="398" applyNumberFormat="0" applyProtection="0">
      <alignment horizontal="right" vertical="center"/>
    </xf>
    <xf numFmtId="4" fontId="60" fillId="30" borderId="398" applyNumberFormat="0" applyProtection="0">
      <alignment horizontal="right" vertical="center"/>
    </xf>
    <xf numFmtId="4" fontId="100" fillId="30" borderId="398" applyNumberFormat="0" applyProtection="0">
      <alignment horizontal="right" vertical="center"/>
    </xf>
    <xf numFmtId="4" fontId="100" fillId="30" borderId="398" applyNumberFormat="0" applyProtection="0">
      <alignment horizontal="right" vertical="center"/>
    </xf>
    <xf numFmtId="4" fontId="100" fillId="30" borderId="398" applyNumberFormat="0" applyProtection="0">
      <alignment horizontal="right" vertical="center"/>
    </xf>
    <xf numFmtId="4" fontId="100" fillId="30" borderId="398" applyNumberFormat="0" applyProtection="0">
      <alignment horizontal="right" vertical="center"/>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56" fillId="19" borderId="398" applyNumberFormat="0" applyProtection="0">
      <alignment horizontal="left" vertical="center" indent="1"/>
    </xf>
    <xf numFmtId="0" fontId="88" fillId="61" borderId="412"/>
    <xf numFmtId="0" fontId="88" fillId="61" borderId="412"/>
    <xf numFmtId="4" fontId="104" fillId="30" borderId="398" applyNumberFormat="0" applyProtection="0">
      <alignment horizontal="right" vertical="center"/>
    </xf>
    <xf numFmtId="4" fontId="104" fillId="30" borderId="398" applyNumberFormat="0" applyProtection="0">
      <alignment horizontal="right" vertical="center"/>
    </xf>
    <xf numFmtId="4" fontId="104" fillId="30" borderId="398" applyNumberFormat="0" applyProtection="0">
      <alignment horizontal="right" vertical="center"/>
    </xf>
    <xf numFmtId="4" fontId="104" fillId="30" borderId="398" applyNumberFormat="0" applyProtection="0">
      <alignment horizontal="right" vertical="center"/>
    </xf>
    <xf numFmtId="0" fontId="99" fillId="1" borderId="413" applyNumberFormat="0" applyFont="0" applyAlignment="0">
      <alignment horizontal="center"/>
    </xf>
    <xf numFmtId="0" fontId="99" fillId="1" borderId="413" applyNumberFormat="0" applyFont="0" applyAlignment="0">
      <alignment horizont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3" fontId="67" fillId="0" borderId="412"/>
    <xf numFmtId="3" fontId="67" fillId="0" borderId="412"/>
    <xf numFmtId="3" fontId="67" fillId="0" borderId="412"/>
    <xf numFmtId="3" fontId="67" fillId="0" borderId="412"/>
    <xf numFmtId="3" fontId="67" fillId="0" borderId="412"/>
    <xf numFmtId="3" fontId="67" fillId="0" borderId="412"/>
    <xf numFmtId="196" fontId="83" fillId="0" borderId="412" applyFill="0" applyBorder="0" applyAlignment="0"/>
    <xf numFmtId="196" fontId="83" fillId="0" borderId="412" applyFill="0" applyBorder="0" applyAlignment="0"/>
    <xf numFmtId="10" fontId="88" fillId="17" borderId="412" applyNumberFormat="0" applyBorder="0" applyAlignment="0" applyProtection="0"/>
    <xf numFmtId="10" fontId="88" fillId="17" borderId="412" applyNumberFormat="0" applyBorder="0" applyAlignment="0" applyProtection="0"/>
    <xf numFmtId="0" fontId="88" fillId="61" borderId="412"/>
    <xf numFmtId="0" fontId="88" fillId="61" borderId="412"/>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70" borderId="0" applyNumberFormat="0" applyBorder="0" applyAlignment="0" applyProtection="0">
      <alignment vertical="center"/>
    </xf>
    <xf numFmtId="0" fontId="2" fillId="71" borderId="0" applyNumberFormat="0" applyBorder="0" applyAlignment="0" applyProtection="0">
      <alignment vertical="center"/>
    </xf>
    <xf numFmtId="0" fontId="2" fillId="74" borderId="0" applyNumberFormat="0" applyBorder="0" applyAlignment="0" applyProtection="0">
      <alignment vertical="center"/>
    </xf>
    <xf numFmtId="0" fontId="2" fillId="75" borderId="0" applyNumberFormat="0" applyBorder="0" applyAlignment="0" applyProtection="0">
      <alignment vertical="center"/>
    </xf>
    <xf numFmtId="0" fontId="2" fillId="78" borderId="0" applyNumberFormat="0" applyBorder="0" applyAlignment="0" applyProtection="0">
      <alignment vertical="center"/>
    </xf>
    <xf numFmtId="0" fontId="2" fillId="79" borderId="0" applyNumberFormat="0" applyBorder="0" applyAlignment="0" applyProtection="0">
      <alignment vertical="center"/>
    </xf>
    <xf numFmtId="0" fontId="2" fillId="82" borderId="0" applyNumberFormat="0" applyBorder="0" applyAlignment="0" applyProtection="0">
      <alignment vertical="center"/>
    </xf>
    <xf numFmtId="0" fontId="2" fillId="83" borderId="0" applyNumberFormat="0" applyBorder="0" applyAlignment="0" applyProtection="0">
      <alignment vertical="center"/>
    </xf>
    <xf numFmtId="0" fontId="2" fillId="86" borderId="0" applyNumberFormat="0" applyBorder="0" applyAlignment="0" applyProtection="0">
      <alignment vertical="center"/>
    </xf>
    <xf numFmtId="0" fontId="2" fillId="87" borderId="0" applyNumberFormat="0" applyBorder="0" applyAlignment="0" applyProtection="0">
      <alignment vertical="center"/>
    </xf>
    <xf numFmtId="0" fontId="2" fillId="90" borderId="0" applyNumberFormat="0" applyBorder="0" applyAlignment="0" applyProtection="0">
      <alignment vertical="center"/>
    </xf>
    <xf numFmtId="0" fontId="2" fillId="91" borderId="0" applyNumberFormat="0" applyBorder="0" applyAlignment="0" applyProtection="0">
      <alignment vertical="center"/>
    </xf>
    <xf numFmtId="0" fontId="2" fillId="0" borderId="0">
      <alignment vertical="center"/>
    </xf>
    <xf numFmtId="41" fontId="2" fillId="0" borderId="0" applyFont="0" applyFill="0" applyBorder="0" applyAlignment="0" applyProtection="0">
      <alignment vertical="center"/>
    </xf>
    <xf numFmtId="0" fontId="2" fillId="68" borderId="170" applyNumberFormat="0" applyFont="0" applyAlignment="0" applyProtection="0">
      <alignment vertical="center"/>
    </xf>
    <xf numFmtId="0" fontId="90" fillId="0" borderId="413">
      <alignment horizontal="left" vertical="center"/>
    </xf>
    <xf numFmtId="4" fontId="60" fillId="2" borderId="416" applyNumberFormat="0" applyProtection="0">
      <alignment vertical="center"/>
    </xf>
    <xf numFmtId="4" fontId="100" fillId="2" borderId="416" applyNumberFormat="0" applyProtection="0">
      <alignment vertical="center"/>
    </xf>
    <xf numFmtId="4" fontId="60" fillId="2" borderId="416" applyNumberFormat="0" applyProtection="0">
      <alignment horizontal="left" vertical="center" indent="1"/>
    </xf>
    <xf numFmtId="4" fontId="60" fillId="2" borderId="416" applyNumberFormat="0" applyProtection="0">
      <alignment horizontal="left" vertical="center" indent="1"/>
    </xf>
    <xf numFmtId="0" fontId="56" fillId="19" borderId="416" applyNumberFormat="0" applyProtection="0">
      <alignment horizontal="left" vertical="center" indent="1"/>
    </xf>
    <xf numFmtId="4" fontId="60" fillId="20" borderId="416" applyNumberFormat="0" applyProtection="0">
      <alignment horizontal="right" vertical="center"/>
    </xf>
    <xf numFmtId="4" fontId="60" fillId="21" borderId="416" applyNumberFormat="0" applyProtection="0">
      <alignment horizontal="right" vertical="center"/>
    </xf>
    <xf numFmtId="4" fontId="60" fillId="22" borderId="416" applyNumberFormat="0" applyProtection="0">
      <alignment horizontal="right" vertical="center"/>
    </xf>
    <xf numFmtId="4" fontId="60" fillId="23" borderId="416" applyNumberFormat="0" applyProtection="0">
      <alignment horizontal="right" vertical="center"/>
    </xf>
    <xf numFmtId="4" fontId="60" fillId="24" borderId="416" applyNumberFormat="0" applyProtection="0">
      <alignment horizontal="right" vertical="center"/>
    </xf>
    <xf numFmtId="4" fontId="60" fillId="25" borderId="416" applyNumberFormat="0" applyProtection="0">
      <alignment horizontal="right" vertical="center"/>
    </xf>
    <xf numFmtId="4" fontId="60" fillId="26" borderId="416" applyNumberFormat="0" applyProtection="0">
      <alignment horizontal="right" vertical="center"/>
    </xf>
    <xf numFmtId="4" fontId="60" fillId="27" borderId="416" applyNumberFormat="0" applyProtection="0">
      <alignment horizontal="right" vertical="center"/>
    </xf>
    <xf numFmtId="4" fontId="60" fillId="28" borderId="416" applyNumberFormat="0" applyProtection="0">
      <alignment horizontal="right" vertical="center"/>
    </xf>
    <xf numFmtId="4" fontId="101" fillId="29" borderId="416" applyNumberFormat="0" applyProtection="0">
      <alignment horizontal="left" vertical="center" indent="1"/>
    </xf>
    <xf numFmtId="4" fontId="60" fillId="30" borderId="399" applyNumberFormat="0" applyProtection="0">
      <alignment horizontal="left" vertical="center" indent="1"/>
    </xf>
    <xf numFmtId="0" fontId="56" fillId="19" borderId="416" applyNumberFormat="0" applyProtection="0">
      <alignment horizontal="left" vertical="center" indent="1"/>
    </xf>
    <xf numFmtId="4" fontId="60" fillId="30" borderId="416" applyNumberFormat="0" applyProtection="0">
      <alignment horizontal="left" vertical="center" indent="1"/>
    </xf>
    <xf numFmtId="4" fontId="60" fillId="32" borderId="416" applyNumberFormat="0" applyProtection="0">
      <alignment horizontal="left" vertical="center" indent="1"/>
    </xf>
    <xf numFmtId="0" fontId="56" fillId="32" borderId="416" applyNumberFormat="0" applyProtection="0">
      <alignment horizontal="left" vertical="center" indent="1"/>
    </xf>
    <xf numFmtId="0" fontId="56" fillId="32" borderId="416" applyNumberFormat="0" applyProtection="0">
      <alignment horizontal="left" vertical="center" indent="1"/>
    </xf>
    <xf numFmtId="0" fontId="56" fillId="33" borderId="416" applyNumberFormat="0" applyProtection="0">
      <alignment horizontal="left" vertical="center" indent="1"/>
    </xf>
    <xf numFmtId="0" fontId="56" fillId="33" borderId="416" applyNumberFormat="0" applyProtection="0">
      <alignment horizontal="left" vertical="center" indent="1"/>
    </xf>
    <xf numFmtId="0" fontId="56" fillId="34" borderId="416" applyNumberFormat="0" applyProtection="0">
      <alignment horizontal="left" vertical="center" indent="1"/>
    </xf>
    <xf numFmtId="0" fontId="56" fillId="34"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4" fontId="60" fillId="35" borderId="416" applyNumberFormat="0" applyProtection="0">
      <alignment vertical="center"/>
    </xf>
    <xf numFmtId="4" fontId="100" fillId="35" borderId="416" applyNumberFormat="0" applyProtection="0">
      <alignment vertical="center"/>
    </xf>
    <xf numFmtId="4" fontId="60" fillId="35" borderId="416" applyNumberFormat="0" applyProtection="0">
      <alignment horizontal="left" vertical="center" indent="1"/>
    </xf>
    <xf numFmtId="4" fontId="60" fillId="35" borderId="416" applyNumberFormat="0" applyProtection="0">
      <alignment horizontal="left" vertical="center" indent="1"/>
    </xf>
    <xf numFmtId="4" fontId="60" fillId="30" borderId="416" applyNumberFormat="0" applyProtection="0">
      <alignment horizontal="right" vertical="center"/>
    </xf>
    <xf numFmtId="4" fontId="100" fillId="30" borderId="416" applyNumberFormat="0" applyProtection="0">
      <alignment horizontal="right" vertical="center"/>
    </xf>
    <xf numFmtId="0" fontId="56" fillId="19" borderId="416" applyNumberFormat="0" applyProtection="0">
      <alignment horizontal="left" vertical="center" indent="1"/>
    </xf>
    <xf numFmtId="0" fontId="56" fillId="19" borderId="416" applyNumberFormat="0" applyProtection="0">
      <alignment horizontal="left" vertical="center" indent="1"/>
    </xf>
    <xf numFmtId="4" fontId="104" fillId="30" borderId="416" applyNumberFormat="0" applyProtection="0">
      <alignment horizontal="right" vertical="center"/>
    </xf>
    <xf numFmtId="0" fontId="99" fillId="1" borderId="413" applyNumberFormat="0" applyFont="0" applyAlignment="0">
      <alignment horizont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3" fillId="111" borderId="416" applyNumberFormat="0" applyAlignment="0" applyProtection="0">
      <alignment vertical="center"/>
    </xf>
    <xf numFmtId="0" fontId="163" fillId="111" borderId="416" applyNumberFormat="0" applyAlignment="0" applyProtection="0">
      <alignment vertical="center"/>
    </xf>
    <xf numFmtId="0" fontId="157" fillId="98" borderId="419" applyNumberFormat="0" applyAlignment="0" applyProtection="0">
      <alignment vertical="center"/>
    </xf>
    <xf numFmtId="0" fontId="157" fillId="98" borderId="419" applyNumberFormat="0" applyAlignment="0" applyProtection="0">
      <alignment vertical="center"/>
    </xf>
    <xf numFmtId="0" fontId="146" fillId="0" borderId="421" applyNumberFormat="0" applyFill="0" applyAlignment="0" applyProtection="0">
      <alignment vertical="center"/>
    </xf>
    <xf numFmtId="0" fontId="146" fillId="0" borderId="421" applyNumberFormat="0" applyFill="0" applyAlignment="0" applyProtection="0">
      <alignment vertical="center"/>
    </xf>
    <xf numFmtId="0" fontId="22" fillId="10" borderId="420" applyNumberFormat="0" applyFont="0" applyAlignment="0" applyProtection="0">
      <alignment vertical="center"/>
    </xf>
    <xf numFmtId="0" fontId="22" fillId="10" borderId="420" applyNumberFormat="0" applyFont="0" applyAlignment="0" applyProtection="0">
      <alignment vertical="center"/>
    </xf>
    <xf numFmtId="0" fontId="151" fillId="111" borderId="419" applyNumberFormat="0" applyAlignment="0" applyProtection="0">
      <alignment vertical="center"/>
    </xf>
    <xf numFmtId="0" fontId="151" fillId="111" borderId="419" applyNumberFormat="0" applyAlignment="0" applyProtection="0">
      <alignment vertical="center"/>
    </xf>
    <xf numFmtId="0" fontId="114" fillId="56" borderId="417" applyNumberFormat="0" applyAlignment="0" applyProtection="0"/>
    <xf numFmtId="0" fontId="114" fillId="56" borderId="417" applyNumberFormat="0" applyAlignment="0" applyProtection="0"/>
    <xf numFmtId="0" fontId="114" fillId="56" borderId="417" applyNumberFormat="0" applyAlignment="0" applyProtection="0"/>
    <xf numFmtId="0" fontId="114" fillId="56" borderId="417" applyNumberFormat="0" applyAlignment="0" applyProtection="0"/>
    <xf numFmtId="0" fontId="114" fillId="56" borderId="417" applyNumberFormat="0" applyAlignment="0" applyProtection="0"/>
    <xf numFmtId="0" fontId="90" fillId="0" borderId="413">
      <alignment horizontal="left" vertical="center"/>
    </xf>
    <xf numFmtId="0" fontId="90" fillId="0" borderId="413">
      <alignment horizontal="left" vertical="center"/>
    </xf>
    <xf numFmtId="0" fontId="118" fillId="54" borderId="417" applyNumberFormat="0" applyAlignment="0" applyProtection="0"/>
    <xf numFmtId="0" fontId="118" fillId="54" borderId="417" applyNumberFormat="0" applyAlignment="0" applyProtection="0"/>
    <xf numFmtId="0" fontId="118" fillId="54" borderId="417" applyNumberFormat="0" applyAlignment="0" applyProtection="0"/>
    <xf numFmtId="0" fontId="118" fillId="54" borderId="417" applyNumberFormat="0" applyAlignment="0" applyProtection="0"/>
    <xf numFmtId="0" fontId="118" fillId="54" borderId="417" applyNumberFormat="0" applyAlignment="0" applyProtection="0"/>
    <xf numFmtId="0" fontId="118" fillId="54" borderId="417" applyNumberFormat="0" applyAlignment="0" applyProtection="0"/>
    <xf numFmtId="0" fontId="118" fillId="54" borderId="417" applyNumberFormat="0" applyAlignment="0" applyProtection="0"/>
    <xf numFmtId="0" fontId="118" fillId="54" borderId="417" applyNumberFormat="0" applyAlignment="0" applyProtection="0"/>
    <xf numFmtId="0" fontId="118" fillId="54" borderId="417" applyNumberFormat="0" applyAlignment="0" applyProtection="0"/>
    <xf numFmtId="0" fontId="88" fillId="53" borderId="417" applyNumberFormat="0" applyFont="0" applyAlignment="0" applyProtection="0"/>
    <xf numFmtId="0" fontId="88" fillId="53" borderId="417" applyNumberFormat="0" applyFont="0" applyAlignment="0" applyProtection="0"/>
    <xf numFmtId="0" fontId="88" fillId="53" borderId="417" applyNumberFormat="0" applyFont="0" applyAlignment="0" applyProtection="0"/>
    <xf numFmtId="0" fontId="88" fillId="53" borderId="417" applyNumberFormat="0" applyFont="0" applyAlignment="0" applyProtection="0"/>
    <xf numFmtId="0" fontId="88" fillId="53" borderId="417" applyNumberFormat="0" applyFont="0" applyAlignment="0" applyProtection="0"/>
    <xf numFmtId="0" fontId="120" fillId="56" borderId="416" applyNumberFormat="0" applyAlignment="0" applyProtection="0"/>
    <xf numFmtId="0" fontId="120" fillId="56" borderId="416" applyNumberFormat="0" applyAlignment="0" applyProtection="0"/>
    <xf numFmtId="0" fontId="120" fillId="56" borderId="416" applyNumberFormat="0" applyAlignment="0" applyProtection="0"/>
    <xf numFmtId="0" fontId="120" fillId="56" borderId="416" applyNumberFormat="0" applyAlignment="0" applyProtection="0"/>
    <xf numFmtId="0" fontId="120" fillId="56" borderId="416" applyNumberFormat="0" applyAlignment="0" applyProtection="0"/>
    <xf numFmtId="4" fontId="60" fillId="2" borderId="416" applyNumberFormat="0" applyProtection="0">
      <alignment vertical="center"/>
    </xf>
    <xf numFmtId="4" fontId="60" fillId="2" borderId="416" applyNumberFormat="0" applyProtection="0">
      <alignment vertical="center"/>
    </xf>
    <xf numFmtId="4" fontId="60" fillId="2" borderId="416" applyNumberFormat="0" applyProtection="0">
      <alignment vertical="center"/>
    </xf>
    <xf numFmtId="4" fontId="60" fillId="2" borderId="416" applyNumberFormat="0" applyProtection="0">
      <alignment vertical="center"/>
    </xf>
    <xf numFmtId="4" fontId="100" fillId="2" borderId="416" applyNumberFormat="0" applyProtection="0">
      <alignment vertical="center"/>
    </xf>
    <xf numFmtId="4" fontId="100" fillId="2" borderId="416" applyNumberFormat="0" applyProtection="0">
      <alignment vertical="center"/>
    </xf>
    <xf numFmtId="4" fontId="100" fillId="2" borderId="416" applyNumberFormat="0" applyProtection="0">
      <alignment vertical="center"/>
    </xf>
    <xf numFmtId="4" fontId="100" fillId="2" borderId="416" applyNumberFormat="0" applyProtection="0">
      <alignment vertical="center"/>
    </xf>
    <xf numFmtId="4" fontId="60" fillId="2" borderId="416" applyNumberFormat="0" applyProtection="0">
      <alignment horizontal="left" vertical="center" indent="1"/>
    </xf>
    <xf numFmtId="4" fontId="60" fillId="2" borderId="416" applyNumberFormat="0" applyProtection="0">
      <alignment horizontal="left" vertical="center" indent="1"/>
    </xf>
    <xf numFmtId="4" fontId="60" fillId="2" borderId="416" applyNumberFormat="0" applyProtection="0">
      <alignment horizontal="left" vertical="center" indent="1"/>
    </xf>
    <xf numFmtId="4" fontId="60" fillId="2" borderId="416" applyNumberFormat="0" applyProtection="0">
      <alignment horizontal="left" vertical="center" indent="1"/>
    </xf>
    <xf numFmtId="4" fontId="60" fillId="2" borderId="416" applyNumberFormat="0" applyProtection="0">
      <alignment horizontal="left" vertical="center" indent="1"/>
    </xf>
    <xf numFmtId="4" fontId="60" fillId="2" borderId="416" applyNumberFormat="0" applyProtection="0">
      <alignment horizontal="left" vertical="center" indent="1"/>
    </xf>
    <xf numFmtId="4" fontId="60" fillId="2" borderId="416" applyNumberFormat="0" applyProtection="0">
      <alignment horizontal="left" vertical="center" indent="1"/>
    </xf>
    <xf numFmtId="4" fontId="60" fillId="2"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4" fontId="60" fillId="20" borderId="416" applyNumberFormat="0" applyProtection="0">
      <alignment horizontal="right" vertical="center"/>
    </xf>
    <xf numFmtId="4" fontId="60" fillId="20" borderId="416" applyNumberFormat="0" applyProtection="0">
      <alignment horizontal="right" vertical="center"/>
    </xf>
    <xf numFmtId="4" fontId="60" fillId="20" borderId="416" applyNumberFormat="0" applyProtection="0">
      <alignment horizontal="right" vertical="center"/>
    </xf>
    <xf numFmtId="4" fontId="60" fillId="20" borderId="416" applyNumberFormat="0" applyProtection="0">
      <alignment horizontal="right" vertical="center"/>
    </xf>
    <xf numFmtId="4" fontId="60" fillId="21" borderId="416" applyNumberFormat="0" applyProtection="0">
      <alignment horizontal="right" vertical="center"/>
    </xf>
    <xf numFmtId="4" fontId="60" fillId="21" borderId="416" applyNumberFormat="0" applyProtection="0">
      <alignment horizontal="right" vertical="center"/>
    </xf>
    <xf numFmtId="4" fontId="60" fillId="21" borderId="416" applyNumberFormat="0" applyProtection="0">
      <alignment horizontal="right" vertical="center"/>
    </xf>
    <xf numFmtId="4" fontId="60" fillId="21" borderId="416" applyNumberFormat="0" applyProtection="0">
      <alignment horizontal="right" vertical="center"/>
    </xf>
    <xf numFmtId="4" fontId="60" fillId="22" borderId="416" applyNumberFormat="0" applyProtection="0">
      <alignment horizontal="right" vertical="center"/>
    </xf>
    <xf numFmtId="4" fontId="60" fillId="22" borderId="416" applyNumberFormat="0" applyProtection="0">
      <alignment horizontal="right" vertical="center"/>
    </xf>
    <xf numFmtId="4" fontId="60" fillId="22" borderId="416" applyNumberFormat="0" applyProtection="0">
      <alignment horizontal="right" vertical="center"/>
    </xf>
    <xf numFmtId="4" fontId="60" fillId="22" borderId="416" applyNumberFormat="0" applyProtection="0">
      <alignment horizontal="right" vertical="center"/>
    </xf>
    <xf numFmtId="4" fontId="60" fillId="23" borderId="416" applyNumberFormat="0" applyProtection="0">
      <alignment horizontal="right" vertical="center"/>
    </xf>
    <xf numFmtId="4" fontId="60" fillId="23" borderId="416" applyNumberFormat="0" applyProtection="0">
      <alignment horizontal="right" vertical="center"/>
    </xf>
    <xf numFmtId="4" fontId="60" fillId="23" borderId="416" applyNumberFormat="0" applyProtection="0">
      <alignment horizontal="right" vertical="center"/>
    </xf>
    <xf numFmtId="4" fontId="60" fillId="23" borderId="416" applyNumberFormat="0" applyProtection="0">
      <alignment horizontal="right" vertical="center"/>
    </xf>
    <xf numFmtId="4" fontId="60" fillId="24" borderId="416" applyNumberFormat="0" applyProtection="0">
      <alignment horizontal="right" vertical="center"/>
    </xf>
    <xf numFmtId="4" fontId="60" fillId="24" borderId="416" applyNumberFormat="0" applyProtection="0">
      <alignment horizontal="right" vertical="center"/>
    </xf>
    <xf numFmtId="4" fontId="60" fillId="24" borderId="416" applyNumberFormat="0" applyProtection="0">
      <alignment horizontal="right" vertical="center"/>
    </xf>
    <xf numFmtId="4" fontId="60" fillId="24" borderId="416" applyNumberFormat="0" applyProtection="0">
      <alignment horizontal="right" vertical="center"/>
    </xf>
    <xf numFmtId="4" fontId="60" fillId="25" borderId="416" applyNumberFormat="0" applyProtection="0">
      <alignment horizontal="right" vertical="center"/>
    </xf>
    <xf numFmtId="4" fontId="60" fillId="25" borderId="416" applyNumberFormat="0" applyProtection="0">
      <alignment horizontal="right" vertical="center"/>
    </xf>
    <xf numFmtId="4" fontId="60" fillId="25" borderId="416" applyNumberFormat="0" applyProtection="0">
      <alignment horizontal="right" vertical="center"/>
    </xf>
    <xf numFmtId="4" fontId="60" fillId="25" borderId="416" applyNumberFormat="0" applyProtection="0">
      <alignment horizontal="right" vertical="center"/>
    </xf>
    <xf numFmtId="4" fontId="60" fillId="26" borderId="416" applyNumberFormat="0" applyProtection="0">
      <alignment horizontal="right" vertical="center"/>
    </xf>
    <xf numFmtId="4" fontId="60" fillId="26" borderId="416" applyNumberFormat="0" applyProtection="0">
      <alignment horizontal="right" vertical="center"/>
    </xf>
    <xf numFmtId="4" fontId="60" fillId="26" borderId="416" applyNumberFormat="0" applyProtection="0">
      <alignment horizontal="right" vertical="center"/>
    </xf>
    <xf numFmtId="4" fontId="60" fillId="26" borderId="416" applyNumberFormat="0" applyProtection="0">
      <alignment horizontal="right" vertical="center"/>
    </xf>
    <xf numFmtId="4" fontId="60" fillId="27" borderId="416" applyNumberFormat="0" applyProtection="0">
      <alignment horizontal="right" vertical="center"/>
    </xf>
    <xf numFmtId="4" fontId="60" fillId="27" borderId="416" applyNumberFormat="0" applyProtection="0">
      <alignment horizontal="right" vertical="center"/>
    </xf>
    <xf numFmtId="4" fontId="60" fillId="27" borderId="416" applyNumberFormat="0" applyProtection="0">
      <alignment horizontal="right" vertical="center"/>
    </xf>
    <xf numFmtId="4" fontId="60" fillId="27" borderId="416" applyNumberFormat="0" applyProtection="0">
      <alignment horizontal="right" vertical="center"/>
    </xf>
    <xf numFmtId="4" fontId="60" fillId="28" borderId="416" applyNumberFormat="0" applyProtection="0">
      <alignment horizontal="right" vertical="center"/>
    </xf>
    <xf numFmtId="4" fontId="60" fillId="28" borderId="416" applyNumberFormat="0" applyProtection="0">
      <alignment horizontal="right" vertical="center"/>
    </xf>
    <xf numFmtId="4" fontId="60" fillId="28" borderId="416" applyNumberFormat="0" applyProtection="0">
      <alignment horizontal="right" vertical="center"/>
    </xf>
    <xf numFmtId="4" fontId="60" fillId="28" borderId="416" applyNumberFormat="0" applyProtection="0">
      <alignment horizontal="right" vertical="center"/>
    </xf>
    <xf numFmtId="4" fontId="101" fillId="29" borderId="416" applyNumberFormat="0" applyProtection="0">
      <alignment horizontal="left" vertical="center" indent="1"/>
    </xf>
    <xf numFmtId="4" fontId="101" fillId="29" borderId="416" applyNumberFormat="0" applyProtection="0">
      <alignment horizontal="left" vertical="center" indent="1"/>
    </xf>
    <xf numFmtId="4" fontId="101" fillId="29" borderId="416" applyNumberFormat="0" applyProtection="0">
      <alignment horizontal="left" vertical="center" indent="1"/>
    </xf>
    <xf numFmtId="4" fontId="101" fillId="29" borderId="416" applyNumberFormat="0" applyProtection="0">
      <alignment horizontal="left" vertical="center" indent="1"/>
    </xf>
    <xf numFmtId="4" fontId="60" fillId="30" borderId="399"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4" fontId="60" fillId="30" borderId="416" applyNumberFormat="0" applyProtection="0">
      <alignment horizontal="left" vertical="center" indent="1"/>
    </xf>
    <xf numFmtId="4" fontId="60" fillId="30" borderId="416" applyNumberFormat="0" applyProtection="0">
      <alignment horizontal="left" vertical="center" indent="1"/>
    </xf>
    <xf numFmtId="4" fontId="60" fillId="30" borderId="416" applyNumberFormat="0" applyProtection="0">
      <alignment horizontal="left" vertical="center" indent="1"/>
    </xf>
    <xf numFmtId="4" fontId="60" fillId="30" borderId="416" applyNumberFormat="0" applyProtection="0">
      <alignment horizontal="left" vertical="center" indent="1"/>
    </xf>
    <xf numFmtId="4" fontId="60" fillId="32" borderId="416" applyNumberFormat="0" applyProtection="0">
      <alignment horizontal="left" vertical="center" indent="1"/>
    </xf>
    <xf numFmtId="4" fontId="60" fillId="32" borderId="416" applyNumberFormat="0" applyProtection="0">
      <alignment horizontal="left" vertical="center" indent="1"/>
    </xf>
    <xf numFmtId="4" fontId="60" fillId="32" borderId="416" applyNumberFormat="0" applyProtection="0">
      <alignment horizontal="left" vertical="center" indent="1"/>
    </xf>
    <xf numFmtId="4" fontId="60" fillId="32" borderId="416" applyNumberFormat="0" applyProtection="0">
      <alignment horizontal="left" vertical="center" indent="1"/>
    </xf>
    <xf numFmtId="0" fontId="56" fillId="32" borderId="416" applyNumberFormat="0" applyProtection="0">
      <alignment horizontal="left" vertical="center" indent="1"/>
    </xf>
    <xf numFmtId="0" fontId="56" fillId="32" borderId="416" applyNumberFormat="0" applyProtection="0">
      <alignment horizontal="left" vertical="center" indent="1"/>
    </xf>
    <xf numFmtId="0" fontId="56" fillId="32" borderId="416" applyNumberFormat="0" applyProtection="0">
      <alignment horizontal="left" vertical="center" indent="1"/>
    </xf>
    <xf numFmtId="0" fontId="56" fillId="32" borderId="416" applyNumberFormat="0" applyProtection="0">
      <alignment horizontal="left" vertical="center" indent="1"/>
    </xf>
    <xf numFmtId="0" fontId="56" fillId="32" borderId="416" applyNumberFormat="0" applyProtection="0">
      <alignment horizontal="left" vertical="center" indent="1"/>
    </xf>
    <xf numFmtId="0" fontId="56" fillId="32" borderId="416" applyNumberFormat="0" applyProtection="0">
      <alignment horizontal="left" vertical="center" indent="1"/>
    </xf>
    <xf numFmtId="0" fontId="56" fillId="32" borderId="416" applyNumberFormat="0" applyProtection="0">
      <alignment horizontal="left" vertical="center" indent="1"/>
    </xf>
    <xf numFmtId="0" fontId="56" fillId="32" borderId="416" applyNumberFormat="0" applyProtection="0">
      <alignment horizontal="left" vertical="center" indent="1"/>
    </xf>
    <xf numFmtId="0" fontId="56" fillId="33" borderId="416" applyNumberFormat="0" applyProtection="0">
      <alignment horizontal="left" vertical="center" indent="1"/>
    </xf>
    <xf numFmtId="0" fontId="56" fillId="33" borderId="416" applyNumberFormat="0" applyProtection="0">
      <alignment horizontal="left" vertical="center" indent="1"/>
    </xf>
    <xf numFmtId="0" fontId="56" fillId="33" borderId="416" applyNumberFormat="0" applyProtection="0">
      <alignment horizontal="left" vertical="center" indent="1"/>
    </xf>
    <xf numFmtId="0" fontId="56" fillId="33" borderId="416" applyNumberFormat="0" applyProtection="0">
      <alignment horizontal="left" vertical="center" indent="1"/>
    </xf>
    <xf numFmtId="0" fontId="56" fillId="33" borderId="416" applyNumberFormat="0" applyProtection="0">
      <alignment horizontal="left" vertical="center" indent="1"/>
    </xf>
    <xf numFmtId="0" fontId="56" fillId="33" borderId="416" applyNumberFormat="0" applyProtection="0">
      <alignment horizontal="left" vertical="center" indent="1"/>
    </xf>
    <xf numFmtId="0" fontId="56" fillId="33" borderId="416" applyNumberFormat="0" applyProtection="0">
      <alignment horizontal="left" vertical="center" indent="1"/>
    </xf>
    <xf numFmtId="0" fontId="56" fillId="33" borderId="416" applyNumberFormat="0" applyProtection="0">
      <alignment horizontal="left" vertical="center" indent="1"/>
    </xf>
    <xf numFmtId="0" fontId="56" fillId="34" borderId="416" applyNumberFormat="0" applyProtection="0">
      <alignment horizontal="left" vertical="center" indent="1"/>
    </xf>
    <xf numFmtId="0" fontId="56" fillId="34" borderId="416" applyNumberFormat="0" applyProtection="0">
      <alignment horizontal="left" vertical="center" indent="1"/>
    </xf>
    <xf numFmtId="0" fontId="56" fillId="34" borderId="416" applyNumberFormat="0" applyProtection="0">
      <alignment horizontal="left" vertical="center" indent="1"/>
    </xf>
    <xf numFmtId="0" fontId="56" fillId="34" borderId="416" applyNumberFormat="0" applyProtection="0">
      <alignment horizontal="left" vertical="center" indent="1"/>
    </xf>
    <xf numFmtId="0" fontId="56" fillId="34" borderId="416" applyNumberFormat="0" applyProtection="0">
      <alignment horizontal="left" vertical="center" indent="1"/>
    </xf>
    <xf numFmtId="0" fontId="56" fillId="34" borderId="416" applyNumberFormat="0" applyProtection="0">
      <alignment horizontal="left" vertical="center" indent="1"/>
    </xf>
    <xf numFmtId="0" fontId="56" fillId="34" borderId="416" applyNumberFormat="0" applyProtection="0">
      <alignment horizontal="left" vertical="center" indent="1"/>
    </xf>
    <xf numFmtId="0" fontId="56" fillId="34"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121" fillId="60" borderId="418" applyBorder="0"/>
    <xf numFmtId="0" fontId="121" fillId="60" borderId="418" applyBorder="0"/>
    <xf numFmtId="0" fontId="121" fillId="60" borderId="418" applyBorder="0"/>
    <xf numFmtId="0" fontId="121" fillId="60" borderId="418" applyBorder="0"/>
    <xf numFmtId="0" fontId="121" fillId="60" borderId="418" applyBorder="0"/>
    <xf numFmtId="0" fontId="121" fillId="60" borderId="418" applyBorder="0"/>
    <xf numFmtId="4" fontId="60" fillId="35" borderId="416" applyNumberFormat="0" applyProtection="0">
      <alignment vertical="center"/>
    </xf>
    <xf numFmtId="4" fontId="60" fillId="35" borderId="416" applyNumberFormat="0" applyProtection="0">
      <alignment vertical="center"/>
    </xf>
    <xf numFmtId="4" fontId="60" fillId="35" borderId="416" applyNumberFormat="0" applyProtection="0">
      <alignment vertical="center"/>
    </xf>
    <xf numFmtId="4" fontId="60" fillId="35" borderId="416" applyNumberFormat="0" applyProtection="0">
      <alignment vertical="center"/>
    </xf>
    <xf numFmtId="4" fontId="100" fillId="35" borderId="416" applyNumberFormat="0" applyProtection="0">
      <alignment vertical="center"/>
    </xf>
    <xf numFmtId="4" fontId="100" fillId="35" borderId="416" applyNumberFormat="0" applyProtection="0">
      <alignment vertical="center"/>
    </xf>
    <xf numFmtId="4" fontId="100" fillId="35" borderId="416" applyNumberFormat="0" applyProtection="0">
      <alignment vertical="center"/>
    </xf>
    <xf numFmtId="4" fontId="100" fillId="35" borderId="416" applyNumberFormat="0" applyProtection="0">
      <alignment vertical="center"/>
    </xf>
    <xf numFmtId="4" fontId="60" fillId="35" borderId="416" applyNumberFormat="0" applyProtection="0">
      <alignment horizontal="left" vertical="center" indent="1"/>
    </xf>
    <xf numFmtId="4" fontId="60" fillId="35" borderId="416" applyNumberFormat="0" applyProtection="0">
      <alignment horizontal="left" vertical="center" indent="1"/>
    </xf>
    <xf numFmtId="4" fontId="60" fillId="35" borderId="416" applyNumberFormat="0" applyProtection="0">
      <alignment horizontal="left" vertical="center" indent="1"/>
    </xf>
    <xf numFmtId="4" fontId="60" fillId="35" borderId="416" applyNumberFormat="0" applyProtection="0">
      <alignment horizontal="left" vertical="center" indent="1"/>
    </xf>
    <xf numFmtId="4" fontId="60" fillId="35" borderId="416" applyNumberFormat="0" applyProtection="0">
      <alignment horizontal="left" vertical="center" indent="1"/>
    </xf>
    <xf numFmtId="4" fontId="60" fillId="35" borderId="416" applyNumberFormat="0" applyProtection="0">
      <alignment horizontal="left" vertical="center" indent="1"/>
    </xf>
    <xf numFmtId="4" fontId="60" fillId="35" borderId="416" applyNumberFormat="0" applyProtection="0">
      <alignment horizontal="left" vertical="center" indent="1"/>
    </xf>
    <xf numFmtId="4" fontId="60" fillId="35" borderId="416" applyNumberFormat="0" applyProtection="0">
      <alignment horizontal="left" vertical="center" indent="1"/>
    </xf>
    <xf numFmtId="4" fontId="60" fillId="30" borderId="416" applyNumberFormat="0" applyProtection="0">
      <alignment horizontal="right" vertical="center"/>
    </xf>
    <xf numFmtId="4" fontId="60" fillId="30" borderId="416" applyNumberFormat="0" applyProtection="0">
      <alignment horizontal="right" vertical="center"/>
    </xf>
    <xf numFmtId="4" fontId="60" fillId="30" borderId="416" applyNumberFormat="0" applyProtection="0">
      <alignment horizontal="right" vertical="center"/>
    </xf>
    <xf numFmtId="4" fontId="60" fillId="30" borderId="416" applyNumberFormat="0" applyProtection="0">
      <alignment horizontal="right" vertical="center"/>
    </xf>
    <xf numFmtId="4" fontId="100" fillId="30" borderId="416" applyNumberFormat="0" applyProtection="0">
      <alignment horizontal="right" vertical="center"/>
    </xf>
    <xf numFmtId="4" fontId="100" fillId="30" borderId="416" applyNumberFormat="0" applyProtection="0">
      <alignment horizontal="right" vertical="center"/>
    </xf>
    <xf numFmtId="4" fontId="100" fillId="30" borderId="416" applyNumberFormat="0" applyProtection="0">
      <alignment horizontal="right" vertical="center"/>
    </xf>
    <xf numFmtId="4" fontId="100" fillId="30" borderId="416" applyNumberFormat="0" applyProtection="0">
      <alignment horizontal="right" vertical="center"/>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0" fontId="56" fillId="19" borderId="416" applyNumberFormat="0" applyProtection="0">
      <alignment horizontal="left" vertical="center" indent="1"/>
    </xf>
    <xf numFmtId="4" fontId="104" fillId="30" borderId="416" applyNumberFormat="0" applyProtection="0">
      <alignment horizontal="right" vertical="center"/>
    </xf>
    <xf numFmtId="4" fontId="104" fillId="30" borderId="416" applyNumberFormat="0" applyProtection="0">
      <alignment horizontal="right" vertical="center"/>
    </xf>
    <xf numFmtId="4" fontId="104" fillId="30" borderId="416" applyNumberFormat="0" applyProtection="0">
      <alignment horizontal="right" vertical="center"/>
    </xf>
    <xf numFmtId="4" fontId="104" fillId="30" borderId="416" applyNumberFormat="0" applyProtection="0">
      <alignment horizontal="right" vertical="center"/>
    </xf>
    <xf numFmtId="0" fontId="99" fillId="1" borderId="413" applyNumberFormat="0" applyFont="0" applyAlignment="0">
      <alignment horizontal="center"/>
    </xf>
    <xf numFmtId="0" fontId="99" fillId="1" borderId="413" applyNumberFormat="0" applyFont="0" applyAlignment="0">
      <alignment horizont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70" borderId="0" applyNumberFormat="0" applyBorder="0" applyAlignment="0" applyProtection="0">
      <alignment vertical="center"/>
    </xf>
    <xf numFmtId="0" fontId="2" fillId="71" borderId="0" applyNumberFormat="0" applyBorder="0" applyAlignment="0" applyProtection="0">
      <alignment vertical="center"/>
    </xf>
    <xf numFmtId="0" fontId="2" fillId="74" borderId="0" applyNumberFormat="0" applyBorder="0" applyAlignment="0" applyProtection="0">
      <alignment vertical="center"/>
    </xf>
    <xf numFmtId="0" fontId="2" fillId="75" borderId="0" applyNumberFormat="0" applyBorder="0" applyAlignment="0" applyProtection="0">
      <alignment vertical="center"/>
    </xf>
    <xf numFmtId="0" fontId="2" fillId="78" borderId="0" applyNumberFormat="0" applyBorder="0" applyAlignment="0" applyProtection="0">
      <alignment vertical="center"/>
    </xf>
    <xf numFmtId="0" fontId="2" fillId="79" borderId="0" applyNumberFormat="0" applyBorder="0" applyAlignment="0" applyProtection="0">
      <alignment vertical="center"/>
    </xf>
    <xf numFmtId="0" fontId="2" fillId="82" borderId="0" applyNumberFormat="0" applyBorder="0" applyAlignment="0" applyProtection="0">
      <alignment vertical="center"/>
    </xf>
    <xf numFmtId="0" fontId="2" fillId="83" borderId="0" applyNumberFormat="0" applyBorder="0" applyAlignment="0" applyProtection="0">
      <alignment vertical="center"/>
    </xf>
    <xf numFmtId="0" fontId="2" fillId="86" borderId="0" applyNumberFormat="0" applyBorder="0" applyAlignment="0" applyProtection="0">
      <alignment vertical="center"/>
    </xf>
    <xf numFmtId="0" fontId="2" fillId="87" borderId="0" applyNumberFormat="0" applyBorder="0" applyAlignment="0" applyProtection="0">
      <alignment vertical="center"/>
    </xf>
    <xf numFmtId="0" fontId="2" fillId="90" borderId="0" applyNumberFormat="0" applyBorder="0" applyAlignment="0" applyProtection="0">
      <alignment vertical="center"/>
    </xf>
    <xf numFmtId="0" fontId="2" fillId="91" borderId="0" applyNumberFormat="0" applyBorder="0" applyAlignment="0" applyProtection="0">
      <alignment vertical="center"/>
    </xf>
    <xf numFmtId="0" fontId="118" fillId="54" borderId="417" applyNumberFormat="0" applyAlignment="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3" fontId="67" fillId="0" borderId="422"/>
    <xf numFmtId="3" fontId="67" fillId="0" borderId="422"/>
    <xf numFmtId="3" fontId="67" fillId="0" borderId="422"/>
    <xf numFmtId="3" fontId="67" fillId="0" borderId="422"/>
    <xf numFmtId="3" fontId="67" fillId="0" borderId="422"/>
    <xf numFmtId="3" fontId="67" fillId="0" borderId="422"/>
    <xf numFmtId="196" fontId="83" fillId="0" borderId="422" applyFill="0" applyBorder="0" applyAlignment="0"/>
    <xf numFmtId="196" fontId="83" fillId="0" borderId="422" applyFill="0" applyBorder="0" applyAlignment="0"/>
    <xf numFmtId="10" fontId="88" fillId="17" borderId="422" applyNumberFormat="0" applyBorder="0" applyAlignment="0" applyProtection="0"/>
    <xf numFmtId="10" fontId="88" fillId="17" borderId="422" applyNumberFormat="0" applyBorder="0" applyAlignment="0" applyProtection="0"/>
    <xf numFmtId="0" fontId="88" fillId="61" borderId="422"/>
    <xf numFmtId="0" fontId="88" fillId="61" borderId="422"/>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68" borderId="170" applyNumberFormat="0" applyFont="0" applyAlignment="0" applyProtection="0">
      <alignment vertical="center"/>
    </xf>
    <xf numFmtId="0" fontId="90" fillId="0" borderId="423">
      <alignment horizontal="left" vertical="center"/>
    </xf>
    <xf numFmtId="4" fontId="6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0" fontId="99" fillId="1" borderId="423" applyNumberFormat="0" applyFont="0" applyAlignment="0">
      <alignment horizont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3" fillId="111" borderId="424" applyNumberFormat="0" applyAlignment="0" applyProtection="0">
      <alignment vertical="center"/>
    </xf>
    <xf numFmtId="0" fontId="163" fillId="111" borderId="424" applyNumberFormat="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146" fillId="0" borderId="430" applyNumberFormat="0" applyFill="0" applyAlignment="0" applyProtection="0">
      <alignment vertical="center"/>
    </xf>
    <xf numFmtId="0" fontId="146" fillId="0" borderId="430" applyNumberFormat="0" applyFill="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51" fillId="111" borderId="428" applyNumberFormat="0" applyAlignment="0" applyProtection="0">
      <alignment vertical="center"/>
    </xf>
    <xf numFmtId="0" fontId="151" fillId="111" borderId="428" applyNumberFormat="0" applyAlignment="0" applyProtection="0">
      <alignment vertical="center"/>
    </xf>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90" fillId="0" borderId="423">
      <alignment horizontal="left" vertical="center"/>
    </xf>
    <xf numFmtId="0" fontId="90" fillId="0" borderId="423">
      <alignment horizontal="left" vertical="center"/>
    </xf>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99" fillId="1" borderId="423" applyNumberFormat="0" applyFont="0" applyAlignment="0">
      <alignment horizontal="center"/>
    </xf>
    <xf numFmtId="0" fontId="99" fillId="1" borderId="423" applyNumberFormat="0" applyFont="0" applyAlignment="0">
      <alignment horizont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8" fillId="54" borderId="426" applyNumberFormat="0" applyAlignment="0" applyProtection="0"/>
    <xf numFmtId="0" fontId="118" fillId="54" borderId="426" applyNumberFormat="0" applyAlignment="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8" fillId="54" borderId="426" applyNumberFormat="0" applyAlignment="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51" fillId="111" borderId="428" applyNumberFormat="0" applyAlignment="0" applyProtection="0">
      <alignment vertical="center"/>
    </xf>
    <xf numFmtId="0" fontId="151" fillId="111" borderId="428" applyNumberFormat="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3" fontId="67" fillId="0" borderId="431"/>
    <xf numFmtId="3" fontId="67" fillId="0" borderId="431"/>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118" fillId="54" borderId="417" applyNumberFormat="0" applyAlignment="0" applyProtection="0"/>
    <xf numFmtId="3" fontId="67" fillId="0" borderId="431"/>
    <xf numFmtId="3" fontId="67" fillId="0" borderId="431"/>
    <xf numFmtId="3" fontId="67" fillId="0" borderId="431"/>
    <xf numFmtId="3" fontId="67" fillId="0" borderId="431"/>
    <xf numFmtId="196" fontId="83" fillId="0" borderId="431" applyFill="0" applyBorder="0" applyAlignment="0"/>
    <xf numFmtId="196" fontId="83" fillId="0" borderId="431" applyFill="0" applyBorder="0" applyAlignment="0"/>
    <xf numFmtId="0" fontId="118" fillId="54" borderId="426" applyNumberFormat="0" applyAlignment="0" applyProtection="0"/>
    <xf numFmtId="10" fontId="88" fillId="17" borderId="431" applyNumberFormat="0" applyBorder="0" applyAlignment="0" applyProtection="0"/>
    <xf numFmtId="10" fontId="88" fillId="17" borderId="431" applyNumberFormat="0" applyBorder="0" applyAlignment="0" applyProtection="0"/>
    <xf numFmtId="0" fontId="88" fillId="61" borderId="431"/>
    <xf numFmtId="0" fontId="88" fillId="61" borderId="431"/>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0" fillId="0" borderId="432">
      <alignment horizontal="left" vertical="center"/>
    </xf>
    <xf numFmtId="0" fontId="99" fillId="1" borderId="432" applyNumberFormat="0" applyFont="0" applyAlignment="0">
      <alignment horizontal="center"/>
    </xf>
    <xf numFmtId="0" fontId="118" fillId="54" borderId="417"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70" borderId="0" applyNumberFormat="0" applyBorder="0" applyAlignment="0" applyProtection="0">
      <alignment vertical="center"/>
    </xf>
    <xf numFmtId="0" fontId="2" fillId="71" borderId="0" applyNumberFormat="0" applyBorder="0" applyAlignment="0" applyProtection="0">
      <alignment vertical="center"/>
    </xf>
    <xf numFmtId="0" fontId="2" fillId="74" borderId="0" applyNumberFormat="0" applyBorder="0" applyAlignment="0" applyProtection="0">
      <alignment vertical="center"/>
    </xf>
    <xf numFmtId="0" fontId="2" fillId="75" borderId="0" applyNumberFormat="0" applyBorder="0" applyAlignment="0" applyProtection="0">
      <alignment vertical="center"/>
    </xf>
    <xf numFmtId="0" fontId="2" fillId="78" borderId="0" applyNumberFormat="0" applyBorder="0" applyAlignment="0" applyProtection="0">
      <alignment vertical="center"/>
    </xf>
    <xf numFmtId="0" fontId="2" fillId="79" borderId="0" applyNumberFormat="0" applyBorder="0" applyAlignment="0" applyProtection="0">
      <alignment vertical="center"/>
    </xf>
    <xf numFmtId="0" fontId="2" fillId="82" borderId="0" applyNumberFormat="0" applyBorder="0" applyAlignment="0" applyProtection="0">
      <alignment vertical="center"/>
    </xf>
    <xf numFmtId="0" fontId="2" fillId="83" borderId="0" applyNumberFormat="0" applyBorder="0" applyAlignment="0" applyProtection="0">
      <alignment vertical="center"/>
    </xf>
    <xf numFmtId="0" fontId="2" fillId="86" borderId="0" applyNumberFormat="0" applyBorder="0" applyAlignment="0" applyProtection="0">
      <alignment vertical="center"/>
    </xf>
    <xf numFmtId="0" fontId="2" fillId="87" borderId="0" applyNumberFormat="0" applyBorder="0" applyAlignment="0" applyProtection="0">
      <alignment vertical="center"/>
    </xf>
    <xf numFmtId="0" fontId="2" fillId="90" borderId="0" applyNumberFormat="0" applyBorder="0" applyAlignment="0" applyProtection="0">
      <alignment vertical="center"/>
    </xf>
    <xf numFmtId="0" fontId="2" fillId="91" borderId="0" applyNumberFormat="0" applyBorder="0" applyAlignment="0" applyProtection="0">
      <alignment vertical="center"/>
    </xf>
    <xf numFmtId="3" fontId="67" fillId="0" borderId="431"/>
    <xf numFmtId="3" fontId="67" fillId="0" borderId="431"/>
    <xf numFmtId="3" fontId="67" fillId="0" borderId="431"/>
    <xf numFmtId="0" fontId="151" fillId="111" borderId="428" applyNumberFormat="0" applyAlignment="0" applyProtection="0">
      <alignment vertical="center"/>
    </xf>
    <xf numFmtId="0" fontId="151" fillId="111" borderId="428" applyNumberFormat="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46" fillId="0" borderId="430" applyNumberFormat="0" applyFill="0" applyAlignment="0" applyProtection="0">
      <alignment vertical="center"/>
    </xf>
    <xf numFmtId="0" fontId="146" fillId="0" borderId="430" applyNumberFormat="0" applyFill="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163" fillId="111" borderId="424" applyNumberFormat="0" applyAlignment="0" applyProtection="0">
      <alignment vertical="center"/>
    </xf>
    <xf numFmtId="0" fontId="163" fillId="111" borderId="424" applyNumberFormat="0" applyAlignment="0" applyProtection="0">
      <alignment vertical="center"/>
    </xf>
    <xf numFmtId="196" fontId="83" fillId="0" borderId="431" applyFill="0" applyBorder="0" applyAlignment="0"/>
    <xf numFmtId="0" fontId="90" fillId="0" borderId="423">
      <alignment horizontal="left" vertical="center"/>
    </xf>
    <xf numFmtId="10" fontId="88" fillId="17" borderId="431" applyNumberFormat="0" applyBorder="0" applyAlignment="0" applyProtection="0"/>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0" fontId="99" fillId="1" borderId="423" applyNumberFormat="0" applyFont="0" applyAlignment="0">
      <alignment horizontal="center"/>
    </xf>
    <xf numFmtId="3" fontId="67" fillId="0" borderId="431"/>
    <xf numFmtId="3" fontId="67" fillId="0" borderId="431"/>
    <xf numFmtId="3" fontId="67" fillId="0" borderId="431"/>
    <xf numFmtId="196" fontId="83" fillId="0" borderId="431" applyFill="0" applyBorder="0" applyAlignment="0"/>
    <xf numFmtId="0" fontId="90" fillId="0" borderId="423">
      <alignment horizontal="left" vertical="center"/>
    </xf>
    <xf numFmtId="10" fontId="88" fillId="17" borderId="431" applyNumberFormat="0" applyBorder="0" applyAlignment="0" applyProtection="0"/>
    <xf numFmtId="4" fontId="60" fillId="30" borderId="425" applyNumberFormat="0" applyProtection="0">
      <alignment horizontal="left" vertical="center" indent="1"/>
    </xf>
    <xf numFmtId="0" fontId="99" fillId="1" borderId="423" applyNumberFormat="0" applyFont="0" applyAlignment="0">
      <alignment horizontal="center"/>
    </xf>
    <xf numFmtId="3" fontId="67" fillId="0" borderId="431"/>
    <xf numFmtId="3" fontId="67" fillId="0" borderId="431"/>
    <xf numFmtId="3" fontId="67" fillId="0" borderId="431"/>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196" fontId="83" fillId="0" borderId="431" applyFill="0" applyBorder="0" applyAlignment="0"/>
    <xf numFmtId="0" fontId="90" fillId="0" borderId="423">
      <alignment horizontal="left" vertical="center"/>
    </xf>
    <xf numFmtId="0" fontId="90" fillId="0" borderId="423">
      <alignment horizontal="left" vertical="center"/>
    </xf>
    <xf numFmtId="0" fontId="118" fillId="54" borderId="426" applyNumberFormat="0" applyAlignment="0" applyProtection="0"/>
    <xf numFmtId="10" fontId="88" fillId="17" borderId="431" applyNumberFormat="0" applyBorder="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88" fillId="61" borderId="431"/>
    <xf numFmtId="0" fontId="88" fillId="61" borderId="431"/>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99" fillId="1" borderId="423" applyNumberFormat="0" applyFont="0" applyAlignment="0">
      <alignment horizontal="center"/>
    </xf>
    <xf numFmtId="0" fontId="99" fillId="1" borderId="423" applyNumberFormat="0" applyFont="0" applyAlignment="0">
      <alignment horizont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3" fontId="67" fillId="0" borderId="431"/>
    <xf numFmtId="3" fontId="67" fillId="0" borderId="431"/>
    <xf numFmtId="3" fontId="67" fillId="0" borderId="431"/>
    <xf numFmtId="3" fontId="67" fillId="0" borderId="431"/>
    <xf numFmtId="3" fontId="67" fillId="0" borderId="431"/>
    <xf numFmtId="3" fontId="67" fillId="0" borderId="431"/>
    <xf numFmtId="196" fontId="83" fillId="0" borderId="431" applyFill="0" applyBorder="0" applyAlignment="0"/>
    <xf numFmtId="196" fontId="83" fillId="0" borderId="431" applyFill="0" applyBorder="0" applyAlignment="0"/>
    <xf numFmtId="10" fontId="88" fillId="17" borderId="431" applyNumberFormat="0" applyBorder="0" applyAlignment="0" applyProtection="0"/>
    <xf numFmtId="10" fontId="88" fillId="17" borderId="431" applyNumberFormat="0" applyBorder="0" applyAlignment="0" applyProtection="0"/>
    <xf numFmtId="0" fontId="88" fillId="61" borderId="431"/>
    <xf numFmtId="0" fontId="88" fillId="61" borderId="431"/>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68" borderId="170" applyNumberFormat="0" applyFont="0" applyAlignment="0" applyProtection="0">
      <alignment vertical="center"/>
    </xf>
    <xf numFmtId="0" fontId="90" fillId="0" borderId="423">
      <alignment horizontal="left" vertical="center"/>
    </xf>
    <xf numFmtId="4" fontId="6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0" fontId="99" fillId="1" borderId="423" applyNumberFormat="0" applyFont="0" applyAlignment="0">
      <alignment horizont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3" fillId="111" borderId="424" applyNumberFormat="0" applyAlignment="0" applyProtection="0">
      <alignment vertical="center"/>
    </xf>
    <xf numFmtId="0" fontId="163" fillId="111" borderId="424" applyNumberFormat="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146" fillId="0" borderId="430" applyNumberFormat="0" applyFill="0" applyAlignment="0" applyProtection="0">
      <alignment vertical="center"/>
    </xf>
    <xf numFmtId="0" fontId="146" fillId="0" borderId="430" applyNumberFormat="0" applyFill="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51" fillId="111" borderId="428" applyNumberFormat="0" applyAlignment="0" applyProtection="0">
      <alignment vertical="center"/>
    </xf>
    <xf numFmtId="0" fontId="151" fillId="111" borderId="428" applyNumberFormat="0" applyAlignment="0" applyProtection="0">
      <alignment vertical="center"/>
    </xf>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90" fillId="0" borderId="423">
      <alignment horizontal="left" vertical="center"/>
    </xf>
    <xf numFmtId="0" fontId="90" fillId="0" borderId="423">
      <alignment horizontal="left" vertical="center"/>
    </xf>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99" fillId="1" borderId="423" applyNumberFormat="0" applyFont="0" applyAlignment="0">
      <alignment horizontal="center"/>
    </xf>
    <xf numFmtId="0" fontId="99" fillId="1" borderId="423" applyNumberFormat="0" applyFont="0" applyAlignment="0">
      <alignment horizont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70" borderId="0" applyNumberFormat="0" applyBorder="0" applyAlignment="0" applyProtection="0">
      <alignment vertical="center"/>
    </xf>
    <xf numFmtId="0" fontId="2" fillId="71" borderId="0" applyNumberFormat="0" applyBorder="0" applyAlignment="0" applyProtection="0">
      <alignment vertical="center"/>
    </xf>
    <xf numFmtId="0" fontId="2" fillId="74" borderId="0" applyNumberFormat="0" applyBorder="0" applyAlignment="0" applyProtection="0">
      <alignment vertical="center"/>
    </xf>
    <xf numFmtId="0" fontId="2" fillId="75" borderId="0" applyNumberFormat="0" applyBorder="0" applyAlignment="0" applyProtection="0">
      <alignment vertical="center"/>
    </xf>
    <xf numFmtId="0" fontId="2" fillId="78" borderId="0" applyNumberFormat="0" applyBorder="0" applyAlignment="0" applyProtection="0">
      <alignment vertical="center"/>
    </xf>
    <xf numFmtId="0" fontId="2" fillId="79" borderId="0" applyNumberFormat="0" applyBorder="0" applyAlignment="0" applyProtection="0">
      <alignment vertical="center"/>
    </xf>
    <xf numFmtId="0" fontId="2" fillId="82" borderId="0" applyNumberFormat="0" applyBorder="0" applyAlignment="0" applyProtection="0">
      <alignment vertical="center"/>
    </xf>
    <xf numFmtId="0" fontId="2" fillId="83" borderId="0" applyNumberFormat="0" applyBorder="0" applyAlignment="0" applyProtection="0">
      <alignment vertical="center"/>
    </xf>
    <xf numFmtId="0" fontId="2" fillId="86" borderId="0" applyNumberFormat="0" applyBorder="0" applyAlignment="0" applyProtection="0">
      <alignment vertical="center"/>
    </xf>
    <xf numFmtId="0" fontId="2" fillId="87" borderId="0" applyNumberFormat="0" applyBorder="0" applyAlignment="0" applyProtection="0">
      <alignment vertical="center"/>
    </xf>
    <xf numFmtId="0" fontId="2" fillId="90" borderId="0" applyNumberFormat="0" applyBorder="0" applyAlignment="0" applyProtection="0">
      <alignment vertical="center"/>
    </xf>
    <xf numFmtId="0" fontId="2" fillId="91" borderId="0" applyNumberFormat="0" applyBorder="0" applyAlignment="0" applyProtection="0">
      <alignment vertical="center"/>
    </xf>
    <xf numFmtId="0" fontId="118" fillId="54" borderId="426" applyNumberFormat="0" applyAlignment="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3" fontId="67" fillId="0" borderId="431"/>
    <xf numFmtId="3" fontId="67" fillId="0" borderId="431"/>
    <xf numFmtId="3" fontId="67" fillId="0" borderId="431"/>
    <xf numFmtId="3" fontId="67" fillId="0" borderId="431"/>
    <xf numFmtId="3" fontId="67" fillId="0" borderId="431"/>
    <xf numFmtId="3" fontId="67" fillId="0" borderId="431"/>
    <xf numFmtId="196" fontId="83" fillId="0" borderId="431" applyFill="0" applyBorder="0" applyAlignment="0"/>
    <xf numFmtId="196" fontId="83" fillId="0" borderId="431" applyFill="0" applyBorder="0" applyAlignment="0"/>
    <xf numFmtId="10" fontId="88" fillId="17" borderId="431" applyNumberFormat="0" applyBorder="0" applyAlignment="0" applyProtection="0"/>
    <xf numFmtId="10" fontId="88" fillId="17" borderId="431" applyNumberFormat="0" applyBorder="0" applyAlignment="0" applyProtection="0"/>
    <xf numFmtId="0" fontId="88" fillId="61" borderId="431"/>
    <xf numFmtId="0" fontId="88" fillId="61" borderId="431"/>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68" borderId="170" applyNumberFormat="0" applyFont="0" applyAlignment="0" applyProtection="0">
      <alignment vertical="center"/>
    </xf>
    <xf numFmtId="0" fontId="90" fillId="0" borderId="432">
      <alignment horizontal="left" vertical="center"/>
    </xf>
    <xf numFmtId="4" fontId="6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0" fontId="99" fillId="1" borderId="432" applyNumberFormat="0" applyFont="0" applyAlignment="0">
      <alignment horizont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3" fillId="111" borderId="424" applyNumberFormat="0" applyAlignment="0" applyProtection="0">
      <alignment vertical="center"/>
    </xf>
    <xf numFmtId="0" fontId="163" fillId="111" borderId="424" applyNumberFormat="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146" fillId="0" borderId="430" applyNumberFormat="0" applyFill="0" applyAlignment="0" applyProtection="0">
      <alignment vertical="center"/>
    </xf>
    <xf numFmtId="0" fontId="146" fillId="0" borderId="430" applyNumberFormat="0" applyFill="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51" fillId="111" borderId="428" applyNumberFormat="0" applyAlignment="0" applyProtection="0">
      <alignment vertical="center"/>
    </xf>
    <xf numFmtId="0" fontId="151" fillId="111" borderId="428" applyNumberFormat="0" applyAlignment="0" applyProtection="0">
      <alignment vertical="center"/>
    </xf>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90" fillId="0" borderId="432">
      <alignment horizontal="left" vertical="center"/>
    </xf>
    <xf numFmtId="0" fontId="90" fillId="0" borderId="432">
      <alignment horizontal="left" vertical="center"/>
    </xf>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99" fillId="1" borderId="432" applyNumberFormat="0" applyFont="0" applyAlignment="0">
      <alignment horizontal="center"/>
    </xf>
    <xf numFmtId="0" fontId="99" fillId="1" borderId="432" applyNumberFormat="0" applyFont="0" applyAlignment="0">
      <alignment horizont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8" fillId="54" borderId="426" applyNumberFormat="0" applyAlignment="0" applyProtection="0"/>
    <xf numFmtId="0" fontId="118" fillId="54" borderId="426" applyNumberFormat="0" applyAlignment="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8" fillId="54" borderId="426" applyNumberFormat="0" applyAlignment="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51" fillId="111" borderId="428" applyNumberFormat="0" applyAlignment="0" applyProtection="0">
      <alignment vertical="center"/>
    </xf>
    <xf numFmtId="0" fontId="151" fillId="111" borderId="428" applyNumberFormat="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3" fontId="67" fillId="0" borderId="431"/>
    <xf numFmtId="3" fontId="67" fillId="0" borderId="431"/>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118" fillId="54" borderId="426" applyNumberFormat="0" applyAlignment="0" applyProtection="0"/>
    <xf numFmtId="3" fontId="67" fillId="0" borderId="431"/>
    <xf numFmtId="3" fontId="67" fillId="0" borderId="431"/>
    <xf numFmtId="3" fontId="67" fillId="0" borderId="431"/>
    <xf numFmtId="3" fontId="67" fillId="0" borderId="431"/>
    <xf numFmtId="196" fontId="83" fillId="0" borderId="431" applyFill="0" applyBorder="0" applyAlignment="0"/>
    <xf numFmtId="196" fontId="83" fillId="0" borderId="431" applyFill="0" applyBorder="0" applyAlignment="0"/>
    <xf numFmtId="0" fontId="118" fillId="54" borderId="426" applyNumberFormat="0" applyAlignment="0" applyProtection="0"/>
    <xf numFmtId="10" fontId="88" fillId="17" borderId="431" applyNumberFormat="0" applyBorder="0" applyAlignment="0" applyProtection="0"/>
    <xf numFmtId="10" fontId="88" fillId="17" borderId="431" applyNumberFormat="0" applyBorder="0" applyAlignment="0" applyProtection="0"/>
    <xf numFmtId="0" fontId="88" fillId="61" borderId="431"/>
    <xf numFmtId="0" fontId="88" fillId="61" borderId="431"/>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8" fillId="54" borderId="426"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10" fontId="88" fillId="17" borderId="431" applyNumberFormat="0" applyBorder="0" applyAlignment="0" applyProtection="0"/>
    <xf numFmtId="0" fontId="65" fillId="0" borderId="382">
      <alignment horizontal="center"/>
    </xf>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60" fillId="26" borderId="424" applyNumberFormat="0" applyProtection="0">
      <alignment horizontal="right" vertical="center"/>
    </xf>
    <xf numFmtId="4" fontId="60" fillId="2" borderId="424" applyNumberFormat="0" applyProtection="0">
      <alignment horizontal="left" vertical="center" indent="1"/>
    </xf>
    <xf numFmtId="0" fontId="88" fillId="61" borderId="431"/>
    <xf numFmtId="4" fontId="100" fillId="30" borderId="424" applyNumberFormat="0" applyProtection="0">
      <alignment horizontal="right" vertical="center"/>
    </xf>
    <xf numFmtId="0" fontId="56" fillId="32" borderId="424" applyNumberFormat="0" applyProtection="0">
      <alignment horizontal="left" vertical="center" indent="1"/>
    </xf>
    <xf numFmtId="4" fontId="60" fillId="26" borderId="424" applyNumberFormat="0" applyProtection="0">
      <alignment horizontal="right" vertical="center"/>
    </xf>
    <xf numFmtId="4" fontId="60" fillId="2" borderId="424" applyNumberFormat="0" applyProtection="0">
      <alignment horizontal="left" vertical="center" indent="1"/>
    </xf>
    <xf numFmtId="0" fontId="88" fillId="53" borderId="426" applyNumberFormat="0" applyFont="0" applyAlignment="0" applyProtection="0"/>
    <xf numFmtId="4" fontId="60" fillId="22" borderId="424" applyNumberFormat="0" applyProtection="0">
      <alignment horizontal="right" vertical="center"/>
    </xf>
    <xf numFmtId="0" fontId="120" fillId="56" borderId="424" applyNumberFormat="0" applyAlignment="0" applyProtection="0"/>
    <xf numFmtId="4" fontId="60" fillId="23" borderId="424" applyNumberFormat="0" applyProtection="0">
      <alignment horizontal="right" vertical="center"/>
    </xf>
    <xf numFmtId="4" fontId="60" fillId="35" borderId="424" applyNumberFormat="0" applyProtection="0">
      <alignment vertical="center"/>
    </xf>
    <xf numFmtId="4" fontId="101" fillId="29" borderId="424" applyNumberFormat="0" applyProtection="0">
      <alignment horizontal="left" vertical="center" indent="1"/>
    </xf>
    <xf numFmtId="4" fontId="60" fillId="35" borderId="424" applyNumberFormat="0" applyProtection="0">
      <alignment vertical="center"/>
    </xf>
    <xf numFmtId="3" fontId="67" fillId="0" borderId="431"/>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32" borderId="424" applyNumberFormat="0" applyProtection="0">
      <alignment horizontal="left" vertical="center" indent="1"/>
    </xf>
    <xf numFmtId="0" fontId="151" fillId="111" borderId="428" applyNumberFormat="0" applyAlignment="0" applyProtection="0">
      <alignment vertical="center"/>
    </xf>
    <xf numFmtId="0" fontId="151" fillId="111" borderId="428" applyNumberFormat="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46" fillId="0" borderId="430" applyNumberFormat="0" applyFill="0" applyAlignment="0" applyProtection="0">
      <alignment vertical="center"/>
    </xf>
    <xf numFmtId="0" fontId="146" fillId="0" borderId="430" applyNumberFormat="0" applyFill="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163" fillId="111" borderId="424" applyNumberFormat="0" applyAlignment="0" applyProtection="0">
      <alignment vertical="center"/>
    </xf>
    <xf numFmtId="0" fontId="163" fillId="111" borderId="424" applyNumberFormat="0" applyAlignment="0" applyProtection="0">
      <alignment vertical="center"/>
    </xf>
    <xf numFmtId="0" fontId="90" fillId="0" borderId="432">
      <alignment horizontal="lef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0" fontId="99" fillId="1" borderId="432" applyNumberFormat="0" applyFont="0" applyAlignment="0">
      <alignment horizontal="center"/>
    </xf>
    <xf numFmtId="4" fontId="60" fillId="23" borderId="424" applyNumberFormat="0" applyProtection="0">
      <alignment horizontal="right" vertical="center"/>
    </xf>
    <xf numFmtId="0" fontId="56" fillId="19" borderId="424" applyNumberFormat="0" applyProtection="0">
      <alignment horizontal="left" vertical="center" indent="1"/>
    </xf>
    <xf numFmtId="3" fontId="67" fillId="0" borderId="431"/>
    <xf numFmtId="0" fontId="56" fillId="34" borderId="424" applyNumberFormat="0" applyProtection="0">
      <alignment horizontal="left" vertical="center" indent="1"/>
    </xf>
    <xf numFmtId="4" fontId="101" fillId="29" borderId="424" applyNumberFormat="0" applyProtection="0">
      <alignment horizontal="left" vertical="center" indent="1"/>
    </xf>
    <xf numFmtId="0" fontId="120" fillId="56" borderId="424" applyNumberFormat="0" applyAlignment="0" applyProtection="0"/>
    <xf numFmtId="0" fontId="56" fillId="33" borderId="424" applyNumberFormat="0" applyProtection="0">
      <alignment horizontal="left" vertical="center" indent="1"/>
    </xf>
    <xf numFmtId="4" fontId="100" fillId="35" borderId="424" applyNumberFormat="0" applyProtection="0">
      <alignment vertical="center"/>
    </xf>
    <xf numFmtId="0" fontId="56" fillId="19" borderId="424" applyNumberFormat="0" applyProtection="0">
      <alignment horizontal="left" vertical="center" indent="1"/>
    </xf>
    <xf numFmtId="4" fontId="60" fillId="25" borderId="424" applyNumberFormat="0" applyProtection="0">
      <alignment horizontal="right" vertical="center"/>
    </xf>
    <xf numFmtId="0" fontId="88" fillId="53" borderId="426" applyNumberFormat="0" applyFont="0" applyAlignment="0" applyProtection="0"/>
    <xf numFmtId="4" fontId="101" fillId="29" borderId="424" applyNumberFormat="0" applyProtection="0">
      <alignment horizontal="left" vertical="center" indent="1"/>
    </xf>
    <xf numFmtId="4" fontId="60" fillId="30" borderId="424" applyNumberFormat="0" applyProtection="0">
      <alignment horizontal="right" vertical="center"/>
    </xf>
    <xf numFmtId="0" fontId="22" fillId="10" borderId="429" applyNumberFormat="0" applyFont="0" applyAlignment="0" applyProtection="0">
      <alignment vertical="center"/>
    </xf>
    <xf numFmtId="4" fontId="60" fillId="27" borderId="424" applyNumberFormat="0" applyProtection="0">
      <alignment horizontal="right" vertical="center"/>
    </xf>
    <xf numFmtId="4" fontId="60" fillId="32" borderId="424" applyNumberFormat="0" applyProtection="0">
      <alignment horizontal="left" vertical="center" indent="1"/>
    </xf>
    <xf numFmtId="4" fontId="60" fillId="23" borderId="424" applyNumberFormat="0" applyProtection="0">
      <alignment horizontal="right" vertical="center"/>
    </xf>
    <xf numFmtId="0" fontId="56" fillId="19" borderId="424" applyNumberFormat="0" applyProtection="0">
      <alignment horizontal="left" vertical="center" indent="1"/>
    </xf>
    <xf numFmtId="0" fontId="120" fillId="56" borderId="424" applyNumberFormat="0" applyAlignment="0" applyProtection="0"/>
    <xf numFmtId="0" fontId="56" fillId="19" borderId="424" applyNumberFormat="0" applyProtection="0">
      <alignment horizontal="left" vertical="center" indent="1"/>
    </xf>
    <xf numFmtId="0" fontId="56" fillId="34" borderId="424" applyNumberFormat="0" applyProtection="0">
      <alignment horizontal="left" vertical="center" indent="1"/>
    </xf>
    <xf numFmtId="4" fontId="60" fillId="30" borderId="424" applyNumberFormat="0" applyProtection="0">
      <alignment horizontal="right" vertical="center"/>
    </xf>
    <xf numFmtId="4" fontId="100" fillId="2" borderId="424" applyNumberFormat="0" applyProtection="0">
      <alignment vertical="center"/>
    </xf>
    <xf numFmtId="0" fontId="56" fillId="19" borderId="424" applyNumberFormat="0" applyProtection="0">
      <alignment horizontal="left" vertical="center" indent="1"/>
    </xf>
    <xf numFmtId="4" fontId="60" fillId="20" borderId="424" applyNumberFormat="0" applyProtection="0">
      <alignment horizontal="right" vertical="center"/>
    </xf>
    <xf numFmtId="0" fontId="56" fillId="33" borderId="424" applyNumberFormat="0" applyProtection="0">
      <alignment horizontal="left" vertical="center" indent="1"/>
    </xf>
    <xf numFmtId="0" fontId="88" fillId="53" borderId="426" applyNumberFormat="0" applyFont="0" applyAlignment="0" applyProtection="0"/>
    <xf numFmtId="0" fontId="120" fillId="56" borderId="424" applyNumberFormat="0" applyAlignment="0" applyProtection="0"/>
    <xf numFmtId="4" fontId="60" fillId="2" borderId="424" applyNumberFormat="0" applyProtection="0">
      <alignment vertical="center"/>
    </xf>
    <xf numFmtId="4" fontId="100" fillId="2" borderId="424" applyNumberFormat="0" applyProtection="0">
      <alignment vertical="center"/>
    </xf>
    <xf numFmtId="0" fontId="118" fillId="54" borderId="426" applyNumberFormat="0" applyAlignment="0" applyProtection="0"/>
    <xf numFmtId="4" fontId="60" fillId="27" borderId="424" applyNumberFormat="0" applyProtection="0">
      <alignment horizontal="right" vertical="center"/>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4" fontId="60" fillId="32"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2" borderId="424" applyNumberFormat="0" applyProtection="0">
      <alignment horizontal="right" vertical="center"/>
    </xf>
    <xf numFmtId="0" fontId="56" fillId="19" borderId="424" applyNumberFormat="0" applyProtection="0">
      <alignment horizontal="left" vertical="center" indent="1"/>
    </xf>
    <xf numFmtId="4" fontId="60" fillId="2" borderId="424" applyNumberFormat="0" applyProtection="0">
      <alignment vertical="center"/>
    </xf>
    <xf numFmtId="4" fontId="60" fillId="30" borderId="425" applyNumberFormat="0" applyProtection="0">
      <alignment horizontal="left" vertical="center" indent="1"/>
    </xf>
    <xf numFmtId="4" fontId="104" fillId="30" borderId="424" applyNumberFormat="0" applyProtection="0">
      <alignment horizontal="right" vertical="center"/>
    </xf>
    <xf numFmtId="4" fontId="100" fillId="35" borderId="424" applyNumberFormat="0" applyProtection="0">
      <alignment vertical="center"/>
    </xf>
    <xf numFmtId="4" fontId="60" fillId="24" borderId="424" applyNumberFormat="0" applyProtection="0">
      <alignment horizontal="right" vertical="center"/>
    </xf>
    <xf numFmtId="0" fontId="56" fillId="34" borderId="424" applyNumberFormat="0" applyProtection="0">
      <alignment horizontal="left" vertical="center" indent="1"/>
    </xf>
    <xf numFmtId="4" fontId="60" fillId="32" borderId="424" applyNumberFormat="0" applyProtection="0">
      <alignment horizontal="left" vertical="center" indent="1"/>
    </xf>
    <xf numFmtId="4" fontId="60" fillId="23" borderId="424" applyNumberFormat="0" applyProtection="0">
      <alignment horizontal="right" vertical="center"/>
    </xf>
    <xf numFmtId="0" fontId="56" fillId="19" borderId="424" applyNumberFormat="0" applyProtection="0">
      <alignment horizontal="left" vertical="center" indent="1"/>
    </xf>
    <xf numFmtId="0" fontId="56" fillId="34" borderId="424" applyNumberFormat="0" applyProtection="0">
      <alignment horizontal="left" vertical="center" indent="1"/>
    </xf>
    <xf numFmtId="4" fontId="60" fillId="32"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vertical="center"/>
    </xf>
    <xf numFmtId="4" fontId="101" fillId="29" borderId="424" applyNumberFormat="0" applyProtection="0">
      <alignment horizontal="left" vertical="center" indent="1"/>
    </xf>
    <xf numFmtId="0" fontId="90" fillId="0" borderId="432">
      <alignment horizontal="left" vertical="center"/>
    </xf>
    <xf numFmtId="4" fontId="60" fillId="32" borderId="424" applyNumberFormat="0" applyProtection="0">
      <alignment horizontal="left" vertical="center" indent="1"/>
    </xf>
    <xf numFmtId="0" fontId="88" fillId="53" borderId="426" applyNumberFormat="0" applyFont="0" applyAlignment="0" applyProtection="0"/>
    <xf numFmtId="4" fontId="60" fillId="2" borderId="424" applyNumberFormat="0" applyProtection="0">
      <alignment horizontal="left" vertical="center" indent="1"/>
    </xf>
    <xf numFmtId="4" fontId="60" fillId="26" borderId="424" applyNumberFormat="0" applyProtection="0">
      <alignment horizontal="right" vertical="center"/>
    </xf>
    <xf numFmtId="0" fontId="56" fillId="32" borderId="424" applyNumberFormat="0" applyProtection="0">
      <alignment horizontal="left" vertical="center" indent="1"/>
    </xf>
    <xf numFmtId="4" fontId="60" fillId="23" borderId="424" applyNumberFormat="0" applyProtection="0">
      <alignment horizontal="right" vertical="center"/>
    </xf>
    <xf numFmtId="0" fontId="121" fillId="60" borderId="427" applyBorder="0"/>
    <xf numFmtId="4" fontId="104" fillId="30" borderId="424" applyNumberFormat="0" applyProtection="0">
      <alignment horizontal="right" vertical="center"/>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118" fillId="54" borderId="426" applyNumberFormat="0" applyAlignment="0" applyProtection="0"/>
    <xf numFmtId="4" fontId="60" fillId="22" borderId="424" applyNumberFormat="0" applyProtection="0">
      <alignment horizontal="right" vertical="center"/>
    </xf>
    <xf numFmtId="3" fontId="67" fillId="0" borderId="431"/>
    <xf numFmtId="4" fontId="100" fillId="30" borderId="424" applyNumberFormat="0" applyProtection="0">
      <alignment horizontal="right" vertical="center"/>
    </xf>
    <xf numFmtId="0" fontId="56" fillId="34" borderId="424" applyNumberFormat="0" applyProtection="0">
      <alignment horizontal="left" vertical="center" indent="1"/>
    </xf>
    <xf numFmtId="0" fontId="118" fillId="54" borderId="426" applyNumberFormat="0" applyAlignment="0" applyProtection="0"/>
    <xf numFmtId="3" fontId="67" fillId="0" borderId="431"/>
    <xf numFmtId="0" fontId="157" fillId="98" borderId="428" applyNumberFormat="0" applyAlignment="0" applyProtection="0">
      <alignment vertical="center"/>
    </xf>
    <xf numFmtId="0" fontId="56" fillId="34" borderId="424" applyNumberFormat="0" applyProtection="0">
      <alignment horizontal="left" vertical="center" indent="1"/>
    </xf>
    <xf numFmtId="4" fontId="60" fillId="35" borderId="424" applyNumberFormat="0" applyProtection="0">
      <alignment vertical="center"/>
    </xf>
    <xf numFmtId="0" fontId="56" fillId="33" borderId="424" applyNumberFormat="0" applyProtection="0">
      <alignment horizontal="left" vertical="center" indent="1"/>
    </xf>
    <xf numFmtId="0" fontId="118" fillId="54" borderId="426" applyNumberFormat="0" applyAlignment="0" applyProtection="0"/>
    <xf numFmtId="4" fontId="60" fillId="27" borderId="424" applyNumberFormat="0" applyProtection="0">
      <alignment horizontal="right" vertical="center"/>
    </xf>
    <xf numFmtId="0" fontId="56" fillId="33" borderId="424" applyNumberFormat="0" applyProtection="0">
      <alignment horizontal="left" vertical="center" indent="1"/>
    </xf>
    <xf numFmtId="4" fontId="100" fillId="35" borderId="424" applyNumberFormat="0" applyProtection="0">
      <alignment vertical="center"/>
    </xf>
    <xf numFmtId="4" fontId="60" fillId="2" borderId="424" applyNumberFormat="0" applyProtection="0">
      <alignment horizontal="left" vertical="center" indent="1"/>
    </xf>
    <xf numFmtId="4" fontId="100" fillId="35" borderId="424" applyNumberFormat="0" applyProtection="0">
      <alignment vertical="center"/>
    </xf>
    <xf numFmtId="0" fontId="56" fillId="19" borderId="424" applyNumberFormat="0" applyProtection="0">
      <alignment horizontal="left" vertical="center" indent="1"/>
    </xf>
    <xf numFmtId="4" fontId="60" fillId="20" borderId="424" applyNumberFormat="0" applyProtection="0">
      <alignment horizontal="right" vertical="center"/>
    </xf>
    <xf numFmtId="0" fontId="118" fillId="54" borderId="426" applyNumberFormat="0" applyAlignment="0" applyProtection="0"/>
    <xf numFmtId="0" fontId="151" fillId="111" borderId="428" applyNumberFormat="0" applyAlignmen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 borderId="424" applyNumberFormat="0" applyProtection="0">
      <alignment horizontal="left" vertical="center" indent="1"/>
    </xf>
    <xf numFmtId="0" fontId="99" fillId="1" borderId="432" applyNumberFormat="0" applyFont="0" applyAlignment="0">
      <alignment horizontal="center"/>
    </xf>
    <xf numFmtId="0" fontId="120" fillId="56" borderId="424" applyNumberFormat="0" applyAlignment="0" applyProtection="0"/>
    <xf numFmtId="4" fontId="60" fillId="22"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0" fillId="30" borderId="424" applyNumberFormat="0" applyProtection="0">
      <alignment horizontal="right" vertical="center"/>
    </xf>
    <xf numFmtId="0" fontId="114" fillId="56" borderId="426" applyNumberFormat="0" applyAlignment="0" applyProtection="0"/>
    <xf numFmtId="3" fontId="67" fillId="0" borderId="431"/>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60" fillId="35" borderId="424" applyNumberFormat="0" applyProtection="0">
      <alignment vertical="center"/>
    </xf>
    <xf numFmtId="0" fontId="56" fillId="33" borderId="424" applyNumberFormat="0" applyProtection="0">
      <alignment horizontal="left" vertical="center" indent="1"/>
    </xf>
    <xf numFmtId="0" fontId="118" fillId="54" borderId="426" applyNumberFormat="0" applyAlignment="0" applyProtection="0"/>
    <xf numFmtId="4" fontId="60" fillId="30" borderId="424" applyNumberFormat="0" applyProtection="0">
      <alignment horizontal="left" vertical="center" indent="1"/>
    </xf>
    <xf numFmtId="4" fontId="60" fillId="21" borderId="424" applyNumberFormat="0" applyProtection="0">
      <alignment horizontal="right" vertical="center"/>
    </xf>
    <xf numFmtId="4" fontId="60" fillId="20" borderId="424" applyNumberFormat="0" applyProtection="0">
      <alignment horizontal="right" vertical="center"/>
    </xf>
    <xf numFmtId="0" fontId="56" fillId="34" borderId="424" applyNumberFormat="0" applyProtection="0">
      <alignment horizontal="left" vertical="center" indent="1"/>
    </xf>
    <xf numFmtId="4" fontId="60" fillId="2" borderId="424" applyNumberFormat="0" applyProtection="0">
      <alignment horizontal="left" vertical="center" indent="1"/>
    </xf>
    <xf numFmtId="4" fontId="60" fillId="35" borderId="424" applyNumberFormat="0" applyProtection="0">
      <alignment horizontal="left" vertical="center" indent="1"/>
    </xf>
    <xf numFmtId="4" fontId="60" fillId="24" borderId="424" applyNumberFormat="0" applyProtection="0">
      <alignment horizontal="right" vertical="center"/>
    </xf>
    <xf numFmtId="4" fontId="60" fillId="23" borderId="424" applyNumberFormat="0" applyProtection="0">
      <alignment horizontal="right" vertical="center"/>
    </xf>
    <xf numFmtId="0" fontId="56" fillId="19" borderId="424" applyNumberFormat="0" applyProtection="0">
      <alignment horizontal="left" vertical="center" indent="1"/>
    </xf>
    <xf numFmtId="4" fontId="100" fillId="30" borderId="424" applyNumberFormat="0" applyProtection="0">
      <alignment horizontal="right" vertical="center"/>
    </xf>
    <xf numFmtId="4" fontId="60" fillId="32" borderId="424" applyNumberFormat="0" applyProtection="0">
      <alignment horizontal="left" vertical="center" indent="1"/>
    </xf>
    <xf numFmtId="0" fontId="56" fillId="32" borderId="424" applyNumberFormat="0" applyProtection="0">
      <alignment horizontal="left" vertical="center" indent="1"/>
    </xf>
    <xf numFmtId="4" fontId="60" fillId="24" borderId="424" applyNumberFormat="0" applyProtection="0">
      <alignment horizontal="right" vertical="center"/>
    </xf>
    <xf numFmtId="0" fontId="163" fillId="111" borderId="424" applyNumberFormat="0" applyAlignment="0" applyProtection="0">
      <alignment vertical="center"/>
    </xf>
    <xf numFmtId="0" fontId="56" fillId="32" borderId="424" applyNumberFormat="0" applyProtection="0">
      <alignment horizontal="left" vertical="center" indent="1"/>
    </xf>
    <xf numFmtId="4" fontId="60" fillId="35" borderId="424" applyNumberFormat="0" applyProtection="0">
      <alignment vertical="center"/>
    </xf>
    <xf numFmtId="4" fontId="60" fillId="25" borderId="424" applyNumberFormat="0" applyProtection="0">
      <alignment horizontal="right" vertical="center"/>
    </xf>
    <xf numFmtId="0" fontId="56" fillId="32" borderId="424" applyNumberFormat="0" applyProtection="0">
      <alignment horizontal="left" vertical="center" indent="1"/>
    </xf>
    <xf numFmtId="0" fontId="121" fillId="60" borderId="427" applyBorder="0"/>
    <xf numFmtId="4" fontId="104" fillId="30" borderId="424" applyNumberFormat="0" applyProtection="0">
      <alignment horizontal="right" vertical="center"/>
    </xf>
    <xf numFmtId="4" fontId="60" fillId="2" borderId="424" applyNumberFormat="0" applyProtection="0">
      <alignment horizontal="left" vertical="center" indent="1"/>
    </xf>
    <xf numFmtId="0" fontId="118" fillId="54" borderId="426" applyNumberFormat="0" applyAlignment="0" applyProtection="0"/>
    <xf numFmtId="4" fontId="101" fillId="29" borderId="424" applyNumberFormat="0" applyProtection="0">
      <alignment horizontal="left" vertical="center" indent="1"/>
    </xf>
    <xf numFmtId="4" fontId="60" fillId="32" borderId="424" applyNumberFormat="0" applyProtection="0">
      <alignment horizontal="left" vertical="center" indent="1"/>
    </xf>
    <xf numFmtId="4" fontId="100" fillId="2" borderId="424" applyNumberFormat="0" applyProtection="0">
      <alignment vertical="center"/>
    </xf>
    <xf numFmtId="4" fontId="60" fillId="2" borderId="424" applyNumberFormat="0" applyProtection="0">
      <alignment horizontal="left" vertical="center" indent="1"/>
    </xf>
    <xf numFmtId="4" fontId="60" fillId="22" borderId="424" applyNumberFormat="0" applyProtection="0">
      <alignment horizontal="right" vertical="center"/>
    </xf>
    <xf numFmtId="0" fontId="114" fillId="56" borderId="426" applyNumberFormat="0" applyAlignment="0" applyProtection="0"/>
    <xf numFmtId="4" fontId="100" fillId="2" borderId="424" applyNumberFormat="0" applyProtection="0">
      <alignment vertical="center"/>
    </xf>
    <xf numFmtId="4" fontId="60" fillId="25" borderId="424" applyNumberFormat="0" applyProtection="0">
      <alignment horizontal="right" vertical="center"/>
    </xf>
    <xf numFmtId="0" fontId="121" fillId="60" borderId="427" applyBorder="0"/>
    <xf numFmtId="0" fontId="56" fillId="19" borderId="424" applyNumberFormat="0" applyProtection="0">
      <alignment horizontal="left" vertical="center" indent="1"/>
    </xf>
    <xf numFmtId="4" fontId="60" fillId="35" borderId="424" applyNumberFormat="0" applyProtection="0">
      <alignment horizontal="left" vertical="center" indent="1"/>
    </xf>
    <xf numFmtId="0" fontId="157" fillId="98" borderId="428" applyNumberFormat="0" applyAlignment="0" applyProtection="0">
      <alignment vertical="center"/>
    </xf>
    <xf numFmtId="4" fontId="100" fillId="35" borderId="424" applyNumberFormat="0" applyProtection="0">
      <alignment vertical="center"/>
    </xf>
    <xf numFmtId="4" fontId="60" fillId="22" borderId="424" applyNumberFormat="0" applyProtection="0">
      <alignment horizontal="right" vertical="center"/>
    </xf>
    <xf numFmtId="0" fontId="56" fillId="34" borderId="424" applyNumberFormat="0" applyProtection="0">
      <alignment horizontal="left" vertical="center" indent="1"/>
    </xf>
    <xf numFmtId="0" fontId="118" fillId="54" borderId="426" applyNumberFormat="0" applyAlignment="0" applyProtection="0"/>
    <xf numFmtId="4" fontId="60" fillId="27" borderId="424" applyNumberFormat="0" applyProtection="0">
      <alignment horizontal="righ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4" fontId="60" fillId="25" borderId="424" applyNumberFormat="0" applyProtection="0">
      <alignment horizontal="right" vertical="center"/>
    </xf>
    <xf numFmtId="4" fontId="104" fillId="30" borderId="424" applyNumberFormat="0" applyProtection="0">
      <alignment horizontal="right" vertical="center"/>
    </xf>
    <xf numFmtId="4" fontId="60" fillId="2" borderId="424" applyNumberFormat="0" applyProtection="0">
      <alignment horizontal="left" vertical="center" indent="1"/>
    </xf>
    <xf numFmtId="4" fontId="60" fillId="20" borderId="424" applyNumberFormat="0" applyProtection="0">
      <alignment horizontal="right" vertical="center"/>
    </xf>
    <xf numFmtId="0" fontId="118" fillId="54" borderId="426" applyNumberFormat="0" applyAlignment="0" applyProtection="0"/>
    <xf numFmtId="4" fontId="60" fillId="32" borderId="424" applyNumberFormat="0" applyProtection="0">
      <alignment horizontal="left" vertical="center" indent="1"/>
    </xf>
    <xf numFmtId="0" fontId="151" fillId="111" borderId="428" applyNumberFormat="0" applyAlignment="0" applyProtection="0">
      <alignment vertical="center"/>
    </xf>
    <xf numFmtId="4" fontId="101" fillId="29" borderId="424" applyNumberFormat="0" applyProtection="0">
      <alignment horizontal="left" vertical="center" indent="1"/>
    </xf>
    <xf numFmtId="0" fontId="56" fillId="34" borderId="424" applyNumberFormat="0" applyProtection="0">
      <alignment horizontal="left" vertical="center" indent="1"/>
    </xf>
    <xf numFmtId="4" fontId="60" fillId="35"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0" fontId="120" fillId="56" borderId="424" applyNumberFormat="0" applyAlignment="0" applyProtection="0"/>
    <xf numFmtId="4" fontId="60" fillId="22" borderId="424" applyNumberFormat="0" applyProtection="0">
      <alignment horizontal="right" vertical="center"/>
    </xf>
    <xf numFmtId="4" fontId="60" fillId="30" borderId="424" applyNumberFormat="0" applyProtection="0">
      <alignment horizontal="left" vertical="center" indent="1"/>
    </xf>
    <xf numFmtId="0" fontId="56" fillId="19" borderId="424" applyNumberFormat="0" applyProtection="0">
      <alignment horizontal="left" vertical="center" indent="1"/>
    </xf>
    <xf numFmtId="4" fontId="100" fillId="30" borderId="424" applyNumberFormat="0" applyProtection="0">
      <alignment horizontal="right" vertical="center"/>
    </xf>
    <xf numFmtId="4" fontId="60" fillId="25" borderId="424" applyNumberFormat="0" applyProtection="0">
      <alignment horizontal="right" vertical="center"/>
    </xf>
    <xf numFmtId="4" fontId="101" fillId="29" borderId="424" applyNumberFormat="0" applyProtection="0">
      <alignment horizontal="left" vertical="center" indent="1"/>
    </xf>
    <xf numFmtId="4" fontId="60" fillId="35" borderId="424" applyNumberFormat="0" applyProtection="0">
      <alignment horizontal="left" vertical="center" indent="1"/>
    </xf>
    <xf numFmtId="3" fontId="67" fillId="0" borderId="431"/>
    <xf numFmtId="3" fontId="67" fillId="0" borderId="431"/>
    <xf numFmtId="0" fontId="88" fillId="53" borderId="426" applyNumberFormat="0" applyFont="0" applyAlignment="0" applyProtection="0"/>
    <xf numFmtId="0" fontId="56" fillId="19" borderId="424" applyNumberFormat="0" applyProtection="0">
      <alignment horizontal="left" vertical="center" indent="1"/>
    </xf>
    <xf numFmtId="0" fontId="56" fillId="33" borderId="424" applyNumberFormat="0" applyProtection="0">
      <alignment horizontal="left" vertical="center" indent="1"/>
    </xf>
    <xf numFmtId="0" fontId="56" fillId="32" borderId="424" applyNumberFormat="0" applyProtection="0">
      <alignment horizontal="left" vertical="center" indent="1"/>
    </xf>
    <xf numFmtId="4" fontId="60" fillId="28" borderId="424" applyNumberFormat="0" applyProtection="0">
      <alignment horizontal="right" vertical="center"/>
    </xf>
    <xf numFmtId="0" fontId="120" fillId="56" borderId="424" applyNumberFormat="0" applyAlignment="0" applyProtection="0"/>
    <xf numFmtId="4" fontId="60" fillId="32" borderId="424" applyNumberFormat="0" applyProtection="0">
      <alignment horizontal="left" vertical="center" indent="1"/>
    </xf>
    <xf numFmtId="4" fontId="60" fillId="20" borderId="424" applyNumberFormat="0" applyProtection="0">
      <alignment horizontal="right" vertical="center"/>
    </xf>
    <xf numFmtId="0" fontId="56" fillId="33" borderId="424" applyNumberFormat="0" applyProtection="0">
      <alignment horizontal="left" vertical="center" indent="1"/>
    </xf>
    <xf numFmtId="4" fontId="60" fillId="25" borderId="424" applyNumberFormat="0" applyProtection="0">
      <alignment horizontal="right" vertical="center"/>
    </xf>
    <xf numFmtId="196" fontId="83" fillId="0" borderId="431" applyFill="0" applyBorder="0" applyAlignment="0"/>
    <xf numFmtId="0" fontId="121" fillId="60" borderId="427" applyBorder="0"/>
    <xf numFmtId="0" fontId="163" fillId="111" borderId="424" applyNumberFormat="0" applyAlignment="0" applyProtection="0">
      <alignment vertical="center"/>
    </xf>
    <xf numFmtId="0" fontId="56" fillId="32" borderId="424" applyNumberFormat="0" applyProtection="0">
      <alignment horizontal="left" vertical="center" indent="1"/>
    </xf>
    <xf numFmtId="0" fontId="88" fillId="53" borderId="426" applyNumberFormat="0" applyFont="0" applyAlignment="0" applyProtection="0"/>
    <xf numFmtId="10" fontId="88" fillId="17" borderId="431" applyNumberFormat="0" applyBorder="0" applyAlignment="0" applyProtection="0"/>
    <xf numFmtId="0" fontId="151" fillId="111" borderId="428" applyNumberFormat="0" applyAlignment="0" applyProtection="0">
      <alignment vertical="center"/>
    </xf>
    <xf numFmtId="3" fontId="67" fillId="0" borderId="431"/>
    <xf numFmtId="4" fontId="100" fillId="2" borderId="424" applyNumberFormat="0" applyProtection="0">
      <alignment vertical="center"/>
    </xf>
    <xf numFmtId="0" fontId="56" fillId="32" borderId="424" applyNumberFormat="0" applyProtection="0">
      <alignment horizontal="left" vertical="center" indent="1"/>
    </xf>
    <xf numFmtId="4" fontId="104" fillId="30" borderId="424" applyNumberFormat="0" applyProtection="0">
      <alignment horizontal="righ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14" fillId="56" borderId="426" applyNumberFormat="0" applyAlignment="0" applyProtection="0"/>
    <xf numFmtId="0" fontId="120" fillId="56" borderId="424" applyNumberFormat="0" applyAlignment="0" applyProtection="0"/>
    <xf numFmtId="4" fontId="60" fillId="23" borderId="424" applyNumberFormat="0" applyProtection="0">
      <alignment horizontal="right" vertical="center"/>
    </xf>
    <xf numFmtId="0" fontId="56" fillId="19" borderId="424" applyNumberFormat="0" applyProtection="0">
      <alignment horizontal="left" vertical="center" indent="1"/>
    </xf>
    <xf numFmtId="4" fontId="100" fillId="30" borderId="424" applyNumberFormat="0" applyProtection="0">
      <alignment horizontal="right" vertical="center"/>
    </xf>
    <xf numFmtId="0" fontId="114" fillId="56" borderId="426" applyNumberFormat="0" applyAlignment="0" applyProtection="0"/>
    <xf numFmtId="3" fontId="67" fillId="0" borderId="431"/>
    <xf numFmtId="4" fontId="60" fillId="21" borderId="424" applyNumberFormat="0" applyProtection="0">
      <alignment horizontal="right" vertical="center"/>
    </xf>
    <xf numFmtId="0" fontId="121" fillId="60" borderId="427" applyBorder="0"/>
    <xf numFmtId="0" fontId="56" fillId="34" borderId="424" applyNumberFormat="0" applyProtection="0">
      <alignment horizontal="left" vertical="center" indent="1"/>
    </xf>
    <xf numFmtId="4" fontId="60" fillId="30" borderId="424" applyNumberFormat="0" applyProtection="0">
      <alignment horizontal="right" vertical="center"/>
    </xf>
    <xf numFmtId="0" fontId="120" fillId="56" borderId="424" applyNumberFormat="0" applyAlignment="0" applyProtection="0"/>
    <xf numFmtId="4" fontId="60" fillId="2" borderId="424" applyNumberFormat="0" applyProtection="0">
      <alignment horizontal="left" vertical="center" indent="1"/>
    </xf>
    <xf numFmtId="0" fontId="114" fillId="56" borderId="426" applyNumberFormat="0" applyAlignment="0" applyProtection="0"/>
    <xf numFmtId="4" fontId="60" fillId="35" borderId="424" applyNumberFormat="0" applyProtection="0">
      <alignment vertical="center"/>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121" fillId="60" borderId="427" applyBorder="0"/>
    <xf numFmtId="0" fontId="121" fillId="60" borderId="427" applyBorder="0"/>
    <xf numFmtId="0" fontId="56" fillId="34" borderId="424" applyNumberFormat="0" applyProtection="0">
      <alignment horizontal="left" vertical="center" indent="1"/>
    </xf>
    <xf numFmtId="4" fontId="60" fillId="27" borderId="424" applyNumberFormat="0" applyProtection="0">
      <alignment horizontal="right" vertical="center"/>
    </xf>
    <xf numFmtId="0" fontId="151" fillId="111" borderId="428" applyNumberFormat="0" applyAlignment="0" applyProtection="0">
      <alignment vertical="center"/>
    </xf>
    <xf numFmtId="4" fontId="60" fillId="25" borderId="424" applyNumberFormat="0" applyProtection="0">
      <alignment horizontal="right" vertical="center"/>
    </xf>
    <xf numFmtId="0" fontId="56" fillId="32" borderId="424" applyNumberFormat="0" applyProtection="0">
      <alignment horizontal="left" vertical="center" indent="1"/>
    </xf>
    <xf numFmtId="0" fontId="121" fillId="60" borderId="427" applyBorder="0"/>
    <xf numFmtId="0" fontId="56" fillId="19" borderId="424" applyNumberFormat="0" applyProtection="0">
      <alignment horizontal="left" vertical="center" indent="1"/>
    </xf>
    <xf numFmtId="0" fontId="56" fillId="33" borderId="424" applyNumberFormat="0" applyProtection="0">
      <alignment horizontal="left" vertical="center" indent="1"/>
    </xf>
    <xf numFmtId="4" fontId="60" fillId="35" borderId="424" applyNumberFormat="0" applyProtection="0">
      <alignment horizontal="left" vertical="center" indent="1"/>
    </xf>
    <xf numFmtId="4" fontId="60" fillId="23" borderId="424" applyNumberFormat="0" applyProtection="0">
      <alignment horizontal="right" vertical="center"/>
    </xf>
    <xf numFmtId="4" fontId="100" fillId="2" borderId="424" applyNumberFormat="0" applyProtection="0">
      <alignment vertical="center"/>
    </xf>
    <xf numFmtId="4" fontId="60" fillId="26" borderId="424" applyNumberFormat="0" applyProtection="0">
      <alignment horizontal="right" vertical="center"/>
    </xf>
    <xf numFmtId="0" fontId="56" fillId="19" borderId="424" applyNumberFormat="0" applyProtection="0">
      <alignment horizontal="left" vertical="center" indent="1"/>
    </xf>
    <xf numFmtId="0" fontId="120" fillId="56" borderId="424" applyNumberFormat="0" applyAlignment="0" applyProtection="0"/>
    <xf numFmtId="4" fontId="100" fillId="2" borderId="424" applyNumberFormat="0" applyProtection="0">
      <alignment vertical="center"/>
    </xf>
    <xf numFmtId="4" fontId="60" fillId="24" borderId="424" applyNumberFormat="0" applyProtection="0">
      <alignment horizontal="right" vertical="center"/>
    </xf>
    <xf numFmtId="0" fontId="121" fillId="60" borderId="427" applyBorder="0"/>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60" fillId="35" borderId="424" applyNumberFormat="0" applyProtection="0">
      <alignment vertical="center"/>
    </xf>
    <xf numFmtId="4" fontId="60" fillId="20" borderId="424" applyNumberFormat="0" applyProtection="0">
      <alignment horizontal="right" vertical="center"/>
    </xf>
    <xf numFmtId="4" fontId="60" fillId="28" borderId="424" applyNumberFormat="0" applyProtection="0">
      <alignment horizontal="righ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0" fontId="56" fillId="34" borderId="424" applyNumberFormat="0" applyProtection="0">
      <alignment horizontal="left" vertical="center" indent="1"/>
    </xf>
    <xf numFmtId="4" fontId="104" fillId="30" borderId="424" applyNumberFormat="0" applyProtection="0">
      <alignment horizontal="right" vertical="center"/>
    </xf>
    <xf numFmtId="0" fontId="56" fillId="33" borderId="424" applyNumberFormat="0" applyProtection="0">
      <alignment horizontal="left" vertical="center" indent="1"/>
    </xf>
    <xf numFmtId="0" fontId="118" fillId="54" borderId="426" applyNumberFormat="0" applyAlignment="0" applyProtection="0"/>
    <xf numFmtId="4" fontId="60" fillId="27" borderId="424" applyNumberFormat="0" applyProtection="0">
      <alignment horizontal="right" vertical="center"/>
    </xf>
    <xf numFmtId="4" fontId="60" fillId="32" borderId="424" applyNumberFormat="0" applyProtection="0">
      <alignment horizontal="left" vertical="center" indent="1"/>
    </xf>
    <xf numFmtId="0" fontId="56" fillId="32" borderId="424" applyNumberFormat="0" applyProtection="0">
      <alignment horizontal="left" vertical="center" indent="1"/>
    </xf>
    <xf numFmtId="4" fontId="60" fillId="2" borderId="424" applyNumberFormat="0" applyProtection="0">
      <alignment horizontal="left" vertical="center" indent="1"/>
    </xf>
    <xf numFmtId="0" fontId="163" fillId="111" borderId="424" applyNumberFormat="0" applyAlignment="0" applyProtection="0">
      <alignment vertical="center"/>
    </xf>
    <xf numFmtId="4" fontId="60" fillId="22" borderId="424" applyNumberFormat="0" applyProtection="0">
      <alignment horizontal="right" vertical="center"/>
    </xf>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60" fillId="21" borderId="424" applyNumberFormat="0" applyProtection="0">
      <alignment horizontal="right" vertical="center"/>
    </xf>
    <xf numFmtId="4" fontId="60" fillId="20" borderId="424" applyNumberFormat="0" applyProtection="0">
      <alignment horizontal="right" vertical="center"/>
    </xf>
    <xf numFmtId="4" fontId="100" fillId="30" borderId="424" applyNumberFormat="0" applyProtection="0">
      <alignment horizontal="right" vertical="center"/>
    </xf>
    <xf numFmtId="4" fontId="60" fillId="27" borderId="424" applyNumberFormat="0" applyProtection="0">
      <alignment horizontal="right" vertical="center"/>
    </xf>
    <xf numFmtId="0" fontId="118" fillId="54" borderId="426" applyNumberFormat="0" applyAlignment="0" applyProtection="0"/>
    <xf numFmtId="0" fontId="56" fillId="19" borderId="424" applyNumberFormat="0" applyProtection="0">
      <alignment horizontal="left" vertical="center" indent="1"/>
    </xf>
    <xf numFmtId="4" fontId="60" fillId="28" borderId="424" applyNumberFormat="0" applyProtection="0">
      <alignment horizontal="right" vertical="center"/>
    </xf>
    <xf numFmtId="4" fontId="60" fillId="28" borderId="424" applyNumberFormat="0" applyProtection="0">
      <alignment horizontal="right" vertical="center"/>
    </xf>
    <xf numFmtId="4" fontId="60" fillId="35" borderId="424" applyNumberFormat="0" applyProtection="0">
      <alignment horizontal="left" vertical="center" indent="1"/>
    </xf>
    <xf numFmtId="0" fontId="99" fillId="1" borderId="432" applyNumberFormat="0" applyFont="0" applyAlignment="0">
      <alignment horizontal="center"/>
    </xf>
    <xf numFmtId="4" fontId="104" fillId="30" borderId="424" applyNumberFormat="0" applyProtection="0">
      <alignment horizontal="right" vertical="center"/>
    </xf>
    <xf numFmtId="4" fontId="60" fillId="21" borderId="424" applyNumberFormat="0" applyProtection="0">
      <alignment horizontal="right" vertical="center"/>
    </xf>
    <xf numFmtId="0" fontId="56" fillId="34" borderId="424" applyNumberFormat="0" applyProtection="0">
      <alignment horizontal="left" vertical="center" indent="1"/>
    </xf>
    <xf numFmtId="0" fontId="56" fillId="34" borderId="424" applyNumberFormat="0" applyProtection="0">
      <alignment horizontal="left" vertical="center" indent="1"/>
    </xf>
    <xf numFmtId="4" fontId="60" fillId="22" borderId="424" applyNumberFormat="0" applyProtection="0">
      <alignment horizontal="right" vertical="center"/>
    </xf>
    <xf numFmtId="0" fontId="56" fillId="33" borderId="424" applyNumberFormat="0" applyProtection="0">
      <alignment horizontal="left" vertical="center" indent="1"/>
    </xf>
    <xf numFmtId="0" fontId="88" fillId="53" borderId="426" applyNumberFormat="0" applyFont="0" applyAlignment="0" applyProtection="0"/>
    <xf numFmtId="0" fontId="56" fillId="19" borderId="424" applyNumberFormat="0" applyProtection="0">
      <alignment horizontal="left" vertical="center" indent="1"/>
    </xf>
    <xf numFmtId="4" fontId="60" fillId="2" borderId="424" applyNumberFormat="0" applyProtection="0">
      <alignment vertical="center"/>
    </xf>
    <xf numFmtId="4" fontId="60" fillId="30"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1" borderId="424" applyNumberFormat="0" applyProtection="0">
      <alignment horizontal="right" vertical="center"/>
    </xf>
    <xf numFmtId="4" fontId="60" fillId="2" borderId="424" applyNumberFormat="0" applyProtection="0">
      <alignment horizontal="left" vertical="center" indent="1"/>
    </xf>
    <xf numFmtId="4" fontId="60" fillId="23"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2"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right" vertical="center"/>
    </xf>
    <xf numFmtId="4" fontId="60" fillId="35" borderId="424" applyNumberForma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3" fontId="67" fillId="0" borderId="431"/>
    <xf numFmtId="0" fontId="56" fillId="34" borderId="424" applyNumberFormat="0" applyProtection="0">
      <alignment horizontal="left" vertical="center" indent="1"/>
    </xf>
    <xf numFmtId="4" fontId="60" fillId="32" borderId="424" applyNumberFormat="0" applyProtection="0">
      <alignment horizontal="left" vertical="center" indent="1"/>
    </xf>
    <xf numFmtId="0" fontId="56" fillId="33" borderId="424" applyNumberFormat="0" applyProtection="0">
      <alignment horizontal="left" vertical="center" indent="1"/>
    </xf>
    <xf numFmtId="0" fontId="118" fillId="54" borderId="426" applyNumberFormat="0" applyAlignment="0" applyProtection="0"/>
    <xf numFmtId="4" fontId="60" fillId="2" borderId="424" applyNumberFormat="0" applyProtection="0">
      <alignment horizontal="left" vertical="center" indent="1"/>
    </xf>
    <xf numFmtId="4" fontId="60" fillId="32" borderId="424" applyNumberFormat="0" applyProtection="0">
      <alignment horizontal="left" vertical="center" indent="1"/>
    </xf>
    <xf numFmtId="4" fontId="100" fillId="30" borderId="424" applyNumberFormat="0" applyProtection="0">
      <alignment horizontal="right" vertical="center"/>
    </xf>
    <xf numFmtId="0" fontId="151" fillId="111" borderId="428" applyNumberFormat="0" applyAlignment="0" applyProtection="0">
      <alignment vertical="center"/>
    </xf>
    <xf numFmtId="0" fontId="157" fillId="98" borderId="428" applyNumberFormat="0" applyAlignment="0" applyProtection="0">
      <alignment vertical="center"/>
    </xf>
    <xf numFmtId="4" fontId="60" fillId="26" borderId="424" applyNumberFormat="0" applyProtection="0">
      <alignment horizontal="right" vertical="center"/>
    </xf>
    <xf numFmtId="0" fontId="56" fillId="32" borderId="424" applyNumberFormat="0" applyProtection="0">
      <alignment horizontal="left" vertical="center" indent="1"/>
    </xf>
    <xf numFmtId="4" fontId="60" fillId="20" borderId="424" applyNumberFormat="0" applyProtection="0">
      <alignment horizontal="right" vertical="center"/>
    </xf>
    <xf numFmtId="0" fontId="56" fillId="32" borderId="424" applyNumberFormat="0" applyProtection="0">
      <alignment horizontal="left" vertical="center" indent="1"/>
    </xf>
    <xf numFmtId="0" fontId="120" fillId="56" borderId="424" applyNumberFormat="0" applyAlignment="0" applyProtection="0"/>
    <xf numFmtId="0" fontId="56" fillId="32" borderId="424" applyNumberFormat="0" applyProtection="0">
      <alignment horizontal="left" vertical="center" indent="1"/>
    </xf>
    <xf numFmtId="0" fontId="56" fillId="33" borderId="424" applyNumberFormat="0" applyProtection="0">
      <alignment horizontal="left" vertical="center" indent="1"/>
    </xf>
    <xf numFmtId="3" fontId="67" fillId="0" borderId="431"/>
    <xf numFmtId="4" fontId="60" fillId="27" borderId="424" applyNumberFormat="0" applyProtection="0">
      <alignment horizontal="right" vertical="center"/>
    </xf>
    <xf numFmtId="4" fontId="60" fillId="35" borderId="424" applyNumberFormat="0" applyProtection="0">
      <alignment horizontal="left" vertical="center" indent="1"/>
    </xf>
    <xf numFmtId="4" fontId="101" fillId="2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0" fontId="56" fillId="32" borderId="424" applyNumberFormat="0" applyProtection="0">
      <alignment horizontal="left" vertical="center" indent="1"/>
    </xf>
    <xf numFmtId="0" fontId="56" fillId="34" borderId="424" applyNumberFormat="0" applyProtection="0">
      <alignment horizontal="left" vertical="center" indent="1"/>
    </xf>
    <xf numFmtId="4" fontId="60" fillId="35" borderId="424" applyNumberFormat="0" applyProtection="0">
      <alignment horizontal="left" vertical="center" indent="1"/>
    </xf>
    <xf numFmtId="4" fontId="60" fillId="2" borderId="424" applyNumberFormat="0" applyProtection="0">
      <alignment horizontal="left" vertical="center" indent="1"/>
    </xf>
    <xf numFmtId="0" fontId="114" fillId="56" borderId="426" applyNumberFormat="0" applyAlignment="0" applyProtection="0"/>
    <xf numFmtId="4" fontId="100" fillId="35" borderId="424" applyNumberFormat="0" applyProtection="0">
      <alignment vertical="center"/>
    </xf>
    <xf numFmtId="0" fontId="121" fillId="60" borderId="427" applyBorder="0"/>
    <xf numFmtId="0" fontId="114" fillId="56" borderId="426" applyNumberFormat="0" applyAlignment="0" applyProtection="0"/>
    <xf numFmtId="0" fontId="120" fillId="56" borderId="424" applyNumberFormat="0" applyAlignment="0" applyProtection="0"/>
    <xf numFmtId="4" fontId="60" fillId="22" borderId="424" applyNumberFormat="0" applyProtection="0">
      <alignment horizontal="right" vertical="center"/>
    </xf>
    <xf numFmtId="0" fontId="56" fillId="19" borderId="424" applyNumberFormat="0" applyProtection="0">
      <alignment horizontal="left" vertical="center" indent="1"/>
    </xf>
    <xf numFmtId="4" fontId="100" fillId="30" borderId="424" applyNumberFormat="0" applyProtection="0">
      <alignment horizontal="right" vertical="center"/>
    </xf>
    <xf numFmtId="4" fontId="60" fillId="30" borderId="424" applyNumberFormat="0" applyProtection="0">
      <alignment horizontal="left" vertical="center" indent="1"/>
    </xf>
    <xf numFmtId="0" fontId="56" fillId="33" borderId="424" applyNumberFormat="0" applyProtection="0">
      <alignment horizontal="left" vertical="center" indent="1"/>
    </xf>
    <xf numFmtId="0" fontId="56" fillId="32" borderId="424" applyNumberFormat="0" applyProtection="0">
      <alignment horizontal="left" vertical="center" indent="1"/>
    </xf>
    <xf numFmtId="4" fontId="100" fillId="30" borderId="424" applyNumberFormat="0" applyProtection="0">
      <alignment horizontal="right" vertical="center"/>
    </xf>
    <xf numFmtId="4" fontId="60" fillId="32" borderId="424" applyNumberFormat="0" applyProtection="0">
      <alignment horizontal="left" vertical="center" indent="1"/>
    </xf>
    <xf numFmtId="0" fontId="121" fillId="60" borderId="427" applyBorder="0"/>
    <xf numFmtId="4" fontId="60" fillId="28" borderId="424" applyNumberFormat="0" applyProtection="0">
      <alignment horizontal="right" vertical="center"/>
    </xf>
    <xf numFmtId="0" fontId="151" fillId="111" borderId="428" applyNumberFormat="0" applyAlignment="0" applyProtection="0">
      <alignment vertical="center"/>
    </xf>
    <xf numFmtId="4" fontId="104" fillId="30" borderId="424" applyNumberFormat="0" applyProtection="0">
      <alignment horizontal="right" vertical="center"/>
    </xf>
    <xf numFmtId="4" fontId="60" fillId="25" borderId="424" applyNumberFormat="0" applyProtection="0">
      <alignment horizontal="right" vertical="center"/>
    </xf>
    <xf numFmtId="0" fontId="56" fillId="32" borderId="424" applyNumberFormat="0" applyProtection="0">
      <alignment horizontal="left" vertical="center" indent="1"/>
    </xf>
    <xf numFmtId="0" fontId="99" fillId="1" borderId="432" applyNumberFormat="0" applyFont="0" applyAlignment="0">
      <alignment horizontal="center"/>
    </xf>
    <xf numFmtId="4" fontId="60" fillId="35" borderId="424" applyNumberFormat="0" applyProtection="0">
      <alignment vertical="center"/>
    </xf>
    <xf numFmtId="0" fontId="118" fillId="54" borderId="426" applyNumberFormat="0" applyAlignment="0" applyProtection="0"/>
    <xf numFmtId="3" fontId="67" fillId="0" borderId="431"/>
    <xf numFmtId="0" fontId="56" fillId="34" borderId="424" applyNumberFormat="0" applyProtection="0">
      <alignment horizontal="left" vertical="center" indent="1"/>
    </xf>
    <xf numFmtId="0" fontId="56" fillId="32" borderId="424" applyNumberFormat="0" applyProtection="0">
      <alignment horizontal="left" vertical="center" indent="1"/>
    </xf>
    <xf numFmtId="4" fontId="60" fillId="32" borderId="424" applyNumberFormat="0" applyProtection="0">
      <alignment horizontal="left" vertical="center" indent="1"/>
    </xf>
    <xf numFmtId="4" fontId="60" fillId="25" borderId="424" applyNumberFormat="0" applyProtection="0">
      <alignment horizontal="right" vertical="center"/>
    </xf>
    <xf numFmtId="4" fontId="100" fillId="2" borderId="424" applyNumberFormat="0" applyProtection="0">
      <alignment vertical="center"/>
    </xf>
    <xf numFmtId="4" fontId="100" fillId="2" borderId="424" applyNumberFormat="0" applyProtection="0">
      <alignment vertical="center"/>
    </xf>
    <xf numFmtId="0" fontId="56" fillId="19" borderId="424" applyNumberFormat="0" applyProtection="0">
      <alignment horizontal="left" vertical="center" indent="1"/>
    </xf>
    <xf numFmtId="4" fontId="60" fillId="27" borderId="424" applyNumberFormat="0" applyProtection="0">
      <alignment horizontal="right" vertical="center"/>
    </xf>
    <xf numFmtId="4" fontId="101" fillId="29" borderId="424" applyNumberFormat="0" applyProtection="0">
      <alignment horizontal="left" vertical="center" indent="1"/>
    </xf>
    <xf numFmtId="0" fontId="120" fillId="56" borderId="424" applyNumberFormat="0" applyAlignment="0" applyProtection="0"/>
    <xf numFmtId="4" fontId="100" fillId="2" borderId="424" applyNumberFormat="0" applyProtection="0">
      <alignment vertical="center"/>
    </xf>
    <xf numFmtId="4" fontId="60" fillId="25" borderId="424" applyNumberFormat="0" applyProtection="0">
      <alignment horizontal="right" vertical="center"/>
    </xf>
    <xf numFmtId="0" fontId="121" fillId="60" borderId="427" applyBorder="0"/>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60" fillId="35" borderId="424" applyNumberFormat="0" applyProtection="0">
      <alignment horizontal="left" vertical="center" indent="1"/>
    </xf>
    <xf numFmtId="4" fontId="100" fillId="35" borderId="424" applyNumberFormat="0" applyProtection="0">
      <alignment vertical="center"/>
    </xf>
    <xf numFmtId="0" fontId="118" fillId="54" borderId="426" applyNumberFormat="0" applyAlignment="0" applyProtection="0"/>
    <xf numFmtId="0" fontId="120" fillId="56" borderId="424" applyNumberFormat="0" applyAlignment="0" applyProtection="0"/>
    <xf numFmtId="4" fontId="60" fillId="20" borderId="424" applyNumberFormat="0" applyProtection="0">
      <alignment horizontal="right" vertical="center"/>
    </xf>
    <xf numFmtId="4" fontId="60" fillId="28" borderId="424" applyNumberFormat="0" applyProtection="0">
      <alignment horizontal="righ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4" fontId="100" fillId="35" borderId="424" applyNumberFormat="0" applyProtection="0">
      <alignment vertical="center"/>
    </xf>
    <xf numFmtId="4" fontId="101" fillId="29" borderId="424" applyNumberFormat="0" applyProtection="0">
      <alignment horizontal="left" vertical="center" indent="1"/>
    </xf>
    <xf numFmtId="4" fontId="100" fillId="2" borderId="424" applyNumberFormat="0" applyProtection="0">
      <alignment vertical="center"/>
    </xf>
    <xf numFmtId="4" fontId="60" fillId="27" borderId="424" applyNumberFormat="0" applyProtection="0">
      <alignment horizontal="right" vertical="center"/>
    </xf>
    <xf numFmtId="4" fontId="60" fillId="32" borderId="424" applyNumberFormat="0" applyProtection="0">
      <alignment horizontal="left" vertical="center" indent="1"/>
    </xf>
    <xf numFmtId="4" fontId="60" fillId="35" borderId="424" applyNumberFormat="0" applyProtection="0">
      <alignment horizontal="left" vertical="center" indent="1"/>
    </xf>
    <xf numFmtId="4" fontId="60" fillId="22"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left" vertical="center" indent="1"/>
    </xf>
    <xf numFmtId="4" fontId="60" fillId="20" borderId="424" applyNumberFormat="0" applyProtection="0">
      <alignment horizontal="right" vertical="center"/>
    </xf>
    <xf numFmtId="4" fontId="60" fillId="2" borderId="424" applyNumberFormat="0" applyProtection="0">
      <alignment vertical="center"/>
    </xf>
    <xf numFmtId="4" fontId="60" fillId="30" borderId="424" applyNumberFormat="0" applyProtection="0">
      <alignment horizontal="right" vertical="center"/>
    </xf>
    <xf numFmtId="4" fontId="60" fillId="26" borderId="424" applyNumberFormat="0" applyProtection="0">
      <alignment horizontal="right" vertical="center"/>
    </xf>
    <xf numFmtId="0" fontId="118" fillId="54" borderId="426" applyNumberFormat="0" applyAlignment="0" applyProtection="0"/>
    <xf numFmtId="4" fontId="60" fillId="20" borderId="424" applyNumberFormat="0" applyProtection="0">
      <alignment horizontal="right" vertical="center"/>
    </xf>
    <xf numFmtId="4" fontId="101" fillId="29" borderId="424" applyNumberFormat="0" applyProtection="0">
      <alignment horizontal="left" vertical="center" indent="1"/>
    </xf>
    <xf numFmtId="0" fontId="56" fillId="33" borderId="424" applyNumberFormat="0" applyProtection="0">
      <alignment horizontal="left" vertical="center" indent="1"/>
    </xf>
    <xf numFmtId="4" fontId="60" fillId="35" borderId="424" applyNumberFormat="0" applyProtection="0">
      <alignment horizontal="left" vertical="center" indent="1"/>
    </xf>
    <xf numFmtId="0" fontId="56" fillId="32" borderId="424" applyNumberFormat="0" applyProtection="0">
      <alignment horizontal="left" vertical="center" indent="1"/>
    </xf>
    <xf numFmtId="4" fontId="60" fillId="23" borderId="424" applyNumberFormat="0" applyProtection="0">
      <alignment horizontal="right" vertical="center"/>
    </xf>
    <xf numFmtId="0" fontId="118" fillId="54" borderId="426" applyNumberFormat="0" applyAlignment="0" applyProtection="0"/>
    <xf numFmtId="4" fontId="100" fillId="2" borderId="424" applyNumberFormat="0" applyProtection="0">
      <alignment vertical="center"/>
    </xf>
    <xf numFmtId="4" fontId="60" fillId="23" borderId="424" applyNumberFormat="0" applyProtection="0">
      <alignment horizontal="right" vertical="center"/>
    </xf>
    <xf numFmtId="0" fontId="56" fillId="19" borderId="424" applyNumberFormat="0" applyProtection="0">
      <alignment horizontal="left" vertical="center" indent="1"/>
    </xf>
    <xf numFmtId="0" fontId="56" fillId="34" borderId="424" applyNumberFormat="0" applyProtection="0">
      <alignment horizontal="left" vertical="center" indent="1"/>
    </xf>
    <xf numFmtId="4" fontId="60" fillId="35" borderId="424" applyNumberFormat="0" applyProtection="0">
      <alignment horizontal="left" vertical="center" indent="1"/>
    </xf>
    <xf numFmtId="0" fontId="56" fillId="19" borderId="424" applyNumberFormat="0" applyProtection="0">
      <alignment horizontal="left" vertical="center" indent="1"/>
    </xf>
    <xf numFmtId="3" fontId="67" fillId="0" borderId="431"/>
    <xf numFmtId="4" fontId="60" fillId="35" borderId="424" applyNumberFormat="0" applyProtection="0">
      <alignment horizontal="left" vertical="center" indent="1"/>
    </xf>
    <xf numFmtId="0" fontId="118" fillId="54" borderId="426" applyNumberFormat="0" applyAlignment="0" applyProtection="0"/>
    <xf numFmtId="0" fontId="118" fillId="54" borderId="426" applyNumberFormat="0" applyAlignment="0" applyProtection="0"/>
    <xf numFmtId="196" fontId="83" fillId="0" borderId="431" applyFill="0" applyBorder="0" applyAlignment="0"/>
    <xf numFmtId="4" fontId="60" fillId="35" borderId="424" applyNumberFormat="0" applyProtection="0">
      <alignment vertical="center"/>
    </xf>
    <xf numFmtId="0" fontId="56" fillId="32" borderId="424" applyNumberFormat="0" applyProtection="0">
      <alignment horizontal="left" vertical="center" indent="1"/>
    </xf>
    <xf numFmtId="4" fontId="60" fillId="32" borderId="424" applyNumberFormat="0" applyProtection="0">
      <alignment horizontal="left" vertical="center" indent="1"/>
    </xf>
    <xf numFmtId="0" fontId="56" fillId="19" borderId="424" applyNumberFormat="0" applyProtection="0">
      <alignment horizontal="left" vertical="center" indent="1"/>
    </xf>
    <xf numFmtId="0" fontId="56" fillId="33"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0" fontId="56" fillId="34" borderId="424" applyNumberFormat="0" applyProtection="0">
      <alignment horizontal="left" vertical="center" indent="1"/>
    </xf>
    <xf numFmtId="4" fontId="60" fillId="35" borderId="424" applyNumberFormat="0" applyProtection="0">
      <alignment horizontal="left" vertical="center" indent="1"/>
    </xf>
    <xf numFmtId="0" fontId="56" fillId="33" borderId="424" applyNumberFormat="0" applyProtection="0">
      <alignment horizontal="left" vertical="center" indent="1"/>
    </xf>
    <xf numFmtId="4" fontId="60" fillId="35" borderId="424" applyNumberFormat="0" applyProtection="0">
      <alignment horizontal="left" vertical="center" indent="1"/>
    </xf>
    <xf numFmtId="4" fontId="100" fillId="35" borderId="424" applyNumberFormat="0" applyProtection="0">
      <alignment vertical="center"/>
    </xf>
    <xf numFmtId="4" fontId="100" fillId="30" borderId="424" applyNumberFormat="0" applyProtection="0">
      <alignment horizontal="right" vertical="center"/>
    </xf>
    <xf numFmtId="3" fontId="67" fillId="0" borderId="431"/>
    <xf numFmtId="4" fontId="60" fillId="35" borderId="424" applyNumberFormat="0" applyProtection="0">
      <alignment horizontal="left" vertical="center" indent="1"/>
    </xf>
    <xf numFmtId="0" fontId="114" fillId="56" borderId="426" applyNumberFormat="0" applyAlignment="0" applyProtection="0"/>
    <xf numFmtId="0" fontId="56" fillId="19" borderId="424" applyNumberFormat="0" applyProtection="0">
      <alignment horizontal="left" vertical="center" indent="1"/>
    </xf>
    <xf numFmtId="4" fontId="101" fillId="29" borderId="424" applyNumberFormat="0" applyProtection="0">
      <alignment horizontal="left" vertical="center" indent="1"/>
    </xf>
    <xf numFmtId="0" fontId="121" fillId="60" borderId="427" applyBorder="0"/>
    <xf numFmtId="0" fontId="114" fillId="56" borderId="426" applyNumberFormat="0" applyAlignment="0" applyProtection="0"/>
    <xf numFmtId="0" fontId="120" fillId="56" borderId="424" applyNumberFormat="0" applyAlignment="0" applyProtection="0"/>
    <xf numFmtId="0" fontId="56" fillId="19" borderId="424" applyNumberFormat="0" applyProtection="0">
      <alignment horizontal="left" vertical="center" indent="1"/>
    </xf>
    <xf numFmtId="3" fontId="67" fillId="0" borderId="431"/>
    <xf numFmtId="4" fontId="60" fillId="35" borderId="424" applyNumberFormat="0" applyProtection="0">
      <alignment horizontal="left" vertical="center" indent="1"/>
    </xf>
    <xf numFmtId="0" fontId="88" fillId="53" borderId="426" applyNumberFormat="0" applyFont="0" applyAlignment="0" applyProtection="0"/>
    <xf numFmtId="4" fontId="60" fillId="2" borderId="424" applyNumberFormat="0" applyProtection="0">
      <alignment horizontal="left" vertical="center" indent="1"/>
    </xf>
    <xf numFmtId="4" fontId="60" fillId="26" borderId="424" applyNumberFormat="0" applyProtection="0">
      <alignment horizontal="right" vertical="center"/>
    </xf>
    <xf numFmtId="0" fontId="56" fillId="32" borderId="424" applyNumberFormat="0" applyProtection="0">
      <alignment horizontal="left" vertical="center" indent="1"/>
    </xf>
    <xf numFmtId="4" fontId="100" fillId="30" borderId="424" applyNumberFormat="0" applyProtection="0">
      <alignment horizontal="right" vertical="center"/>
    </xf>
    <xf numFmtId="4" fontId="60" fillId="24" borderId="424" applyNumberFormat="0" applyProtection="0">
      <alignment horizontal="right" vertical="center"/>
    </xf>
    <xf numFmtId="0" fontId="121" fillId="60" borderId="427" applyBorder="0"/>
    <xf numFmtId="4" fontId="60" fillId="2" borderId="424" applyNumberFormat="0" applyProtection="0">
      <alignment vertical="center"/>
    </xf>
    <xf numFmtId="4" fontId="101" fillId="29" borderId="424" applyNumberFormat="0" applyProtection="0">
      <alignment horizontal="left" vertical="center" indent="1"/>
    </xf>
    <xf numFmtId="0" fontId="114" fillId="56" borderId="426" applyNumberFormat="0" applyAlignment="0" applyProtection="0"/>
    <xf numFmtId="0" fontId="114" fillId="56" borderId="426" applyNumberFormat="0" applyAlignment="0" applyProtection="0"/>
    <xf numFmtId="4" fontId="60" fillId="35" borderId="424" applyNumberFormat="0" applyProtection="0">
      <alignment vertical="center"/>
    </xf>
    <xf numFmtId="0" fontId="56" fillId="19" borderId="424" applyNumberFormat="0" applyProtection="0">
      <alignment horizontal="left" vertical="center" indent="1"/>
    </xf>
    <xf numFmtId="0" fontId="114" fillId="56" borderId="426" applyNumberFormat="0" applyAlignment="0" applyProtection="0"/>
    <xf numFmtId="0" fontId="56" fillId="19" borderId="424" applyNumberFormat="0" applyProtection="0">
      <alignment horizontal="left" vertical="center" indent="1"/>
    </xf>
    <xf numFmtId="0" fontId="56" fillId="32" borderId="424" applyNumberFormat="0" applyProtection="0">
      <alignment horizontal="left" vertical="center" indent="1"/>
    </xf>
    <xf numFmtId="0" fontId="56" fillId="19" borderId="424" applyNumberFormat="0" applyProtection="0">
      <alignment horizontal="left" vertical="center" indent="1"/>
    </xf>
    <xf numFmtId="196" fontId="83" fillId="0" borderId="431" applyFill="0" applyBorder="0" applyAlignment="0"/>
    <xf numFmtId="4" fontId="60" fillId="25" borderId="424" applyNumberFormat="0" applyProtection="0">
      <alignment horizontal="right" vertical="center"/>
    </xf>
    <xf numFmtId="0" fontId="56" fillId="34" borderId="424" applyNumberFormat="0" applyProtection="0">
      <alignment horizontal="left" vertical="center" indent="1"/>
    </xf>
    <xf numFmtId="4" fontId="60" fillId="27" borderId="424" applyNumberFormat="0" applyProtection="0">
      <alignment horizontal="right" vertical="center"/>
    </xf>
    <xf numFmtId="4" fontId="101" fillId="29" borderId="424" applyNumberFormat="0" applyProtection="0">
      <alignment horizontal="left" vertical="center" indent="1"/>
    </xf>
    <xf numFmtId="3" fontId="67" fillId="0" borderId="431"/>
    <xf numFmtId="0" fontId="56" fillId="32" borderId="424" applyNumberFormat="0" applyProtection="0">
      <alignment horizontal="left" vertical="center" indent="1"/>
    </xf>
    <xf numFmtId="0" fontId="56" fillId="34" borderId="424" applyNumberFormat="0" applyProtection="0">
      <alignment horizontal="left" vertical="center" indent="1"/>
    </xf>
    <xf numFmtId="0" fontId="118" fillId="54" borderId="426" applyNumberFormat="0" applyAlignment="0" applyProtection="0"/>
    <xf numFmtId="4" fontId="60" fillId="20" borderId="424" applyNumberFormat="0" applyProtection="0">
      <alignment horizontal="right" vertical="center"/>
    </xf>
    <xf numFmtId="4" fontId="60" fillId="28" borderId="424" applyNumberFormat="0" applyProtection="0">
      <alignment horizontal="right" vertical="center"/>
    </xf>
    <xf numFmtId="0" fontId="56" fillId="33" borderId="424" applyNumberFormat="0" applyProtection="0">
      <alignment horizontal="left" vertical="center" indent="1"/>
    </xf>
    <xf numFmtId="4" fontId="104" fillId="30" borderId="424" applyNumberFormat="0" applyProtection="0">
      <alignment horizontal="right" vertical="center"/>
    </xf>
    <xf numFmtId="4" fontId="100" fillId="30" borderId="424" applyNumberFormat="0" applyProtection="0">
      <alignment horizontal="right" vertical="center"/>
    </xf>
    <xf numFmtId="4" fontId="60" fillId="35" borderId="424" applyNumberFormat="0" applyProtection="0">
      <alignment horizontal="left" vertical="center" indent="1"/>
    </xf>
    <xf numFmtId="4" fontId="60" fillId="20" borderId="424" applyNumberFormat="0" applyProtection="0">
      <alignment horizontal="right" vertical="center"/>
    </xf>
    <xf numFmtId="4" fontId="60" fillId="30" borderId="424" applyNumberFormat="0" applyProtection="0">
      <alignment horizontal="right" vertical="center"/>
    </xf>
    <xf numFmtId="0" fontId="90" fillId="0" borderId="432">
      <alignment horizontal="left" vertical="center"/>
    </xf>
    <xf numFmtId="0" fontId="56" fillId="19" borderId="424" applyNumberFormat="0" applyProtection="0">
      <alignment horizontal="left" vertical="center" indent="1"/>
    </xf>
    <xf numFmtId="4" fontId="100" fillId="35" borderId="424" applyNumberFormat="0" applyProtection="0">
      <alignment vertical="center"/>
    </xf>
    <xf numFmtId="4" fontId="60" fillId="30" borderId="424" applyNumberFormat="0" applyProtection="0">
      <alignment horizontal="right" vertical="center"/>
    </xf>
    <xf numFmtId="4" fontId="60" fillId="30" borderId="424" applyNumberFormat="0" applyProtection="0">
      <alignment horizontal="left" vertical="center" indent="1"/>
    </xf>
    <xf numFmtId="0" fontId="56" fillId="19" borderId="424" applyNumberFormat="0" applyProtection="0">
      <alignment horizontal="left" vertical="center" indent="1"/>
    </xf>
    <xf numFmtId="4" fontId="60" fillId="2" borderId="424" applyNumberFormat="0" applyProtection="0">
      <alignment vertical="center"/>
    </xf>
    <xf numFmtId="4" fontId="60" fillId="30" borderId="424" applyNumberFormat="0" applyProtection="0">
      <alignment horizontal="right" vertical="center"/>
    </xf>
    <xf numFmtId="4" fontId="60" fillId="26" borderId="424" applyNumberFormat="0" applyProtection="0">
      <alignment horizontal="right" vertical="center"/>
    </xf>
    <xf numFmtId="0" fontId="118" fillId="54" borderId="426" applyNumberFormat="0" applyAlignment="0" applyProtection="0"/>
    <xf numFmtId="4" fontId="60" fillId="20" borderId="424" applyNumberFormat="0" applyProtection="0">
      <alignment horizontal="right" vertical="center"/>
    </xf>
    <xf numFmtId="0" fontId="118" fillId="54" borderId="426" applyNumberFormat="0" applyAlignment="0" applyProtection="0"/>
    <xf numFmtId="4" fontId="60" fillId="27" borderId="424" applyNumberFormat="0" applyProtection="0">
      <alignment horizontal="right" vertical="center"/>
    </xf>
    <xf numFmtId="4" fontId="60" fillId="24" borderId="424" applyNumberFormat="0" applyProtection="0">
      <alignment horizontal="right" vertical="center"/>
    </xf>
    <xf numFmtId="3" fontId="67" fillId="0" borderId="431"/>
    <xf numFmtId="4" fontId="100" fillId="2" borderId="424" applyNumberFormat="0" applyProtection="0">
      <alignment vertical="center"/>
    </xf>
    <xf numFmtId="4" fontId="60" fillId="24" borderId="424" applyNumberFormat="0" applyProtection="0">
      <alignment horizontal="right" vertical="center"/>
    </xf>
    <xf numFmtId="4" fontId="60" fillId="30" borderId="424" applyNumberFormat="0" applyProtection="0">
      <alignment horizontal="left" vertical="center" indent="1"/>
    </xf>
    <xf numFmtId="0" fontId="56" fillId="34" borderId="424" applyNumberFormat="0" applyProtection="0">
      <alignment horizontal="left" vertical="center" indent="1"/>
    </xf>
    <xf numFmtId="4" fontId="60" fillId="35" borderId="424" applyNumberFormat="0" applyProtection="0">
      <alignment horizontal="left" vertical="center" indent="1"/>
    </xf>
    <xf numFmtId="3" fontId="67" fillId="0" borderId="431"/>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34" borderId="424" applyNumberFormat="0" applyProtection="0">
      <alignment horizontal="left" vertical="center" indent="1"/>
    </xf>
    <xf numFmtId="4" fontId="60" fillId="21" borderId="424" applyNumberFormat="0" applyProtection="0">
      <alignment horizontal="right" vertical="center"/>
    </xf>
    <xf numFmtId="3" fontId="67" fillId="0" borderId="431"/>
    <xf numFmtId="0" fontId="56" fillId="34" borderId="424" applyNumberFormat="0" applyProtection="0">
      <alignment horizontal="left" vertical="center" indent="1"/>
    </xf>
    <xf numFmtId="3" fontId="67" fillId="0" borderId="431"/>
    <xf numFmtId="3" fontId="67" fillId="0" borderId="431"/>
    <xf numFmtId="4" fontId="60" fillId="30" borderId="424" applyNumberFormat="0" applyProtection="0">
      <alignment horizontal="left" vertical="center" indent="1"/>
    </xf>
    <xf numFmtId="0" fontId="118" fillId="54" borderId="426" applyNumberFormat="0" applyAlignment="0" applyProtection="0"/>
    <xf numFmtId="4" fontId="60" fillId="35" borderId="424" applyNumberFormat="0" applyProtection="0">
      <alignment horizontal="left" vertical="center" indent="1"/>
    </xf>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4" fontId="60" fillId="27" borderId="424" applyNumberFormat="0" applyProtection="0">
      <alignment horizontal="right" vertical="center"/>
    </xf>
    <xf numFmtId="196" fontId="83" fillId="0" borderId="431" applyFill="0" applyBorder="0" applyAlignment="0"/>
    <xf numFmtId="0" fontId="90" fillId="0" borderId="432">
      <alignment horizontal="left" vertical="center"/>
    </xf>
    <xf numFmtId="0" fontId="90" fillId="0" borderId="432">
      <alignment horizontal="left" vertical="center"/>
    </xf>
    <xf numFmtId="0" fontId="56" fillId="19" borderId="424" applyNumberFormat="0" applyProtection="0">
      <alignment horizontal="left" vertical="center" indent="1"/>
    </xf>
    <xf numFmtId="0" fontId="118" fillId="54" borderId="426" applyNumberFormat="0" applyAlignment="0" applyProtection="0"/>
    <xf numFmtId="10" fontId="88" fillId="17" borderId="431" applyNumberFormat="0" applyBorder="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35" borderId="424" applyNumberFormat="0" applyProtection="0">
      <alignment horizontal="left" vertical="center" indent="1"/>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24" borderId="424" applyNumberFormat="0" applyProtection="0">
      <alignment horizontal="right" vertical="center"/>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4" fontId="101" fillId="29"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88" fillId="61" borderId="431"/>
    <xf numFmtId="0" fontId="88" fillId="61" borderId="431"/>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99" fillId="1" borderId="432" applyNumberFormat="0" applyFont="0" applyAlignment="0">
      <alignment horizontal="center"/>
    </xf>
    <xf numFmtId="0" fontId="99" fillId="1" borderId="432" applyNumberFormat="0" applyFont="0" applyAlignment="0">
      <alignment horizontal="center"/>
    </xf>
    <xf numFmtId="0" fontId="88" fillId="53" borderId="426" applyNumberFormat="0" applyFont="0" applyAlignment="0" applyProtection="0"/>
    <xf numFmtId="4" fontId="60" fillId="25" borderId="424" applyNumberFormat="0" applyProtection="0">
      <alignment horizontal="right" vertical="center"/>
    </xf>
    <xf numFmtId="4" fontId="104" fillId="30" borderId="424" applyNumberFormat="0" applyProtection="0">
      <alignment horizontal="right" vertical="center"/>
    </xf>
    <xf numFmtId="4" fontId="60" fillId="30" borderId="424" applyNumberFormat="0" applyProtection="0">
      <alignment horizontal="right" vertical="center"/>
    </xf>
    <xf numFmtId="196" fontId="83" fillId="0" borderId="431" applyFill="0" applyBorder="0" applyAlignment="0"/>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2" borderId="424" applyNumberFormat="0" applyProtection="0">
      <alignment horizontal="right" vertical="center"/>
    </xf>
    <xf numFmtId="4" fontId="104" fillId="30" borderId="424" applyNumberFormat="0" applyProtection="0">
      <alignment horizontal="right" vertical="center"/>
    </xf>
    <xf numFmtId="4" fontId="60" fillId="2" borderId="424" applyNumberFormat="0" applyProtection="0">
      <alignment horizontal="left" vertical="center" indent="1"/>
    </xf>
    <xf numFmtId="4" fontId="104" fillId="30" borderId="424" applyNumberFormat="0" applyProtection="0">
      <alignment horizontal="right" vertical="center"/>
    </xf>
    <xf numFmtId="0" fontId="22" fillId="10" borderId="429" applyNumberFormat="0" applyFont="0" applyAlignment="0" applyProtection="0">
      <alignment vertical="center"/>
    </xf>
    <xf numFmtId="4" fontId="60" fillId="26" borderId="424" applyNumberFormat="0" applyProtection="0">
      <alignment horizontal="right" vertical="center"/>
    </xf>
    <xf numFmtId="0" fontId="114" fillId="56" borderId="426" applyNumberFormat="0" applyAlignment="0" applyProtection="0"/>
    <xf numFmtId="4" fontId="60" fillId="23" borderId="424" applyNumberFormat="0" applyProtection="0">
      <alignment horizontal="right" vertical="center"/>
    </xf>
    <xf numFmtId="4" fontId="60" fillId="21" borderId="424" applyNumberFormat="0" applyProtection="0">
      <alignment horizontal="right" vertical="center"/>
    </xf>
    <xf numFmtId="0" fontId="56" fillId="19" borderId="424" applyNumberFormat="0" applyProtection="0">
      <alignment horizontal="left" vertical="center" indent="1"/>
    </xf>
    <xf numFmtId="0" fontId="120" fillId="56" borderId="424" applyNumberFormat="0" applyAlignment="0" applyProtection="0"/>
    <xf numFmtId="4" fontId="60" fillId="30" borderId="424" applyNumberFormat="0" applyProtection="0">
      <alignment horizontal="right" vertical="center"/>
    </xf>
    <xf numFmtId="4" fontId="60" fillId="35"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14" fillId="56" borderId="426" applyNumberFormat="0" applyAlignment="0" applyProtection="0"/>
    <xf numFmtId="4" fontId="100" fillId="2" borderId="424" applyNumberFormat="0" applyProtection="0">
      <alignment vertical="center"/>
    </xf>
    <xf numFmtId="4" fontId="60" fillId="22" borderId="424" applyNumberFormat="0" applyProtection="0">
      <alignment horizontal="right" vertical="center"/>
    </xf>
    <xf numFmtId="4" fontId="100" fillId="30" borderId="424" applyNumberFormat="0" applyProtection="0">
      <alignment horizontal="right" vertical="center"/>
    </xf>
    <xf numFmtId="4" fontId="60" fillId="28" borderId="424" applyNumberFormat="0" applyProtection="0">
      <alignment horizontal="right" vertical="center"/>
    </xf>
    <xf numFmtId="4" fontId="60" fillId="2" borderId="424" applyNumberFormat="0" applyProtection="0">
      <alignment vertical="center"/>
    </xf>
    <xf numFmtId="0" fontId="56" fillId="19" borderId="424" applyNumberFormat="0" applyProtection="0">
      <alignment horizontal="left" vertical="center" indent="1"/>
    </xf>
    <xf numFmtId="4" fontId="60" fillId="26" borderId="424" applyNumberFormat="0" applyProtection="0">
      <alignment horizontal="right" vertical="center"/>
    </xf>
    <xf numFmtId="0" fontId="118" fillId="54" borderId="426" applyNumberFormat="0" applyAlignment="0" applyProtection="0"/>
    <xf numFmtId="4" fontId="60" fillId="21" borderId="424" applyNumberFormat="0" applyProtection="0">
      <alignment horizontal="right" vertical="center"/>
    </xf>
    <xf numFmtId="0" fontId="56" fillId="32" borderId="424" applyNumberFormat="0" applyProtection="0">
      <alignment horizontal="left" vertical="center" indent="1"/>
    </xf>
    <xf numFmtId="0" fontId="118" fillId="54" borderId="426" applyNumberFormat="0" applyAlignment="0" applyProtection="0"/>
    <xf numFmtId="4" fontId="60" fillId="25" borderId="424" applyNumberFormat="0" applyProtection="0">
      <alignment horizontal="right" vertical="center"/>
    </xf>
    <xf numFmtId="4" fontId="60" fillId="27" borderId="424" applyNumberFormat="0" applyProtection="0">
      <alignment horizontal="right" vertical="center"/>
    </xf>
    <xf numFmtId="0" fontId="114" fillId="56" borderId="426" applyNumberFormat="0" applyAlignment="0" applyProtection="0"/>
    <xf numFmtId="4" fontId="60" fillId="22" borderId="424" applyNumberFormat="0" applyProtection="0">
      <alignment horizontal="right" vertical="center"/>
    </xf>
    <xf numFmtId="4" fontId="100" fillId="2" borderId="424" applyNumberFormat="0" applyProtection="0">
      <alignment vertical="center"/>
    </xf>
    <xf numFmtId="4" fontId="101" fillId="29" borderId="424" applyNumberFormat="0" applyProtection="0">
      <alignment horizontal="left" vertical="center" indent="1"/>
    </xf>
    <xf numFmtId="0" fontId="120" fillId="56" borderId="424" applyNumberFormat="0" applyAlignment="0" applyProtection="0"/>
    <xf numFmtId="4" fontId="100" fillId="2" borderId="424" applyNumberFormat="0" applyProtection="0">
      <alignment vertical="center"/>
    </xf>
    <xf numFmtId="4" fontId="101" fillId="29" borderId="424" applyNumberFormat="0" applyProtection="0">
      <alignment horizontal="left" vertical="center" indent="1"/>
    </xf>
    <xf numFmtId="0" fontId="56" fillId="19" borderId="424" applyNumberFormat="0" applyProtection="0">
      <alignment horizontal="left" vertical="center" indent="1"/>
    </xf>
    <xf numFmtId="4" fontId="60" fillId="28" borderId="424" applyNumberFormat="0" applyProtection="0">
      <alignment horizontal="right" vertical="center"/>
    </xf>
    <xf numFmtId="4" fontId="60" fillId="2" borderId="424" applyNumberFormat="0" applyProtection="0">
      <alignment vertical="center"/>
    </xf>
    <xf numFmtId="4" fontId="60" fillId="35" borderId="424" applyNumberFormat="0" applyProtection="0">
      <alignment vertical="center"/>
    </xf>
    <xf numFmtId="4" fontId="60" fillId="2" borderId="424" applyNumberFormat="0" applyProtection="0">
      <alignment horizontal="left" vertical="center" indent="1"/>
    </xf>
    <xf numFmtId="4" fontId="60" fillId="22" borderId="424" applyNumberFormat="0" applyProtection="0">
      <alignment horizontal="right" vertical="center"/>
    </xf>
    <xf numFmtId="0" fontId="56" fillId="19" borderId="424" applyNumberFormat="0" applyProtection="0">
      <alignment horizontal="left" vertical="center" indent="1"/>
    </xf>
    <xf numFmtId="0" fontId="56" fillId="34" borderId="424" applyNumberFormat="0" applyProtection="0">
      <alignment horizontal="left" vertical="center" indent="1"/>
    </xf>
    <xf numFmtId="4" fontId="60" fillId="23" borderId="424" applyNumberFormat="0" applyProtection="0">
      <alignment horizontal="right" vertical="center"/>
    </xf>
    <xf numFmtId="4" fontId="60" fillId="28" borderId="424" applyNumberFormat="0" applyProtection="0">
      <alignment horizontal="right" vertical="center"/>
    </xf>
    <xf numFmtId="0" fontId="121" fillId="60" borderId="427" applyBorder="0"/>
    <xf numFmtId="0" fontId="56" fillId="19" borderId="424" applyNumberFormat="0" applyProtection="0">
      <alignment horizontal="left" vertical="center" indent="1"/>
    </xf>
    <xf numFmtId="4" fontId="60" fillId="2" borderId="424" applyNumberFormat="0" applyProtection="0">
      <alignment vertical="center"/>
    </xf>
    <xf numFmtId="4" fontId="60" fillId="21" borderId="424" applyNumberFormat="0" applyProtection="0">
      <alignment horizontal="right" vertical="center"/>
    </xf>
    <xf numFmtId="4" fontId="60" fillId="30" borderId="424" applyNumberFormat="0" applyProtection="0">
      <alignment horizontal="left" vertical="center" indent="1"/>
    </xf>
    <xf numFmtId="4" fontId="60" fillId="24" borderId="424" applyNumberFormat="0" applyProtection="0">
      <alignment horizontal="right" vertical="center"/>
    </xf>
    <xf numFmtId="4" fontId="60" fillId="2" borderId="424" applyNumberFormat="0" applyProtection="0">
      <alignment horizontal="left" vertical="center" indent="1"/>
    </xf>
    <xf numFmtId="0" fontId="56" fillId="33" borderId="424" applyNumberFormat="0" applyProtection="0">
      <alignment horizontal="left" vertical="center" indent="1"/>
    </xf>
    <xf numFmtId="0" fontId="118" fillId="54" borderId="426" applyNumberFormat="0" applyAlignment="0" applyProtection="0"/>
    <xf numFmtId="4" fontId="60" fillId="21" borderId="424" applyNumberFormat="0" applyProtection="0">
      <alignment horizontal="right" vertical="center"/>
    </xf>
    <xf numFmtId="4" fontId="60" fillId="2" borderId="424" applyNumberFormat="0" applyProtection="0">
      <alignment horizontal="left" vertical="center" indent="1"/>
    </xf>
    <xf numFmtId="4" fontId="60" fillId="26" borderId="424" applyNumberFormat="0" applyProtection="0">
      <alignment horizontal="right" vertical="center"/>
    </xf>
    <xf numFmtId="0" fontId="120" fillId="56" borderId="424" applyNumberFormat="0" applyAlignment="0" applyProtection="0"/>
    <xf numFmtId="0" fontId="56" fillId="19" borderId="424" applyNumberFormat="0" applyProtection="0">
      <alignment horizontal="left" vertical="center" indent="1"/>
    </xf>
    <xf numFmtId="4" fontId="60" fillId="30" borderId="425" applyNumberFormat="0" applyProtection="0">
      <alignment horizontal="left" vertical="center" indent="1"/>
    </xf>
    <xf numFmtId="4" fontId="60" fillId="24" borderId="424" applyNumberFormat="0" applyProtection="0">
      <alignment horizontal="right" vertical="center"/>
    </xf>
    <xf numFmtId="4" fontId="60" fillId="35" borderId="424" applyNumberFormat="0" applyProtection="0">
      <alignment vertical="center"/>
    </xf>
    <xf numFmtId="0" fontId="90" fillId="0" borderId="432">
      <alignment horizontal="lef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60" fillId="28" borderId="424" applyNumberFormat="0" applyProtection="0">
      <alignment horizontal="right" vertical="center"/>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19" borderId="424" applyNumberFormat="0" applyProtection="0">
      <alignment horizontal="left" vertical="center" indent="1"/>
    </xf>
    <xf numFmtId="4" fontId="60" fillId="30" borderId="425" applyNumberFormat="0" applyProtection="0">
      <alignment horizontal="left" vertical="center" indent="1"/>
    </xf>
    <xf numFmtId="4" fontId="60" fillId="35" borderId="424" applyNumberFormat="0" applyProtection="0">
      <alignment vertical="center"/>
    </xf>
    <xf numFmtId="0" fontId="118" fillId="54" borderId="426" applyNumberFormat="0" applyAlignment="0" applyProtection="0"/>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60" fillId="23" borderId="424" applyNumberFormat="0" applyProtection="0">
      <alignment horizontal="right" vertical="center"/>
    </xf>
    <xf numFmtId="4" fontId="60" fillId="35" borderId="424" applyNumberFormat="0" applyProtection="0">
      <alignment horizontal="left" vertical="center" indent="1"/>
    </xf>
    <xf numFmtId="0" fontId="99" fillId="1" borderId="432" applyNumberFormat="0" applyFont="0" applyAlignment="0">
      <alignment horizontal="center"/>
    </xf>
    <xf numFmtId="3" fontId="67" fillId="0" borderId="431"/>
    <xf numFmtId="3" fontId="67" fillId="0" borderId="431"/>
    <xf numFmtId="3" fontId="67" fillId="0" borderId="431"/>
    <xf numFmtId="3" fontId="67" fillId="0" borderId="431"/>
    <xf numFmtId="3" fontId="67" fillId="0" borderId="431"/>
    <xf numFmtId="3" fontId="67" fillId="0" borderId="431"/>
    <xf numFmtId="196" fontId="83" fillId="0" borderId="431" applyFill="0" applyBorder="0" applyAlignment="0"/>
    <xf numFmtId="196" fontId="83" fillId="0" borderId="431" applyFill="0" applyBorder="0" applyAlignment="0"/>
    <xf numFmtId="10" fontId="88" fillId="17" borderId="431" applyNumberFormat="0" applyBorder="0" applyAlignment="0" applyProtection="0"/>
    <xf numFmtId="10" fontId="88" fillId="17" borderId="431" applyNumberFormat="0" applyBorder="0" applyAlignment="0" applyProtection="0"/>
    <xf numFmtId="0" fontId="88" fillId="61" borderId="431"/>
    <xf numFmtId="0" fontId="88" fillId="61" borderId="431"/>
    <xf numFmtId="4" fontId="60" fillId="2" borderId="424" applyNumberForma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 borderId="424" applyNumberFormat="0" applyProtection="0">
      <alignment vertical="center"/>
    </xf>
    <xf numFmtId="4" fontId="60" fillId="35" borderId="424" applyNumberForma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4" fontId="60" fillId="27" borderId="424" applyNumberFormat="0" applyProtection="0">
      <alignment horizontal="right" vertical="center"/>
    </xf>
    <xf numFmtId="4" fontId="60" fillId="35" borderId="424" applyNumberFormat="0" applyProtection="0">
      <alignment horizontal="left" vertical="center" indent="1"/>
    </xf>
    <xf numFmtId="0" fontId="56" fillId="34" borderId="424" applyNumberFormat="0" applyProtection="0">
      <alignment horizontal="left" vertical="center" indent="1"/>
    </xf>
    <xf numFmtId="0" fontId="121" fillId="60" borderId="427" applyBorder="0"/>
    <xf numFmtId="3" fontId="67" fillId="0" borderId="431"/>
    <xf numFmtId="4" fontId="60" fillId="32" borderId="424" applyNumberFormat="0" applyProtection="0">
      <alignment horizontal="left" vertical="center" indent="1"/>
    </xf>
    <xf numFmtId="0" fontId="120" fillId="56" borderId="424" applyNumberFormat="0" applyAlignment="0" applyProtection="0"/>
    <xf numFmtId="0" fontId="118" fillId="54" borderId="426" applyNumberFormat="0" applyAlignment="0" applyProtection="0"/>
    <xf numFmtId="0" fontId="151" fillId="111" borderId="428" applyNumberFormat="0" applyAlignment="0" applyProtection="0">
      <alignment vertical="center"/>
    </xf>
    <xf numFmtId="4" fontId="100" fillId="30" borderId="424" applyNumberFormat="0" applyProtection="0">
      <alignment horizontal="right" vertical="center"/>
    </xf>
    <xf numFmtId="0" fontId="56" fillId="33" borderId="424" applyNumberFormat="0" applyProtection="0">
      <alignment horizontal="left" vertical="center" indent="1"/>
    </xf>
    <xf numFmtId="4" fontId="100" fillId="35" borderId="424" applyNumberFormat="0" applyProtection="0">
      <alignment vertical="center"/>
    </xf>
    <xf numFmtId="4" fontId="60" fillId="21" borderId="424" applyNumberFormat="0" applyProtection="0">
      <alignment horizontal="right" vertical="center"/>
    </xf>
    <xf numFmtId="0" fontId="56" fillId="32" borderId="424" applyNumberFormat="0" applyProtection="0">
      <alignment horizontal="left" vertical="center" indent="1"/>
    </xf>
    <xf numFmtId="4" fontId="60" fillId="30" borderId="424" applyNumberFormat="0" applyProtection="0">
      <alignment horizontal="right" vertical="center"/>
    </xf>
    <xf numFmtId="3" fontId="67" fillId="0" borderId="431"/>
    <xf numFmtId="4" fontId="101" fillId="29" borderId="424" applyNumberFormat="0" applyProtection="0">
      <alignment horizontal="left" vertical="center" indent="1"/>
    </xf>
    <xf numFmtId="0" fontId="120" fillId="56" borderId="424" applyNumberFormat="0" applyAlignment="0" applyProtection="0"/>
    <xf numFmtId="4" fontId="60" fillId="27" borderId="424" applyNumberFormat="0" applyProtection="0">
      <alignment horizontal="right" vertical="center"/>
    </xf>
    <xf numFmtId="4" fontId="60" fillId="32" borderId="424" applyNumberFormat="0" applyProtection="0">
      <alignment horizontal="left" vertical="center" indent="1"/>
    </xf>
    <xf numFmtId="0" fontId="56" fillId="19" borderId="424" applyNumberFormat="0" applyProtection="0">
      <alignment horizontal="left" vertical="center" indent="1"/>
    </xf>
    <xf numFmtId="4" fontId="101" fillId="29" borderId="424" applyNumberFormat="0" applyProtection="0">
      <alignment horizontal="left" vertical="center" indent="1"/>
    </xf>
    <xf numFmtId="0" fontId="56" fillId="19" borderId="424" applyNumberFormat="0" applyProtection="0">
      <alignment horizontal="left" vertical="center" indent="1"/>
    </xf>
    <xf numFmtId="4" fontId="101" fillId="29"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157" fillId="98" borderId="428" applyNumberFormat="0" applyAlignment="0" applyProtection="0">
      <alignment vertical="center"/>
    </xf>
    <xf numFmtId="10" fontId="88" fillId="17" borderId="431" applyNumberFormat="0" applyBorder="0" applyAlignment="0" applyProtection="0"/>
    <xf numFmtId="4" fontId="60" fillId="21" borderId="424" applyNumberFormat="0" applyProtection="0">
      <alignment horizontal="right" vertical="center"/>
    </xf>
    <xf numFmtId="4" fontId="60" fillId="2" borderId="424" applyNumberFormat="0" applyProtection="0">
      <alignment horizontal="left" vertical="center" indent="1"/>
    </xf>
    <xf numFmtId="0" fontId="120" fillId="56" borderId="424" applyNumberFormat="0" applyAlignment="0" applyProtection="0"/>
    <xf numFmtId="0" fontId="56" fillId="19" borderId="424" applyNumberFormat="0" applyProtection="0">
      <alignment horizontal="left" vertical="center" indent="1"/>
    </xf>
    <xf numFmtId="0" fontId="118" fillId="54" borderId="426" applyNumberFormat="0" applyAlignment="0" applyProtection="0"/>
    <xf numFmtId="4" fontId="60" fillId="20" borderId="424" applyNumberFormat="0" applyProtection="0">
      <alignment horizontal="right" vertical="center"/>
    </xf>
    <xf numFmtId="4" fontId="60" fillId="22" borderId="424" applyNumberFormat="0" applyProtection="0">
      <alignment horizontal="right" vertical="center"/>
    </xf>
    <xf numFmtId="0" fontId="56" fillId="34" borderId="424" applyNumberFormat="0" applyProtection="0">
      <alignment horizontal="left" vertical="center" indent="1"/>
    </xf>
    <xf numFmtId="0" fontId="114" fillId="56" borderId="426" applyNumberFormat="0" applyAlignment="0" applyProtection="0"/>
    <xf numFmtId="4" fontId="60" fillId="22" borderId="424" applyNumberFormat="0" applyProtection="0">
      <alignment horizontal="right" vertical="center"/>
    </xf>
    <xf numFmtId="0" fontId="56" fillId="33" borderId="424" applyNumberFormat="0" applyProtection="0">
      <alignment horizontal="left" vertical="center" indent="1"/>
    </xf>
    <xf numFmtId="4" fontId="60" fillId="2" borderId="424" applyNumberFormat="0" applyProtection="0">
      <alignment vertical="center"/>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0" fontId="118" fillId="54" borderId="426" applyNumberFormat="0" applyAlignment="0" applyProtection="0"/>
    <xf numFmtId="4" fontId="60" fillId="32" borderId="424" applyNumberFormat="0" applyProtection="0">
      <alignment horizontal="left" vertical="center" indent="1"/>
    </xf>
    <xf numFmtId="0" fontId="56" fillId="19" borderId="424" applyNumberFormat="0" applyProtection="0">
      <alignment horizontal="left" vertical="center" indent="1"/>
    </xf>
    <xf numFmtId="4" fontId="60" fillId="27" borderId="424" applyNumberFormat="0" applyProtection="0">
      <alignment horizontal="right" vertical="center"/>
    </xf>
    <xf numFmtId="4" fontId="60" fillId="2" borderId="424" applyNumberFormat="0" applyProtection="0">
      <alignment horizontal="left" vertical="center" indent="1"/>
    </xf>
    <xf numFmtId="4" fontId="100" fillId="2" borderId="424" applyNumberFormat="0" applyProtection="0">
      <alignment vertical="center"/>
    </xf>
    <xf numFmtId="4" fontId="60" fillId="35" borderId="424" applyNumberFormat="0" applyProtection="0">
      <alignment horizontal="left" vertical="center" indent="1"/>
    </xf>
    <xf numFmtId="4" fontId="100" fillId="30" borderId="424" applyNumberFormat="0" applyProtection="0">
      <alignment horizontal="right" vertical="center"/>
    </xf>
    <xf numFmtId="4" fontId="100" fillId="35" borderId="424" applyNumberForma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33" borderId="424" applyNumberFormat="0" applyProtection="0">
      <alignment horizontal="left" vertical="center" indent="1"/>
    </xf>
    <xf numFmtId="4" fontId="100" fillId="2" borderId="424" applyNumberForma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60" fillId="24" borderId="424" applyNumberFormat="0" applyProtection="0">
      <alignment horizontal="right" vertical="center"/>
    </xf>
    <xf numFmtId="0" fontId="56" fillId="34" borderId="424" applyNumberFormat="0" applyProtection="0">
      <alignment horizontal="left" vertical="center" indent="1"/>
    </xf>
    <xf numFmtId="4" fontId="60" fillId="35" borderId="424" applyNumberFormat="0" applyProtection="0">
      <alignment vertical="center"/>
    </xf>
    <xf numFmtId="4" fontId="60" fillId="30" borderId="425" applyNumberFormat="0" applyProtection="0">
      <alignment horizontal="left" vertical="center" indent="1"/>
    </xf>
    <xf numFmtId="4" fontId="60" fillId="23" borderId="424" applyNumberFormat="0" applyProtection="0">
      <alignment horizontal="right" vertical="center"/>
    </xf>
    <xf numFmtId="4" fontId="60" fillId="35" borderId="424" applyNumberFormat="0" applyProtection="0">
      <alignment horizontal="left" vertical="center" indent="1"/>
    </xf>
    <xf numFmtId="4" fontId="60" fillId="30" borderId="424" applyNumberFormat="0" applyProtection="0">
      <alignment horizontal="right" vertical="center"/>
    </xf>
    <xf numFmtId="0" fontId="56" fillId="33" borderId="424" applyNumberFormat="0" applyProtection="0">
      <alignment horizontal="left" vertical="center" indent="1"/>
    </xf>
    <xf numFmtId="4" fontId="60" fillId="35" borderId="424" applyNumberFormat="0" applyProtection="0">
      <alignment horizontal="left" vertical="center" indent="1"/>
    </xf>
    <xf numFmtId="4" fontId="60" fillId="20" borderId="424" applyNumberFormat="0" applyProtection="0">
      <alignment horizontal="right" vertical="center"/>
    </xf>
    <xf numFmtId="0" fontId="56" fillId="34" borderId="424" applyNumberFormat="0" applyProtection="0">
      <alignment horizontal="left" vertical="center" indent="1"/>
    </xf>
    <xf numFmtId="0" fontId="120" fillId="56" borderId="424" applyNumberFormat="0" applyAlignment="0" applyProtection="0"/>
    <xf numFmtId="4" fontId="60" fillId="27" borderId="424" applyNumberFormat="0" applyProtection="0">
      <alignment horizontal="right" vertical="center"/>
    </xf>
    <xf numFmtId="4" fontId="104" fillId="30" borderId="424" applyNumberFormat="0" applyProtection="0">
      <alignment horizontal="right" vertical="center"/>
    </xf>
    <xf numFmtId="0" fontId="118" fillId="54" borderId="426" applyNumberFormat="0" applyAlignment="0" applyProtection="0"/>
    <xf numFmtId="0" fontId="56" fillId="33" borderId="424" applyNumberFormat="0" applyProtection="0">
      <alignment horizontal="left" vertical="center" indent="1"/>
    </xf>
    <xf numFmtId="4" fontId="100" fillId="30" borderId="424" applyNumberFormat="0" applyProtection="0">
      <alignment horizontal="right" vertical="center"/>
    </xf>
    <xf numFmtId="4" fontId="60" fillId="20" borderId="424" applyNumberFormat="0" applyProtection="0">
      <alignment horizontal="right" vertical="center"/>
    </xf>
    <xf numFmtId="0" fontId="56" fillId="34" borderId="424" applyNumberFormat="0" applyProtection="0">
      <alignment horizontal="left" vertical="center" indent="1"/>
    </xf>
    <xf numFmtId="4" fontId="60" fillId="23" borderId="424" applyNumberFormat="0" applyProtection="0">
      <alignment horizontal="right" vertical="center"/>
    </xf>
    <xf numFmtId="0" fontId="121" fillId="60" borderId="427" applyBorder="0"/>
    <xf numFmtId="4" fontId="60" fillId="26" borderId="424" applyNumberFormat="0" applyProtection="0">
      <alignment horizontal="right" vertical="center"/>
    </xf>
    <xf numFmtId="4" fontId="60" fillId="35" borderId="424" applyNumberFormat="0" applyProtection="0">
      <alignment horizontal="left" vertical="center" indent="1"/>
    </xf>
    <xf numFmtId="4" fontId="101" fillId="29" borderId="424" applyNumberFormat="0" applyProtection="0">
      <alignment horizontal="left" vertical="center" indent="1"/>
    </xf>
    <xf numFmtId="4" fontId="60" fillId="35" borderId="424" applyNumberFormat="0" applyProtection="0">
      <alignment vertical="center"/>
    </xf>
    <xf numFmtId="0" fontId="56" fillId="32" borderId="424" applyNumberFormat="0" applyProtection="0">
      <alignment horizontal="left" vertical="center" indent="1"/>
    </xf>
    <xf numFmtId="0" fontId="90" fillId="0" borderId="432">
      <alignment horizontal="left" vertical="center"/>
    </xf>
    <xf numFmtId="4" fontId="6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0" fontId="99" fillId="1" borderId="432" applyNumberFormat="0" applyFont="0" applyAlignment="0">
      <alignment horizontal="center"/>
    </xf>
    <xf numFmtId="4" fontId="60" fillId="35" borderId="424" applyNumberFormat="0" applyProtection="0">
      <alignment horizontal="left" vertical="center" indent="1"/>
    </xf>
    <xf numFmtId="4" fontId="60" fillId="23" borderId="424" applyNumberFormat="0" applyProtection="0">
      <alignment horizontal="right" vertical="center"/>
    </xf>
    <xf numFmtId="0" fontId="88" fillId="53" borderId="426" applyNumberFormat="0" applyFont="0" applyAlignment="0" applyProtection="0"/>
    <xf numFmtId="0" fontId="56" fillId="33" borderId="424" applyNumberFormat="0" applyProtection="0">
      <alignment horizontal="left" vertical="center" indent="1"/>
    </xf>
    <xf numFmtId="0" fontId="56" fillId="32" borderId="424" applyNumberFormat="0" applyProtection="0">
      <alignment horizontal="left" vertical="center" indent="1"/>
    </xf>
    <xf numFmtId="0" fontId="120" fillId="56" borderId="424" applyNumberFormat="0" applyAlignment="0" applyProtection="0"/>
    <xf numFmtId="0" fontId="120" fillId="56" borderId="424" applyNumberFormat="0" applyAlignment="0" applyProtection="0"/>
    <xf numFmtId="3" fontId="67" fillId="0" borderId="431"/>
    <xf numFmtId="0" fontId="56" fillId="19" borderId="424" applyNumberFormat="0" applyProtection="0">
      <alignment horizontal="left" vertical="center" indent="1"/>
    </xf>
    <xf numFmtId="0" fontId="88" fillId="53" borderId="426" applyNumberFormat="0" applyFont="0" applyAlignment="0" applyProtection="0"/>
    <xf numFmtId="4" fontId="60" fillId="28"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horizontal="left" vertical="center" indent="1"/>
    </xf>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60" fillId="2" borderId="424" applyNumberFormat="0" applyProtection="0">
      <alignment horizontal="left" vertical="center" indent="1"/>
    </xf>
    <xf numFmtId="0" fontId="157" fillId="98" borderId="428" applyNumberFormat="0" applyAlignment="0" applyProtection="0">
      <alignment vertical="center"/>
    </xf>
    <xf numFmtId="3" fontId="67" fillId="0" borderId="431"/>
    <xf numFmtId="4" fontId="60" fillId="24" borderId="424" applyNumberFormat="0" applyProtection="0">
      <alignment horizontal="right" vertical="center"/>
    </xf>
    <xf numFmtId="4" fontId="101" fillId="2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horizontal="left" vertical="center" indent="1"/>
    </xf>
    <xf numFmtId="4" fontId="100" fillId="35" borderId="424" applyNumberFormat="0" applyProtection="0">
      <alignment vertical="center"/>
    </xf>
    <xf numFmtId="0" fontId="120" fillId="56" borderId="424" applyNumberFormat="0" applyAlignment="0" applyProtection="0"/>
    <xf numFmtId="0" fontId="56" fillId="19" borderId="424" applyNumberFormat="0" applyProtection="0">
      <alignment horizontal="left" vertical="center" indent="1"/>
    </xf>
    <xf numFmtId="4" fontId="60" fillId="35" borderId="424" applyNumberFormat="0" applyProtection="0">
      <alignment horizontal="left" vertical="center" indent="1"/>
    </xf>
    <xf numFmtId="4" fontId="60" fillId="20" borderId="424" applyNumberFormat="0" applyProtection="0">
      <alignment horizontal="right" vertical="center"/>
    </xf>
    <xf numFmtId="0" fontId="56" fillId="33" borderId="424" applyNumberFormat="0" applyProtection="0">
      <alignment horizontal="left" vertical="center" indent="1"/>
    </xf>
    <xf numFmtId="4" fontId="60" fillId="28" borderId="424" applyNumberFormat="0" applyProtection="0">
      <alignment horizontal="right" vertical="center"/>
    </xf>
    <xf numFmtId="0" fontId="56" fillId="19" borderId="424" applyNumberFormat="0" applyProtection="0">
      <alignment horizontal="left" vertical="center" indent="1"/>
    </xf>
    <xf numFmtId="4" fontId="60" fillId="27" borderId="424" applyNumberFormat="0" applyProtection="0">
      <alignment horizontal="right" vertical="center"/>
    </xf>
    <xf numFmtId="0" fontId="118" fillId="54" borderId="426" applyNumberFormat="0" applyAlignment="0" applyProtection="0"/>
    <xf numFmtId="0" fontId="56" fillId="34" borderId="424" applyNumberFormat="0" applyProtection="0">
      <alignment horizontal="left" vertical="center" indent="1"/>
    </xf>
    <xf numFmtId="4" fontId="60" fillId="35" borderId="424" applyNumberFormat="0" applyProtection="0">
      <alignment vertical="center"/>
    </xf>
    <xf numFmtId="0" fontId="99" fillId="1" borderId="432" applyNumberFormat="0" applyFont="0" applyAlignment="0">
      <alignment horizontal="center"/>
    </xf>
    <xf numFmtId="4" fontId="60" fillId="26" borderId="424" applyNumberFormat="0" applyProtection="0">
      <alignment horizontal="right" vertical="center"/>
    </xf>
    <xf numFmtId="0" fontId="118" fillId="54" borderId="426" applyNumberFormat="0" applyAlignment="0" applyProtection="0"/>
    <xf numFmtId="4" fontId="104" fillId="30" borderId="424" applyNumberFormat="0" applyProtection="0">
      <alignment horizontal="right" vertical="center"/>
    </xf>
    <xf numFmtId="0" fontId="56" fillId="33" borderId="424" applyNumberFormat="0" applyProtection="0">
      <alignment horizontal="left" vertical="center" indent="1"/>
    </xf>
    <xf numFmtId="4" fontId="60" fillId="28" borderId="424" applyNumberFormat="0" applyProtection="0">
      <alignment horizontal="right" vertical="center"/>
    </xf>
    <xf numFmtId="4" fontId="60" fillId="20" borderId="424" applyNumberFormat="0" applyProtection="0">
      <alignment horizontal="right" vertical="center"/>
    </xf>
    <xf numFmtId="0" fontId="114" fillId="56" borderId="426" applyNumberFormat="0" applyAlignment="0" applyProtection="0"/>
    <xf numFmtId="0" fontId="146" fillId="0" borderId="430" applyNumberFormat="0" applyFill="0" applyAlignment="0" applyProtection="0">
      <alignment vertical="center"/>
    </xf>
    <xf numFmtId="3" fontId="67" fillId="0" borderId="431"/>
    <xf numFmtId="0" fontId="56" fillId="32" borderId="424" applyNumberFormat="0" applyProtection="0">
      <alignment horizontal="left" vertical="center" indent="1"/>
    </xf>
    <xf numFmtId="0" fontId="121" fillId="60" borderId="427" applyBorder="0"/>
    <xf numFmtId="4" fontId="60" fillId="25" borderId="424" applyNumberFormat="0" applyProtection="0">
      <alignment horizontal="right" vertical="center"/>
    </xf>
    <xf numFmtId="4" fontId="101" fillId="29" borderId="424" applyNumberFormat="0" applyProtection="0">
      <alignment horizontal="left" vertical="center" indent="1"/>
    </xf>
    <xf numFmtId="4" fontId="60" fillId="27" borderId="424" applyNumberFormat="0" applyProtection="0">
      <alignment horizontal="right" vertical="center"/>
    </xf>
    <xf numFmtId="0" fontId="56" fillId="33" borderId="424" applyNumberFormat="0" applyProtection="0">
      <alignment horizontal="left" vertical="center" indent="1"/>
    </xf>
    <xf numFmtId="4" fontId="60" fillId="22" borderId="424" applyNumberFormat="0" applyProtection="0">
      <alignment horizontal="right" vertical="center"/>
    </xf>
    <xf numFmtId="4" fontId="60" fillId="2" borderId="424" applyNumberFormat="0" applyProtection="0">
      <alignment horizontal="left" vertical="center" indent="1"/>
    </xf>
    <xf numFmtId="4" fontId="60" fillId="2" borderId="424" applyNumberFormat="0" applyProtection="0">
      <alignment vertical="center"/>
    </xf>
    <xf numFmtId="4" fontId="60" fillId="25" borderId="424" applyNumberFormat="0" applyProtection="0">
      <alignment horizontal="right" vertical="center"/>
    </xf>
    <xf numFmtId="0" fontId="56" fillId="19" borderId="424" applyNumberFormat="0" applyProtection="0">
      <alignment horizontal="left" vertical="center" indent="1"/>
    </xf>
    <xf numFmtId="4" fontId="60" fillId="26" borderId="424" applyNumberFormat="0" applyProtection="0">
      <alignment horizontal="right" vertical="center"/>
    </xf>
    <xf numFmtId="4" fontId="60" fillId="20" borderId="424" applyNumberFormat="0" applyProtection="0">
      <alignment horizontal="right" vertical="center"/>
    </xf>
    <xf numFmtId="0" fontId="56" fillId="32" borderId="424" applyNumberFormat="0" applyProtection="0">
      <alignment horizontal="left" vertical="center" indent="1"/>
    </xf>
    <xf numFmtId="0" fontId="114" fillId="56" borderId="426" applyNumberFormat="0" applyAlignment="0" applyProtection="0"/>
    <xf numFmtId="0" fontId="22" fillId="10" borderId="429" applyNumberFormat="0" applyFont="0" applyAlignment="0" applyProtection="0">
      <alignment vertical="center"/>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33" borderId="424" applyNumberFormat="0" applyProtection="0">
      <alignment horizontal="left" vertical="center" indent="1"/>
    </xf>
    <xf numFmtId="0" fontId="56" fillId="32" borderId="424" applyNumberFormat="0" applyProtection="0">
      <alignment horizontal="left" vertical="center" indent="1"/>
    </xf>
    <xf numFmtId="0" fontId="56" fillId="19" borderId="424" applyNumberFormat="0" applyProtection="0">
      <alignment horizontal="left" vertical="center" indent="1"/>
    </xf>
    <xf numFmtId="4" fontId="60" fillId="22" borderId="424" applyNumberFormat="0" applyProtection="0">
      <alignment horizontal="right" vertical="center"/>
    </xf>
    <xf numFmtId="4" fontId="60" fillId="24" borderId="424" applyNumberFormat="0" applyProtection="0">
      <alignment horizontal="right" vertical="center"/>
    </xf>
    <xf numFmtId="4" fontId="60" fillId="21" borderId="424" applyNumberFormat="0" applyProtection="0">
      <alignment horizontal="right" vertical="center"/>
    </xf>
    <xf numFmtId="4" fontId="60" fillId="2" borderId="424" applyNumberFormat="0" applyProtection="0">
      <alignment horizontal="left" vertical="center" indent="1"/>
    </xf>
    <xf numFmtId="4" fontId="60" fillId="2" borderId="424" applyNumberFormat="0" applyProtection="0">
      <alignment vertical="center"/>
    </xf>
    <xf numFmtId="0" fontId="118" fillId="54" borderId="426" applyNumberFormat="0" applyAlignment="0" applyProtection="0"/>
    <xf numFmtId="0" fontId="56" fillId="32" borderId="424" applyNumberFormat="0" applyProtection="0">
      <alignment horizontal="left" vertical="center" indent="1"/>
    </xf>
    <xf numFmtId="0" fontId="56" fillId="32" borderId="424" applyNumberFormat="0" applyProtection="0">
      <alignment horizontal="left" vertical="center" indent="1"/>
    </xf>
    <xf numFmtId="4" fontId="60" fillId="35" borderId="424" applyNumberFormat="0" applyProtection="0">
      <alignment horizontal="left" vertical="center" indent="1"/>
    </xf>
    <xf numFmtId="4" fontId="60" fillId="28" borderId="424" applyNumberFormat="0" applyProtection="0">
      <alignment horizontal="right" vertical="center"/>
    </xf>
    <xf numFmtId="4" fontId="60" fillId="25" borderId="424" applyNumberFormat="0" applyProtection="0">
      <alignment horizontal="right" vertical="center"/>
    </xf>
    <xf numFmtId="0" fontId="56" fillId="19" borderId="424" applyNumberFormat="0" applyProtection="0">
      <alignment horizontal="left" vertical="center" indent="1"/>
    </xf>
    <xf numFmtId="0" fontId="118" fillId="54"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56" fillId="19" borderId="424" applyNumberFormat="0" applyProtection="0">
      <alignment horizontal="left" vertical="center" indent="1"/>
    </xf>
    <xf numFmtId="0" fontId="90" fillId="0" borderId="432">
      <alignment horizontal="left" vertical="center"/>
    </xf>
    <xf numFmtId="0" fontId="90" fillId="0" borderId="432">
      <alignment horizontal="left" vertical="center"/>
    </xf>
    <xf numFmtId="4" fontId="60" fillId="20" borderId="424" applyNumberFormat="0" applyProtection="0">
      <alignment horizontal="right" vertical="center"/>
    </xf>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100" fillId="35" borderId="424" applyNumberFormat="0" applyProtection="0">
      <alignment vertical="center"/>
    </xf>
    <xf numFmtId="0" fontId="56" fillId="34" borderId="424" applyNumberFormat="0" applyProtection="0">
      <alignment horizontal="left" vertical="center" indent="1"/>
    </xf>
    <xf numFmtId="0" fontId="121" fillId="60" borderId="427" applyBorder="0"/>
    <xf numFmtId="0" fontId="56" fillId="19" borderId="424" applyNumberFormat="0" applyProtection="0">
      <alignment horizontal="left" vertical="center" indent="1"/>
    </xf>
    <xf numFmtId="4" fontId="60" fillId="2" borderId="424" applyNumberFormat="0" applyProtection="0">
      <alignment vertical="center"/>
    </xf>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56" fillId="19" borderId="424" applyNumberFormat="0" applyProtection="0">
      <alignment horizontal="left" vertical="center" indent="1"/>
    </xf>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0" fontId="56" fillId="1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22" fillId="10" borderId="429" applyNumberFormat="0" applyFont="0" applyAlignment="0" applyProtection="0">
      <alignment vertical="center"/>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99" fillId="1" borderId="432" applyNumberFormat="0" applyFont="0" applyAlignment="0">
      <alignment horizontal="center"/>
    </xf>
    <xf numFmtId="0" fontId="99" fillId="1" borderId="432" applyNumberFormat="0" applyFont="0" applyAlignment="0">
      <alignment horizontal="center"/>
    </xf>
    <xf numFmtId="4" fontId="60" fillId="2" borderId="424" applyNumberFormat="0" applyProtection="0">
      <alignment vertical="center"/>
    </xf>
    <xf numFmtId="4" fontId="104" fillId="30" borderId="424" applyNumberFormat="0" applyProtection="0">
      <alignment horizontal="right" vertical="center"/>
    </xf>
    <xf numFmtId="0" fontId="90" fillId="0" borderId="432">
      <alignment horizontal="left" vertical="center"/>
    </xf>
    <xf numFmtId="0" fontId="56" fillId="32"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104" fillId="30" borderId="424" applyNumberFormat="0" applyProtection="0">
      <alignment horizontal="right" vertical="center"/>
    </xf>
    <xf numFmtId="4" fontId="60" fillId="25" borderId="424" applyNumberFormat="0" applyProtection="0">
      <alignment horizontal="right" vertical="center"/>
    </xf>
    <xf numFmtId="4" fontId="60" fillId="30" borderId="425" applyNumberFormat="0" applyProtection="0">
      <alignment horizontal="left" vertical="center" indent="1"/>
    </xf>
    <xf numFmtId="4" fontId="60" fillId="35" borderId="424" applyNumberFormat="0" applyProtection="0">
      <alignment horizontal="left" vertical="center" indent="1"/>
    </xf>
    <xf numFmtId="0" fontId="56" fillId="33" borderId="424" applyNumberFormat="0" applyProtection="0">
      <alignment horizontal="left" vertical="center" indent="1"/>
    </xf>
    <xf numFmtId="4" fontId="60" fillId="2" borderId="424" applyNumberFormat="0" applyProtection="0">
      <alignment horizontal="left" vertical="center" indent="1"/>
    </xf>
    <xf numFmtId="4" fontId="100" fillId="2" borderId="424" applyNumberFormat="0" applyProtection="0">
      <alignment vertical="center"/>
    </xf>
    <xf numFmtId="0" fontId="56" fillId="19" borderId="424" applyNumberFormat="0" applyProtection="0">
      <alignment horizontal="left" vertical="center" indent="1"/>
    </xf>
    <xf numFmtId="4" fontId="60" fillId="35" borderId="424" applyNumberFormat="0" applyProtection="0">
      <alignment horizontal="left" vertical="center" indent="1"/>
    </xf>
    <xf numFmtId="4" fontId="60" fillId="25" borderId="424" applyNumberFormat="0" applyProtection="0">
      <alignment horizontal="right" vertical="center"/>
    </xf>
    <xf numFmtId="4" fontId="60" fillId="2" borderId="424" applyNumberFormat="0" applyProtection="0">
      <alignment vertical="center"/>
    </xf>
    <xf numFmtId="3" fontId="67" fillId="0" borderId="431"/>
    <xf numFmtId="0" fontId="88" fillId="53" borderId="426" applyNumberFormat="0" applyFont="0" applyAlignment="0" applyProtection="0"/>
    <xf numFmtId="0" fontId="90" fillId="0" borderId="432">
      <alignment horizontal="left" vertical="center"/>
    </xf>
    <xf numFmtId="0" fontId="88" fillId="61" borderId="431"/>
    <xf numFmtId="0" fontId="118" fillId="54" borderId="426" applyNumberFormat="0" applyAlignment="0" applyProtection="0"/>
    <xf numFmtId="0" fontId="88" fillId="53" borderId="426" applyNumberFormat="0" applyFont="0" applyAlignment="0" applyProtection="0"/>
    <xf numFmtId="0" fontId="56" fillId="19" borderId="424" applyNumberFormat="0" applyProtection="0">
      <alignment horizontal="left" vertical="center" indent="1"/>
    </xf>
    <xf numFmtId="0" fontId="56" fillId="33" borderId="424" applyNumberFormat="0" applyProtection="0">
      <alignment horizontal="left" vertical="center" indent="1"/>
    </xf>
    <xf numFmtId="0" fontId="121" fillId="60" borderId="427" applyBorder="0"/>
    <xf numFmtId="0" fontId="120" fillId="56" borderId="424" applyNumberFormat="0" applyAlignment="0" applyProtection="0"/>
    <xf numFmtId="4" fontId="60" fillId="25" borderId="424" applyNumberFormat="0" applyProtection="0">
      <alignment horizontal="right" vertical="center"/>
    </xf>
    <xf numFmtId="0" fontId="56" fillId="33" borderId="424" applyNumberFormat="0" applyProtection="0">
      <alignment horizontal="left" vertical="center" indent="1"/>
    </xf>
    <xf numFmtId="4" fontId="104" fillId="30" borderId="424" applyNumberFormat="0" applyProtection="0">
      <alignment horizontal="right" vertical="center"/>
    </xf>
    <xf numFmtId="4" fontId="60" fillId="20" borderId="424" applyNumberFormat="0" applyProtection="0">
      <alignment horizontal="right" vertical="center"/>
    </xf>
    <xf numFmtId="4" fontId="60" fillId="30" borderId="425" applyNumberFormat="0" applyProtection="0">
      <alignment horizontal="left" vertical="center" indent="1"/>
    </xf>
    <xf numFmtId="4" fontId="60" fillId="26" borderId="424" applyNumberFormat="0" applyProtection="0">
      <alignment horizontal="right" vertical="center"/>
    </xf>
    <xf numFmtId="4" fontId="60" fillId="28" borderId="424" applyNumberFormat="0" applyProtection="0">
      <alignment horizontal="right" vertical="center"/>
    </xf>
    <xf numFmtId="0" fontId="88" fillId="61" borderId="431"/>
    <xf numFmtId="4" fontId="60" fillId="2" borderId="424" applyNumberFormat="0" applyProtection="0">
      <alignment horizontal="left" vertical="center" indent="1"/>
    </xf>
    <xf numFmtId="0" fontId="56" fillId="32" borderId="424" applyNumberFormat="0" applyProtection="0">
      <alignment horizontal="left" vertical="center" indent="1"/>
    </xf>
    <xf numFmtId="4" fontId="100" fillId="35" borderId="424" applyNumberFormat="0" applyProtection="0">
      <alignment vertical="center"/>
    </xf>
    <xf numFmtId="4" fontId="60" fillId="22" borderId="424" applyNumberFormat="0" applyProtection="0">
      <alignment horizontal="right" vertical="center"/>
    </xf>
    <xf numFmtId="4" fontId="60" fillId="2" borderId="424" applyNumberFormat="0" applyProtection="0">
      <alignment horizontal="left" vertical="center" indent="1"/>
    </xf>
    <xf numFmtId="4" fontId="101" fillId="29" borderId="424" applyNumberFormat="0" applyProtection="0">
      <alignment horizontal="left" vertical="center" indent="1"/>
    </xf>
    <xf numFmtId="4" fontId="60" fillId="20" borderId="424" applyNumberFormat="0" applyProtection="0">
      <alignment horizontal="right" vertical="center"/>
    </xf>
    <xf numFmtId="4" fontId="60" fillId="24" borderId="424" applyNumberFormat="0" applyProtection="0">
      <alignment horizontal="right" vertical="center"/>
    </xf>
    <xf numFmtId="196" fontId="83" fillId="0" borderId="431" applyFill="0" applyBorder="0" applyAlignment="0"/>
    <xf numFmtId="4" fontId="104" fillId="30" borderId="424" applyNumberFormat="0" applyProtection="0">
      <alignment horizontal="right" vertical="center"/>
    </xf>
    <xf numFmtId="4" fontId="101" fillId="29" borderId="424" applyNumberFormat="0" applyProtection="0">
      <alignment horizontal="left" vertical="center" indent="1"/>
    </xf>
    <xf numFmtId="0" fontId="56" fillId="32" borderId="424" applyNumberFormat="0" applyProtection="0">
      <alignment horizontal="left" vertical="center" indent="1"/>
    </xf>
    <xf numFmtId="0" fontId="56" fillId="34" borderId="424" applyNumberFormat="0" applyProtection="0">
      <alignment horizontal="left" vertical="center" indent="1"/>
    </xf>
    <xf numFmtId="4" fontId="60" fillId="28" borderId="424" applyNumberFormat="0" applyProtection="0">
      <alignment horizontal="right" vertical="center"/>
    </xf>
    <xf numFmtId="4" fontId="60" fillId="24" borderId="424" applyNumberFormat="0" applyProtection="0">
      <alignment horizontal="right" vertical="center"/>
    </xf>
    <xf numFmtId="4" fontId="60" fillId="23" borderId="424" applyNumberFormat="0" applyProtection="0">
      <alignment horizontal="right" vertical="center"/>
    </xf>
    <xf numFmtId="4" fontId="60" fillId="25" borderId="424" applyNumberFormat="0" applyProtection="0">
      <alignment horizontal="right" vertical="center"/>
    </xf>
    <xf numFmtId="4" fontId="60" fillId="24" borderId="424" applyNumberFormat="0" applyProtection="0">
      <alignment horizontal="right" vertical="center"/>
    </xf>
    <xf numFmtId="0" fontId="56" fillId="33" borderId="424" applyNumberFormat="0" applyProtection="0">
      <alignment horizontal="left" vertical="center" indent="1"/>
    </xf>
    <xf numFmtId="4" fontId="60" fillId="35" borderId="424" applyNumberFormat="0" applyProtection="0">
      <alignment horizontal="left" vertical="center" indent="1"/>
    </xf>
    <xf numFmtId="4" fontId="60" fillId="20" borderId="424" applyNumberFormat="0" applyProtection="0">
      <alignment horizontal="right" vertical="center"/>
    </xf>
    <xf numFmtId="4" fontId="104" fillId="30" borderId="424" applyNumberFormat="0" applyProtection="0">
      <alignment horizontal="right" vertical="center"/>
    </xf>
    <xf numFmtId="4" fontId="60" fillId="20" borderId="424" applyNumberFormat="0" applyProtection="0">
      <alignment horizontal="right" vertical="center"/>
    </xf>
    <xf numFmtId="0" fontId="56" fillId="32" borderId="424" applyNumberFormat="0" applyProtection="0">
      <alignment horizontal="left" vertical="center" indent="1"/>
    </xf>
    <xf numFmtId="0" fontId="22" fillId="10" borderId="429" applyNumberFormat="0" applyFont="0" applyAlignment="0" applyProtection="0">
      <alignment vertical="center"/>
    </xf>
    <xf numFmtId="4" fontId="60" fillId="35" borderId="424" applyNumberFormat="0" applyProtection="0">
      <alignment horizontal="left" vertical="center" indent="1"/>
    </xf>
    <xf numFmtId="4" fontId="60" fillId="2" borderId="424" applyNumberFormat="0" applyProtection="0">
      <alignment horizontal="left" vertical="center" indent="1"/>
    </xf>
    <xf numFmtId="4" fontId="100" fillId="30" borderId="424" applyNumberFormat="0" applyProtection="0">
      <alignment horizontal="right" vertical="center"/>
    </xf>
    <xf numFmtId="0" fontId="88" fillId="61" borderId="431"/>
    <xf numFmtId="4" fontId="60" fillId="21" borderId="424" applyNumberFormat="0" applyProtection="0">
      <alignment horizontal="right" vertical="center"/>
    </xf>
    <xf numFmtId="0" fontId="88" fillId="53" borderId="426" applyNumberFormat="0" applyFont="0" applyAlignment="0" applyProtection="0"/>
    <xf numFmtId="4" fontId="100" fillId="2" borderId="424" applyNumberFormat="0" applyProtection="0">
      <alignment vertical="center"/>
    </xf>
    <xf numFmtId="0" fontId="56" fillId="19" borderId="424" applyNumberFormat="0" applyProtection="0">
      <alignment horizontal="left" vertical="center" indent="1"/>
    </xf>
    <xf numFmtId="0" fontId="56" fillId="34" borderId="424" applyNumberFormat="0" applyProtection="0">
      <alignment horizontal="left" vertical="center" indent="1"/>
    </xf>
    <xf numFmtId="4" fontId="100" fillId="35" borderId="424" applyNumberForma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0" fillId="35" borderId="424" applyNumberFormat="0" applyProtection="0">
      <alignment vertical="center"/>
    </xf>
    <xf numFmtId="0" fontId="120" fillId="56" borderId="424" applyNumberFormat="0" applyAlignment="0" applyProtection="0"/>
    <xf numFmtId="0" fontId="56" fillId="19" borderId="424" applyNumberFormat="0" applyProtection="0">
      <alignment horizontal="left" vertical="center" indent="1"/>
    </xf>
    <xf numFmtId="4" fontId="60" fillId="21" borderId="424" applyNumberFormat="0" applyProtection="0">
      <alignment horizontal="right" vertical="center"/>
    </xf>
    <xf numFmtId="4" fontId="60" fillId="27" borderId="424" applyNumberFormat="0" applyProtection="0">
      <alignment horizontal="right" vertical="center"/>
    </xf>
    <xf numFmtId="4" fontId="60" fillId="35" borderId="424" applyNumberFormat="0" applyProtection="0">
      <alignment horizontal="left" vertical="center" indent="1"/>
    </xf>
    <xf numFmtId="0" fontId="56" fillId="19" borderId="424" applyNumberFormat="0" applyProtection="0">
      <alignment horizontal="left" vertical="center" indent="1"/>
    </xf>
    <xf numFmtId="4" fontId="60" fillId="32" borderId="424" applyNumberFormat="0" applyProtection="0">
      <alignment horizontal="left" vertical="center" indent="1"/>
    </xf>
    <xf numFmtId="4" fontId="100" fillId="35" borderId="424" applyNumberFormat="0" applyProtection="0">
      <alignment vertical="center"/>
    </xf>
    <xf numFmtId="3" fontId="67" fillId="0" borderId="431"/>
    <xf numFmtId="4" fontId="60" fillId="35" borderId="424" applyNumberFormat="0" applyProtection="0">
      <alignment horizontal="left" vertical="center" indent="1"/>
    </xf>
    <xf numFmtId="0" fontId="56" fillId="19" borderId="424" applyNumberFormat="0" applyProtection="0">
      <alignment horizontal="left" vertical="center" indent="1"/>
    </xf>
    <xf numFmtId="4" fontId="60" fillId="23" borderId="424" applyNumberFormat="0" applyProtection="0">
      <alignment horizontal="right" vertical="center"/>
    </xf>
    <xf numFmtId="4" fontId="60" fillId="26" borderId="424" applyNumberFormat="0" applyProtection="0">
      <alignment horizontal="right" vertical="center"/>
    </xf>
    <xf numFmtId="4" fontId="60" fillId="2" borderId="424" applyNumberFormat="0" applyProtection="0">
      <alignment vertical="center"/>
    </xf>
    <xf numFmtId="0" fontId="99" fillId="1" borderId="432" applyNumberFormat="0" applyFont="0" applyAlignment="0">
      <alignment horizontal="center"/>
    </xf>
    <xf numFmtId="4" fontId="60" fillId="20" borderId="424" applyNumberFormat="0" applyProtection="0">
      <alignment horizontal="right" vertical="center"/>
    </xf>
    <xf numFmtId="0" fontId="56" fillId="19" borderId="424" applyNumberFormat="0" applyProtection="0">
      <alignment horizontal="left" vertical="center" indent="1"/>
    </xf>
    <xf numFmtId="4" fontId="60" fillId="23" borderId="424" applyNumberFormat="0" applyProtection="0">
      <alignment horizontal="right" vertical="center"/>
    </xf>
    <xf numFmtId="0" fontId="88" fillId="61" borderId="431"/>
    <xf numFmtId="4" fontId="60" fillId="2" borderId="424" applyNumberFormat="0" applyProtection="0">
      <alignment horizontal="left" vertical="center" indent="1"/>
    </xf>
    <xf numFmtId="0" fontId="56" fillId="32" borderId="424" applyNumberFormat="0" applyProtection="0">
      <alignment horizontal="left" vertical="center" indent="1"/>
    </xf>
    <xf numFmtId="0" fontId="121" fillId="60" borderId="427" applyBorder="0"/>
    <xf numFmtId="0" fontId="56" fillId="34" borderId="424" applyNumberFormat="0" applyProtection="0">
      <alignment horizontal="left" vertical="center" indent="1"/>
    </xf>
    <xf numFmtId="4" fontId="60" fillId="21" borderId="424" applyNumberFormat="0" applyProtection="0">
      <alignment horizontal="right" vertical="center"/>
    </xf>
    <xf numFmtId="0" fontId="56" fillId="32" borderId="424" applyNumberFormat="0" applyProtection="0">
      <alignment horizontal="left" vertical="center" indent="1"/>
    </xf>
    <xf numFmtId="3" fontId="67" fillId="0" borderId="431"/>
    <xf numFmtId="0" fontId="114" fillId="56" borderId="426" applyNumberFormat="0" applyAlignment="0" applyProtection="0"/>
    <xf numFmtId="4" fontId="60" fillId="24" borderId="424" applyNumberFormat="0" applyProtection="0">
      <alignment horizontal="right" vertical="center"/>
    </xf>
    <xf numFmtId="4" fontId="60" fillId="35" borderId="424" applyNumberFormat="0" applyProtection="0">
      <alignment vertical="center"/>
    </xf>
    <xf numFmtId="4" fontId="60" fillId="21" borderId="424" applyNumberFormat="0" applyProtection="0">
      <alignment horizontal="right" vertical="center"/>
    </xf>
    <xf numFmtId="4" fontId="60" fillId="30" borderId="424" applyNumberFormat="0" applyProtection="0">
      <alignment horizontal="left" vertical="center" indent="1"/>
    </xf>
    <xf numFmtId="4" fontId="60" fillId="23" borderId="424" applyNumberFormat="0" applyProtection="0">
      <alignment horizontal="right" vertical="center"/>
    </xf>
    <xf numFmtId="0" fontId="114" fillId="56" borderId="426" applyNumberFormat="0" applyAlignment="0" applyProtection="0"/>
    <xf numFmtId="0" fontId="56" fillId="19" borderId="424" applyNumberFormat="0" applyProtection="0">
      <alignment horizontal="left" vertical="center" indent="1"/>
    </xf>
    <xf numFmtId="0" fontId="56" fillId="33" borderId="424" applyNumberFormat="0" applyProtection="0">
      <alignment horizontal="left" vertical="center" indent="1"/>
    </xf>
    <xf numFmtId="4" fontId="100" fillId="2" borderId="424" applyNumberFormat="0" applyProtection="0">
      <alignmen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0" fontId="114" fillId="56" borderId="426" applyNumberFormat="0" applyAlignment="0" applyProtection="0"/>
    <xf numFmtId="0" fontId="56" fillId="19" borderId="424" applyNumberFormat="0" applyProtection="0">
      <alignment horizontal="left" vertical="center" indent="1"/>
    </xf>
    <xf numFmtId="10" fontId="88" fillId="17" borderId="431" applyNumberFormat="0" applyBorder="0" applyAlignment="0" applyProtection="0"/>
    <xf numFmtId="4" fontId="60" fillId="28" borderId="424" applyNumberFormat="0" applyProtection="0">
      <alignment horizontal="right" vertical="center"/>
    </xf>
    <xf numFmtId="4" fontId="60" fillId="21" borderId="424" applyNumberFormat="0" applyProtection="0">
      <alignment horizontal="right" vertical="center"/>
    </xf>
    <xf numFmtId="0" fontId="56" fillId="33" borderId="424" applyNumberFormat="0" applyProtection="0">
      <alignment horizontal="left" vertical="center" indent="1"/>
    </xf>
    <xf numFmtId="4" fontId="60" fillId="30" borderId="424" applyNumberFormat="0" applyProtection="0">
      <alignment horizontal="right" vertical="center"/>
    </xf>
    <xf numFmtId="0" fontId="121" fillId="60" borderId="427" applyBorder="0"/>
    <xf numFmtId="4" fontId="100" fillId="2" borderId="424" applyNumberFormat="0" applyProtection="0">
      <alignment vertical="center"/>
    </xf>
    <xf numFmtId="0" fontId="88" fillId="53" borderId="426" applyNumberFormat="0" applyFont="0" applyAlignment="0" applyProtection="0"/>
    <xf numFmtId="4" fontId="100" fillId="30" borderId="424" applyNumberFormat="0" applyProtection="0">
      <alignment horizontal="right" vertical="center"/>
    </xf>
    <xf numFmtId="4" fontId="60" fillId="2" borderId="424" applyNumberFormat="0" applyProtection="0">
      <alignment horizontal="left" vertical="center" indent="1"/>
    </xf>
    <xf numFmtId="4" fontId="101" fillId="29" borderId="424" applyNumberFormat="0" applyProtection="0">
      <alignment horizontal="left" vertical="center" indent="1"/>
    </xf>
    <xf numFmtId="4" fontId="104" fillId="30" borderId="424" applyNumberFormat="0" applyProtection="0">
      <alignment horizontal="right" vertical="center"/>
    </xf>
    <xf numFmtId="0" fontId="56" fillId="33" borderId="424" applyNumberFormat="0" applyProtection="0">
      <alignment horizontal="left" vertical="center" indent="1"/>
    </xf>
    <xf numFmtId="0" fontId="56" fillId="32" borderId="424" applyNumberFormat="0" applyProtection="0">
      <alignment horizontal="left" vertical="center" indent="1"/>
    </xf>
    <xf numFmtId="4" fontId="100" fillId="2" borderId="424" applyNumberFormat="0" applyProtection="0">
      <alignment vertical="center"/>
    </xf>
    <xf numFmtId="0" fontId="56" fillId="32" borderId="424" applyNumberFormat="0" applyProtection="0">
      <alignment horizontal="left" vertical="center" indent="1"/>
    </xf>
    <xf numFmtId="0" fontId="56" fillId="19" borderId="424" applyNumberFormat="0" applyProtection="0">
      <alignment horizontal="left" vertical="center" indent="1"/>
    </xf>
    <xf numFmtId="4" fontId="60" fillId="3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5" borderId="424" applyNumberFormat="0" applyProtection="0">
      <alignment horizontal="right" vertical="center"/>
    </xf>
    <xf numFmtId="4" fontId="100" fillId="35" borderId="424" applyNumberFormat="0" applyProtection="0">
      <alignment vertical="center"/>
    </xf>
    <xf numFmtId="4" fontId="60" fillId="28"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left" vertical="center" indent="1"/>
    </xf>
    <xf numFmtId="0" fontId="56" fillId="19" borderId="424" applyNumberFormat="0" applyProtection="0">
      <alignment horizontal="left" vertical="center" indent="1"/>
    </xf>
    <xf numFmtId="0" fontId="118" fillId="54" borderId="426" applyNumberFormat="0" applyAlignment="0" applyProtection="0"/>
    <xf numFmtId="0" fontId="56" fillId="19" borderId="424" applyNumberFormat="0" applyProtection="0">
      <alignment horizontal="left" vertical="center" indent="1"/>
    </xf>
    <xf numFmtId="4" fontId="100" fillId="30" borderId="424" applyNumberFormat="0" applyProtection="0">
      <alignment horizontal="right" vertical="center"/>
    </xf>
    <xf numFmtId="0" fontId="56" fillId="32" borderId="424" applyNumberFormat="0" applyProtection="0">
      <alignment horizontal="left" vertical="center" indent="1"/>
    </xf>
    <xf numFmtId="0" fontId="56" fillId="19" borderId="424" applyNumberFormat="0" applyProtection="0">
      <alignment horizontal="left" vertical="center" indent="1"/>
    </xf>
    <xf numFmtId="4" fontId="60" fillId="26" borderId="424" applyNumberFormat="0" applyProtection="0">
      <alignment horizontal="right" vertical="center"/>
    </xf>
    <xf numFmtId="4" fontId="60" fillId="35" borderId="424" applyNumberFormat="0" applyProtection="0">
      <alignment vertical="center"/>
    </xf>
    <xf numFmtId="0" fontId="56" fillId="34" borderId="424" applyNumberFormat="0" applyProtection="0">
      <alignment horizontal="left" vertical="center" indent="1"/>
    </xf>
    <xf numFmtId="4" fontId="104" fillId="30" borderId="424" applyNumberFormat="0" applyProtection="0">
      <alignment horizontal="right" vertical="center"/>
    </xf>
    <xf numFmtId="4" fontId="60" fillId="35" borderId="424" applyNumberFormat="0" applyProtection="0">
      <alignment horizontal="left" vertical="center" indent="1"/>
    </xf>
    <xf numFmtId="4" fontId="104" fillId="30" borderId="424" applyNumberFormat="0" applyProtection="0">
      <alignment horizontal="right" vertical="center"/>
    </xf>
    <xf numFmtId="0" fontId="114" fillId="56" borderId="426" applyNumberFormat="0" applyAlignment="0" applyProtection="0"/>
    <xf numFmtId="4" fontId="60" fillId="24" borderId="424" applyNumberFormat="0" applyProtection="0">
      <alignment horizontal="right" vertical="center"/>
    </xf>
    <xf numFmtId="0" fontId="121" fillId="60" borderId="427" applyBorder="0"/>
    <xf numFmtId="0" fontId="56" fillId="33" borderId="424" applyNumberFormat="0" applyProtection="0">
      <alignment horizontal="left" vertical="center" indent="1"/>
    </xf>
    <xf numFmtId="0" fontId="56" fillId="33" borderId="424" applyNumberFormat="0" applyProtection="0">
      <alignment horizontal="left" vertical="center" indent="1"/>
    </xf>
    <xf numFmtId="4" fontId="100" fillId="35" borderId="424" applyNumberFormat="0" applyProtection="0">
      <alignment vertical="center"/>
    </xf>
    <xf numFmtId="4" fontId="101" fillId="29" borderId="424" applyNumberFormat="0" applyProtection="0">
      <alignment horizontal="left" vertical="center" indent="1"/>
    </xf>
    <xf numFmtId="4" fontId="60" fillId="21" borderId="424" applyNumberFormat="0" applyProtection="0">
      <alignment horizontal="right" vertical="center"/>
    </xf>
    <xf numFmtId="0" fontId="22" fillId="10" borderId="429" applyNumberFormat="0" applyFont="0" applyAlignment="0" applyProtection="0">
      <alignment vertical="center"/>
    </xf>
    <xf numFmtId="4" fontId="60" fillId="20" borderId="424" applyNumberFormat="0" applyProtection="0">
      <alignment horizontal="right" vertical="center"/>
    </xf>
    <xf numFmtId="4" fontId="101" fillId="29" borderId="424" applyNumberFormat="0" applyProtection="0">
      <alignment horizontal="left" vertical="center" indent="1"/>
    </xf>
    <xf numFmtId="0" fontId="56" fillId="34" borderId="424" applyNumberFormat="0" applyProtection="0">
      <alignment horizontal="left" vertical="center" indent="1"/>
    </xf>
    <xf numFmtId="0" fontId="56" fillId="32"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4" fontId="60" fillId="24" borderId="424" applyNumberFormat="0" applyProtection="0">
      <alignment horizontal="right" vertical="center"/>
    </xf>
    <xf numFmtId="4" fontId="60" fillId="2" borderId="424" applyNumberFormat="0" applyProtection="0">
      <alignment vertical="center"/>
    </xf>
    <xf numFmtId="4" fontId="60" fillId="26" borderId="424" applyNumberFormat="0" applyProtection="0">
      <alignment horizontal="right" vertical="center"/>
    </xf>
    <xf numFmtId="0" fontId="56" fillId="19" borderId="424" applyNumberFormat="0" applyProtection="0">
      <alignment horizontal="left" vertical="center" indent="1"/>
    </xf>
    <xf numFmtId="4" fontId="60" fillId="28" borderId="424" applyNumberFormat="0" applyProtection="0">
      <alignment horizontal="right" vertical="center"/>
    </xf>
    <xf numFmtId="4" fontId="60" fillId="27" borderId="424" applyNumberFormat="0" applyProtection="0">
      <alignment horizontal="right" vertical="center"/>
    </xf>
    <xf numFmtId="0" fontId="56" fillId="32" borderId="424" applyNumberFormat="0" applyProtection="0">
      <alignment horizontal="left" vertical="center" indent="1"/>
    </xf>
    <xf numFmtId="4" fontId="60" fillId="2" borderId="424" applyNumberFormat="0" applyProtection="0">
      <alignment horizontal="left" vertical="center" indent="1"/>
    </xf>
    <xf numFmtId="0" fontId="157" fillId="98" borderId="428" applyNumberFormat="0" applyAlignment="0" applyProtection="0">
      <alignment vertical="center"/>
    </xf>
    <xf numFmtId="4" fontId="60" fillId="2" borderId="424" applyNumberFormat="0" applyProtection="0">
      <alignment horizontal="left" vertical="center" indent="1"/>
    </xf>
    <xf numFmtId="0" fontId="56" fillId="34" borderId="424" applyNumberFormat="0" applyProtection="0">
      <alignment horizontal="left" vertical="center" indent="1"/>
    </xf>
    <xf numFmtId="0" fontId="56" fillId="32" borderId="424" applyNumberFormat="0" applyProtection="0">
      <alignment horizontal="left" vertical="center" indent="1"/>
    </xf>
    <xf numFmtId="0" fontId="118" fillId="54" borderId="426" applyNumberFormat="0" applyAlignment="0" applyProtection="0"/>
    <xf numFmtId="0" fontId="88" fillId="53" borderId="426" applyNumberFormat="0" applyFont="0" applyAlignment="0" applyProtection="0"/>
    <xf numFmtId="4" fontId="60" fillId="35" borderId="424" applyNumberFormat="0" applyProtection="0">
      <alignment horizontal="left" vertical="center" indent="1"/>
    </xf>
    <xf numFmtId="4" fontId="60" fillId="25" borderId="424" applyNumberFormat="0" applyProtection="0">
      <alignment horizontal="right" vertical="center"/>
    </xf>
    <xf numFmtId="0" fontId="56" fillId="19" borderId="424" applyNumberFormat="0" applyProtection="0">
      <alignment horizontal="left" vertical="center" indent="1"/>
    </xf>
    <xf numFmtId="4" fontId="60" fillId="2" borderId="424" applyNumberFormat="0" applyProtection="0">
      <alignment horizontal="left" vertical="center" indent="1"/>
    </xf>
    <xf numFmtId="4" fontId="60" fillId="35" borderId="424" applyNumberFormat="0" applyProtection="0">
      <alignment horizontal="left" vertical="center" indent="1"/>
    </xf>
    <xf numFmtId="4" fontId="60" fillId="25" borderId="424" applyNumberFormat="0" applyProtection="0">
      <alignment horizontal="right" vertical="center"/>
    </xf>
    <xf numFmtId="0" fontId="56" fillId="33" borderId="424" applyNumberFormat="0" applyProtection="0">
      <alignment horizontal="left" vertical="center" indent="1"/>
    </xf>
    <xf numFmtId="0" fontId="56" fillId="33" borderId="424" applyNumberFormat="0" applyProtection="0">
      <alignment horizontal="left" vertical="center" indent="1"/>
    </xf>
    <xf numFmtId="4" fontId="60" fillId="26" borderId="424" applyNumberFormat="0" applyProtection="0">
      <alignment horizontal="right" vertical="center"/>
    </xf>
    <xf numFmtId="4" fontId="100" fillId="2" borderId="424" applyNumberFormat="0" applyProtection="0">
      <alignment vertical="center"/>
    </xf>
    <xf numFmtId="4" fontId="60" fillId="25" borderId="424" applyNumberFormat="0" applyProtection="0">
      <alignment horizontal="right" vertical="center"/>
    </xf>
    <xf numFmtId="0" fontId="56" fillId="19" borderId="424" applyNumberFormat="0" applyProtection="0">
      <alignment horizontal="left" vertical="center" indent="1"/>
    </xf>
    <xf numFmtId="4" fontId="101" fillId="29" borderId="424" applyNumberFormat="0" applyProtection="0">
      <alignment horizontal="left" vertical="center" indent="1"/>
    </xf>
    <xf numFmtId="0" fontId="56" fillId="33" borderId="424" applyNumberFormat="0" applyProtection="0">
      <alignment horizontal="left" vertical="center" indent="1"/>
    </xf>
    <xf numFmtId="4" fontId="100" fillId="35" borderId="424" applyNumberFormat="0" applyProtection="0">
      <alignment vertical="center"/>
    </xf>
    <xf numFmtId="0" fontId="121" fillId="60" borderId="427" applyBorder="0"/>
    <xf numFmtId="4" fontId="100" fillId="30" borderId="424" applyNumberFormat="0" applyProtection="0">
      <alignment horizontal="right" vertical="center"/>
    </xf>
    <xf numFmtId="4" fontId="60" fillId="2" borderId="424" applyNumberFormat="0" applyProtection="0">
      <alignment horizontal="left" vertical="center" indent="1"/>
    </xf>
    <xf numFmtId="0" fontId="118" fillId="54" borderId="426" applyNumberFormat="0" applyAlignment="0" applyProtection="0"/>
    <xf numFmtId="0" fontId="56" fillId="19" borderId="424" applyNumberFormat="0" applyProtection="0">
      <alignment horizontal="left" vertical="center" indent="1"/>
    </xf>
    <xf numFmtId="0" fontId="88" fillId="53" borderId="426" applyNumberFormat="0" applyFont="0" applyAlignment="0" applyProtection="0"/>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0" fillId="56" borderId="424" applyNumberFormat="0" applyAlignment="0" applyProtection="0"/>
    <xf numFmtId="4" fontId="60" fillId="28" borderId="424" applyNumberFormat="0" applyProtection="0">
      <alignment horizontal="right" vertical="center"/>
    </xf>
    <xf numFmtId="4" fontId="60" fillId="20" borderId="424" applyNumberFormat="0" applyProtection="0">
      <alignment horizontal="right" vertical="center"/>
    </xf>
    <xf numFmtId="0" fontId="56" fillId="19" borderId="424" applyNumberFormat="0" applyProtection="0">
      <alignment horizontal="left" vertical="center" indent="1"/>
    </xf>
    <xf numFmtId="4" fontId="60" fillId="35" borderId="424" applyNumberFormat="0" applyProtection="0">
      <alignment horizontal="left" vertical="center" indent="1"/>
    </xf>
    <xf numFmtId="4" fontId="60" fillId="27" borderId="424" applyNumberFormat="0" applyProtection="0">
      <alignment horizontal="right" vertical="center"/>
    </xf>
    <xf numFmtId="4" fontId="60" fillId="27" borderId="424" applyNumberFormat="0" applyProtection="0">
      <alignment horizontal="right" vertical="center"/>
    </xf>
    <xf numFmtId="0" fontId="56" fillId="19" borderId="424" applyNumberFormat="0" applyProtection="0">
      <alignment horizontal="left" vertical="center" indent="1"/>
    </xf>
    <xf numFmtId="4" fontId="60" fillId="25" borderId="424" applyNumberFormat="0" applyProtection="0">
      <alignment horizontal="right" vertical="center"/>
    </xf>
    <xf numFmtId="4" fontId="60" fillId="2" borderId="424" applyNumberFormat="0" applyProtection="0">
      <alignment horizontal="left" vertical="center" indent="1"/>
    </xf>
    <xf numFmtId="3" fontId="67" fillId="0" borderId="431"/>
    <xf numFmtId="3" fontId="67" fillId="0" borderId="431"/>
    <xf numFmtId="3" fontId="67" fillId="0" borderId="431"/>
    <xf numFmtId="3" fontId="67" fillId="0" borderId="431"/>
    <xf numFmtId="3" fontId="67" fillId="0" borderId="431"/>
    <xf numFmtId="3" fontId="67" fillId="0" borderId="431"/>
    <xf numFmtId="196" fontId="83" fillId="0" borderId="431" applyFill="0" applyBorder="0" applyAlignment="0"/>
    <xf numFmtId="196" fontId="83" fillId="0" borderId="431" applyFill="0" applyBorder="0" applyAlignment="0"/>
    <xf numFmtId="10" fontId="88" fillId="17" borderId="431" applyNumberFormat="0" applyBorder="0" applyAlignment="0" applyProtection="0"/>
    <xf numFmtId="10" fontId="88" fillId="17" borderId="431" applyNumberFormat="0" applyBorder="0" applyAlignment="0" applyProtection="0"/>
    <xf numFmtId="0" fontId="88" fillId="61" borderId="431"/>
    <xf numFmtId="0" fontId="88" fillId="61" borderId="431"/>
    <xf numFmtId="4" fontId="60" fillId="22"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33" borderId="424" applyNumberFormat="0" applyProtection="0">
      <alignment horizontal="left" vertical="center" indent="1"/>
    </xf>
    <xf numFmtId="4" fontId="100" fillId="2" borderId="424" applyNumberFormat="0" applyProtection="0">
      <alignment vertical="center"/>
    </xf>
    <xf numFmtId="4" fontId="60" fillId="2" borderId="424" applyNumberFormat="0" applyProtection="0">
      <alignmen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4" fontId="60" fillId="21" borderId="424" applyNumberFormat="0" applyProtection="0">
      <alignment horizontal="right" vertical="center"/>
    </xf>
    <xf numFmtId="4" fontId="60" fillId="21" borderId="424" applyNumberFormat="0" applyProtection="0">
      <alignment horizontal="right" vertical="center"/>
    </xf>
    <xf numFmtId="4" fontId="60" fillId="26" borderId="424" applyNumberFormat="0" applyProtection="0">
      <alignment horizontal="right" vertical="center"/>
    </xf>
    <xf numFmtId="0" fontId="56" fillId="32" borderId="424" applyNumberFormat="0" applyProtection="0">
      <alignment horizontal="left" vertical="center" indent="1"/>
    </xf>
    <xf numFmtId="4" fontId="60" fillId="28" borderId="424" applyNumberFormat="0" applyProtection="0">
      <alignment horizontal="right" vertical="center"/>
    </xf>
    <xf numFmtId="4" fontId="100" fillId="2" borderId="424" applyNumberFormat="0" applyProtection="0">
      <alignment vertical="center"/>
    </xf>
    <xf numFmtId="0" fontId="56" fillId="33" borderId="424" applyNumberFormat="0" applyProtection="0">
      <alignment horizontal="left" vertical="center" indent="1"/>
    </xf>
    <xf numFmtId="4" fontId="100" fillId="35" borderId="424" applyNumberFormat="0" applyProtection="0">
      <alignment vertical="center"/>
    </xf>
    <xf numFmtId="4" fontId="60" fillId="23" borderId="424" applyNumberFormat="0" applyProtection="0">
      <alignment horizontal="right" vertical="center"/>
    </xf>
    <xf numFmtId="4" fontId="60" fillId="35" borderId="424" applyNumberFormat="0" applyProtection="0">
      <alignment horizontal="left" vertical="center" indent="1"/>
    </xf>
    <xf numFmtId="4" fontId="60" fillId="2" borderId="424" applyNumberFormat="0" applyProtection="0">
      <alignment horizontal="left" vertical="center" indent="1"/>
    </xf>
    <xf numFmtId="4" fontId="60" fillId="35" borderId="424" applyNumberFormat="0" applyProtection="0">
      <alignment horizontal="left" vertical="center" indent="1"/>
    </xf>
    <xf numFmtId="0" fontId="56" fillId="32" borderId="424" applyNumberFormat="0" applyProtection="0">
      <alignment horizontal="left" vertical="center" indent="1"/>
    </xf>
    <xf numFmtId="4" fontId="100" fillId="2" borderId="424" applyNumberFormat="0" applyProtection="0">
      <alignment vertical="center"/>
    </xf>
    <xf numFmtId="3" fontId="67" fillId="0" borderId="431"/>
    <xf numFmtId="4" fontId="100" fillId="35" borderId="424" applyNumberFormat="0" applyProtection="0">
      <alignment vertical="center"/>
    </xf>
    <xf numFmtId="4" fontId="60" fillId="30" borderId="424" applyNumberFormat="0" applyProtection="0">
      <alignment horizontal="right" vertical="center"/>
    </xf>
    <xf numFmtId="4" fontId="100" fillId="30" borderId="424" applyNumberFormat="0" applyProtection="0">
      <alignment horizontal="right" vertical="center"/>
    </xf>
    <xf numFmtId="0" fontId="114" fillId="56" borderId="426" applyNumberFormat="0" applyAlignment="0" applyProtection="0"/>
    <xf numFmtId="4" fontId="60" fillId="35" borderId="424" applyNumberFormat="0" applyProtection="0">
      <alignment horizontal="left" vertical="center" indent="1"/>
    </xf>
    <xf numFmtId="4" fontId="60" fillId="24" borderId="424" applyNumberFormat="0" applyProtection="0">
      <alignment horizontal="right" vertical="center"/>
    </xf>
    <xf numFmtId="0" fontId="56" fillId="33" borderId="424" applyNumberFormat="0" applyProtection="0">
      <alignment horizontal="left" vertical="center" indent="1"/>
    </xf>
    <xf numFmtId="4" fontId="100" fillId="30" borderId="424" applyNumberFormat="0" applyProtection="0">
      <alignment horizontal="right" vertical="center"/>
    </xf>
    <xf numFmtId="4" fontId="60" fillId="21" borderId="424" applyNumberFormat="0" applyProtection="0">
      <alignment horizontal="right" vertical="center"/>
    </xf>
    <xf numFmtId="4" fontId="60" fillId="24" borderId="424" applyNumberFormat="0" applyProtection="0">
      <alignment horizontal="right" vertical="center"/>
    </xf>
    <xf numFmtId="4" fontId="60" fillId="2" borderId="424" applyNumberFormat="0" applyProtection="0">
      <alignment horizontal="left" vertical="center" indent="1"/>
    </xf>
    <xf numFmtId="0" fontId="56" fillId="32" borderId="424" applyNumberFormat="0" applyProtection="0">
      <alignment horizontal="left" vertical="center" indent="1"/>
    </xf>
    <xf numFmtId="4" fontId="104" fillId="30" borderId="424" applyNumberFormat="0" applyProtection="0">
      <alignment horizontal="right" vertical="center"/>
    </xf>
    <xf numFmtId="0" fontId="121" fillId="60" borderId="427" applyBorder="0"/>
    <xf numFmtId="4" fontId="101" fillId="29" borderId="424" applyNumberFormat="0" applyProtection="0">
      <alignment horizontal="left" vertical="center" indent="1"/>
    </xf>
    <xf numFmtId="4" fontId="60" fillId="20" borderId="424" applyNumberFormat="0" applyProtection="0">
      <alignment horizontal="right" vertical="center"/>
    </xf>
    <xf numFmtId="0" fontId="56" fillId="34" borderId="424" applyNumberFormat="0" applyProtection="0">
      <alignment horizontal="left" vertical="center" indent="1"/>
    </xf>
    <xf numFmtId="0" fontId="56" fillId="34" borderId="424" applyNumberFormat="0" applyProtection="0">
      <alignment horizontal="left" vertical="center" indent="1"/>
    </xf>
    <xf numFmtId="4" fontId="100" fillId="30" borderId="424" applyNumberFormat="0" applyProtection="0">
      <alignment horizontal="right" vertical="center"/>
    </xf>
    <xf numFmtId="4" fontId="60" fillId="32" borderId="424" applyNumberFormat="0" applyProtection="0">
      <alignment horizontal="left" vertical="center" indent="1"/>
    </xf>
    <xf numFmtId="4" fontId="60" fillId="2" borderId="424" applyNumberFormat="0" applyProtection="0">
      <alignment vertical="center"/>
    </xf>
    <xf numFmtId="4" fontId="60" fillId="21" borderId="424" applyNumberFormat="0" applyProtection="0">
      <alignment horizontal="right" vertical="center"/>
    </xf>
    <xf numFmtId="4" fontId="60" fillId="2" borderId="424" applyNumberFormat="0" applyProtection="0">
      <alignment horizontal="left" vertical="center" indent="1"/>
    </xf>
    <xf numFmtId="4" fontId="60" fillId="2" borderId="424" applyNumberFormat="0" applyProtection="0">
      <alignment vertical="center"/>
    </xf>
    <xf numFmtId="4" fontId="101" fillId="29" borderId="424" applyNumberFormat="0" applyProtection="0">
      <alignment horizontal="left" vertical="center" indent="1"/>
    </xf>
    <xf numFmtId="4" fontId="60" fillId="32" borderId="424" applyNumberFormat="0" applyProtection="0">
      <alignment horizontal="left" vertical="center" indent="1"/>
    </xf>
    <xf numFmtId="0" fontId="118" fillId="54" borderId="426" applyNumberFormat="0" applyAlignment="0" applyProtection="0"/>
    <xf numFmtId="4" fontId="104" fillId="30" borderId="424" applyNumberFormat="0" applyProtection="0">
      <alignment horizontal="right" vertical="center"/>
    </xf>
    <xf numFmtId="0" fontId="118" fillId="54" borderId="426" applyNumberFormat="0" applyAlignment="0" applyProtection="0"/>
    <xf numFmtId="0" fontId="114" fillId="56" borderId="426" applyNumberFormat="0" applyAlignment="0" applyProtection="0"/>
    <xf numFmtId="4" fontId="60" fillId="2" borderId="424" applyNumberFormat="0" applyProtection="0">
      <alignment horizontal="left" vertical="center" indent="1"/>
    </xf>
    <xf numFmtId="0" fontId="118" fillId="54" borderId="426" applyNumberFormat="0" applyAlignment="0" applyProtection="0"/>
    <xf numFmtId="0" fontId="99" fillId="1" borderId="432" applyNumberFormat="0" applyFont="0" applyAlignment="0">
      <alignment horizontal="center"/>
    </xf>
    <xf numFmtId="0" fontId="56" fillId="19" borderId="424" applyNumberFormat="0" applyProtection="0">
      <alignment horizontal="left" vertical="center" indent="1"/>
    </xf>
    <xf numFmtId="0" fontId="56" fillId="33" borderId="424" applyNumberFormat="0" applyProtection="0">
      <alignment horizontal="left" vertical="center" indent="1"/>
    </xf>
    <xf numFmtId="0" fontId="22" fillId="10" borderId="429" applyNumberFormat="0" applyFont="0" applyAlignment="0" applyProtection="0">
      <alignment vertical="center"/>
    </xf>
    <xf numFmtId="4" fontId="60" fillId="35" borderId="424" applyNumberFormat="0" applyProtection="0">
      <alignment horizontal="left" vertical="center" indent="1"/>
    </xf>
    <xf numFmtId="0" fontId="120" fillId="56" borderId="424" applyNumberFormat="0" applyAlignment="0" applyProtection="0"/>
    <xf numFmtId="0" fontId="56" fillId="33" borderId="424" applyNumberFormat="0" applyProtection="0">
      <alignment horizontal="left" vertical="center" indent="1"/>
    </xf>
    <xf numFmtId="0" fontId="151" fillId="111" borderId="428" applyNumberFormat="0" applyAlignmen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60" fillId="22" borderId="424" applyNumberFormat="0" applyProtection="0">
      <alignment horizontal="right" vertical="center"/>
    </xf>
    <xf numFmtId="0" fontId="56" fillId="19" borderId="424" applyNumberFormat="0" applyProtection="0">
      <alignment horizontal="left" vertical="center" indent="1"/>
    </xf>
    <xf numFmtId="4" fontId="60" fillId="2" borderId="424" applyNumberFormat="0" applyProtection="0">
      <alignment vertical="center"/>
    </xf>
    <xf numFmtId="4" fontId="60" fillId="2" borderId="424" applyNumberFormat="0" applyProtection="0">
      <alignment vertical="center"/>
    </xf>
    <xf numFmtId="4" fontId="60" fillId="27" borderId="424" applyNumberFormat="0" applyProtection="0">
      <alignment horizontal="right" vertical="center"/>
    </xf>
    <xf numFmtId="4" fontId="60" fillId="35" borderId="424" applyNumberFormat="0" applyProtection="0">
      <alignment horizontal="left" vertical="center" indent="1"/>
    </xf>
    <xf numFmtId="4" fontId="60" fillId="22" borderId="424" applyNumberFormat="0" applyProtection="0">
      <alignment horizontal="right" vertical="center"/>
    </xf>
    <xf numFmtId="4" fontId="60" fillId="30" borderId="424" applyNumberFormat="0" applyProtection="0">
      <alignment horizontal="right" vertical="center"/>
    </xf>
    <xf numFmtId="4" fontId="60" fillId="28" borderId="424" applyNumberFormat="0" applyProtection="0">
      <alignment horizontal="right" vertical="center"/>
    </xf>
    <xf numFmtId="0" fontId="56" fillId="19" borderId="424" applyNumberFormat="0" applyProtection="0">
      <alignment horizontal="left" vertical="center" indent="1"/>
    </xf>
    <xf numFmtId="0" fontId="163" fillId="111" borderId="424" applyNumberFormat="0" applyAlignment="0" applyProtection="0">
      <alignment vertical="center"/>
    </xf>
    <xf numFmtId="0" fontId="90" fillId="0" borderId="432">
      <alignment horizontal="left" vertical="center"/>
    </xf>
    <xf numFmtId="4" fontId="6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0" fontId="99" fillId="1" borderId="432" applyNumberFormat="0" applyFont="0" applyAlignment="0">
      <alignment horizontal="center"/>
    </xf>
    <xf numFmtId="0" fontId="56" fillId="19" borderId="424" applyNumberFormat="0" applyProtection="0">
      <alignment horizontal="left" vertical="center" indent="1"/>
    </xf>
    <xf numFmtId="4" fontId="100" fillId="35" borderId="424" applyNumberFormat="0" applyProtection="0">
      <alignment vertical="center"/>
    </xf>
    <xf numFmtId="4" fontId="60" fillId="35" borderId="424" applyNumberFormat="0" applyProtection="0">
      <alignment horizontal="left" vertical="center" indent="1"/>
    </xf>
    <xf numFmtId="4" fontId="60" fillId="25" borderId="424" applyNumberFormat="0" applyProtection="0">
      <alignment horizontal="right" vertical="center"/>
    </xf>
    <xf numFmtId="0" fontId="56" fillId="19" borderId="424" applyNumberFormat="0" applyProtection="0">
      <alignment horizontal="left" vertical="center" indent="1"/>
    </xf>
    <xf numFmtId="0" fontId="118" fillId="54" borderId="426" applyNumberFormat="0" applyAlignment="0" applyProtection="0"/>
    <xf numFmtId="4" fontId="60" fillId="2" borderId="424" applyNumberFormat="0" applyProtection="0">
      <alignment vertical="center"/>
    </xf>
    <xf numFmtId="4" fontId="60" fillId="30" borderId="424" applyNumberFormat="0" applyProtection="0">
      <alignment horizontal="left" vertical="center" indent="1"/>
    </xf>
    <xf numFmtId="0" fontId="56" fillId="32" borderId="424" applyNumberFormat="0" applyProtection="0">
      <alignment horizontal="left" vertical="center" indent="1"/>
    </xf>
    <xf numFmtId="4" fontId="60" fillId="25" borderId="424" applyNumberFormat="0" applyProtection="0">
      <alignment horizontal="right" vertical="center"/>
    </xf>
    <xf numFmtId="0" fontId="56" fillId="33" borderId="424" applyNumberFormat="0" applyProtection="0">
      <alignment horizontal="left" vertical="center" indent="1"/>
    </xf>
    <xf numFmtId="4" fontId="104" fillId="30" borderId="424" applyNumberFormat="0" applyProtection="0">
      <alignment horizontal="right" vertical="center"/>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32" borderId="424" applyNumberFormat="0" applyProtection="0">
      <alignment horizontal="left" vertical="center" indent="1"/>
    </xf>
    <xf numFmtId="0" fontId="163" fillId="111" borderId="424" applyNumberFormat="0" applyAlignment="0" applyProtection="0">
      <alignment vertical="center"/>
    </xf>
    <xf numFmtId="0" fontId="163" fillId="111" borderId="424" applyNumberFormat="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146" fillId="0" borderId="430" applyNumberFormat="0" applyFill="0" applyAlignment="0" applyProtection="0">
      <alignment vertical="center"/>
    </xf>
    <xf numFmtId="0" fontId="146" fillId="0" borderId="430" applyNumberFormat="0" applyFill="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51" fillId="111" borderId="428" applyNumberFormat="0" applyAlignment="0" applyProtection="0">
      <alignment vertical="center"/>
    </xf>
    <xf numFmtId="0" fontId="151" fillId="111" borderId="428" applyNumberFormat="0" applyAlignment="0" applyProtection="0">
      <alignment vertical="center"/>
    </xf>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90" fillId="0" borderId="432">
      <alignment horizontal="left" vertical="center"/>
    </xf>
    <xf numFmtId="0" fontId="90" fillId="0" borderId="432">
      <alignment horizontal="left" vertical="center"/>
    </xf>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99" fillId="1" borderId="432" applyNumberFormat="0" applyFont="0" applyAlignment="0">
      <alignment horizontal="center"/>
    </xf>
    <xf numFmtId="0" fontId="99" fillId="1" borderId="432" applyNumberFormat="0" applyFont="0" applyAlignment="0">
      <alignment horizontal="center"/>
    </xf>
    <xf numFmtId="4" fontId="60" fillId="23" borderId="424" applyNumberFormat="0" applyProtection="0">
      <alignment horizontal="right" vertical="center"/>
    </xf>
    <xf numFmtId="0" fontId="90" fillId="0" borderId="432">
      <alignment horizontal="left" vertical="center"/>
    </xf>
    <xf numFmtId="0" fontId="56" fillId="33" borderId="424" applyNumberFormat="0" applyProtection="0">
      <alignment horizontal="left" vertical="center" indent="1"/>
    </xf>
    <xf numFmtId="0" fontId="121" fillId="60" borderId="427" applyBorder="0"/>
    <xf numFmtId="0" fontId="56" fillId="19" borderId="424" applyNumberFormat="0" applyProtection="0">
      <alignment horizontal="left" vertical="center" indent="1"/>
    </xf>
    <xf numFmtId="0" fontId="146" fillId="0" borderId="430" applyNumberFormat="0" applyFill="0" applyAlignment="0" applyProtection="0">
      <alignment vertical="center"/>
    </xf>
    <xf numFmtId="0" fontId="88" fillId="53" borderId="426" applyNumberFormat="0" applyFont="0" applyAlignment="0" applyProtection="0"/>
    <xf numFmtId="4" fontId="60" fillId="30" borderId="424" applyNumberFormat="0" applyProtection="0">
      <alignment horizontal="right" vertical="center"/>
    </xf>
    <xf numFmtId="0" fontId="118" fillId="54" borderId="426" applyNumberFormat="0" applyAlignment="0" applyProtection="0"/>
    <xf numFmtId="4" fontId="60" fillId="27" borderId="424" applyNumberFormat="0" applyProtection="0">
      <alignment horizontal="right" vertical="center"/>
    </xf>
    <xf numFmtId="4" fontId="60" fillId="22" borderId="424" applyNumberFormat="0" applyProtection="0">
      <alignment horizontal="right" vertical="center"/>
    </xf>
    <xf numFmtId="4" fontId="60" fillId="26" borderId="424" applyNumberFormat="0" applyProtection="0">
      <alignment horizontal="right" vertical="center"/>
    </xf>
    <xf numFmtId="4" fontId="104"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4" fontId="60" fillId="35" borderId="424" applyNumberFormat="0" applyProtection="0">
      <alignment horizontal="left" vertical="center" indent="1"/>
    </xf>
    <xf numFmtId="4" fontId="60" fillId="32" borderId="424" applyNumberFormat="0" applyProtection="0">
      <alignment horizontal="left" vertical="center" indent="1"/>
    </xf>
    <xf numFmtId="4" fontId="60" fillId="25" borderId="424" applyNumberFormat="0" applyProtection="0">
      <alignment horizontal="right" vertical="center"/>
    </xf>
    <xf numFmtId="4" fontId="100" fillId="2" borderId="424" applyNumberFormat="0" applyProtection="0">
      <alignment vertical="center"/>
    </xf>
    <xf numFmtId="4" fontId="60" fillId="21" borderId="424" applyNumberFormat="0" applyProtection="0">
      <alignment horizontal="right" vertical="center"/>
    </xf>
    <xf numFmtId="0" fontId="120" fillId="56" borderId="424" applyNumberFormat="0" applyAlignment="0" applyProtection="0"/>
    <xf numFmtId="0" fontId="88" fillId="53" borderId="426" applyNumberFormat="0" applyFont="0" applyAlignment="0" applyProtection="0"/>
    <xf numFmtId="0" fontId="120" fillId="56" borderId="424" applyNumberFormat="0" applyAlignment="0" applyProtection="0"/>
    <xf numFmtId="0" fontId="88" fillId="53" borderId="426" applyNumberFormat="0" applyFont="0" applyAlignment="0" applyProtection="0"/>
    <xf numFmtId="4" fontId="60" fillId="20" borderId="424" applyNumberFormat="0" applyProtection="0">
      <alignment horizontal="right" vertical="center"/>
    </xf>
    <xf numFmtId="4" fontId="60" fillId="2" borderId="424" applyNumberFormat="0" applyProtection="0">
      <alignment horizontal="left" vertical="center" indent="1"/>
    </xf>
    <xf numFmtId="0" fontId="120" fillId="56" borderId="424" applyNumberFormat="0" applyAlignment="0" applyProtection="0"/>
    <xf numFmtId="4" fontId="60" fillId="25" borderId="424" applyNumberFormat="0" applyProtection="0">
      <alignment horizontal="right" vertical="center"/>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151" fillId="111" borderId="428" applyNumberFormat="0" applyAlignment="0" applyProtection="0">
      <alignment vertical="center"/>
    </xf>
    <xf numFmtId="4" fontId="60" fillId="22" borderId="424" applyNumberFormat="0" applyProtection="0">
      <alignment horizontal="right" vertical="center"/>
    </xf>
    <xf numFmtId="0" fontId="88" fillId="61" borderId="431"/>
    <xf numFmtId="4" fontId="60" fillId="2" borderId="424" applyNumberFormat="0" applyProtection="0">
      <alignment horizontal="left" vertical="center" indent="1"/>
    </xf>
    <xf numFmtId="0" fontId="56" fillId="34" borderId="424" applyNumberFormat="0" applyProtection="0">
      <alignment horizontal="left" vertical="center" indent="1"/>
    </xf>
    <xf numFmtId="4" fontId="60" fillId="28" borderId="424" applyNumberFormat="0" applyProtection="0">
      <alignment horizontal="right" vertical="center"/>
    </xf>
    <xf numFmtId="0" fontId="56" fillId="34" borderId="424" applyNumberFormat="0" applyProtection="0">
      <alignment horizontal="left" vertical="center" indent="1"/>
    </xf>
    <xf numFmtId="3" fontId="67" fillId="0" borderId="431"/>
    <xf numFmtId="0" fontId="118" fillId="54" borderId="426" applyNumberFormat="0" applyAlignment="0" applyProtection="0"/>
    <xf numFmtId="10" fontId="88" fillId="17" borderId="431" applyNumberFormat="0" applyBorder="0" applyAlignment="0" applyProtection="0"/>
    <xf numFmtId="4" fontId="60" fillId="21" borderId="424" applyNumberFormat="0" applyProtection="0">
      <alignment horizontal="right" vertical="center"/>
    </xf>
    <xf numFmtId="0" fontId="56" fillId="34" borderId="424" applyNumberFormat="0" applyProtection="0">
      <alignment horizontal="left" vertical="center" indent="1"/>
    </xf>
    <xf numFmtId="4" fontId="60" fillId="24" borderId="424" applyNumberFormat="0" applyProtection="0">
      <alignment horizontal="right" vertical="center"/>
    </xf>
    <xf numFmtId="4" fontId="60" fillId="21" borderId="424" applyNumberFormat="0" applyProtection="0">
      <alignment horizontal="right" vertical="center"/>
    </xf>
    <xf numFmtId="4" fontId="104" fillId="30" borderId="424" applyNumberFormat="0" applyProtection="0">
      <alignment horizontal="right" vertical="center"/>
    </xf>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60" fillId="35" borderId="424" applyNumberFormat="0" applyProtection="0">
      <alignment vertical="center"/>
    </xf>
    <xf numFmtId="0" fontId="56" fillId="32" borderId="424" applyNumberFormat="0" applyProtection="0">
      <alignment horizontal="left" vertical="center" indent="1"/>
    </xf>
    <xf numFmtId="0" fontId="56" fillId="33" borderId="424" applyNumberFormat="0" applyProtection="0">
      <alignment horizontal="left" vertical="center" indent="1"/>
    </xf>
    <xf numFmtId="4" fontId="60" fillId="27" borderId="424" applyNumberFormat="0" applyProtection="0">
      <alignment horizontal="right" vertical="center"/>
    </xf>
    <xf numFmtId="4" fontId="60" fillId="27" borderId="424" applyNumberFormat="0" applyProtection="0">
      <alignment horizontal="right" vertical="center"/>
    </xf>
    <xf numFmtId="4" fontId="60" fillId="2" borderId="424" applyNumberFormat="0" applyProtection="0">
      <alignment vertical="center"/>
    </xf>
    <xf numFmtId="3" fontId="67" fillId="0" borderId="431"/>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0" fontId="56" fillId="19" borderId="424" applyNumberFormat="0" applyProtection="0">
      <alignment horizontal="left" vertical="center" indent="1"/>
    </xf>
    <xf numFmtId="4" fontId="100" fillId="35" borderId="424" applyNumberFormat="0" applyProtection="0">
      <alignment vertical="center"/>
    </xf>
    <xf numFmtId="4" fontId="60" fillId="35" borderId="424" applyNumberFormat="0" applyProtection="0">
      <alignment horizontal="left" vertical="center" indent="1"/>
    </xf>
    <xf numFmtId="4" fontId="100" fillId="35" borderId="424" applyNumberFormat="0" applyProtection="0">
      <alignment vertical="center"/>
    </xf>
    <xf numFmtId="4" fontId="60" fillId="27" borderId="424" applyNumberFormat="0" applyProtection="0">
      <alignment horizontal="right" vertical="center"/>
    </xf>
    <xf numFmtId="4" fontId="60" fillId="35" borderId="424" applyNumberFormat="0" applyProtection="0">
      <alignment horizontal="left" vertical="center" indent="1"/>
    </xf>
    <xf numFmtId="4" fontId="60" fillId="32" borderId="424" applyNumberFormat="0" applyProtection="0">
      <alignment horizontal="left" vertical="center" indent="1"/>
    </xf>
    <xf numFmtId="4" fontId="60" fillId="25" borderId="424" applyNumberFormat="0" applyProtection="0">
      <alignment horizontal="right" vertical="center"/>
    </xf>
    <xf numFmtId="0" fontId="56" fillId="33" borderId="424" applyNumberFormat="0" applyProtection="0">
      <alignment horizontal="left" vertical="center" indent="1"/>
    </xf>
    <xf numFmtId="4" fontId="60" fillId="28" borderId="424" applyNumberFormat="0" applyProtection="0">
      <alignment horizontal="right" vertical="center"/>
    </xf>
    <xf numFmtId="10" fontId="88" fillId="17" borderId="431" applyNumberFormat="0" applyBorder="0" applyAlignment="0" applyProtection="0"/>
    <xf numFmtId="4" fontId="60" fillId="30"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4" fontId="60" fillId="35" borderId="424" applyNumberFormat="0" applyProtection="0">
      <alignment vertical="center"/>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30" borderId="425" applyNumberFormat="0" applyProtection="0">
      <alignment horizontal="left" vertical="center" indent="1"/>
    </xf>
    <xf numFmtId="4" fontId="101" fillId="29" borderId="424" applyNumberFormat="0" applyProtection="0">
      <alignment horizontal="left" vertical="center" indent="1"/>
    </xf>
    <xf numFmtId="0" fontId="56" fillId="19" borderId="424" applyNumberFormat="0" applyProtection="0">
      <alignment horizontal="left" vertical="center" indent="1"/>
    </xf>
    <xf numFmtId="4" fontId="100" fillId="35" borderId="424" applyNumberFormat="0" applyProtection="0">
      <alignment vertical="center"/>
    </xf>
    <xf numFmtId="0" fontId="118" fillId="54" borderId="426" applyNumberFormat="0" applyAlignment="0" applyProtection="0"/>
    <xf numFmtId="0" fontId="88" fillId="53" borderId="426" applyNumberFormat="0" applyFont="0" applyAlignment="0" applyProtection="0"/>
    <xf numFmtId="4" fontId="60" fillId="24" borderId="424" applyNumberFormat="0" applyProtection="0">
      <alignment horizontal="right" vertical="center"/>
    </xf>
    <xf numFmtId="4" fontId="60" fillId="2" borderId="424" applyNumberFormat="0" applyProtection="0">
      <alignment vertical="center"/>
    </xf>
    <xf numFmtId="4" fontId="60" fillId="28" borderId="424" applyNumberFormat="0" applyProtection="0">
      <alignment horizontal="right" vertical="center"/>
    </xf>
    <xf numFmtId="0" fontId="118" fillId="54" borderId="426" applyNumberFormat="0" applyAlignment="0" applyProtection="0"/>
    <xf numFmtId="0" fontId="56" fillId="34" borderId="424" applyNumberFormat="0" applyProtection="0">
      <alignment horizontal="left" vertical="center" indent="1"/>
    </xf>
    <xf numFmtId="4" fontId="104" fillId="30" borderId="424" applyNumberFormat="0" applyProtection="0">
      <alignment horizontal="right" vertical="center"/>
    </xf>
    <xf numFmtId="0" fontId="118" fillId="54" borderId="426" applyNumberFormat="0" applyAlignment="0" applyProtection="0"/>
    <xf numFmtId="4" fontId="60" fillId="23" borderId="424" applyNumberFormat="0" applyProtection="0">
      <alignment horizontal="right" vertical="center"/>
    </xf>
    <xf numFmtId="0" fontId="56" fillId="33" borderId="424" applyNumberFormat="0" applyProtection="0">
      <alignment horizontal="left" vertical="center" indent="1"/>
    </xf>
    <xf numFmtId="4" fontId="100" fillId="30" borderId="424" applyNumberFormat="0" applyProtection="0">
      <alignment horizontal="right" vertical="center"/>
    </xf>
    <xf numFmtId="4" fontId="100" fillId="30" borderId="424" applyNumberFormat="0" applyProtection="0">
      <alignment horizontal="right" vertical="center"/>
    </xf>
    <xf numFmtId="0" fontId="146" fillId="0" borderId="430" applyNumberFormat="0" applyFill="0" applyAlignment="0" applyProtection="0">
      <alignment vertical="center"/>
    </xf>
    <xf numFmtId="0" fontId="118" fillId="54" borderId="426" applyNumberFormat="0" applyAlignment="0" applyProtection="0"/>
    <xf numFmtId="0" fontId="114" fillId="56" borderId="426" applyNumberFormat="0" applyAlignment="0" applyProtection="0"/>
    <xf numFmtId="4" fontId="60" fillId="32" borderId="424" applyNumberFormat="0" applyProtection="0">
      <alignment horizontal="left" vertical="center" indent="1"/>
    </xf>
    <xf numFmtId="4" fontId="104" fillId="30" borderId="424" applyNumberFormat="0" applyProtection="0">
      <alignment horizontal="right" vertical="center"/>
    </xf>
    <xf numFmtId="0" fontId="118" fillId="54" borderId="426" applyNumberFormat="0" applyAlignment="0" applyProtection="0"/>
    <xf numFmtId="0" fontId="118" fillId="54" borderId="426" applyNumberFormat="0" applyAlignment="0" applyProtection="0"/>
    <xf numFmtId="3" fontId="67" fillId="0" borderId="431"/>
    <xf numFmtId="4" fontId="60" fillId="30" borderId="424" applyNumberFormat="0" applyProtection="0">
      <alignment horizontal="right" vertical="center"/>
    </xf>
    <xf numFmtId="0" fontId="56" fillId="32" borderId="424" applyNumberFormat="0" applyProtection="0">
      <alignment horizontal="left" vertical="center" indent="1"/>
    </xf>
    <xf numFmtId="0" fontId="56" fillId="33" borderId="424" applyNumberFormat="0" applyProtection="0">
      <alignment horizontal="left" vertical="center" indent="1"/>
    </xf>
    <xf numFmtId="4" fontId="60" fillId="21"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right" vertical="center"/>
    </xf>
    <xf numFmtId="0" fontId="157" fillId="98" borderId="428" applyNumberFormat="0" applyAlignment="0" applyProtection="0">
      <alignment vertical="center"/>
    </xf>
    <xf numFmtId="0" fontId="114" fillId="56" borderId="426" applyNumberFormat="0" applyAlignment="0" applyProtection="0"/>
    <xf numFmtId="0" fontId="56" fillId="34" borderId="424" applyNumberFormat="0" applyProtection="0">
      <alignment horizontal="left" vertical="center" indent="1"/>
    </xf>
    <xf numFmtId="0" fontId="56" fillId="33" borderId="424" applyNumberFormat="0" applyProtection="0">
      <alignment horizontal="left" vertical="center" indent="1"/>
    </xf>
    <xf numFmtId="4" fontId="100" fillId="2" borderId="424" applyNumberFormat="0" applyProtection="0">
      <alignment vertical="center"/>
    </xf>
    <xf numFmtId="4" fontId="60" fillId="21" borderId="424" applyNumberFormat="0" applyProtection="0">
      <alignment horizontal="right" vertical="center"/>
    </xf>
    <xf numFmtId="0" fontId="99" fillId="1" borderId="432" applyNumberFormat="0" applyFont="0" applyAlignment="0">
      <alignment horizontal="center"/>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25" borderId="424" applyNumberFormat="0" applyProtection="0">
      <alignment horizontal="right" vertical="center"/>
    </xf>
    <xf numFmtId="0" fontId="56" fillId="32" borderId="424" applyNumberFormat="0" applyProtection="0">
      <alignment horizontal="left" vertical="center" indent="1"/>
    </xf>
    <xf numFmtId="4" fontId="60" fillId="23" borderId="424" applyNumberFormat="0" applyProtection="0">
      <alignment horizontal="right" vertical="center"/>
    </xf>
    <xf numFmtId="4" fontId="60" fillId="2" borderId="424" applyNumberFormat="0" applyProtection="0">
      <alignment vertical="center"/>
    </xf>
    <xf numFmtId="4" fontId="60" fillId="26" borderId="424" applyNumberFormat="0" applyProtection="0">
      <alignment horizontal="right" vertical="center"/>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30" borderId="424" applyNumberFormat="0" applyProtection="0">
      <alignment horizontal="right" vertical="center"/>
    </xf>
    <xf numFmtId="4" fontId="60" fillId="22" borderId="424" applyNumberFormat="0" applyProtection="0">
      <alignment horizontal="right" vertical="center"/>
    </xf>
    <xf numFmtId="4" fontId="100" fillId="30" borderId="424" applyNumberFormat="0" applyProtection="0">
      <alignment horizontal="right" vertical="center"/>
    </xf>
    <xf numFmtId="4" fontId="60" fillId="2" borderId="424" applyNumberFormat="0" applyProtection="0">
      <alignment horizontal="left" vertical="center" indent="1"/>
    </xf>
    <xf numFmtId="0" fontId="56" fillId="34" borderId="424" applyNumberFormat="0" applyProtection="0">
      <alignment horizontal="left" vertical="center" indent="1"/>
    </xf>
    <xf numFmtId="4" fontId="60" fillId="26" borderId="424" applyNumberFormat="0" applyProtection="0">
      <alignment horizontal="right" vertical="center"/>
    </xf>
    <xf numFmtId="4" fontId="60" fillId="2" borderId="424" applyNumberFormat="0" applyProtection="0">
      <alignment horizontal="left" vertical="center" indent="1"/>
    </xf>
    <xf numFmtId="196" fontId="83" fillId="0" borderId="431" applyFill="0" applyBorder="0" applyAlignment="0"/>
    <xf numFmtId="4" fontId="60" fillId="28" borderId="424" applyNumberFormat="0" applyProtection="0">
      <alignment horizontal="right" vertical="center"/>
    </xf>
    <xf numFmtId="0" fontId="121" fillId="60" borderId="427" applyBorder="0"/>
    <xf numFmtId="4" fontId="60" fillId="24" borderId="424" applyNumberFormat="0" applyProtection="0">
      <alignment horizontal="right" vertical="center"/>
    </xf>
    <xf numFmtId="4" fontId="60" fillId="28" borderId="424" applyNumberFormat="0" applyProtection="0">
      <alignment horizontal="right" vertical="center"/>
    </xf>
    <xf numFmtId="4" fontId="60" fillId="25" borderId="424" applyNumberFormat="0" applyProtection="0">
      <alignment horizontal="right" vertical="center"/>
    </xf>
    <xf numFmtId="4" fontId="60" fillId="35" borderId="424" applyNumberFormat="0" applyProtection="0">
      <alignment horizontal="left" vertical="center" indent="1"/>
    </xf>
    <xf numFmtId="0" fontId="146" fillId="0" borderId="430" applyNumberFormat="0" applyFill="0" applyAlignment="0" applyProtection="0">
      <alignment vertical="center"/>
    </xf>
    <xf numFmtId="4" fontId="60" fillId="26" borderId="424" applyNumberFormat="0" applyProtection="0">
      <alignment horizontal="right" vertical="center"/>
    </xf>
    <xf numFmtId="0" fontId="120" fillId="56" borderId="424" applyNumberFormat="0" applyAlignment="0" applyProtection="0"/>
    <xf numFmtId="0" fontId="118" fillId="54" borderId="426" applyNumberFormat="0" applyAlignment="0" applyProtection="0"/>
    <xf numFmtId="4" fontId="60" fillId="30" borderId="425" applyNumberFormat="0" applyProtection="0">
      <alignment horizontal="left" vertical="center" indent="1"/>
    </xf>
    <xf numFmtId="0" fontId="22" fillId="10" borderId="429" applyNumberFormat="0" applyFont="0" applyAlignment="0" applyProtection="0">
      <alignment vertical="center"/>
    </xf>
    <xf numFmtId="0" fontId="88" fillId="53" borderId="426" applyNumberFormat="0" applyFont="0" applyAlignment="0" applyProtection="0"/>
    <xf numFmtId="0" fontId="56" fillId="34" borderId="424" applyNumberFormat="0" applyProtection="0">
      <alignment horizontal="left" vertical="center" indent="1"/>
    </xf>
    <xf numFmtId="0" fontId="56" fillId="33" borderId="424" applyNumberFormat="0" applyProtection="0">
      <alignment horizontal="left" vertical="center" indent="1"/>
    </xf>
    <xf numFmtId="4" fontId="100" fillId="35" borderId="424" applyNumberFormat="0" applyProtection="0">
      <alignment vertical="center"/>
    </xf>
    <xf numFmtId="0" fontId="56" fillId="19" borderId="424" applyNumberFormat="0" applyProtection="0">
      <alignment horizontal="left" vertical="center" indent="1"/>
    </xf>
    <xf numFmtId="4" fontId="100" fillId="35" borderId="424" applyNumberFormat="0" applyProtection="0">
      <alignment vertical="center"/>
    </xf>
    <xf numFmtId="4" fontId="100" fillId="30" borderId="424" applyNumberFormat="0" applyProtection="0">
      <alignment horizontal="right" vertical="center"/>
    </xf>
    <xf numFmtId="0" fontId="121" fillId="60" borderId="427" applyBorder="0"/>
    <xf numFmtId="4" fontId="60" fillId="20" borderId="424" applyNumberFormat="0" applyProtection="0">
      <alignment horizontal="right" vertical="center"/>
    </xf>
    <xf numFmtId="4" fontId="60" fillId="30" borderId="424" applyNumberFormat="0" applyProtection="0">
      <alignment horizontal="left" vertical="center" indent="1"/>
    </xf>
    <xf numFmtId="4" fontId="60" fillId="35" borderId="424" applyNumberFormat="0" applyProtection="0">
      <alignment horizontal="left" vertical="center" indent="1"/>
    </xf>
    <xf numFmtId="0" fontId="56" fillId="34" borderId="424" applyNumberFormat="0" applyProtection="0">
      <alignment horizontal="left" vertical="center" indent="1"/>
    </xf>
    <xf numFmtId="0" fontId="121" fillId="60" borderId="427" applyBorder="0"/>
    <xf numFmtId="0" fontId="56" fillId="32" borderId="424" applyNumberFormat="0" applyProtection="0">
      <alignment horizontal="left" vertical="center" indent="1"/>
    </xf>
    <xf numFmtId="4" fontId="60" fillId="27" borderId="424" applyNumberFormat="0" applyProtection="0">
      <alignment horizontal="right" vertical="center"/>
    </xf>
    <xf numFmtId="0" fontId="56" fillId="19" borderId="424" applyNumberFormat="0" applyProtection="0">
      <alignment horizontal="left" vertical="center" indent="1"/>
    </xf>
    <xf numFmtId="4" fontId="100" fillId="35" borderId="424" applyNumberFormat="0" applyProtection="0">
      <alignment vertical="center"/>
    </xf>
    <xf numFmtId="4" fontId="60" fillId="30" borderId="424" applyNumberFormat="0" applyProtection="0">
      <alignment horizontal="right" vertical="center"/>
    </xf>
    <xf numFmtId="4" fontId="60" fillId="2" borderId="424" applyNumberFormat="0" applyProtection="0">
      <alignment horizontal="left" vertical="center" indent="1"/>
    </xf>
    <xf numFmtId="4" fontId="60" fillId="30" borderId="424" applyNumberFormat="0" applyProtection="0">
      <alignment horizontal="left" vertical="center" indent="1"/>
    </xf>
    <xf numFmtId="0" fontId="56" fillId="32" borderId="424" applyNumberFormat="0" applyProtection="0">
      <alignment horizontal="left" vertical="center" indent="1"/>
    </xf>
    <xf numFmtId="4" fontId="100" fillId="2" borderId="424" applyNumberFormat="0" applyProtection="0">
      <alignment vertical="center"/>
    </xf>
    <xf numFmtId="4" fontId="100" fillId="30" borderId="424" applyNumberFormat="0" applyProtection="0">
      <alignment horizontal="right" vertical="center"/>
    </xf>
    <xf numFmtId="4" fontId="60" fillId="24" borderId="424" applyNumberFormat="0" applyProtection="0">
      <alignment horizontal="right" vertical="center"/>
    </xf>
    <xf numFmtId="4" fontId="104" fillId="30" borderId="424" applyNumberFormat="0" applyProtection="0">
      <alignment horizontal="right" vertical="center"/>
    </xf>
    <xf numFmtId="0" fontId="56" fillId="19" borderId="424" applyNumberFormat="0" applyProtection="0">
      <alignment horizontal="left" vertical="center" indent="1"/>
    </xf>
    <xf numFmtId="4" fontId="60" fillId="28" borderId="424" applyNumberFormat="0" applyProtection="0">
      <alignment horizontal="right" vertical="center"/>
    </xf>
    <xf numFmtId="0" fontId="90" fillId="0" borderId="432">
      <alignment horizontal="left" vertical="center"/>
    </xf>
    <xf numFmtId="0" fontId="118" fillId="54" borderId="426" applyNumberFormat="0" applyAlignment="0" applyProtection="0"/>
    <xf numFmtId="0" fontId="56" fillId="34" borderId="424" applyNumberFormat="0" applyProtection="0">
      <alignment horizontal="left" vertical="center" indent="1"/>
    </xf>
    <xf numFmtId="0" fontId="56" fillId="32" borderId="424" applyNumberFormat="0" applyProtection="0">
      <alignment horizontal="left" vertical="center" indent="1"/>
    </xf>
    <xf numFmtId="0" fontId="56" fillId="19" borderId="424" applyNumberFormat="0" applyProtection="0">
      <alignment horizontal="left" vertical="center" indent="1"/>
    </xf>
    <xf numFmtId="4" fontId="100" fillId="30" borderId="424" applyNumberFormat="0" applyProtection="0">
      <alignment horizontal="right" vertical="center"/>
    </xf>
    <xf numFmtId="4" fontId="60" fillId="30" borderId="424" applyNumberFormat="0" applyProtection="0">
      <alignment horizontal="left" vertical="center" indent="1"/>
    </xf>
    <xf numFmtId="4" fontId="60" fillId="35" borderId="424" applyNumberFormat="0" applyProtection="0">
      <alignment horizontal="left" vertical="center" indent="1"/>
    </xf>
    <xf numFmtId="0" fontId="56" fillId="32" borderId="424" applyNumberFormat="0" applyProtection="0">
      <alignment horizontal="left" vertical="center" indent="1"/>
    </xf>
    <xf numFmtId="0" fontId="56" fillId="19" borderId="424" applyNumberFormat="0" applyProtection="0">
      <alignment horizontal="left" vertical="center" indent="1"/>
    </xf>
    <xf numFmtId="4" fontId="60" fillId="28" borderId="424" applyNumberFormat="0" applyProtection="0">
      <alignment horizontal="right" vertical="center"/>
    </xf>
    <xf numFmtId="4" fontId="60" fillId="23" borderId="424" applyNumberFormat="0" applyProtection="0">
      <alignment horizontal="right" vertical="center"/>
    </xf>
    <xf numFmtId="0" fontId="121" fillId="60" borderId="427" applyBorder="0"/>
    <xf numFmtId="0" fontId="121" fillId="60" borderId="427" applyBorder="0"/>
    <xf numFmtId="4" fontId="60" fillId="30" borderId="424" applyNumberFormat="0" applyProtection="0">
      <alignment horizontal="left" vertical="center" indent="1"/>
    </xf>
    <xf numFmtId="0" fontId="56" fillId="33" borderId="424" applyNumberFormat="0" applyProtection="0">
      <alignment horizontal="left" vertical="center" indent="1"/>
    </xf>
    <xf numFmtId="0" fontId="99" fillId="1" borderId="432" applyNumberFormat="0" applyFont="0" applyAlignment="0">
      <alignment horizontal="center"/>
    </xf>
    <xf numFmtId="4" fontId="60" fillId="32" borderId="424" applyNumberFormat="0" applyProtection="0">
      <alignment horizontal="left" vertical="center" indent="1"/>
    </xf>
    <xf numFmtId="0" fontId="56" fillId="32" borderId="424" applyNumberFormat="0" applyProtection="0">
      <alignment horizontal="left" vertical="center" indent="1"/>
    </xf>
    <xf numFmtId="4" fontId="60" fillId="26" borderId="424" applyNumberFormat="0" applyProtection="0">
      <alignment horizontal="right" vertical="center"/>
    </xf>
    <xf numFmtId="4" fontId="60" fillId="35" borderId="424" applyNumberFormat="0" applyProtection="0">
      <alignment horizontal="left" vertical="center" indent="1"/>
    </xf>
    <xf numFmtId="0" fontId="118" fillId="54" borderId="426" applyNumberFormat="0" applyAlignment="0" applyProtection="0"/>
    <xf numFmtId="0" fontId="56" fillId="33" borderId="424" applyNumberFormat="0" applyProtection="0">
      <alignment horizontal="left" vertical="center" indent="1"/>
    </xf>
    <xf numFmtId="4" fontId="100" fillId="30" borderId="424" applyNumberFormat="0" applyProtection="0">
      <alignment horizontal="right" vertical="center"/>
    </xf>
    <xf numFmtId="4" fontId="60" fillId="24" borderId="424" applyNumberFormat="0" applyProtection="0">
      <alignment horizontal="right" vertical="center"/>
    </xf>
    <xf numFmtId="0" fontId="56" fillId="33" borderId="424" applyNumberFormat="0" applyProtection="0">
      <alignment horizontal="left" vertical="center" indent="1"/>
    </xf>
    <xf numFmtId="4" fontId="100" fillId="30" borderId="424" applyNumberFormat="0" applyProtection="0">
      <alignment horizontal="right" vertical="center"/>
    </xf>
    <xf numFmtId="4" fontId="100" fillId="2" borderId="424" applyNumberFormat="0" applyProtection="0">
      <alignment vertical="center"/>
    </xf>
    <xf numFmtId="0" fontId="121" fillId="60" borderId="427" applyBorder="0"/>
    <xf numFmtId="4" fontId="60" fillId="23" borderId="424" applyNumberFormat="0" applyProtection="0">
      <alignment horizontal="right" vertical="center"/>
    </xf>
    <xf numFmtId="0" fontId="56" fillId="34" borderId="424" applyNumberFormat="0" applyProtection="0">
      <alignment horizontal="left" vertical="center" indent="1"/>
    </xf>
    <xf numFmtId="0" fontId="56" fillId="32" borderId="424" applyNumberFormat="0" applyProtection="0">
      <alignment horizontal="left" vertical="center" indent="1"/>
    </xf>
    <xf numFmtId="4" fontId="104" fillId="30" borderId="424" applyNumberFormat="0" applyProtection="0">
      <alignment horizontal="right" vertical="center"/>
    </xf>
    <xf numFmtId="0" fontId="118" fillId="54" borderId="426" applyNumberFormat="0" applyAlignment="0" applyProtection="0"/>
    <xf numFmtId="4" fontId="60" fillId="24" borderId="424" applyNumberFormat="0" applyProtection="0">
      <alignment horizontal="right" vertical="center"/>
    </xf>
    <xf numFmtId="0" fontId="56" fillId="19" borderId="424" applyNumberFormat="0" applyProtection="0">
      <alignment horizontal="left" vertical="center" indent="1"/>
    </xf>
    <xf numFmtId="0" fontId="114" fillId="56" borderId="426" applyNumberFormat="0" applyAlignment="0" applyProtection="0"/>
    <xf numFmtId="4" fontId="60" fillId="26" borderId="424" applyNumberFormat="0" applyProtection="0">
      <alignment horizontal="right" vertical="center"/>
    </xf>
    <xf numFmtId="0" fontId="56" fillId="19" borderId="424" applyNumberFormat="0" applyProtection="0">
      <alignment horizontal="left" vertical="center" indent="1"/>
    </xf>
    <xf numFmtId="4" fontId="60" fillId="35" borderId="424" applyNumberFormat="0" applyProtection="0">
      <alignment vertical="center"/>
    </xf>
    <xf numFmtId="0" fontId="56" fillId="34" borderId="424" applyNumberFormat="0" applyProtection="0">
      <alignment horizontal="left" vertical="center" indent="1"/>
    </xf>
    <xf numFmtId="4" fontId="60" fillId="2" borderId="424" applyNumberFormat="0" applyProtection="0">
      <alignment horizontal="left" vertical="center" indent="1"/>
    </xf>
    <xf numFmtId="10" fontId="88" fillId="17" borderId="431" applyNumberFormat="0" applyBorder="0" applyAlignment="0" applyProtection="0"/>
    <xf numFmtId="0" fontId="56" fillId="34" borderId="424" applyNumberFormat="0" applyProtection="0">
      <alignment horizontal="left" vertical="center" indent="1"/>
    </xf>
    <xf numFmtId="4" fontId="60" fillId="2" borderId="424" applyNumberFormat="0" applyProtection="0">
      <alignment vertical="center"/>
    </xf>
    <xf numFmtId="4" fontId="60" fillId="30" borderId="425" applyNumberFormat="0" applyProtection="0">
      <alignment horizontal="left" vertical="center" indent="1"/>
    </xf>
    <xf numFmtId="0" fontId="114" fillId="56" borderId="426" applyNumberFormat="0" applyAlignment="0" applyProtection="0"/>
    <xf numFmtId="4" fontId="60" fillId="24" borderId="424" applyNumberFormat="0" applyProtection="0">
      <alignment horizontal="right" vertical="center"/>
    </xf>
    <xf numFmtId="4" fontId="60" fillId="23" borderId="424" applyNumberFormat="0" applyProtection="0">
      <alignment horizontal="right" vertical="center"/>
    </xf>
    <xf numFmtId="0" fontId="90" fillId="0" borderId="432">
      <alignment horizontal="left" vertical="center"/>
    </xf>
    <xf numFmtId="4" fontId="60" fillId="35" borderId="424" applyNumberFormat="0" applyProtection="0">
      <alignment horizontal="left" vertical="center" indent="1"/>
    </xf>
    <xf numFmtId="4" fontId="60" fillId="28" borderId="424" applyNumberFormat="0" applyProtection="0">
      <alignment horizontal="right" vertical="center"/>
    </xf>
    <xf numFmtId="0" fontId="56" fillId="19" borderId="424" applyNumberFormat="0" applyProtection="0">
      <alignment horizontal="left" vertical="center" indent="1"/>
    </xf>
    <xf numFmtId="4" fontId="60" fillId="20" borderId="424" applyNumberFormat="0" applyProtection="0">
      <alignment horizontal="right" vertical="center"/>
    </xf>
    <xf numFmtId="4" fontId="100" fillId="2" borderId="424" applyNumberFormat="0" applyProtection="0">
      <alignment vertical="center"/>
    </xf>
    <xf numFmtId="4" fontId="60" fillId="35" borderId="424" applyNumberFormat="0" applyProtection="0">
      <alignment horizontal="left" vertical="center" indent="1"/>
    </xf>
    <xf numFmtId="0" fontId="118" fillId="54" borderId="426" applyNumberFormat="0" applyAlignment="0" applyProtection="0"/>
    <xf numFmtId="4" fontId="60" fillId="26" borderId="424" applyNumberFormat="0" applyProtection="0">
      <alignment horizontal="right" vertical="center"/>
    </xf>
    <xf numFmtId="4" fontId="60" fillId="2" borderId="424" applyNumberFormat="0" applyProtection="0">
      <alignment vertical="center"/>
    </xf>
    <xf numFmtId="4" fontId="60" fillId="26" borderId="424" applyNumberFormat="0" applyProtection="0">
      <alignment horizontal="right" vertical="center"/>
    </xf>
    <xf numFmtId="0" fontId="56" fillId="19" borderId="424" applyNumberFormat="0" applyProtection="0">
      <alignment horizontal="left" vertical="center" indent="1"/>
    </xf>
    <xf numFmtId="0" fontId="120" fillId="56" borderId="424" applyNumberFormat="0" applyAlignment="0" applyProtection="0"/>
    <xf numFmtId="0" fontId="56" fillId="34" borderId="424" applyNumberFormat="0" applyProtection="0">
      <alignment horizontal="left" vertical="center" indent="1"/>
    </xf>
    <xf numFmtId="4" fontId="60" fillId="27" borderId="424" applyNumberFormat="0" applyProtection="0">
      <alignment horizontal="right" vertical="center"/>
    </xf>
    <xf numFmtId="0" fontId="118" fillId="54" borderId="426" applyNumberFormat="0" applyAlignment="0" applyProtection="0"/>
    <xf numFmtId="4" fontId="60" fillId="2" borderId="424" applyNumberFormat="0" applyProtection="0">
      <alignment horizontal="left" vertical="center" indent="1"/>
    </xf>
    <xf numFmtId="0" fontId="56" fillId="34" borderId="424" applyNumberFormat="0" applyProtection="0">
      <alignment horizontal="left" vertical="center" indent="1"/>
    </xf>
    <xf numFmtId="4" fontId="60" fillId="2" borderId="424" applyNumberFormat="0" applyProtection="0">
      <alignment horizontal="left" vertical="center" indent="1"/>
    </xf>
    <xf numFmtId="4" fontId="60" fillId="35" borderId="424" applyNumberFormat="0" applyProtection="0">
      <alignment horizontal="left" vertical="center" indent="1"/>
    </xf>
    <xf numFmtId="0" fontId="56" fillId="34" borderId="424" applyNumberFormat="0" applyProtection="0">
      <alignment horizontal="left" vertical="center" indent="1"/>
    </xf>
    <xf numFmtId="0" fontId="56" fillId="33" borderId="424" applyNumberFormat="0" applyProtection="0">
      <alignment horizontal="left" vertical="center" indent="1"/>
    </xf>
    <xf numFmtId="4" fontId="60" fillId="20" borderId="424" applyNumberFormat="0" applyProtection="0">
      <alignment horizontal="right" vertical="center"/>
    </xf>
    <xf numFmtId="4" fontId="60" fillId="30" borderId="424" applyNumberFormat="0" applyProtection="0">
      <alignment horizontal="left" vertical="center" indent="1"/>
    </xf>
    <xf numFmtId="4" fontId="60" fillId="20" borderId="424" applyNumberFormat="0" applyProtection="0">
      <alignment horizontal="right" vertical="center"/>
    </xf>
    <xf numFmtId="4" fontId="60" fillId="32" borderId="424" applyNumberFormat="0" applyProtection="0">
      <alignment horizontal="left" vertical="center" indent="1"/>
    </xf>
    <xf numFmtId="4" fontId="100" fillId="30" borderId="424" applyNumberFormat="0" applyProtection="0">
      <alignment horizontal="right" vertical="center"/>
    </xf>
    <xf numFmtId="4" fontId="100" fillId="2" borderId="424" applyNumberFormat="0" applyProtection="0">
      <alignment vertical="center"/>
    </xf>
    <xf numFmtId="4" fontId="60" fillId="28" borderId="424" applyNumberFormat="0" applyProtection="0">
      <alignment horizontal="right" vertical="center"/>
    </xf>
    <xf numFmtId="4" fontId="60" fillId="24" borderId="424" applyNumberFormat="0" applyProtection="0">
      <alignment horizontal="right" vertical="center"/>
    </xf>
    <xf numFmtId="4" fontId="60" fillId="28" borderId="424" applyNumberFormat="0" applyProtection="0">
      <alignment horizontal="right" vertical="center"/>
    </xf>
    <xf numFmtId="4" fontId="100" fillId="30" borderId="424" applyNumberFormat="0" applyProtection="0">
      <alignment horizontal="right" vertical="center"/>
    </xf>
    <xf numFmtId="0" fontId="56" fillId="33" borderId="424" applyNumberFormat="0" applyProtection="0">
      <alignment horizontal="left" vertical="center" indent="1"/>
    </xf>
    <xf numFmtId="0" fontId="118" fillId="54" borderId="426" applyNumberFormat="0" applyAlignment="0" applyProtection="0"/>
    <xf numFmtId="4" fontId="60" fillId="22" borderId="424" applyNumberFormat="0" applyProtection="0">
      <alignment horizontal="right" vertical="center"/>
    </xf>
    <xf numFmtId="0" fontId="56" fillId="33" borderId="424" applyNumberFormat="0" applyProtection="0">
      <alignment horizontal="left" vertical="center" indent="1"/>
    </xf>
    <xf numFmtId="4" fontId="60" fillId="35" borderId="424" applyNumberFormat="0" applyProtection="0">
      <alignment horizontal="left" vertical="center" indent="1"/>
    </xf>
    <xf numFmtId="4" fontId="60" fillId="22" borderId="424" applyNumberFormat="0" applyProtection="0">
      <alignment horizontal="right" vertical="center"/>
    </xf>
    <xf numFmtId="4" fontId="60" fillId="35" borderId="424" applyNumberFormat="0" applyProtection="0">
      <alignment horizontal="left" vertical="center" indent="1"/>
    </xf>
    <xf numFmtId="4" fontId="60" fillId="20" borderId="424" applyNumberFormat="0" applyProtection="0">
      <alignment horizontal="right" vertical="center"/>
    </xf>
    <xf numFmtId="0" fontId="146" fillId="0" borderId="430" applyNumberFormat="0" applyFill="0" applyAlignment="0" applyProtection="0">
      <alignment vertical="center"/>
    </xf>
    <xf numFmtId="4" fontId="60" fillId="21" borderId="424" applyNumberFormat="0" applyProtection="0">
      <alignment horizontal="right" vertical="center"/>
    </xf>
    <xf numFmtId="0" fontId="157" fillId="98" borderId="428" applyNumberFormat="0" applyAlignment="0" applyProtection="0">
      <alignment vertical="center"/>
    </xf>
    <xf numFmtId="4" fontId="60" fillId="35" borderId="424" applyNumberFormat="0" applyProtection="0">
      <alignment horizontal="left" vertical="center" indent="1"/>
    </xf>
    <xf numFmtId="4" fontId="104" fillId="30" borderId="424" applyNumberFormat="0" applyProtection="0">
      <alignment horizontal="right" vertical="center"/>
    </xf>
    <xf numFmtId="4" fontId="60" fillId="23" borderId="424" applyNumberFormat="0" applyProtection="0">
      <alignment horizontal="right" vertical="center"/>
    </xf>
    <xf numFmtId="4" fontId="60" fillId="27" borderId="424" applyNumberFormat="0" applyProtection="0">
      <alignment horizontal="right" vertical="center"/>
    </xf>
    <xf numFmtId="4" fontId="60" fillId="30" borderId="424" applyNumberFormat="0" applyProtection="0">
      <alignment horizontal="left" vertical="center" indent="1"/>
    </xf>
    <xf numFmtId="4" fontId="60" fillId="35" borderId="424" applyNumberFormat="0" applyProtection="0">
      <alignment vertical="center"/>
    </xf>
    <xf numFmtId="4" fontId="60" fillId="20" borderId="424" applyNumberFormat="0" applyProtection="0">
      <alignment horizontal="right" vertical="center"/>
    </xf>
    <xf numFmtId="4" fontId="60" fillId="30" borderId="424" applyNumberFormat="0" applyProtection="0">
      <alignment horizontal="left" vertical="center" indent="1"/>
    </xf>
    <xf numFmtId="4" fontId="60" fillId="35" borderId="424" applyNumberFormat="0" applyProtection="0">
      <alignment horizontal="left" vertical="center" indent="1"/>
    </xf>
    <xf numFmtId="0" fontId="56" fillId="34" borderId="424" applyNumberFormat="0" applyProtection="0">
      <alignment horizontal="left" vertical="center" indent="1"/>
    </xf>
    <xf numFmtId="0" fontId="121" fillId="60" borderId="427" applyBorder="0"/>
    <xf numFmtId="4" fontId="60" fillId="28" borderId="424" applyNumberFormat="0" applyProtection="0">
      <alignment horizontal="right" vertical="center"/>
    </xf>
    <xf numFmtId="0" fontId="56" fillId="19"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4" fontId="60" fillId="24" borderId="424" applyNumberFormat="0" applyProtection="0">
      <alignment horizontal="right" vertical="center"/>
    </xf>
    <xf numFmtId="4" fontId="104" fillId="30" borderId="424" applyNumberFormat="0" applyProtection="0">
      <alignment horizontal="right" vertical="center"/>
    </xf>
    <xf numFmtId="4" fontId="60" fillId="2" borderId="424" applyNumberFormat="0" applyProtection="0">
      <alignment horizontal="left" vertical="center" indent="1"/>
    </xf>
    <xf numFmtId="4" fontId="60" fillId="26"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vertical="center"/>
    </xf>
    <xf numFmtId="0" fontId="56" fillId="19" borderId="424" applyNumberFormat="0" applyProtection="0">
      <alignment horizontal="left" vertical="center" indent="1"/>
    </xf>
    <xf numFmtId="0" fontId="56" fillId="33" borderId="424" applyNumberFormat="0" applyProtection="0">
      <alignment horizontal="left" vertical="center" indent="1"/>
    </xf>
    <xf numFmtId="4" fontId="60" fillId="2" borderId="424" applyNumberFormat="0" applyProtection="0">
      <alignment horizontal="left" vertical="center" indent="1"/>
    </xf>
    <xf numFmtId="4" fontId="60" fillId="20" borderId="424" applyNumberFormat="0" applyProtection="0">
      <alignment horizontal="right" vertical="center"/>
    </xf>
    <xf numFmtId="10" fontId="88" fillId="17" borderId="431" applyNumberFormat="0" applyBorder="0" applyAlignment="0" applyProtection="0"/>
    <xf numFmtId="0" fontId="99" fillId="1" borderId="432" applyNumberFormat="0" applyFont="0" applyAlignment="0">
      <alignment horizontal="center"/>
    </xf>
    <xf numFmtId="4" fontId="60" fillId="30" borderId="424" applyNumberFormat="0" applyProtection="0">
      <alignment horizontal="right" vertical="center"/>
    </xf>
    <xf numFmtId="0" fontId="151" fillId="111" borderId="428" applyNumberFormat="0" applyAlignment="0" applyProtection="0">
      <alignment vertical="center"/>
    </xf>
    <xf numFmtId="4" fontId="60" fillId="28" borderId="424" applyNumberFormat="0" applyProtection="0">
      <alignment horizontal="right" vertical="center"/>
    </xf>
    <xf numFmtId="4" fontId="60" fillId="20" borderId="424" applyNumberFormat="0" applyProtection="0">
      <alignment horizontal="right" vertical="center"/>
    </xf>
    <xf numFmtId="0" fontId="56" fillId="19" borderId="424" applyNumberFormat="0" applyProtection="0">
      <alignment horizontal="left" vertical="center" indent="1"/>
    </xf>
    <xf numFmtId="4" fontId="60" fillId="2" borderId="424" applyNumberFormat="0" applyProtection="0">
      <alignment vertical="center"/>
    </xf>
    <xf numFmtId="4" fontId="60" fillId="26" borderId="424" applyNumberFormat="0" applyProtection="0">
      <alignment horizontal="right" vertical="center"/>
    </xf>
    <xf numFmtId="0" fontId="120" fillId="56" borderId="424" applyNumberFormat="0" applyAlignment="0" applyProtection="0"/>
    <xf numFmtId="4" fontId="60" fillId="2" borderId="424" applyNumberFormat="0" applyProtection="0">
      <alignment vertical="center"/>
    </xf>
    <xf numFmtId="4" fontId="60" fillId="20" borderId="424" applyNumberFormat="0" applyProtection="0">
      <alignment horizontal="right" vertical="center"/>
    </xf>
    <xf numFmtId="0" fontId="118" fillId="54" borderId="426" applyNumberFormat="0" applyAlignment="0" applyProtection="0"/>
    <xf numFmtId="0" fontId="118" fillId="54" borderId="426" applyNumberFormat="0" applyAlignment="0" applyProtection="0"/>
    <xf numFmtId="4" fontId="101" fillId="29" borderId="424" applyNumberFormat="0" applyProtection="0">
      <alignment horizontal="left" vertical="center" indent="1"/>
    </xf>
    <xf numFmtId="0" fontId="56" fillId="33" borderId="424" applyNumberFormat="0" applyProtection="0">
      <alignment horizontal="left" vertical="center" indent="1"/>
    </xf>
    <xf numFmtId="4" fontId="100" fillId="35" borderId="424" applyNumberFormat="0" applyProtection="0">
      <alignment vertical="center"/>
    </xf>
    <xf numFmtId="0" fontId="56" fillId="19" borderId="424" applyNumberFormat="0" applyProtection="0">
      <alignment horizontal="left" vertical="center" indent="1"/>
    </xf>
    <xf numFmtId="4" fontId="60" fillId="24" borderId="424" applyNumberFormat="0" applyProtection="0">
      <alignment horizontal="right" vertical="center"/>
    </xf>
    <xf numFmtId="0" fontId="56" fillId="33" borderId="424" applyNumberFormat="0" applyProtection="0">
      <alignment horizontal="left" vertical="center" indent="1"/>
    </xf>
    <xf numFmtId="4" fontId="100" fillId="30"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6" borderId="424" applyNumberFormat="0" applyProtection="0">
      <alignment horizontal="right" vertical="center"/>
    </xf>
    <xf numFmtId="0" fontId="56" fillId="19" borderId="424" applyNumberFormat="0" applyProtection="0">
      <alignment horizontal="left" vertical="center" indent="1"/>
    </xf>
    <xf numFmtId="4" fontId="60" fillId="20" borderId="424" applyNumberFormat="0" applyProtection="0">
      <alignment horizontal="right" vertical="center"/>
    </xf>
    <xf numFmtId="0" fontId="56" fillId="32" borderId="424" applyNumberFormat="0" applyProtection="0">
      <alignment horizontal="left" vertical="center" indent="1"/>
    </xf>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4" fillId="56"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118" fillId="54" borderId="426" applyNumberForma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88" fillId="53" borderId="426" applyNumberFormat="0" applyFon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0" fontId="121" fillId="60" borderId="427" applyBorder="0"/>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60" fillId="26" borderId="424" applyNumberFormat="0" applyProtection="0">
      <alignment horizontal="right" vertical="center"/>
    </xf>
    <xf numFmtId="0" fontId="56" fillId="32" borderId="424" applyNumberFormat="0" applyProtection="0">
      <alignment horizontal="left" vertical="center" indent="1"/>
    </xf>
    <xf numFmtId="4" fontId="100" fillId="35" borderId="424" applyNumberFormat="0" applyProtection="0">
      <alignment vertical="center"/>
    </xf>
    <xf numFmtId="3" fontId="67" fillId="0" borderId="431"/>
    <xf numFmtId="4" fontId="60" fillId="35" borderId="424" applyNumberFormat="0" applyProtection="0">
      <alignment vertical="center"/>
    </xf>
    <xf numFmtId="0" fontId="99" fillId="1" borderId="432" applyNumberFormat="0" applyFont="0" applyAlignment="0">
      <alignment horizontal="center"/>
    </xf>
    <xf numFmtId="0" fontId="56" fillId="19" borderId="424" applyNumberFormat="0" applyProtection="0">
      <alignment horizontal="left" vertical="center" indent="1"/>
    </xf>
    <xf numFmtId="4" fontId="100" fillId="35" borderId="424" applyNumberFormat="0" applyProtection="0">
      <alignment vertical="center"/>
    </xf>
    <xf numFmtId="0" fontId="118" fillId="54" borderId="426" applyNumberFormat="0" applyAlignment="0" applyProtection="0"/>
    <xf numFmtId="0" fontId="22" fillId="10" borderId="429" applyNumberFormat="0" applyFont="0" applyAlignment="0" applyProtection="0">
      <alignmen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4" fontId="60" fillId="23" borderId="424" applyNumberFormat="0" applyProtection="0">
      <alignment horizontal="right" vertical="center"/>
    </xf>
    <xf numFmtId="0" fontId="118" fillId="54" borderId="426" applyNumberFormat="0" applyAlignment="0" applyProtection="0"/>
    <xf numFmtId="4" fontId="60" fillId="32" borderId="424" applyNumberFormat="0" applyProtection="0">
      <alignment horizontal="left" vertical="center" indent="1"/>
    </xf>
    <xf numFmtId="4" fontId="60" fillId="24" borderId="424" applyNumberFormat="0" applyProtection="0">
      <alignment horizontal="right" vertical="center"/>
    </xf>
    <xf numFmtId="4" fontId="60" fillId="21" borderId="424" applyNumberFormat="0" applyProtection="0">
      <alignment horizontal="right" vertical="center"/>
    </xf>
    <xf numFmtId="0" fontId="56" fillId="19" borderId="424" applyNumberFormat="0" applyProtection="0">
      <alignment horizontal="left" vertical="center" indent="1"/>
    </xf>
    <xf numFmtId="4" fontId="60" fillId="23" borderId="424" applyNumberFormat="0" applyProtection="0">
      <alignment horizontal="right" vertical="center"/>
    </xf>
    <xf numFmtId="0" fontId="90" fillId="0" borderId="432">
      <alignment horizontal="left" vertical="center"/>
    </xf>
    <xf numFmtId="4" fontId="60" fillId="32" borderId="424" applyNumberFormat="0" applyProtection="0">
      <alignment horizontal="left" vertical="center" indent="1"/>
    </xf>
    <xf numFmtId="0" fontId="114" fillId="56" borderId="426" applyNumberFormat="0" applyAlignment="0" applyProtection="0"/>
    <xf numFmtId="4" fontId="60" fillId="24" borderId="424" applyNumberFormat="0" applyProtection="0">
      <alignment horizontal="right" vertical="center"/>
    </xf>
    <xf numFmtId="4" fontId="60" fillId="27" borderId="424" applyNumberFormat="0" applyProtection="0">
      <alignment horizontal="right" vertical="center"/>
    </xf>
    <xf numFmtId="4" fontId="60" fillId="30" borderId="424" applyNumberFormat="0" applyProtection="0">
      <alignment horizontal="left" vertical="center" indent="1"/>
    </xf>
    <xf numFmtId="4" fontId="100" fillId="2" borderId="424" applyNumberFormat="0" applyProtection="0">
      <alignment vertical="center"/>
    </xf>
    <xf numFmtId="4" fontId="60" fillId="2" borderId="424" applyNumberFormat="0" applyProtection="0">
      <alignment vertical="center"/>
    </xf>
    <xf numFmtId="4" fontId="60" fillId="26"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4" fontId="60" fillId="2" borderId="424" applyNumberFormat="0" applyProtection="0">
      <alignment horizontal="left" vertical="center" indent="1"/>
    </xf>
    <xf numFmtId="0" fontId="56" fillId="34" borderId="424" applyNumberFormat="0" applyProtection="0">
      <alignment horizontal="left" vertical="center" indent="1"/>
    </xf>
    <xf numFmtId="0" fontId="88" fillId="53" borderId="426" applyNumberFormat="0" applyFont="0" applyAlignment="0" applyProtection="0"/>
    <xf numFmtId="0" fontId="118" fillId="54" borderId="426" applyNumberFormat="0" applyAlignment="0" applyProtection="0"/>
    <xf numFmtId="4" fontId="60" fillId="35" borderId="424" applyNumberFormat="0" applyProtection="0">
      <alignment horizontal="left" vertical="center" indent="1"/>
    </xf>
    <xf numFmtId="4" fontId="60" fillId="30" borderId="424" applyNumberFormat="0" applyProtection="0">
      <alignment horizontal="left" vertical="center" indent="1"/>
    </xf>
    <xf numFmtId="4" fontId="100" fillId="2" borderId="424" applyNumberFormat="0" applyProtection="0">
      <alignment vertical="center"/>
    </xf>
    <xf numFmtId="4" fontId="60" fillId="2" borderId="424" applyNumberFormat="0" applyProtection="0">
      <alignment vertical="center"/>
    </xf>
    <xf numFmtId="4" fontId="60" fillId="35" borderId="424" applyNumberFormat="0" applyProtection="0">
      <alignment horizontal="left" vertical="center" indent="1"/>
    </xf>
    <xf numFmtId="4" fontId="60" fillId="2" borderId="424" applyNumberFormat="0" applyProtection="0">
      <alignment vertical="center"/>
    </xf>
    <xf numFmtId="0" fontId="56" fillId="19" borderId="424" applyNumberFormat="0" applyProtection="0">
      <alignment horizontal="left" vertical="center" indent="1"/>
    </xf>
    <xf numFmtId="0" fontId="114" fillId="56" borderId="426" applyNumberFormat="0" applyAlignment="0" applyProtection="0"/>
    <xf numFmtId="4" fontId="60" fillId="21" borderId="424" applyNumberFormat="0" applyProtection="0">
      <alignment horizontal="right" vertical="center"/>
    </xf>
    <xf numFmtId="0" fontId="56" fillId="19" borderId="424" applyNumberFormat="0" applyProtection="0">
      <alignment horizontal="left" vertical="center" indent="1"/>
    </xf>
    <xf numFmtId="4" fontId="100" fillId="35" borderId="424" applyNumberFormat="0" applyProtection="0">
      <alignment vertical="center"/>
    </xf>
    <xf numFmtId="4" fontId="100" fillId="35" borderId="424" applyNumberFormat="0" applyProtection="0">
      <alignment vertical="center"/>
    </xf>
    <xf numFmtId="4" fontId="60" fillId="24" borderId="424" applyNumberFormat="0" applyProtection="0">
      <alignment horizontal="right" vertical="center"/>
    </xf>
    <xf numFmtId="4" fontId="101" fillId="29" borderId="424" applyNumberFormat="0" applyProtection="0">
      <alignment horizontal="left" vertical="center" indent="1"/>
    </xf>
    <xf numFmtId="0" fontId="88" fillId="61" borderId="431"/>
    <xf numFmtId="0" fontId="56" fillId="34" borderId="424" applyNumberFormat="0" applyProtection="0">
      <alignment horizontal="left" vertical="center" indent="1"/>
    </xf>
    <xf numFmtId="4" fontId="60" fillId="2" borderId="424" applyNumberFormat="0" applyProtection="0">
      <alignment horizontal="left" vertical="center" indent="1"/>
    </xf>
    <xf numFmtId="4" fontId="60" fillId="23" borderId="424" applyNumberFormat="0" applyProtection="0">
      <alignment horizontal="right" vertical="center"/>
    </xf>
    <xf numFmtId="0" fontId="90" fillId="0" borderId="432">
      <alignment horizontal="left" vertical="center"/>
    </xf>
    <xf numFmtId="4" fontId="101" fillId="29" borderId="424" applyNumberFormat="0" applyProtection="0">
      <alignment horizontal="left" vertical="center" indent="1"/>
    </xf>
    <xf numFmtId="4" fontId="60" fillId="30" borderId="424" applyNumberFormat="0" applyProtection="0">
      <alignment horizontal="left" vertical="center" indent="1"/>
    </xf>
    <xf numFmtId="4" fontId="60" fillId="24"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2" borderId="424" applyNumberFormat="0" applyProtection="0">
      <alignment horizontal="left" vertical="center" indent="1"/>
    </xf>
    <xf numFmtId="0" fontId="56" fillId="33"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32" borderId="424" applyNumberFormat="0" applyProtection="0">
      <alignment horizontal="left" vertical="center" indent="1"/>
    </xf>
    <xf numFmtId="0" fontId="146" fillId="0" borderId="430" applyNumberFormat="0" applyFill="0" applyAlignment="0" applyProtection="0">
      <alignment vertical="center"/>
    </xf>
    <xf numFmtId="4" fontId="60" fillId="35" borderId="424" applyNumberFormat="0" applyProtection="0">
      <alignment horizontal="left" vertical="center" indent="1"/>
    </xf>
    <xf numFmtId="4" fontId="60" fillId="20" borderId="424" applyNumberFormat="0" applyProtection="0">
      <alignment horizontal="right" vertical="center"/>
    </xf>
    <xf numFmtId="4" fontId="60" fillId="30" borderId="424" applyNumberFormat="0" applyProtection="0">
      <alignment horizontal="left" vertical="center" indent="1"/>
    </xf>
    <xf numFmtId="4" fontId="60" fillId="30" borderId="424" applyNumberFormat="0" applyProtection="0">
      <alignment horizontal="right" vertical="center"/>
    </xf>
    <xf numFmtId="0" fontId="56" fillId="19" borderId="424" applyNumberFormat="0" applyProtection="0">
      <alignment horizontal="left" vertical="center" indent="1"/>
    </xf>
    <xf numFmtId="4" fontId="60" fillId="26" borderId="424" applyNumberFormat="0" applyProtection="0">
      <alignment horizontal="right" vertical="center"/>
    </xf>
    <xf numFmtId="4" fontId="6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33" borderId="424" applyNumberFormat="0" applyProtection="0">
      <alignment horizontal="left" vertical="center" indent="1"/>
    </xf>
    <xf numFmtId="4" fontId="60" fillId="28" borderId="424" applyNumberFormat="0" applyProtection="0">
      <alignment horizontal="right" vertical="center"/>
    </xf>
    <xf numFmtId="0" fontId="56" fillId="19" borderId="424" applyNumberFormat="0" applyProtection="0">
      <alignment horizontal="left" vertical="center" indent="1"/>
    </xf>
    <xf numFmtId="4" fontId="60" fillId="27" borderId="424" applyNumberFormat="0" applyProtection="0">
      <alignment horizontal="right" vertical="center"/>
    </xf>
    <xf numFmtId="4" fontId="101" fillId="29" borderId="424" applyNumberFormat="0" applyProtection="0">
      <alignment horizontal="left" vertical="center" indent="1"/>
    </xf>
    <xf numFmtId="4" fontId="60" fillId="2" borderId="424" applyNumberFormat="0" applyProtection="0">
      <alignment horizontal="left" vertical="center" indent="1"/>
    </xf>
    <xf numFmtId="4" fontId="60" fillId="30" borderId="424" applyNumberFormat="0" applyProtection="0">
      <alignment horizontal="left" vertical="center" indent="1"/>
    </xf>
    <xf numFmtId="0" fontId="56" fillId="19" borderId="424" applyNumberFormat="0" applyProtection="0">
      <alignment horizontal="left" vertical="center" indent="1"/>
    </xf>
    <xf numFmtId="4" fontId="60" fillId="28" borderId="424" applyNumberFormat="0" applyProtection="0">
      <alignment horizontal="right" vertical="center"/>
    </xf>
    <xf numFmtId="0" fontId="56" fillId="32" borderId="424" applyNumberFormat="0" applyProtection="0">
      <alignment horizontal="left" vertical="center" indent="1"/>
    </xf>
    <xf numFmtId="0" fontId="120" fillId="56" borderId="424" applyNumberFormat="0" applyAlignment="0" applyProtection="0"/>
    <xf numFmtId="0" fontId="56" fillId="33" borderId="424" applyNumberFormat="0" applyProtection="0">
      <alignment horizontal="left" vertical="center" indent="1"/>
    </xf>
    <xf numFmtId="4" fontId="60" fillId="2"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3" fontId="67" fillId="0" borderId="431"/>
    <xf numFmtId="0" fontId="99" fillId="1" borderId="432" applyNumberFormat="0" applyFont="0" applyAlignment="0">
      <alignment horizontal="center"/>
    </xf>
    <xf numFmtId="4" fontId="60" fillId="27"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0" fontId="118" fillId="54" borderId="426" applyNumberFormat="0" applyAlignment="0" applyProtection="0"/>
    <xf numFmtId="0" fontId="163" fillId="111" borderId="424" applyNumberFormat="0" applyAlignment="0" applyProtection="0">
      <alignment vertical="center"/>
    </xf>
    <xf numFmtId="0" fontId="56" fillId="32" borderId="424" applyNumberFormat="0" applyProtection="0">
      <alignment horizontal="left" vertical="center" indent="1"/>
    </xf>
    <xf numFmtId="0" fontId="121" fillId="60" borderId="427" applyBorder="0"/>
    <xf numFmtId="0" fontId="151" fillId="111" borderId="428" applyNumberFormat="0" applyAlignment="0" applyProtection="0">
      <alignment vertical="center"/>
    </xf>
    <xf numFmtId="4" fontId="60" fillId="22" borderId="424" applyNumberFormat="0" applyProtection="0">
      <alignment horizontal="right" vertical="center"/>
    </xf>
    <xf numFmtId="0" fontId="56" fillId="34" borderId="424" applyNumberFormat="0" applyProtection="0">
      <alignment horizontal="left" vertical="center" indent="1"/>
    </xf>
    <xf numFmtId="4" fontId="60" fillId="22" borderId="424" applyNumberFormat="0" applyProtection="0">
      <alignment horizontal="right" vertical="center"/>
    </xf>
    <xf numFmtId="0" fontId="56" fillId="19" borderId="424" applyNumberFormat="0" applyProtection="0">
      <alignment horizontal="left" vertical="center" indent="1"/>
    </xf>
    <xf numFmtId="0" fontId="120" fillId="56" borderId="424" applyNumberFormat="0" applyAlignment="0" applyProtection="0"/>
    <xf numFmtId="4" fontId="60" fillId="20" borderId="424" applyNumberFormat="0" applyProtection="0">
      <alignment horizontal="right" vertical="center"/>
    </xf>
    <xf numFmtId="4" fontId="60" fillId="24" borderId="424" applyNumberFormat="0" applyProtection="0">
      <alignment horizontal="right" vertical="center"/>
    </xf>
    <xf numFmtId="0" fontId="56" fillId="33" borderId="424" applyNumberFormat="0" applyProtection="0">
      <alignment horizontal="left" vertical="center" indent="1"/>
    </xf>
    <xf numFmtId="4" fontId="100" fillId="30" borderId="424" applyNumberFormat="0" applyProtection="0">
      <alignment horizontal="right" vertical="center"/>
    </xf>
    <xf numFmtId="0" fontId="56" fillId="19" borderId="424" applyNumberFormat="0" applyProtection="0">
      <alignment horizontal="left" vertical="center" indent="1"/>
    </xf>
    <xf numFmtId="4" fontId="60" fillId="23" borderId="424" applyNumberFormat="0" applyProtection="0">
      <alignment horizontal="right" vertical="center"/>
    </xf>
    <xf numFmtId="0" fontId="120" fillId="56" borderId="424" applyNumberFormat="0" applyAlignment="0" applyProtection="0"/>
    <xf numFmtId="0" fontId="56" fillId="32" borderId="424" applyNumberFormat="0" applyProtection="0">
      <alignment horizontal="left" vertical="center" indent="1"/>
    </xf>
    <xf numFmtId="0" fontId="88" fillId="61" borderId="431"/>
    <xf numFmtId="0" fontId="151" fillId="111" borderId="428" applyNumberFormat="0" applyAlignment="0" applyProtection="0">
      <alignment vertical="center"/>
    </xf>
    <xf numFmtId="0" fontId="151" fillId="111" borderId="428" applyNumberFormat="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56" fillId="19" borderId="424" applyNumberFormat="0" applyProtection="0">
      <alignment horizontal="left" vertical="center" indent="1"/>
    </xf>
    <xf numFmtId="4" fontId="60" fillId="21" borderId="424" applyNumberFormat="0" applyProtection="0">
      <alignment horizontal="right" vertical="center"/>
    </xf>
    <xf numFmtId="4" fontId="60" fillId="2" borderId="424" applyNumberFormat="0" applyProtection="0">
      <alignment horizontal="left" vertical="center" indent="1"/>
    </xf>
    <xf numFmtId="4" fontId="60" fillId="30" borderId="424" applyNumberFormat="0" applyProtection="0">
      <alignment horizontal="right" vertical="center"/>
    </xf>
    <xf numFmtId="4" fontId="60" fillId="21" borderId="424" applyNumberFormat="0" applyProtection="0">
      <alignment horizontal="right" vertical="center"/>
    </xf>
    <xf numFmtId="4" fontId="60" fillId="30" borderId="424" applyNumberFormat="0" applyProtection="0">
      <alignment horizontal="left" vertical="center" indent="1"/>
    </xf>
    <xf numFmtId="0" fontId="88" fillId="61" borderId="431"/>
    <xf numFmtId="4" fontId="60" fillId="2" borderId="424" applyNumberFormat="0" applyProtection="0">
      <alignment horizontal="left" vertical="center" indent="1"/>
    </xf>
    <xf numFmtId="4" fontId="60" fillId="23" borderId="424" applyNumberFormat="0" applyProtection="0">
      <alignment horizontal="right" vertical="center"/>
    </xf>
    <xf numFmtId="0" fontId="88" fillId="53" borderId="426" applyNumberFormat="0" applyFont="0" applyAlignment="0" applyProtection="0"/>
    <xf numFmtId="4" fontId="101" fillId="29" borderId="424" applyNumberFormat="0" applyProtection="0">
      <alignment horizontal="left" vertical="center" indent="1"/>
    </xf>
    <xf numFmtId="0" fontId="56" fillId="32" borderId="424" applyNumberFormat="0" applyProtection="0">
      <alignment horizontal="left" vertical="center" indent="1"/>
    </xf>
    <xf numFmtId="0" fontId="90" fillId="0" borderId="432">
      <alignment horizontal="left" vertical="center"/>
    </xf>
    <xf numFmtId="0" fontId="56" fillId="34" borderId="424" applyNumberFormat="0" applyProtection="0">
      <alignment horizontal="left" vertical="center" indent="1"/>
    </xf>
    <xf numFmtId="4" fontId="60" fillId="21" borderId="424" applyNumberFormat="0" applyProtection="0">
      <alignment horizontal="right" vertical="center"/>
    </xf>
    <xf numFmtId="0" fontId="56" fillId="34" borderId="424" applyNumberFormat="0" applyProtection="0">
      <alignment horizontal="left" vertical="center" indent="1"/>
    </xf>
    <xf numFmtId="4" fontId="60" fillId="30" borderId="424" applyNumberFormat="0" applyProtection="0">
      <alignment horizontal="right" vertical="center"/>
    </xf>
    <xf numFmtId="4" fontId="60" fillId="35" borderId="424" applyNumberFormat="0" applyProtection="0">
      <alignment horizontal="left" vertical="center" indent="1"/>
    </xf>
    <xf numFmtId="4" fontId="100" fillId="2" borderId="424" applyNumberFormat="0" applyProtection="0">
      <alignment vertical="center"/>
    </xf>
    <xf numFmtId="0" fontId="56" fillId="19" borderId="424"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0" fillId="30" borderId="424" applyNumberFormat="0" applyProtection="0">
      <alignment horizontal="right" vertical="center"/>
    </xf>
    <xf numFmtId="0" fontId="118" fillId="54" borderId="426" applyNumberFormat="0" applyAlignment="0" applyProtection="0"/>
    <xf numFmtId="0" fontId="118" fillId="54" borderId="426" applyNumberFormat="0" applyAlignment="0" applyProtection="0"/>
    <xf numFmtId="4" fontId="60" fillId="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4" fontId="60" fillId="35" borderId="424" applyNumberFormat="0" applyProtection="0">
      <alignment horizontal="left" vertical="center" indent="1"/>
    </xf>
    <xf numFmtId="4" fontId="60" fillId="20" borderId="424" applyNumberFormat="0" applyProtection="0">
      <alignment horizontal="right" vertical="center"/>
    </xf>
    <xf numFmtId="4" fontId="100" fillId="2" borderId="424" applyNumberFormat="0" applyProtection="0">
      <alignment vertical="center"/>
    </xf>
    <xf numFmtId="0" fontId="88" fillId="53" borderId="426" applyNumberFormat="0" applyFont="0" applyAlignment="0" applyProtection="0"/>
    <xf numFmtId="0" fontId="118" fillId="54" borderId="426" applyNumberFormat="0" applyAlignment="0" applyProtection="0"/>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4" fontId="60" fillId="35" borderId="424" applyNumberFormat="0" applyProtection="0">
      <alignment vertical="center"/>
    </xf>
    <xf numFmtId="4" fontId="60" fillId="25" borderId="424" applyNumberFormat="0" applyProtection="0">
      <alignment horizontal="right" vertical="center"/>
    </xf>
    <xf numFmtId="3" fontId="67" fillId="0" borderId="431"/>
    <xf numFmtId="3" fontId="67" fillId="0" borderId="431"/>
    <xf numFmtId="4" fontId="60" fillId="27" borderId="424" applyNumberFormat="0" applyProtection="0">
      <alignment horizontal="right" vertical="center"/>
    </xf>
    <xf numFmtId="4" fontId="60" fillId="2" borderId="424" applyNumberFormat="0" applyProtection="0">
      <alignment vertical="center"/>
    </xf>
    <xf numFmtId="4" fontId="60" fillId="28" borderId="424" applyNumberFormat="0" applyProtection="0">
      <alignment horizontal="right" vertical="center"/>
    </xf>
    <xf numFmtId="0" fontId="56" fillId="19"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vertical="center"/>
    </xf>
    <xf numFmtId="0" fontId="56" fillId="34" borderId="424" applyNumberFormat="0" applyProtection="0">
      <alignment horizontal="left" vertical="center" indent="1"/>
    </xf>
    <xf numFmtId="4" fontId="100" fillId="30" borderId="424" applyNumberFormat="0" applyProtection="0">
      <alignment horizontal="right" vertical="center"/>
    </xf>
    <xf numFmtId="4" fontId="60" fillId="26" borderId="424" applyNumberFormat="0" applyProtection="0">
      <alignment horizontal="right" vertical="center"/>
    </xf>
    <xf numFmtId="4" fontId="60" fillId="22" borderId="424" applyNumberFormat="0" applyProtection="0">
      <alignment horizontal="right" vertical="center"/>
    </xf>
    <xf numFmtId="0" fontId="56" fillId="19" borderId="424" applyNumberFormat="0" applyProtection="0">
      <alignment horizontal="left" vertical="center" indent="1"/>
    </xf>
    <xf numFmtId="0" fontId="56" fillId="33"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56" fillId="33" borderId="424" applyNumberFormat="0" applyProtection="0">
      <alignment horizontal="left" vertical="center" indent="1"/>
    </xf>
    <xf numFmtId="0" fontId="56" fillId="33" borderId="424" applyNumberFormat="0" applyProtection="0">
      <alignment horizontal="left" vertical="center" indent="1"/>
    </xf>
    <xf numFmtId="4" fontId="100" fillId="35" borderId="424" applyNumberFormat="0" applyProtection="0">
      <alignment vertical="center"/>
    </xf>
    <xf numFmtId="4" fontId="60" fillId="24" borderId="424" applyNumberFormat="0" applyProtection="0">
      <alignment horizontal="right" vertical="center"/>
    </xf>
    <xf numFmtId="0" fontId="56" fillId="19" borderId="424" applyNumberFormat="0" applyProtection="0">
      <alignment horizontal="left" vertical="center" indent="1"/>
    </xf>
    <xf numFmtId="4" fontId="60" fillId="30" borderId="424" applyNumberFormat="0" applyProtection="0">
      <alignment horizontal="right" vertical="center"/>
    </xf>
    <xf numFmtId="0" fontId="56" fillId="33" borderId="424" applyNumberFormat="0" applyProtection="0">
      <alignment horizontal="left" vertical="center" indent="1"/>
    </xf>
    <xf numFmtId="4" fontId="60" fillId="21" borderId="424" applyNumberFormat="0" applyProtection="0">
      <alignment horizontal="right" vertical="center"/>
    </xf>
    <xf numFmtId="4" fontId="60" fillId="32" borderId="424" applyNumberFormat="0" applyProtection="0">
      <alignment horizontal="left" vertical="center" indent="1"/>
    </xf>
    <xf numFmtId="0" fontId="56" fillId="19" borderId="424" applyNumberFormat="0" applyProtection="0">
      <alignment horizontal="left" vertical="center" indent="1"/>
    </xf>
    <xf numFmtId="0" fontId="118" fillId="54" borderId="426" applyNumberFormat="0" applyAlignment="0" applyProtection="0"/>
    <xf numFmtId="4" fontId="60" fillId="22" borderId="424" applyNumberFormat="0" applyProtection="0">
      <alignment horizontal="right" vertical="center"/>
    </xf>
    <xf numFmtId="0" fontId="56" fillId="19" borderId="424" applyNumberFormat="0" applyProtection="0">
      <alignment horizontal="left" vertical="center" indent="1"/>
    </xf>
    <xf numFmtId="0" fontId="56" fillId="34" borderId="424" applyNumberFormat="0" applyProtection="0">
      <alignment horizontal="left" vertical="center" indent="1"/>
    </xf>
    <xf numFmtId="4" fontId="60" fillId="30" borderId="424" applyNumberFormat="0" applyProtection="0">
      <alignment horizontal="left" vertical="center" indent="1"/>
    </xf>
    <xf numFmtId="0" fontId="56" fillId="19" borderId="424" applyNumberFormat="0" applyProtection="0">
      <alignment horizontal="left" vertical="center" indent="1"/>
    </xf>
    <xf numFmtId="0" fontId="114" fillId="56" borderId="426" applyNumberFormat="0" applyAlignment="0" applyProtection="0"/>
    <xf numFmtId="0" fontId="56" fillId="34" borderId="424" applyNumberFormat="0" applyProtection="0">
      <alignment horizontal="left" vertical="center" indent="1"/>
    </xf>
    <xf numFmtId="10" fontId="88" fillId="17" borderId="431" applyNumberFormat="0" applyBorder="0" applyAlignment="0" applyProtection="0"/>
    <xf numFmtId="0" fontId="56" fillId="19" borderId="424" applyNumberFormat="0" applyProtection="0">
      <alignment horizontal="left" vertical="center" indent="1"/>
    </xf>
    <xf numFmtId="4" fontId="60" fillId="32" borderId="424" applyNumberFormat="0" applyProtection="0">
      <alignment horizontal="left" vertical="center" indent="1"/>
    </xf>
    <xf numFmtId="4" fontId="100" fillId="35" borderId="424" applyNumberFormat="0" applyProtection="0">
      <alignment vertical="center"/>
    </xf>
    <xf numFmtId="4" fontId="60" fillId="35" borderId="424" applyNumberFormat="0" applyProtection="0">
      <alignment horizontal="left" vertical="center" indent="1"/>
    </xf>
    <xf numFmtId="0" fontId="56" fillId="19" borderId="424" applyNumberFormat="0" applyProtection="0">
      <alignment horizontal="left" vertical="center" indent="1"/>
    </xf>
    <xf numFmtId="4" fontId="60" fillId="21" borderId="424" applyNumberFormat="0" applyProtection="0">
      <alignment horizontal="right" vertical="center"/>
    </xf>
    <xf numFmtId="4" fontId="60" fillId="30" borderId="424" applyNumberFormat="0" applyProtection="0">
      <alignment horizontal="left" vertical="center" indent="1"/>
    </xf>
    <xf numFmtId="4" fontId="60" fillId="30" borderId="424" applyNumberFormat="0" applyProtection="0">
      <alignment horizontal="right" vertical="center"/>
    </xf>
    <xf numFmtId="4" fontId="60" fillId="23" borderId="424" applyNumberFormat="0" applyProtection="0">
      <alignment horizontal="right" vertical="center"/>
    </xf>
    <xf numFmtId="0" fontId="56" fillId="34" borderId="424" applyNumberFormat="0" applyProtection="0">
      <alignment horizontal="left" vertical="center" indent="1"/>
    </xf>
    <xf numFmtId="4" fontId="100" fillId="35" borderId="424" applyNumberFormat="0" applyProtection="0">
      <alignment vertical="center"/>
    </xf>
    <xf numFmtId="0" fontId="56" fillId="19" borderId="424" applyNumberFormat="0" applyProtection="0">
      <alignment horizontal="left" vertical="center" indent="1"/>
    </xf>
    <xf numFmtId="4" fontId="60" fillId="28" borderId="424" applyNumberFormat="0" applyProtection="0">
      <alignment horizontal="right" vertical="center"/>
    </xf>
    <xf numFmtId="0" fontId="56" fillId="19" borderId="424" applyNumberFormat="0" applyProtection="0">
      <alignment horizontal="left" vertical="center" indent="1"/>
    </xf>
    <xf numFmtId="4" fontId="60" fillId="30"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right" vertical="center"/>
    </xf>
    <xf numFmtId="0" fontId="56" fillId="19" borderId="424" applyNumberFormat="0" applyProtection="0">
      <alignment horizontal="left" vertical="center" indent="1"/>
    </xf>
    <xf numFmtId="0" fontId="90" fillId="0" borderId="432">
      <alignment horizontal="left" vertical="center"/>
    </xf>
    <xf numFmtId="0" fontId="56" fillId="19" borderId="424" applyNumberFormat="0" applyProtection="0">
      <alignment horizontal="left" vertical="center" indent="1"/>
    </xf>
    <xf numFmtId="4" fontId="60" fillId="24" borderId="424" applyNumberFormat="0" applyProtection="0">
      <alignment horizontal="right" vertical="center"/>
    </xf>
    <xf numFmtId="4" fontId="60" fillId="26" borderId="424" applyNumberFormat="0" applyProtection="0">
      <alignment horizontal="right" vertical="center"/>
    </xf>
    <xf numFmtId="0" fontId="121" fillId="60" borderId="427" applyBorder="0"/>
    <xf numFmtId="0" fontId="56" fillId="33" borderId="424" applyNumberFormat="0" applyProtection="0">
      <alignment horizontal="left" vertical="center" indent="1"/>
    </xf>
    <xf numFmtId="0" fontId="56" fillId="19" borderId="424" applyNumberFormat="0" applyProtection="0">
      <alignment horizontal="left" vertical="center" indent="1"/>
    </xf>
    <xf numFmtId="0" fontId="56" fillId="32" borderId="424" applyNumberFormat="0" applyProtection="0">
      <alignment horizontal="left" vertical="center" indent="1"/>
    </xf>
    <xf numFmtId="0" fontId="118" fillId="54" borderId="426" applyNumberFormat="0" applyAlignment="0" applyProtection="0"/>
    <xf numFmtId="0" fontId="56" fillId="19" borderId="424" applyNumberFormat="0" applyProtection="0">
      <alignment horizontal="left" vertical="center" indent="1"/>
    </xf>
    <xf numFmtId="0" fontId="56" fillId="32"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4" fontId="60" fillId="23" borderId="424" applyNumberFormat="0" applyProtection="0">
      <alignment horizontal="right" vertical="center"/>
    </xf>
    <xf numFmtId="4" fontId="60" fillId="22" borderId="424" applyNumberFormat="0" applyProtection="0">
      <alignment horizontal="right" vertical="center"/>
    </xf>
    <xf numFmtId="4" fontId="60" fillId="2" borderId="424" applyNumberFormat="0" applyProtection="0">
      <alignment vertical="center"/>
    </xf>
    <xf numFmtId="4" fontId="60" fillId="28" borderId="424" applyNumberFormat="0" applyProtection="0">
      <alignment horizontal="right" vertical="center"/>
    </xf>
    <xf numFmtId="0" fontId="56" fillId="33" borderId="424" applyNumberFormat="0" applyProtection="0">
      <alignment horizontal="left" vertical="center" indent="1"/>
    </xf>
    <xf numFmtId="4" fontId="60" fillId="2" borderId="424" applyNumberFormat="0" applyProtection="0">
      <alignment vertical="center"/>
    </xf>
    <xf numFmtId="0" fontId="157" fillId="98" borderId="428" applyNumberFormat="0" applyAlignment="0" applyProtection="0">
      <alignment vertical="center"/>
    </xf>
    <xf numFmtId="0" fontId="118" fillId="54" borderId="426" applyNumberFormat="0" applyAlignment="0" applyProtection="0"/>
    <xf numFmtId="0" fontId="118" fillId="54" borderId="426" applyNumberFormat="0" applyAlignment="0" applyProtection="0"/>
    <xf numFmtId="4" fontId="60" fillId="22" borderId="424" applyNumberFormat="0" applyProtection="0">
      <alignment horizontal="right" vertical="center"/>
    </xf>
    <xf numFmtId="4" fontId="60" fillId="24" borderId="424" applyNumberFormat="0" applyProtection="0">
      <alignment horizontal="righ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4" fontId="60" fillId="2" borderId="424" applyNumberFormat="0" applyProtection="0">
      <alignment vertical="center"/>
    </xf>
    <xf numFmtId="0" fontId="56" fillId="19" borderId="424" applyNumberFormat="0" applyProtection="0">
      <alignment horizontal="left" vertical="center" indent="1"/>
    </xf>
    <xf numFmtId="4" fontId="60" fillId="32" borderId="424" applyNumberFormat="0" applyProtection="0">
      <alignment horizontal="left" vertical="center" indent="1"/>
    </xf>
    <xf numFmtId="4" fontId="60" fillId="30" borderId="424" applyNumberFormat="0" applyProtection="0">
      <alignment horizontal="left" vertical="center" indent="1"/>
    </xf>
    <xf numFmtId="0" fontId="22" fillId="10" borderId="429" applyNumberFormat="0" applyFont="0" applyAlignment="0" applyProtection="0">
      <alignment vertical="center"/>
    </xf>
    <xf numFmtId="0" fontId="114" fillId="56" borderId="426" applyNumberFormat="0" applyAlignment="0" applyProtection="0"/>
    <xf numFmtId="4" fontId="100" fillId="30" borderId="424" applyNumberFormat="0" applyProtection="0">
      <alignment horizontal="right" vertical="center"/>
    </xf>
    <xf numFmtId="0" fontId="118" fillId="54" borderId="426" applyNumberFormat="0" applyAlignment="0" applyProtection="0"/>
    <xf numFmtId="0" fontId="118" fillId="54" borderId="426" applyNumberFormat="0" applyAlignment="0" applyProtection="0"/>
    <xf numFmtId="0" fontId="56" fillId="32" borderId="424" applyNumberFormat="0" applyProtection="0">
      <alignment horizontal="left" vertical="center" indent="1"/>
    </xf>
    <xf numFmtId="4" fontId="60" fillId="25" borderId="424" applyNumberFormat="0" applyProtection="0">
      <alignment horizontal="right" vertical="center"/>
    </xf>
    <xf numFmtId="0" fontId="118" fillId="54" borderId="426" applyNumberFormat="0" applyAlignment="0" applyProtection="0"/>
    <xf numFmtId="0" fontId="56" fillId="19" borderId="424" applyNumberFormat="0" applyProtection="0">
      <alignment horizontal="left" vertical="center" indent="1"/>
    </xf>
    <xf numFmtId="4" fontId="100" fillId="2" borderId="424" applyNumberFormat="0" applyProtection="0">
      <alignment vertical="center"/>
    </xf>
    <xf numFmtId="0" fontId="121" fillId="60" borderId="427" applyBorder="0"/>
    <xf numFmtId="4" fontId="60" fillId="35" borderId="424" applyNumberFormat="0" applyProtection="0">
      <alignment vertical="center"/>
    </xf>
    <xf numFmtId="4" fontId="60" fillId="2" borderId="424" applyNumberFormat="0" applyProtection="0">
      <alignment horizontal="left" vertical="center" indent="1"/>
    </xf>
    <xf numFmtId="4" fontId="100" fillId="35" borderId="424" applyNumberFormat="0" applyProtection="0">
      <alignment vertical="center"/>
    </xf>
    <xf numFmtId="4" fontId="60" fillId="2" borderId="424" applyNumberFormat="0" applyProtection="0">
      <alignment vertical="center"/>
    </xf>
    <xf numFmtId="4" fontId="101" fillId="29" borderId="424" applyNumberFormat="0" applyProtection="0">
      <alignment horizontal="left" vertical="center" indent="1"/>
    </xf>
    <xf numFmtId="0" fontId="114" fillId="56" borderId="426" applyNumberFormat="0" applyAlignment="0" applyProtection="0"/>
    <xf numFmtId="0" fontId="56" fillId="19" borderId="424" applyNumberFormat="0" applyProtection="0">
      <alignment horizontal="left" vertical="center" indent="1"/>
    </xf>
    <xf numFmtId="0" fontId="118" fillId="54" borderId="426" applyNumberFormat="0" applyAlignment="0" applyProtection="0"/>
    <xf numFmtId="4" fontId="60" fillId="2" borderId="424" applyNumberFormat="0" applyProtection="0">
      <alignment horizontal="left" vertical="center" indent="1"/>
    </xf>
    <xf numFmtId="4" fontId="60" fillId="35" borderId="424" applyNumberFormat="0" applyProtection="0">
      <alignment vertical="center"/>
    </xf>
    <xf numFmtId="0" fontId="56" fillId="34" borderId="424" applyNumberFormat="0" applyProtection="0">
      <alignment horizontal="left" vertical="center" indent="1"/>
    </xf>
    <xf numFmtId="0" fontId="88" fillId="53" borderId="426" applyNumberFormat="0" applyFont="0" applyAlignment="0" applyProtection="0"/>
    <xf numFmtId="4" fontId="60" fillId="27" borderId="424" applyNumberFormat="0" applyProtection="0">
      <alignment horizontal="right" vertical="center"/>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2" borderId="424" applyNumberFormat="0" applyProtection="0">
      <alignment horizontal="right" vertical="center"/>
    </xf>
    <xf numFmtId="0" fontId="56" fillId="19" borderId="424" applyNumberFormat="0" applyProtection="0">
      <alignment horizontal="left" vertical="center" indent="1"/>
    </xf>
    <xf numFmtId="4" fontId="60" fillId="23" borderId="424" applyNumberFormat="0" applyProtection="0">
      <alignment horizontal="right" vertical="center"/>
    </xf>
    <xf numFmtId="0" fontId="56" fillId="19" borderId="424" applyNumberFormat="0" applyProtection="0">
      <alignment horizontal="left" vertical="center" indent="1"/>
    </xf>
    <xf numFmtId="0" fontId="88" fillId="53" borderId="426" applyNumberFormat="0" applyFont="0" applyAlignment="0" applyProtection="0"/>
    <xf numFmtId="4" fontId="60" fillId="26" borderId="424" applyNumberFormat="0" applyProtection="0">
      <alignment horizontal="righ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4" fontId="60" fillId="27" borderId="424" applyNumberFormat="0" applyProtection="0">
      <alignment horizontal="right" vertical="center"/>
    </xf>
    <xf numFmtId="4" fontId="60" fillId="35" borderId="424" applyNumberFormat="0" applyProtection="0">
      <alignment vertical="center"/>
    </xf>
    <xf numFmtId="4" fontId="60" fillId="32" borderId="424" applyNumberFormat="0" applyProtection="0">
      <alignment horizontal="left" vertical="center" indent="1"/>
    </xf>
    <xf numFmtId="4" fontId="60" fillId="26"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4" fontId="60" fillId="2" borderId="424" applyNumberFormat="0" applyProtection="0">
      <alignment vertical="center"/>
    </xf>
    <xf numFmtId="4" fontId="60" fillId="24" borderId="424" applyNumberFormat="0" applyProtection="0">
      <alignment horizontal="right" vertical="center"/>
    </xf>
    <xf numFmtId="0" fontId="56" fillId="33" borderId="424" applyNumberFormat="0" applyProtection="0">
      <alignment horizontal="left" vertical="center" indent="1"/>
    </xf>
    <xf numFmtId="4" fontId="60" fillId="22" borderId="424" applyNumberFormat="0" applyProtection="0">
      <alignment horizontal="right" vertical="center"/>
    </xf>
    <xf numFmtId="4" fontId="60" fillId="28" borderId="424" applyNumberFormat="0" applyProtection="0">
      <alignment horizontal="right" vertical="center"/>
    </xf>
    <xf numFmtId="4" fontId="100" fillId="35" borderId="424" applyNumberForma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118" fillId="54" borderId="426"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0" fontId="120" fillId="56" borderId="424" applyNumberFormat="0" applyAlignment="0" applyProtection="0"/>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6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0"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101" fillId="29" borderId="424" applyNumberFormat="0" applyProtection="0">
      <alignment horizontal="left" vertical="center" indent="1"/>
    </xf>
    <xf numFmtId="4" fontId="60" fillId="30" borderId="425" applyNumberFormat="0" applyProtection="0">
      <alignment horizontal="left" vertical="center" indent="1"/>
    </xf>
    <xf numFmtId="4" fontId="60" fillId="30" borderId="425"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6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6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4" fontId="104" fillId="30" borderId="424" applyNumberFormat="0" applyProtection="0">
      <alignment horizontal="right" vertical="center"/>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 borderId="424" applyNumberFormat="0" applyProtection="0">
      <alignment horizontal="left" vertical="center" indent="1"/>
    </xf>
    <xf numFmtId="4" fontId="60" fillId="35" borderId="424" applyNumberFormat="0" applyProtection="0">
      <alignment vertical="center"/>
    </xf>
    <xf numFmtId="0" fontId="56" fillId="32" borderId="424" applyNumberFormat="0" applyProtection="0">
      <alignment horizontal="left" vertical="center" indent="1"/>
    </xf>
    <xf numFmtId="0" fontId="118" fillId="54" borderId="426" applyNumberFormat="0" applyAlignment="0" applyProtection="0"/>
    <xf numFmtId="0" fontId="56" fillId="19" borderId="424" applyNumberFormat="0" applyProtection="0">
      <alignment horizontal="left" vertical="center" indent="1"/>
    </xf>
    <xf numFmtId="0" fontId="56" fillId="34" borderId="424" applyNumberFormat="0" applyProtection="0">
      <alignment horizontal="left" vertical="center" indent="1"/>
    </xf>
    <xf numFmtId="4" fontId="60" fillId="2" borderId="424" applyNumberFormat="0" applyProtection="0">
      <alignment horizontal="left" vertical="center" indent="1"/>
    </xf>
    <xf numFmtId="0" fontId="118" fillId="54" borderId="426" applyNumberFormat="0" applyAlignment="0" applyProtection="0"/>
    <xf numFmtId="4" fontId="101" fillId="29" borderId="424" applyNumberFormat="0" applyProtection="0">
      <alignment horizontal="left" vertical="center" indent="1"/>
    </xf>
    <xf numFmtId="4" fontId="60" fillId="2" borderId="424" applyNumberFormat="0" applyProtection="0">
      <alignment vertical="center"/>
    </xf>
    <xf numFmtId="4" fontId="60" fillId="23" borderId="424" applyNumberFormat="0" applyProtection="0">
      <alignment horizontal="right" vertical="center"/>
    </xf>
    <xf numFmtId="4" fontId="60" fillId="28" borderId="424" applyNumberFormat="0" applyProtection="0">
      <alignment horizontal="right" vertical="center"/>
    </xf>
    <xf numFmtId="0" fontId="56" fillId="19" borderId="424" applyNumberFormat="0" applyProtection="0">
      <alignment horizontal="left" vertical="center" indent="1"/>
    </xf>
    <xf numFmtId="196" fontId="83" fillId="0" borderId="431" applyFill="0" applyBorder="0" applyAlignment="0"/>
    <xf numFmtId="0" fontId="56" fillId="33" borderId="424" applyNumberFormat="0" applyProtection="0">
      <alignment horizontal="left" vertical="center" indent="1"/>
    </xf>
    <xf numFmtId="0" fontId="118" fillId="54" borderId="426" applyNumberFormat="0" applyAlignment="0" applyProtection="0"/>
    <xf numFmtId="0" fontId="56" fillId="19" borderId="424" applyNumberFormat="0" applyProtection="0">
      <alignment horizontal="left" vertical="center" indent="1"/>
    </xf>
    <xf numFmtId="0" fontId="56" fillId="33" borderId="424" applyNumberFormat="0" applyProtection="0">
      <alignment horizontal="left" vertical="center" indent="1"/>
    </xf>
    <xf numFmtId="4" fontId="60" fillId="23" borderId="424" applyNumberFormat="0" applyProtection="0">
      <alignment horizontal="right" vertical="center"/>
    </xf>
    <xf numFmtId="0" fontId="56" fillId="19" borderId="424" applyNumberFormat="0" applyProtection="0">
      <alignment horizontal="left" vertical="center" indent="1"/>
    </xf>
    <xf numFmtId="0" fontId="56" fillId="32"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0" fillId="2" borderId="424" applyNumberFormat="0" applyProtection="0">
      <alignment vertical="center"/>
    </xf>
    <xf numFmtId="4" fontId="100" fillId="2" borderId="424" applyNumberFormat="0" applyProtection="0">
      <alignment vertical="center"/>
    </xf>
    <xf numFmtId="4" fontId="101" fillId="29" borderId="424" applyNumberFormat="0" applyProtection="0">
      <alignment horizontal="left" vertical="center" indent="1"/>
    </xf>
    <xf numFmtId="0" fontId="56" fillId="19" borderId="424" applyNumberFormat="0" applyProtection="0">
      <alignment horizontal="left" vertical="center" indent="1"/>
    </xf>
    <xf numFmtId="4" fontId="60" fillId="28" borderId="424" applyNumberFormat="0" applyProtection="0">
      <alignment horizontal="right" vertical="center"/>
    </xf>
    <xf numFmtId="0" fontId="88" fillId="53" borderId="426" applyNumberFormat="0" applyFont="0" applyAlignment="0" applyProtection="0"/>
    <xf numFmtId="4" fontId="60" fillId="22" borderId="424" applyNumberFormat="0" applyProtection="0">
      <alignment horizontal="right" vertical="center"/>
    </xf>
    <xf numFmtId="4" fontId="100" fillId="35" borderId="424" applyNumberFormat="0" applyProtection="0">
      <alignment vertical="center"/>
    </xf>
    <xf numFmtId="0" fontId="120" fillId="56" borderId="424" applyNumberFormat="0" applyAlignment="0" applyProtection="0"/>
    <xf numFmtId="0" fontId="56" fillId="32" borderId="424" applyNumberFormat="0" applyProtection="0">
      <alignment horizontal="left" vertical="center" indent="1"/>
    </xf>
    <xf numFmtId="4" fontId="60" fillId="30" borderId="424" applyNumberFormat="0" applyProtection="0">
      <alignment horizontal="right" vertical="center"/>
    </xf>
    <xf numFmtId="0" fontId="56" fillId="19" borderId="424" applyNumberFormat="0" applyProtection="0">
      <alignment horizontal="left" vertical="center" indent="1"/>
    </xf>
    <xf numFmtId="0" fontId="114" fillId="56" borderId="426" applyNumberFormat="0" applyAlignment="0" applyProtection="0"/>
    <xf numFmtId="0" fontId="163" fillId="111" borderId="424" applyNumberFormat="0" applyAlignment="0" applyProtection="0">
      <alignment vertical="center"/>
    </xf>
    <xf numFmtId="0" fontId="121" fillId="60" borderId="427" applyBorder="0"/>
    <xf numFmtId="4" fontId="104" fillId="30" borderId="424" applyNumberFormat="0" applyProtection="0">
      <alignment horizontal="right" vertical="center"/>
    </xf>
    <xf numFmtId="4" fontId="60" fillId="30" borderId="424" applyNumberFormat="0" applyProtection="0">
      <alignment horizontal="left" vertical="center" indent="1"/>
    </xf>
    <xf numFmtId="4" fontId="60" fillId="28" borderId="424" applyNumberFormat="0" applyProtection="0">
      <alignment horizontal="right" vertical="center"/>
    </xf>
    <xf numFmtId="0" fontId="56" fillId="19" borderId="424" applyNumberFormat="0" applyProtection="0">
      <alignment horizontal="left" vertical="center" indent="1"/>
    </xf>
    <xf numFmtId="4" fontId="60" fillId="35" borderId="424" applyNumberFormat="0" applyProtection="0">
      <alignment horizontal="left" vertical="center" indent="1"/>
    </xf>
    <xf numFmtId="0" fontId="118" fillId="54" borderId="426" applyNumberFormat="0" applyAlignment="0" applyProtection="0"/>
    <xf numFmtId="4" fontId="60" fillId="30" borderId="424" applyNumberFormat="0" applyProtection="0">
      <alignment horizontal="right" vertical="center"/>
    </xf>
    <xf numFmtId="4" fontId="60" fillId="2" borderId="424" applyNumberFormat="0" applyProtection="0">
      <alignment horizontal="left" vertical="center" indent="1"/>
    </xf>
    <xf numFmtId="0" fontId="121" fillId="60" borderId="427" applyBorder="0"/>
    <xf numFmtId="4" fontId="60" fillId="32" borderId="424" applyNumberFormat="0" applyProtection="0">
      <alignment horizontal="left" vertical="center" indent="1"/>
    </xf>
    <xf numFmtId="0" fontId="56" fillId="19" borderId="424" applyNumberFormat="0" applyProtection="0">
      <alignment horizontal="left" vertical="center" indent="1"/>
    </xf>
    <xf numFmtId="0" fontId="22" fillId="10" borderId="429" applyNumberFormat="0" applyFont="0" applyAlignment="0" applyProtection="0">
      <alignment vertical="center"/>
    </xf>
    <xf numFmtId="4" fontId="60" fillId="30" borderId="424" applyNumberFormat="0" applyProtection="0">
      <alignment horizontal="right" vertical="center"/>
    </xf>
    <xf numFmtId="4" fontId="60" fillId="30" borderId="424" applyNumberFormat="0" applyProtection="0">
      <alignment horizontal="left" vertical="center" indent="1"/>
    </xf>
    <xf numFmtId="4" fontId="60" fillId="21" borderId="424" applyNumberFormat="0" applyProtection="0">
      <alignment horizontal="right" vertical="center"/>
    </xf>
    <xf numFmtId="0" fontId="56" fillId="32" borderId="424" applyNumberFormat="0" applyProtection="0">
      <alignment horizontal="left" vertical="center" indent="1"/>
    </xf>
    <xf numFmtId="4" fontId="60" fillId="30" borderId="424" applyNumberFormat="0" applyProtection="0">
      <alignment horizontal="right" vertical="center"/>
    </xf>
    <xf numFmtId="0" fontId="56" fillId="19" borderId="424" applyNumberFormat="0" applyProtection="0">
      <alignment horizontal="left" vertical="center" indent="1"/>
    </xf>
    <xf numFmtId="4" fontId="60" fillId="32" borderId="424" applyNumberFormat="0" applyProtection="0">
      <alignment horizontal="left" vertical="center" indent="1"/>
    </xf>
    <xf numFmtId="0" fontId="90" fillId="0" borderId="432">
      <alignment horizontal="left" vertical="center"/>
    </xf>
    <xf numFmtId="4" fontId="60" fillId="23" borderId="424" applyNumberFormat="0" applyProtection="0">
      <alignment horizontal="right" vertical="center"/>
    </xf>
    <xf numFmtId="4" fontId="60" fillId="35" borderId="424" applyNumberFormat="0" applyProtection="0">
      <alignment horizontal="left" vertical="center" indent="1"/>
    </xf>
    <xf numFmtId="0" fontId="118" fillId="54" borderId="426" applyNumberFormat="0" applyAlignment="0" applyProtection="0"/>
    <xf numFmtId="0" fontId="88" fillId="53" borderId="426" applyNumberFormat="0" applyFont="0" applyAlignment="0" applyProtection="0"/>
    <xf numFmtId="0" fontId="56" fillId="19" borderId="424" applyNumberFormat="0" applyProtection="0">
      <alignment horizontal="left" vertical="center" indent="1"/>
    </xf>
    <xf numFmtId="4" fontId="60" fillId="35" borderId="424" applyNumberFormat="0" applyProtection="0">
      <alignment horizontal="left" vertical="center" indent="1"/>
    </xf>
    <xf numFmtId="4" fontId="104" fillId="30" borderId="424" applyNumberFormat="0" applyProtection="0">
      <alignment horizontal="right" vertical="center"/>
    </xf>
    <xf numFmtId="0" fontId="56" fillId="3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118" fillId="54" borderId="426" applyNumberFormat="0" applyAlignment="0" applyProtection="0"/>
    <xf numFmtId="0" fontId="99" fillId="1" borderId="432" applyNumberFormat="0" applyFont="0" applyAlignment="0">
      <alignment horizontal="center"/>
    </xf>
    <xf numFmtId="0" fontId="56" fillId="19" borderId="424" applyNumberFormat="0" applyProtection="0">
      <alignment horizontal="left" vertical="center" indent="1"/>
    </xf>
    <xf numFmtId="4" fontId="60" fillId="27" borderId="424" applyNumberFormat="0" applyProtection="0">
      <alignment horizontal="right" vertical="center"/>
    </xf>
    <xf numFmtId="4" fontId="60" fillId="35" borderId="424" applyNumberFormat="0" applyProtection="0">
      <alignment vertical="center"/>
    </xf>
    <xf numFmtId="4" fontId="100" fillId="35" borderId="424" applyNumberFormat="0" applyProtection="0">
      <alignment vertical="center"/>
    </xf>
    <xf numFmtId="0" fontId="56" fillId="34" borderId="424" applyNumberFormat="0" applyProtection="0">
      <alignment horizontal="left" vertical="center" indent="1"/>
    </xf>
    <xf numFmtId="4" fontId="60" fillId="28" borderId="424" applyNumberFormat="0" applyProtection="0">
      <alignment horizontal="right" vertical="center"/>
    </xf>
    <xf numFmtId="4" fontId="60" fillId="2" borderId="424" applyNumberFormat="0" applyProtection="0">
      <alignment horizontal="left" vertical="center" indent="1"/>
    </xf>
    <xf numFmtId="4" fontId="101" fillId="29" borderId="424" applyNumberFormat="0" applyProtection="0">
      <alignment horizontal="left" vertical="center" indent="1"/>
    </xf>
    <xf numFmtId="10" fontId="88" fillId="17" borderId="431" applyNumberFormat="0" applyBorder="0" applyAlignment="0" applyProtection="0"/>
    <xf numFmtId="4" fontId="60" fillId="35" borderId="424" applyNumberFormat="0" applyProtection="0">
      <alignment vertical="center"/>
    </xf>
    <xf numFmtId="4" fontId="101" fillId="29" borderId="424" applyNumberFormat="0" applyProtection="0">
      <alignment horizontal="left" vertical="center" indent="1"/>
    </xf>
    <xf numFmtId="0" fontId="88" fillId="53" borderId="426" applyNumberFormat="0" applyFont="0" applyAlignment="0" applyProtection="0"/>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100" fillId="35" borderId="424" applyNumberFormat="0" applyProtection="0">
      <alignment vertical="center"/>
    </xf>
    <xf numFmtId="0" fontId="120" fillId="56" borderId="424" applyNumberFormat="0" applyAlignment="0" applyProtection="0"/>
    <xf numFmtId="4" fontId="60" fillId="23" borderId="424" applyNumberFormat="0" applyProtection="0">
      <alignment horizontal="right" vertical="center"/>
    </xf>
    <xf numFmtId="4" fontId="60" fillId="35" borderId="424" applyNumberFormat="0" applyProtection="0">
      <alignment horizontal="left" vertical="center" indent="1"/>
    </xf>
    <xf numFmtId="0" fontId="56" fillId="34" borderId="424" applyNumberFormat="0" applyProtection="0">
      <alignment horizontal="left" vertical="center" indent="1"/>
    </xf>
    <xf numFmtId="4" fontId="100" fillId="30" borderId="424" applyNumberFormat="0" applyProtection="0">
      <alignment horizontal="right" vertical="center"/>
    </xf>
    <xf numFmtId="4" fontId="60" fillId="30" borderId="424" applyNumberFormat="0" applyProtection="0">
      <alignment horizontal="left" vertical="center" indent="1"/>
    </xf>
    <xf numFmtId="3" fontId="67" fillId="0" borderId="431"/>
    <xf numFmtId="4" fontId="100" fillId="2" borderId="424" applyNumberFormat="0" applyProtection="0">
      <alignment vertical="center"/>
    </xf>
    <xf numFmtId="0" fontId="120" fillId="56" borderId="424" applyNumberFormat="0" applyAlignment="0" applyProtection="0"/>
    <xf numFmtId="4" fontId="60" fillId="25" borderId="424" applyNumberFormat="0" applyProtection="0">
      <alignment horizontal="righ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0" fontId="56" fillId="32" borderId="424" applyNumberFormat="0" applyProtection="0">
      <alignment horizontal="left" vertical="center" indent="1"/>
    </xf>
    <xf numFmtId="0" fontId="56" fillId="19" borderId="424" applyNumberFormat="0" applyProtection="0">
      <alignment horizontal="left" vertical="center" indent="1"/>
    </xf>
    <xf numFmtId="4" fontId="100" fillId="2" borderId="424" applyNumberFormat="0" applyProtection="0">
      <alignment vertical="center"/>
    </xf>
    <xf numFmtId="0" fontId="56" fillId="32" borderId="424" applyNumberFormat="0" applyProtection="0">
      <alignment horizontal="left" vertical="center" indent="1"/>
    </xf>
    <xf numFmtId="4" fontId="60" fillId="21" borderId="424" applyNumberFormat="0" applyProtection="0">
      <alignment horizontal="right" vertical="center"/>
    </xf>
    <xf numFmtId="0" fontId="88" fillId="53" borderId="426" applyNumberFormat="0" applyFont="0" applyAlignment="0" applyProtection="0"/>
    <xf numFmtId="0" fontId="118" fillId="54" borderId="426" applyNumberFormat="0" applyAlignment="0" applyProtection="0"/>
    <xf numFmtId="4" fontId="60" fillId="30" borderId="424" applyNumberFormat="0" applyProtection="0">
      <alignment horizontal="left" vertical="center" indent="1"/>
    </xf>
    <xf numFmtId="4" fontId="60" fillId="27" borderId="424" applyNumberFormat="0" applyProtection="0">
      <alignment horizontal="right" vertical="center"/>
    </xf>
    <xf numFmtId="0" fontId="146" fillId="0" borderId="430" applyNumberFormat="0" applyFill="0" applyAlignment="0" applyProtection="0">
      <alignment vertical="center"/>
    </xf>
    <xf numFmtId="4" fontId="60" fillId="35" borderId="424" applyNumberFormat="0" applyProtection="0">
      <alignment vertical="center"/>
    </xf>
    <xf numFmtId="0" fontId="56" fillId="34" borderId="424" applyNumberFormat="0" applyProtection="0">
      <alignment horizontal="left" vertical="center" indent="1"/>
    </xf>
    <xf numFmtId="4" fontId="60" fillId="20" borderId="424" applyNumberFormat="0" applyProtection="0">
      <alignment horizontal="right" vertical="center"/>
    </xf>
    <xf numFmtId="4" fontId="60" fillId="35" borderId="424" applyNumberFormat="0" applyProtection="0">
      <alignment horizontal="left" vertical="center" indent="1"/>
    </xf>
    <xf numFmtId="0" fontId="114" fillId="56" borderId="426" applyNumberFormat="0" applyAlignment="0" applyProtection="0"/>
    <xf numFmtId="4" fontId="60" fillId="21" borderId="424" applyNumberFormat="0" applyProtection="0">
      <alignment horizontal="right" vertical="center"/>
    </xf>
    <xf numFmtId="0" fontId="56" fillId="19" borderId="424" applyNumberFormat="0" applyProtection="0">
      <alignment horizontal="left" vertical="center" indent="1"/>
    </xf>
    <xf numFmtId="3" fontId="67" fillId="0" borderId="431"/>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 borderId="424" applyNumberFormat="0" applyProtection="0">
      <alignment horizontal="left" vertical="center" indent="1"/>
    </xf>
    <xf numFmtId="4" fontId="60" fillId="26" borderId="424" applyNumberFormat="0" applyProtection="0">
      <alignment horizontal="right" vertical="center"/>
    </xf>
    <xf numFmtId="4" fontId="60" fillId="35" borderId="424" applyNumberFormat="0" applyProtection="0">
      <alignment horizontal="left" vertical="center" indent="1"/>
    </xf>
    <xf numFmtId="10" fontId="88" fillId="17" borderId="431" applyNumberFormat="0" applyBorder="0" applyAlignment="0" applyProtection="0"/>
    <xf numFmtId="4" fontId="60" fillId="27" borderId="424" applyNumberFormat="0" applyProtection="0">
      <alignment horizontal="right" vertical="center"/>
    </xf>
    <xf numFmtId="0" fontId="157" fillId="98" borderId="428" applyNumberFormat="0" applyAlignment="0" applyProtection="0">
      <alignment vertical="center"/>
    </xf>
    <xf numFmtId="10" fontId="88" fillId="17" borderId="431" applyNumberFormat="0" applyBorder="0" applyAlignment="0" applyProtection="0"/>
    <xf numFmtId="4" fontId="100" fillId="30" borderId="424" applyNumberFormat="0" applyProtection="0">
      <alignment horizontal="right" vertical="center"/>
    </xf>
    <xf numFmtId="4" fontId="60" fillId="21" borderId="424" applyNumberFormat="0" applyProtection="0">
      <alignment horizontal="right" vertical="center"/>
    </xf>
    <xf numFmtId="0" fontId="120" fillId="56" borderId="424" applyNumberFormat="0" applyAlignment="0" applyProtection="0"/>
    <xf numFmtId="4" fontId="60" fillId="25" borderId="424" applyNumberFormat="0" applyProtection="0">
      <alignment horizontal="right" vertical="center"/>
    </xf>
    <xf numFmtId="0" fontId="56" fillId="34" borderId="424" applyNumberFormat="0" applyProtection="0">
      <alignment horizontal="left" vertical="center" indent="1"/>
    </xf>
    <xf numFmtId="4" fontId="60" fillId="2" borderId="424" applyNumberFormat="0" applyProtection="0">
      <alignment vertical="center"/>
    </xf>
    <xf numFmtId="4" fontId="60" fillId="22" borderId="424" applyNumberFormat="0" applyProtection="0">
      <alignment horizontal="right" vertical="center"/>
    </xf>
    <xf numFmtId="0" fontId="114" fillId="56" borderId="426" applyNumberFormat="0" applyAlignment="0" applyProtection="0"/>
    <xf numFmtId="0" fontId="118" fillId="54" borderId="426" applyNumberFormat="0" applyAlignment="0" applyProtection="0"/>
    <xf numFmtId="4" fontId="60" fillId="2" borderId="424" applyNumberFormat="0" applyProtection="0">
      <alignment horizontal="left" vertical="center" indent="1"/>
    </xf>
    <xf numFmtId="0" fontId="56" fillId="34" borderId="424" applyNumberFormat="0" applyProtection="0">
      <alignment horizontal="left" vertical="center" indent="1"/>
    </xf>
    <xf numFmtId="4" fontId="60" fillId="27" borderId="424" applyNumberFormat="0" applyProtection="0">
      <alignment horizontal="right" vertical="center"/>
    </xf>
    <xf numFmtId="4" fontId="60" fillId="26" borderId="424" applyNumberFormat="0" applyProtection="0">
      <alignment horizontal="right" vertical="center"/>
    </xf>
    <xf numFmtId="4" fontId="60" fillId="30" borderId="425" applyNumberFormat="0" applyProtection="0">
      <alignment horizontal="left" vertical="center" indent="1"/>
    </xf>
    <xf numFmtId="4" fontId="60" fillId="30" borderId="424" applyNumberFormat="0" applyProtection="0">
      <alignment horizontal="left" vertical="center" indent="1"/>
    </xf>
    <xf numFmtId="0" fontId="118" fillId="54" borderId="426" applyNumberFormat="0" applyAlignment="0" applyProtection="0"/>
    <xf numFmtId="4" fontId="60" fillId="35" borderId="424" applyNumberFormat="0" applyProtection="0">
      <alignment horizontal="left" vertical="center" indent="1"/>
    </xf>
    <xf numFmtId="4" fontId="104" fillId="30" borderId="424" applyNumberFormat="0" applyProtection="0">
      <alignment horizontal="right" vertical="center"/>
    </xf>
    <xf numFmtId="4" fontId="60" fillId="35" borderId="424" applyNumberFormat="0" applyProtection="0">
      <alignment horizontal="left" vertical="center" indent="1"/>
    </xf>
    <xf numFmtId="0" fontId="120" fillId="56" borderId="424" applyNumberFormat="0" applyAlignment="0" applyProtection="0"/>
    <xf numFmtId="4" fontId="60" fillId="32" borderId="424" applyNumberFormat="0" applyProtection="0">
      <alignment horizontal="left" vertical="center" indent="1"/>
    </xf>
    <xf numFmtId="4" fontId="60" fillId="21" borderId="424" applyNumberFormat="0" applyProtection="0">
      <alignment horizontal="right" vertical="center"/>
    </xf>
    <xf numFmtId="0" fontId="56" fillId="33" borderId="424" applyNumberFormat="0" applyProtection="0">
      <alignment horizontal="left" vertical="center" indent="1"/>
    </xf>
    <xf numFmtId="4" fontId="60" fillId="35" borderId="424" applyNumberFormat="0" applyProtection="0">
      <alignment vertical="center"/>
    </xf>
    <xf numFmtId="4" fontId="100" fillId="2" borderId="424" applyNumberFormat="0" applyProtection="0">
      <alignment vertical="center"/>
    </xf>
    <xf numFmtId="4" fontId="104" fillId="30" borderId="424" applyNumberFormat="0" applyProtection="0">
      <alignment horizontal="right" vertical="center"/>
    </xf>
    <xf numFmtId="0" fontId="22" fillId="10" borderId="429" applyNumberFormat="0" applyFont="0" applyAlignment="0" applyProtection="0">
      <alignment vertical="center"/>
    </xf>
    <xf numFmtId="0" fontId="56" fillId="32" borderId="424" applyNumberFormat="0" applyProtection="0">
      <alignment horizontal="left" vertical="center" indent="1"/>
    </xf>
    <xf numFmtId="4" fontId="100" fillId="2" borderId="424" applyNumberFormat="0" applyProtection="0">
      <alignment vertical="center"/>
    </xf>
    <xf numFmtId="3" fontId="67" fillId="0" borderId="431"/>
    <xf numFmtId="4" fontId="60" fillId="25" borderId="424" applyNumberFormat="0" applyProtection="0">
      <alignment horizontal="right" vertical="center"/>
    </xf>
    <xf numFmtId="4" fontId="60" fillId="24" borderId="424" applyNumberFormat="0" applyProtection="0">
      <alignment horizontal="right" vertical="center"/>
    </xf>
    <xf numFmtId="4" fontId="60" fillId="2" borderId="424" applyNumberFormat="0" applyProtection="0">
      <alignment horizontal="left" vertical="center" indent="1"/>
    </xf>
    <xf numFmtId="4" fontId="101" fillId="29"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60" fillId="35" borderId="424" applyNumberFormat="0" applyProtection="0">
      <alignment horizontal="left" vertical="center" indent="1"/>
    </xf>
    <xf numFmtId="4" fontId="100" fillId="35" borderId="424" applyNumberFormat="0" applyProtection="0">
      <alignment vertical="center"/>
    </xf>
    <xf numFmtId="4" fontId="104" fillId="30" borderId="424" applyNumberFormat="0" applyProtection="0">
      <alignment horizontal="right" vertical="center"/>
    </xf>
    <xf numFmtId="0" fontId="56" fillId="19" borderId="424" applyNumberFormat="0" applyProtection="0">
      <alignment horizontal="left" vertical="center" indent="1"/>
    </xf>
    <xf numFmtId="4" fontId="100" fillId="2" borderId="424" applyNumberFormat="0" applyProtection="0">
      <alignment vertical="center"/>
    </xf>
    <xf numFmtId="4" fontId="60" fillId="30" borderId="424" applyNumberFormat="0" applyProtection="0">
      <alignment horizontal="left" vertical="center" indent="1"/>
    </xf>
    <xf numFmtId="3" fontId="67" fillId="0" borderId="431"/>
    <xf numFmtId="0" fontId="121" fillId="60" borderId="427" applyBorder="0"/>
    <xf numFmtId="0" fontId="121" fillId="60" borderId="427" applyBorder="0"/>
    <xf numFmtId="4" fontId="100" fillId="2" borderId="424" applyNumberFormat="0" applyProtection="0">
      <alignment vertical="center"/>
    </xf>
    <xf numFmtId="4" fontId="60" fillId="2" borderId="424" applyNumberFormat="0" applyProtection="0">
      <alignment horizontal="left" vertical="center" indent="1"/>
    </xf>
    <xf numFmtId="4" fontId="101" fillId="29" borderId="424" applyNumberFormat="0" applyProtection="0">
      <alignment horizontal="left" vertical="center" indent="1"/>
    </xf>
    <xf numFmtId="4" fontId="60" fillId="35" borderId="424" applyNumberFormat="0" applyProtection="0">
      <alignment vertical="center"/>
    </xf>
    <xf numFmtId="0" fontId="56" fillId="19" borderId="424" applyNumberFormat="0" applyProtection="0">
      <alignment horizontal="left" vertical="center" indent="1"/>
    </xf>
    <xf numFmtId="4" fontId="60" fillId="28" borderId="424" applyNumberFormat="0" applyProtection="0">
      <alignment horizontal="right" vertical="center"/>
    </xf>
    <xf numFmtId="4" fontId="60" fillId="30" borderId="424" applyNumberFormat="0" applyProtection="0">
      <alignment horizontal="right" vertical="center"/>
    </xf>
    <xf numFmtId="3" fontId="67" fillId="0" borderId="431"/>
    <xf numFmtId="4" fontId="60" fillId="22" borderId="424" applyNumberFormat="0" applyProtection="0">
      <alignment horizontal="right" vertical="center"/>
    </xf>
    <xf numFmtId="4" fontId="100" fillId="35" borderId="424" applyNumberFormat="0" applyProtection="0">
      <alignment vertical="center"/>
    </xf>
    <xf numFmtId="0" fontId="88" fillId="53" borderId="426" applyNumberFormat="0" applyFont="0" applyAlignment="0" applyProtection="0"/>
    <xf numFmtId="196" fontId="83" fillId="0" borderId="431" applyFill="0" applyBorder="0" applyAlignment="0"/>
    <xf numFmtId="4" fontId="60" fillId="2" borderId="424" applyNumberFormat="0" applyProtection="0">
      <alignment vertical="center"/>
    </xf>
    <xf numFmtId="4" fontId="60" fillId="26" borderId="424" applyNumberFormat="0" applyProtection="0">
      <alignment horizontal="right" vertical="center"/>
    </xf>
    <xf numFmtId="4" fontId="60" fillId="25" borderId="424" applyNumberFormat="0" applyProtection="0">
      <alignment horizontal="right" vertical="center"/>
    </xf>
    <xf numFmtId="4" fontId="6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99" fillId="1" borderId="432" applyNumberFormat="0" applyFont="0" applyAlignment="0">
      <alignment horizont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101" fillId="29" borderId="424" applyNumberFormat="0" applyProtection="0">
      <alignment horizontal="left" vertical="center" indent="1"/>
    </xf>
    <xf numFmtId="4" fontId="104" fillId="30" borderId="424" applyNumberFormat="0" applyProtection="0">
      <alignment horizontal="right" vertical="center"/>
    </xf>
    <xf numFmtId="4" fontId="60" fillId="22" borderId="424" applyNumberFormat="0" applyProtection="0">
      <alignment horizontal="right" vertical="center"/>
    </xf>
    <xf numFmtId="196" fontId="83" fillId="0" borderId="431" applyFill="0" applyBorder="0" applyAlignment="0"/>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0" borderId="424" applyNumberFormat="0" applyProtection="0">
      <alignment horizontal="left" vertical="center" indent="1"/>
    </xf>
    <xf numFmtId="0" fontId="121" fillId="60" borderId="427" applyBorder="0"/>
    <xf numFmtId="0" fontId="56" fillId="19" borderId="424" applyNumberFormat="0" applyProtection="0">
      <alignment horizontal="left" vertical="center" indent="1"/>
    </xf>
    <xf numFmtId="0" fontId="56" fillId="33" borderId="424" applyNumberFormat="0" applyProtection="0">
      <alignment horizontal="left" vertical="center" indent="1"/>
    </xf>
    <xf numFmtId="4" fontId="60" fillId="21" borderId="424" applyNumberFormat="0" applyProtection="0">
      <alignment horizontal="right" vertical="center"/>
    </xf>
    <xf numFmtId="4" fontId="60" fillId="22" borderId="424" applyNumberFormat="0" applyProtection="0">
      <alignment horizontal="right" vertical="center"/>
    </xf>
    <xf numFmtId="0" fontId="56" fillId="19" borderId="424" applyNumberFormat="0" applyProtection="0">
      <alignment horizontal="left" vertical="center" indent="1"/>
    </xf>
    <xf numFmtId="0" fontId="56" fillId="32" borderId="424" applyNumberFormat="0" applyProtection="0">
      <alignment horizontal="left" vertical="center" indent="1"/>
    </xf>
    <xf numFmtId="4" fontId="60" fillId="25" borderId="424" applyNumberFormat="0" applyProtection="0">
      <alignment horizontal="right" vertical="center"/>
    </xf>
    <xf numFmtId="4" fontId="60" fillId="25" borderId="424" applyNumberFormat="0" applyProtection="0">
      <alignment horizontal="right" vertical="center"/>
    </xf>
    <xf numFmtId="0" fontId="56" fillId="32" borderId="424" applyNumberFormat="0" applyProtection="0">
      <alignment horizontal="left" vertical="center" indent="1"/>
    </xf>
    <xf numFmtId="0" fontId="56" fillId="19" borderId="424" applyNumberFormat="0" applyProtection="0">
      <alignment horizontal="left" vertical="center" indent="1"/>
    </xf>
    <xf numFmtId="4" fontId="60" fillId="30" borderId="425" applyNumberFormat="0" applyProtection="0">
      <alignment horizontal="left" vertical="center" indent="1"/>
    </xf>
    <xf numFmtId="4" fontId="60" fillId="35" borderId="424" applyNumberFormat="0" applyProtection="0">
      <alignment vertical="center"/>
    </xf>
    <xf numFmtId="0" fontId="56" fillId="19" borderId="424" applyNumberFormat="0" applyProtection="0">
      <alignment horizontal="left" vertical="center" indent="1"/>
    </xf>
    <xf numFmtId="4" fontId="60" fillId="32" borderId="424" applyNumberFormat="0" applyProtection="0">
      <alignment horizontal="left" vertical="center" indent="1"/>
    </xf>
    <xf numFmtId="0" fontId="56" fillId="34" borderId="424" applyNumberFormat="0" applyProtection="0">
      <alignment horizontal="left" vertical="center" indent="1"/>
    </xf>
    <xf numFmtId="4" fontId="60" fillId="35"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4" fontId="60" fillId="23" borderId="424" applyNumberFormat="0" applyProtection="0">
      <alignment horizontal="right" vertical="center"/>
    </xf>
    <xf numFmtId="4" fontId="60" fillId="35" borderId="424" applyNumberFormat="0" applyProtection="0">
      <alignment horizontal="left" vertical="center" indent="1"/>
    </xf>
    <xf numFmtId="0" fontId="163" fillId="111" borderId="424" applyNumberFormat="0" applyAlignment="0" applyProtection="0">
      <alignment vertical="center"/>
    </xf>
    <xf numFmtId="196" fontId="83" fillId="0" borderId="431" applyFill="0" applyBorder="0" applyAlignment="0"/>
    <xf numFmtId="4" fontId="60" fillId="32" borderId="424" applyNumberFormat="0" applyProtection="0">
      <alignment horizontal="left" vertical="center" indent="1"/>
    </xf>
    <xf numFmtId="4" fontId="60" fillId="25" borderId="424" applyNumberFormat="0" applyProtection="0">
      <alignment horizontal="right" vertical="center"/>
    </xf>
    <xf numFmtId="0" fontId="118" fillId="54" borderId="426" applyNumberFormat="0" applyAlignment="0" applyProtection="0"/>
    <xf numFmtId="4" fontId="104" fillId="30" borderId="424" applyNumberFormat="0" applyProtection="0">
      <alignment horizontal="right" vertical="center"/>
    </xf>
    <xf numFmtId="0" fontId="56" fillId="32" borderId="424" applyNumberFormat="0" applyProtection="0">
      <alignment horizontal="left" vertical="center" indent="1"/>
    </xf>
    <xf numFmtId="4" fontId="60" fillId="32" borderId="424" applyNumberFormat="0" applyProtection="0">
      <alignment horizontal="left" vertical="center" indent="1"/>
    </xf>
    <xf numFmtId="4" fontId="60" fillId="35" borderId="424" applyNumberFormat="0" applyProtection="0">
      <alignment vertical="center"/>
    </xf>
    <xf numFmtId="4" fontId="60" fillId="2" borderId="424" applyNumberFormat="0" applyProtection="0">
      <alignment horizontal="left" vertical="center" indent="1"/>
    </xf>
    <xf numFmtId="4" fontId="60" fillId="26" borderId="424" applyNumberFormat="0" applyProtection="0">
      <alignment horizontal="right" vertical="center"/>
    </xf>
    <xf numFmtId="4" fontId="60" fillId="35" borderId="424" applyNumberFormat="0" applyProtection="0">
      <alignment vertical="center"/>
    </xf>
    <xf numFmtId="0" fontId="56" fillId="34" borderId="424" applyNumberFormat="0" applyProtection="0">
      <alignment horizontal="left" vertical="center" indent="1"/>
    </xf>
    <xf numFmtId="0" fontId="56" fillId="33" borderId="424" applyNumberFormat="0" applyProtection="0">
      <alignment horizontal="left" vertical="center" indent="1"/>
    </xf>
    <xf numFmtId="4" fontId="60" fillId="35" borderId="424" applyNumberFormat="0" applyProtection="0">
      <alignment horizontal="left" vertical="center" indent="1"/>
    </xf>
    <xf numFmtId="4" fontId="100" fillId="30" borderId="424" applyNumberFormat="0" applyProtection="0">
      <alignment horizontal="right" vertical="center"/>
    </xf>
    <xf numFmtId="4" fontId="60" fillId="35" borderId="424" applyNumberFormat="0" applyProtection="0">
      <alignment vertical="center"/>
    </xf>
    <xf numFmtId="4" fontId="60" fillId="2" borderId="424" applyNumberFormat="0" applyProtection="0">
      <alignment horizontal="left" vertical="center" indent="1"/>
    </xf>
    <xf numFmtId="4" fontId="60" fillId="35" borderId="424" applyNumberFormat="0" applyProtection="0">
      <alignment horizontal="left" vertical="center" indent="1"/>
    </xf>
    <xf numFmtId="4" fontId="60" fillId="2" borderId="424" applyNumberFormat="0" applyProtection="0">
      <alignment vertical="center"/>
    </xf>
    <xf numFmtId="0" fontId="56" fillId="19" borderId="424" applyNumberFormat="0" applyProtection="0">
      <alignment horizontal="left" vertical="center" indent="1"/>
    </xf>
    <xf numFmtId="0" fontId="56" fillId="34" borderId="424" applyNumberFormat="0" applyProtection="0">
      <alignment horizontal="left" vertical="center" indent="1"/>
    </xf>
    <xf numFmtId="0" fontId="120" fillId="56" borderId="424" applyNumberFormat="0" applyAlignment="0" applyProtection="0"/>
    <xf numFmtId="4" fontId="104" fillId="30" borderId="424" applyNumberFormat="0" applyProtection="0">
      <alignment horizontal="right" vertical="center"/>
    </xf>
    <xf numFmtId="4" fontId="60" fillId="23" borderId="424" applyNumberFormat="0" applyProtection="0">
      <alignment horizontal="righ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0" fillId="35" borderId="424" applyNumberFormat="0" applyProtection="0">
      <alignment vertical="center"/>
    </xf>
    <xf numFmtId="4" fontId="60" fillId="35" borderId="424" applyNumberFormat="0" applyProtection="0">
      <alignment horizontal="left" vertical="center" indent="1"/>
    </xf>
    <xf numFmtId="4" fontId="60" fillId="2" borderId="424" applyNumberFormat="0" applyProtection="0">
      <alignment horizontal="left" vertical="center" indent="1"/>
    </xf>
    <xf numFmtId="0" fontId="114" fillId="56" borderId="426" applyNumberFormat="0" applyAlignment="0" applyProtection="0"/>
    <xf numFmtId="4" fontId="60" fillId="25" borderId="424" applyNumberFormat="0" applyProtection="0">
      <alignment horizontal="right" vertical="center"/>
    </xf>
    <xf numFmtId="0" fontId="56" fillId="33" borderId="424" applyNumberFormat="0" applyProtection="0">
      <alignment horizontal="left" vertical="center" indent="1"/>
    </xf>
    <xf numFmtId="0" fontId="56" fillId="19" borderId="424" applyNumberFormat="0" applyProtection="0">
      <alignment horizontal="left" vertical="center" indent="1"/>
    </xf>
    <xf numFmtId="4" fontId="60" fillId="25" borderId="424" applyNumberFormat="0" applyProtection="0">
      <alignment horizontal="right" vertical="center"/>
    </xf>
    <xf numFmtId="0" fontId="56" fillId="34" borderId="424" applyNumberFormat="0" applyProtection="0">
      <alignment horizontal="left" vertical="center" indent="1"/>
    </xf>
    <xf numFmtId="4" fontId="60" fillId="30" borderId="424" applyNumberFormat="0" applyProtection="0">
      <alignment horizontal="right" vertical="center"/>
    </xf>
    <xf numFmtId="10" fontId="88" fillId="17" borderId="431" applyNumberFormat="0" applyBorder="0" applyAlignment="0" applyProtection="0"/>
    <xf numFmtId="4" fontId="60" fillId="2" borderId="424" applyNumberFormat="0" applyProtection="0">
      <alignment horizontal="left" vertical="center" indent="1"/>
    </xf>
    <xf numFmtId="0" fontId="56" fillId="32" borderId="424" applyNumberFormat="0" applyProtection="0">
      <alignment horizontal="left" vertical="center" indent="1"/>
    </xf>
    <xf numFmtId="0" fontId="88" fillId="61" borderId="431"/>
    <xf numFmtId="0" fontId="88" fillId="53" borderId="426" applyNumberFormat="0" applyFont="0" applyAlignment="0" applyProtection="0"/>
    <xf numFmtId="0" fontId="56" fillId="19"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6" borderId="424" applyNumberFormat="0" applyProtection="0">
      <alignment horizontal="right" vertical="center"/>
    </xf>
    <xf numFmtId="4" fontId="60" fillId="2" borderId="424" applyNumberFormat="0" applyProtection="0">
      <alignment horizontal="left" vertical="center" indent="1"/>
    </xf>
    <xf numFmtId="4" fontId="60" fillId="27"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0" borderId="425" applyNumberFormat="0" applyProtection="0">
      <alignment horizontal="left" vertical="center" indent="1"/>
    </xf>
    <xf numFmtId="4" fontId="60" fillId="35" borderId="424" applyNumberFormat="0" applyProtection="0">
      <alignment vertical="center"/>
    </xf>
    <xf numFmtId="4" fontId="60" fillId="22" borderId="424" applyNumberFormat="0" applyProtection="0">
      <alignment horizontal="right" vertical="center"/>
    </xf>
    <xf numFmtId="4" fontId="60" fillId="30" borderId="424" applyNumberFormat="0" applyProtection="0">
      <alignment horizontal="left" vertical="center" indent="1"/>
    </xf>
    <xf numFmtId="4" fontId="60" fillId="21" borderId="424" applyNumberFormat="0" applyProtection="0">
      <alignment horizontal="right" vertical="center"/>
    </xf>
    <xf numFmtId="0" fontId="118" fillId="54" borderId="426" applyNumberFormat="0" applyAlignment="0" applyProtection="0"/>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24" borderId="424" applyNumberFormat="0" applyProtection="0">
      <alignment horizontal="right" vertical="center"/>
    </xf>
    <xf numFmtId="4" fontId="101" fillId="29" borderId="424" applyNumberFormat="0" applyProtection="0">
      <alignment horizontal="left" vertical="center" indent="1"/>
    </xf>
    <xf numFmtId="4" fontId="60" fillId="30" borderId="425" applyNumberFormat="0" applyProtection="0">
      <alignment horizontal="left" vertical="center" indent="1"/>
    </xf>
    <xf numFmtId="4" fontId="60" fillId="22" borderId="424" applyNumberFormat="0" applyProtection="0">
      <alignment horizontal="right" vertical="center"/>
    </xf>
    <xf numFmtId="4" fontId="100" fillId="30" borderId="424" applyNumberFormat="0" applyProtection="0">
      <alignment horizontal="right" vertical="center"/>
    </xf>
    <xf numFmtId="0" fontId="118" fillId="54" borderId="426" applyNumberFormat="0" applyAlignment="0" applyProtection="0"/>
    <xf numFmtId="0" fontId="120" fillId="56" borderId="424" applyNumberFormat="0" applyAlignment="0" applyProtection="0"/>
    <xf numFmtId="4" fontId="60" fillId="26" borderId="424" applyNumberFormat="0" applyProtection="0">
      <alignment horizontal="right" vertical="center"/>
    </xf>
    <xf numFmtId="0" fontId="56" fillId="19" borderId="424" applyNumberFormat="0" applyProtection="0">
      <alignment horizontal="left" vertical="center" indent="1"/>
    </xf>
    <xf numFmtId="0" fontId="56" fillId="33" borderId="424" applyNumberFormat="0" applyProtection="0">
      <alignment horizontal="left" vertical="center" indent="1"/>
    </xf>
    <xf numFmtId="0" fontId="56" fillId="19" borderId="424" applyNumberFormat="0" applyProtection="0">
      <alignment horizontal="left" vertical="center" indent="1"/>
    </xf>
    <xf numFmtId="0" fontId="120" fillId="56" borderId="424" applyNumberFormat="0" applyAlignment="0" applyProtection="0"/>
    <xf numFmtId="4" fontId="60" fillId="22" borderId="424" applyNumberFormat="0" applyProtection="0">
      <alignment horizontal="right" vertical="center"/>
    </xf>
    <xf numFmtId="0" fontId="118" fillId="54" borderId="426" applyNumberFormat="0" applyAlignment="0" applyProtection="0"/>
    <xf numFmtId="4" fontId="60" fillId="2"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4" fontId="60" fillId="2" borderId="424" applyNumberFormat="0" applyProtection="0">
      <alignment horizontal="left" vertical="center" indent="1"/>
    </xf>
    <xf numFmtId="4" fontId="60" fillId="32" borderId="424" applyNumberFormat="0" applyProtection="0">
      <alignment horizontal="left" vertical="center" indent="1"/>
    </xf>
    <xf numFmtId="4" fontId="60" fillId="24" borderId="424" applyNumberFormat="0" applyProtection="0">
      <alignment horizontal="right" vertical="center"/>
    </xf>
    <xf numFmtId="4" fontId="100" fillId="2" borderId="424" applyNumberFormat="0" applyProtection="0">
      <alignment vertical="center"/>
    </xf>
    <xf numFmtId="0" fontId="146" fillId="0" borderId="430" applyNumberFormat="0" applyFill="0" applyAlignment="0" applyProtection="0">
      <alignment vertical="center"/>
    </xf>
    <xf numFmtId="4" fontId="60" fillId="23" borderId="424" applyNumberFormat="0" applyProtection="0">
      <alignment horizontal="right" vertical="center"/>
    </xf>
    <xf numFmtId="0" fontId="118" fillId="54" borderId="426" applyNumberFormat="0" applyAlignment="0" applyProtection="0"/>
    <xf numFmtId="196" fontId="83" fillId="0" borderId="431" applyFill="0" applyBorder="0" applyAlignment="0"/>
    <xf numFmtId="4" fontId="60" fillId="26" borderId="424" applyNumberFormat="0" applyProtection="0">
      <alignment horizontal="right" vertical="center"/>
    </xf>
    <xf numFmtId="4" fontId="60" fillId="30" borderId="424" applyNumberFormat="0" applyProtection="0">
      <alignment horizontal="right" vertical="center"/>
    </xf>
    <xf numFmtId="0" fontId="56" fillId="19" borderId="424" applyNumberFormat="0" applyProtection="0">
      <alignment horizontal="left" vertical="center" indent="1"/>
    </xf>
    <xf numFmtId="4" fontId="60" fillId="32" borderId="424" applyNumberFormat="0" applyProtection="0">
      <alignment horizontal="left" vertical="center" indent="1"/>
    </xf>
    <xf numFmtId="4" fontId="60" fillId="25" borderId="424" applyNumberFormat="0" applyProtection="0">
      <alignment horizontal="right" vertical="center"/>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101" fillId="29" borderId="424" applyNumberFormat="0" applyProtection="0">
      <alignment horizontal="left" vertical="center" indent="1"/>
    </xf>
    <xf numFmtId="4" fontId="60" fillId="35" borderId="424" applyNumberFormat="0" applyProtection="0">
      <alignment vertical="center"/>
    </xf>
    <xf numFmtId="4" fontId="104" fillId="30" borderId="424" applyNumberFormat="0" applyProtection="0">
      <alignment horizontal="right" vertical="center"/>
    </xf>
    <xf numFmtId="4" fontId="60" fillId="30" borderId="424" applyNumberFormat="0" applyProtection="0">
      <alignment horizontal="right" vertical="center"/>
    </xf>
    <xf numFmtId="0" fontId="56" fillId="34" borderId="424" applyNumberFormat="0" applyProtection="0">
      <alignment horizontal="left" vertical="center" indent="1"/>
    </xf>
    <xf numFmtId="0" fontId="56" fillId="19" borderId="424" applyNumberFormat="0" applyProtection="0">
      <alignment horizontal="left" vertical="center" indent="1"/>
    </xf>
    <xf numFmtId="4" fontId="60" fillId="21" borderId="424" applyNumberFormat="0" applyProtection="0">
      <alignment horizontal="right" vertical="center"/>
    </xf>
    <xf numFmtId="0" fontId="88" fillId="53" borderId="426" applyNumberFormat="0" applyFont="0" applyAlignment="0" applyProtection="0"/>
    <xf numFmtId="4" fontId="60" fillId="25" borderId="424" applyNumberFormat="0" applyProtection="0">
      <alignment horizontal="right" vertical="center"/>
    </xf>
    <xf numFmtId="4" fontId="60" fillId="35" borderId="424" applyNumberFormat="0" applyProtection="0">
      <alignment vertical="center"/>
    </xf>
    <xf numFmtId="0" fontId="120" fillId="56" borderId="424" applyNumberFormat="0" applyAlignment="0" applyProtection="0"/>
    <xf numFmtId="4" fontId="100" fillId="2" borderId="424" applyNumberFormat="0" applyProtection="0">
      <alignment vertical="center"/>
    </xf>
    <xf numFmtId="0" fontId="56" fillId="19" borderId="424" applyNumberFormat="0" applyProtection="0">
      <alignment horizontal="left" vertical="center" indent="1"/>
    </xf>
    <xf numFmtId="4" fontId="100" fillId="35" borderId="424" applyNumberFormat="0" applyProtection="0">
      <alignment vertical="center"/>
    </xf>
    <xf numFmtId="0" fontId="56" fillId="34" borderId="424" applyNumberFormat="0" applyProtection="0">
      <alignment horizontal="left" vertical="center" indent="1"/>
    </xf>
    <xf numFmtId="0" fontId="118" fillId="54" borderId="426" applyNumberFormat="0" applyAlignment="0" applyProtection="0"/>
    <xf numFmtId="0" fontId="56" fillId="19"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33" borderId="424" applyNumberFormat="0" applyProtection="0">
      <alignment horizontal="left" vertical="center" indent="1"/>
    </xf>
    <xf numFmtId="4" fontId="60" fillId="35" borderId="424" applyNumberFormat="0" applyProtection="0">
      <alignment horizontal="left" vertical="center" indent="1"/>
    </xf>
    <xf numFmtId="0" fontId="56" fillId="19" borderId="424" applyNumberFormat="0" applyProtection="0">
      <alignment horizontal="left" vertical="center" indent="1"/>
    </xf>
    <xf numFmtId="4" fontId="60" fillId="24" borderId="424" applyNumberFormat="0" applyProtection="0">
      <alignment horizontal="right" vertical="center"/>
    </xf>
    <xf numFmtId="0" fontId="56" fillId="19" borderId="424" applyNumberFormat="0" applyProtection="0">
      <alignment horizontal="left" vertical="center" indent="1"/>
    </xf>
    <xf numFmtId="4" fontId="60" fillId="30" borderId="424" applyNumberFormat="0" applyProtection="0">
      <alignment horizontal="right" vertical="center"/>
    </xf>
    <xf numFmtId="4" fontId="60" fillId="24" borderId="424" applyNumberFormat="0" applyProtection="0">
      <alignment horizontal="right" vertical="center"/>
    </xf>
    <xf numFmtId="4" fontId="60" fillId="30" borderId="424" applyNumberFormat="0" applyProtection="0">
      <alignment horizontal="right" vertical="center"/>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120" fillId="56" borderId="424" applyNumberFormat="0" applyAlignment="0" applyProtection="0"/>
    <xf numFmtId="0" fontId="88" fillId="53" borderId="426" applyNumberFormat="0" applyFont="0" applyAlignment="0" applyProtection="0"/>
    <xf numFmtId="0" fontId="56" fillId="19" borderId="424" applyNumberFormat="0" applyProtection="0">
      <alignment horizontal="left" vertical="center" indent="1"/>
    </xf>
    <xf numFmtId="0" fontId="90" fillId="0" borderId="432">
      <alignment horizontal="left" vertical="center"/>
    </xf>
    <xf numFmtId="4" fontId="60" fillId="23" borderId="424" applyNumberFormat="0" applyProtection="0">
      <alignment horizontal="right" vertical="center"/>
    </xf>
    <xf numFmtId="0" fontId="88" fillId="61" borderId="431"/>
    <xf numFmtId="4" fontId="101" fillId="29" borderId="424" applyNumberFormat="0" applyProtection="0">
      <alignment horizontal="left" vertical="center" indent="1"/>
    </xf>
    <xf numFmtId="0" fontId="90" fillId="0" borderId="432">
      <alignment horizontal="left" vertical="center"/>
    </xf>
    <xf numFmtId="4" fontId="60" fillId="27" borderId="424" applyNumberFormat="0" applyProtection="0">
      <alignment horizontal="right" vertical="center"/>
    </xf>
    <xf numFmtId="0" fontId="56" fillId="19"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4" fontId="60" fillId="23" borderId="424" applyNumberFormat="0" applyProtection="0">
      <alignment horizontal="right" vertical="center"/>
    </xf>
    <xf numFmtId="4" fontId="60" fillId="2" borderId="424" applyNumberFormat="0" applyProtection="0">
      <alignment vertical="center"/>
    </xf>
    <xf numFmtId="4" fontId="60" fillId="32" borderId="424" applyNumberFormat="0" applyProtection="0">
      <alignment horizontal="left" vertical="center" indent="1"/>
    </xf>
    <xf numFmtId="4" fontId="60" fillId="20" borderId="424" applyNumberFormat="0" applyProtection="0">
      <alignment horizontal="right" vertical="center"/>
    </xf>
    <xf numFmtId="4" fontId="60" fillId="30" borderId="424" applyNumberFormat="0" applyProtection="0">
      <alignment horizontal="left" vertical="center" indent="1"/>
    </xf>
    <xf numFmtId="0" fontId="56" fillId="19" borderId="424" applyNumberFormat="0" applyProtection="0">
      <alignment horizontal="left" vertical="center" indent="1"/>
    </xf>
    <xf numFmtId="4" fontId="100" fillId="35" borderId="424" applyNumberFormat="0" applyProtection="0">
      <alignment vertical="center"/>
    </xf>
    <xf numFmtId="4" fontId="60" fillId="28" borderId="424" applyNumberFormat="0" applyProtection="0">
      <alignment horizontal="right" vertical="center"/>
    </xf>
    <xf numFmtId="4" fontId="60" fillId="27" borderId="424" applyNumberFormat="0" applyProtection="0">
      <alignment horizontal="right" vertical="center"/>
    </xf>
    <xf numFmtId="0" fontId="56" fillId="19" borderId="424" applyNumberFormat="0" applyProtection="0">
      <alignment horizontal="left" vertical="center" indent="1"/>
    </xf>
    <xf numFmtId="0" fontId="118" fillId="54" borderId="426" applyNumberFormat="0" applyAlignment="0" applyProtection="0"/>
    <xf numFmtId="4" fontId="60" fillId="27" borderId="424" applyNumberFormat="0" applyProtection="0">
      <alignment horizontal="right" vertical="center"/>
    </xf>
    <xf numFmtId="4" fontId="100" fillId="30" borderId="424" applyNumberFormat="0" applyProtection="0">
      <alignment horizontal="right" vertical="center"/>
    </xf>
    <xf numFmtId="0" fontId="157" fillId="98" borderId="428" applyNumberFormat="0" applyAlignment="0" applyProtection="0">
      <alignment vertical="center"/>
    </xf>
    <xf numFmtId="4" fontId="60" fillId="20" borderId="424" applyNumberFormat="0" applyProtection="0">
      <alignment horizontal="right" vertical="center"/>
    </xf>
    <xf numFmtId="4" fontId="60" fillId="21" borderId="424" applyNumberFormat="0" applyProtection="0">
      <alignment horizontal="right" vertical="center"/>
    </xf>
    <xf numFmtId="0" fontId="56" fillId="33" borderId="424" applyNumberFormat="0" applyProtection="0">
      <alignment horizontal="left" vertical="center" indent="1"/>
    </xf>
    <xf numFmtId="4" fontId="60" fillId="30" borderId="424" applyNumberFormat="0" applyProtection="0">
      <alignment horizontal="right" vertical="center"/>
    </xf>
    <xf numFmtId="4" fontId="60" fillId="28" borderId="424" applyNumberFormat="0" applyProtection="0">
      <alignment horizontal="right" vertical="center"/>
    </xf>
    <xf numFmtId="0" fontId="88" fillId="53" borderId="426" applyNumberFormat="0" applyFont="0" applyAlignment="0" applyProtection="0"/>
    <xf numFmtId="0" fontId="56" fillId="19" borderId="424" applyNumberFormat="0" applyProtection="0">
      <alignment horizontal="left" vertical="center" indent="1"/>
    </xf>
    <xf numFmtId="4" fontId="60" fillId="23" borderId="424" applyNumberFormat="0" applyProtection="0">
      <alignment horizontal="right" vertical="center"/>
    </xf>
    <xf numFmtId="4" fontId="60" fillId="2" borderId="424" applyNumberFormat="0" applyProtection="0">
      <alignment vertical="center"/>
    </xf>
    <xf numFmtId="0" fontId="163" fillId="111" borderId="424" applyNumberFormat="0" applyAlignment="0" applyProtection="0">
      <alignment vertical="center"/>
    </xf>
    <xf numFmtId="4" fontId="60" fillId="22" borderId="424" applyNumberFormat="0" applyProtection="0">
      <alignment horizontal="right" vertical="center"/>
    </xf>
    <xf numFmtId="0" fontId="121" fillId="60" borderId="427" applyBorder="0"/>
    <xf numFmtId="4" fontId="60" fillId="30" borderId="424" applyNumberFormat="0" applyProtection="0">
      <alignment horizontal="right" vertical="center"/>
    </xf>
    <xf numFmtId="0" fontId="56" fillId="34" borderId="424" applyNumberFormat="0" applyProtection="0">
      <alignment horizontal="left" vertical="center" indent="1"/>
    </xf>
    <xf numFmtId="4" fontId="101" fillId="29" borderId="424" applyNumberFormat="0" applyProtection="0">
      <alignment horizontal="left" vertical="center" indent="1"/>
    </xf>
    <xf numFmtId="0" fontId="88" fillId="53" borderId="426" applyNumberFormat="0" applyFont="0" applyAlignment="0" applyProtection="0"/>
    <xf numFmtId="4" fontId="60" fillId="30" borderId="424" applyNumberFormat="0" applyProtection="0">
      <alignment horizontal="right" vertical="center"/>
    </xf>
    <xf numFmtId="4" fontId="60" fillId="35" borderId="424" applyNumberFormat="0" applyProtection="0">
      <alignment horizontal="left" vertical="center" indent="1"/>
    </xf>
    <xf numFmtId="0" fontId="118" fillId="54" borderId="426" applyNumberFormat="0" applyAlignment="0" applyProtection="0"/>
    <xf numFmtId="4" fontId="60" fillId="30" borderId="424" applyNumberFormat="0" applyProtection="0">
      <alignment horizontal="right" vertical="center"/>
    </xf>
    <xf numFmtId="0" fontId="56" fillId="34" borderId="424" applyNumberFormat="0" applyProtection="0">
      <alignment horizontal="left" vertical="center" indent="1"/>
    </xf>
    <xf numFmtId="4" fontId="60" fillId="30" borderId="425" applyNumberFormat="0" applyProtection="0">
      <alignment horizontal="left" vertical="center" indent="1"/>
    </xf>
    <xf numFmtId="4" fontId="60" fillId="22" borderId="424" applyNumberFormat="0" applyProtection="0">
      <alignment horizontal="right" vertical="center"/>
    </xf>
    <xf numFmtId="4" fontId="60" fillId="2" borderId="424" applyNumberFormat="0" applyProtection="0">
      <alignment vertical="center"/>
    </xf>
    <xf numFmtId="4" fontId="60" fillId="30" borderId="424" applyNumberFormat="0" applyProtection="0">
      <alignment horizontal="left" vertical="center" indent="1"/>
    </xf>
    <xf numFmtId="0" fontId="151" fillId="111" borderId="428" applyNumberFormat="0" applyAlignment="0" applyProtection="0">
      <alignment vertical="center"/>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4" borderId="424" applyNumberFormat="0" applyProtection="0">
      <alignment horizontal="right" vertical="center"/>
    </xf>
    <xf numFmtId="0" fontId="56" fillId="33" borderId="424" applyNumberFormat="0" applyProtection="0">
      <alignment horizontal="left" vertical="center" indent="1"/>
    </xf>
    <xf numFmtId="4" fontId="100" fillId="35" borderId="424" applyNumberFormat="0" applyProtection="0">
      <alignment vertical="center"/>
    </xf>
    <xf numFmtId="4" fontId="60" fillId="27" borderId="424" applyNumberFormat="0" applyProtection="0">
      <alignment horizontal="right" vertical="center"/>
    </xf>
    <xf numFmtId="4" fontId="60" fillId="2" borderId="424" applyNumberFormat="0" applyProtection="0">
      <alignment horizontal="left" vertical="center" indent="1"/>
    </xf>
    <xf numFmtId="0" fontId="118" fillId="54" borderId="426" applyNumberFormat="0" applyAlignment="0" applyProtection="0"/>
    <xf numFmtId="4" fontId="60" fillId="27" borderId="424" applyNumberFormat="0" applyProtection="0">
      <alignment horizontal="right" vertical="center"/>
    </xf>
    <xf numFmtId="4" fontId="100" fillId="30" borderId="424" applyNumberFormat="0" applyProtection="0">
      <alignment horizontal="right" vertical="center"/>
    </xf>
    <xf numFmtId="4" fontId="60" fillId="21" borderId="424" applyNumberFormat="0" applyProtection="0">
      <alignment horizontal="right" vertical="center"/>
    </xf>
    <xf numFmtId="0" fontId="56" fillId="33" borderId="424" applyNumberFormat="0" applyProtection="0">
      <alignment horizontal="left" vertical="center" indent="1"/>
    </xf>
    <xf numFmtId="4" fontId="100" fillId="30" borderId="424" applyNumberFormat="0" applyProtection="0">
      <alignment horizontal="right" vertical="center"/>
    </xf>
    <xf numFmtId="4" fontId="60" fillId="21" borderId="424" applyNumberFormat="0" applyProtection="0">
      <alignment horizontal="right" vertical="center"/>
    </xf>
    <xf numFmtId="4" fontId="60" fillId="25" borderId="424" applyNumberFormat="0" applyProtection="0">
      <alignment horizontal="right" vertical="center"/>
    </xf>
    <xf numFmtId="0" fontId="88" fillId="53" borderId="426" applyNumberFormat="0" applyFont="0" applyAlignment="0" applyProtection="0"/>
    <xf numFmtId="4" fontId="60" fillId="23" borderId="424" applyNumberFormat="0" applyProtection="0">
      <alignment horizontal="right" vertical="center"/>
    </xf>
    <xf numFmtId="4" fontId="60" fillId="35" borderId="424" applyNumberFormat="0" applyProtection="0">
      <alignment horizontal="left" vertical="center" indent="1"/>
    </xf>
    <xf numFmtId="0" fontId="56" fillId="32" borderId="424" applyNumberFormat="0" applyProtection="0">
      <alignment horizontal="left" vertical="center" indent="1"/>
    </xf>
    <xf numFmtId="0" fontId="114" fillId="56" borderId="426" applyNumberFormat="0" applyAlignment="0" applyProtection="0"/>
    <xf numFmtId="4" fontId="60" fillId="21" borderId="424" applyNumberFormat="0" applyProtection="0">
      <alignment horizontal="right" vertical="center"/>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121" fillId="60" borderId="427" applyBorder="0"/>
    <xf numFmtId="0" fontId="56" fillId="32" borderId="424" applyNumberFormat="0" applyProtection="0">
      <alignment horizontal="left" vertical="center" indent="1"/>
    </xf>
    <xf numFmtId="4" fontId="60" fillId="24" borderId="424" applyNumberFormat="0" applyProtection="0">
      <alignment horizontal="right" vertical="center"/>
    </xf>
    <xf numFmtId="0" fontId="22" fillId="10" borderId="429" applyNumberFormat="0" applyFont="0" applyAlignment="0" applyProtection="0">
      <alignment vertical="center"/>
    </xf>
    <xf numFmtId="4" fontId="60" fillId="26" borderId="424" applyNumberFormat="0" applyProtection="0">
      <alignment horizontal="right" vertical="center"/>
    </xf>
    <xf numFmtId="0" fontId="56" fillId="19" borderId="424" applyNumberFormat="0" applyProtection="0">
      <alignment horizontal="left" vertical="center" indent="1"/>
    </xf>
    <xf numFmtId="0" fontId="114" fillId="56" borderId="426" applyNumberFormat="0" applyAlignment="0" applyProtection="0"/>
    <xf numFmtId="0" fontId="88" fillId="61" borderId="431"/>
    <xf numFmtId="4" fontId="60" fillId="2" borderId="424" applyNumberFormat="0" applyProtection="0">
      <alignment vertical="center"/>
    </xf>
    <xf numFmtId="0" fontId="121" fillId="60" borderId="427" applyBorder="0"/>
    <xf numFmtId="0" fontId="56" fillId="19" borderId="424" applyNumberFormat="0" applyProtection="0">
      <alignment horizontal="left" vertical="center" indent="1"/>
    </xf>
    <xf numFmtId="4" fontId="100" fillId="30" borderId="424" applyNumberFormat="0" applyProtection="0">
      <alignment horizontal="right" vertical="center"/>
    </xf>
    <xf numFmtId="0" fontId="56" fillId="32" borderId="424" applyNumberFormat="0" applyProtection="0">
      <alignment horizontal="left" vertical="center" indent="1"/>
    </xf>
    <xf numFmtId="4" fontId="60" fillId="26" borderId="424" applyNumberFormat="0" applyProtection="0">
      <alignment horizontal="right" vertical="center"/>
    </xf>
    <xf numFmtId="4" fontId="60" fillId="2" borderId="424" applyNumberFormat="0" applyProtection="0">
      <alignment horizontal="left" vertical="center" indent="1"/>
    </xf>
    <xf numFmtId="0" fontId="88" fillId="53" borderId="426" applyNumberFormat="0" applyFont="0" applyAlignment="0" applyProtection="0"/>
    <xf numFmtId="4" fontId="60" fillId="30" borderId="424" applyNumberFormat="0" applyProtection="0">
      <alignment horizontal="left" vertical="center" indent="1"/>
    </xf>
    <xf numFmtId="4" fontId="60" fillId="30" borderId="424" applyNumberFormat="0" applyProtection="0">
      <alignment horizontal="left" vertical="center" indent="1"/>
    </xf>
    <xf numFmtId="0" fontId="56" fillId="19" borderId="424" applyNumberFormat="0" applyProtection="0">
      <alignment horizontal="left" vertical="center" indent="1"/>
    </xf>
    <xf numFmtId="4" fontId="60" fillId="21" borderId="424" applyNumberFormat="0" applyProtection="0">
      <alignment horizontal="right" vertical="center"/>
    </xf>
    <xf numFmtId="4" fontId="60" fillId="27" borderId="424" applyNumberFormat="0" applyProtection="0">
      <alignment horizontal="right" vertical="center"/>
    </xf>
    <xf numFmtId="4" fontId="60" fillId="22" borderId="424" applyNumberFormat="0" applyProtection="0">
      <alignment horizontal="right" vertical="center"/>
    </xf>
    <xf numFmtId="4" fontId="60" fillId="30" borderId="424" applyNumberFormat="0" applyProtection="0">
      <alignment horizontal="left" vertical="center" indent="1"/>
    </xf>
    <xf numFmtId="4" fontId="100" fillId="2" borderId="424" applyNumberFormat="0" applyProtection="0">
      <alignment vertical="center"/>
    </xf>
    <xf numFmtId="4" fontId="60" fillId="30" borderId="424" applyNumberFormat="0" applyProtection="0">
      <alignment horizontal="right" vertical="center"/>
    </xf>
    <xf numFmtId="0" fontId="56" fillId="19" borderId="424" applyNumberFormat="0" applyProtection="0">
      <alignment horizontal="left" vertical="center" indent="1"/>
    </xf>
    <xf numFmtId="4" fontId="60" fillId="22" borderId="424" applyNumberFormat="0" applyProtection="0">
      <alignment horizontal="right" vertical="center"/>
    </xf>
    <xf numFmtId="0" fontId="120" fillId="56" borderId="424" applyNumberFormat="0" applyAlignment="0" applyProtection="0"/>
    <xf numFmtId="4" fontId="60" fillId="24" borderId="424" applyNumberFormat="0" applyProtection="0">
      <alignment horizontal="right" vertical="center"/>
    </xf>
    <xf numFmtId="4" fontId="60" fillId="35" borderId="424" applyNumberFormat="0" applyProtection="0">
      <alignment vertical="center"/>
    </xf>
    <xf numFmtId="4" fontId="60" fillId="30" borderId="425" applyNumberFormat="0" applyProtection="0">
      <alignment horizontal="left" vertical="center" indent="1"/>
    </xf>
    <xf numFmtId="4" fontId="60" fillId="35" borderId="424" applyNumberFormat="0" applyProtection="0">
      <alignment vertical="center"/>
    </xf>
    <xf numFmtId="0" fontId="56" fillId="19" borderId="424" applyNumberFormat="0" applyProtection="0">
      <alignment horizontal="left" vertical="center" indent="1"/>
    </xf>
    <xf numFmtId="0" fontId="114" fillId="56" borderId="426" applyNumberFormat="0" applyAlignment="0" applyProtection="0"/>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34" borderId="424" applyNumberFormat="0" applyProtection="0">
      <alignment horizontal="left" vertical="center" indent="1"/>
    </xf>
    <xf numFmtId="4" fontId="60" fillId="25" borderId="424" applyNumberFormat="0" applyProtection="0">
      <alignment horizontal="right" vertical="center"/>
    </xf>
    <xf numFmtId="4" fontId="60" fillId="30" borderId="424" applyNumberFormat="0" applyProtection="0">
      <alignment horizontal="right" vertical="center"/>
    </xf>
    <xf numFmtId="0" fontId="99" fillId="1" borderId="432" applyNumberFormat="0" applyFont="0" applyAlignment="0">
      <alignment horizont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2" borderId="424" applyNumberFormat="0" applyProtection="0">
      <alignment horizontal="left" vertical="center" indent="1"/>
    </xf>
    <xf numFmtId="4" fontId="60" fillId="23" borderId="424" applyNumberFormat="0" applyProtection="0">
      <alignment horizontal="right" vertical="center"/>
    </xf>
    <xf numFmtId="4" fontId="60" fillId="2" borderId="424" applyNumberFormat="0" applyProtection="0">
      <alignment vertical="center"/>
    </xf>
    <xf numFmtId="0" fontId="157" fillId="98" borderId="428" applyNumberFormat="0" applyAlignment="0" applyProtection="0">
      <alignment vertical="center"/>
    </xf>
    <xf numFmtId="4" fontId="60" fillId="22" borderId="424" applyNumberFormat="0" applyProtection="0">
      <alignment horizontal="right" vertical="center"/>
    </xf>
    <xf numFmtId="196" fontId="83" fillId="0" borderId="431" applyFill="0" applyBorder="0" applyAlignment="0"/>
    <xf numFmtId="196" fontId="83" fillId="0" borderId="431" applyFill="0" applyBorder="0" applyAlignment="0"/>
    <xf numFmtId="4" fontId="60" fillId="30" borderId="424" applyNumberFormat="0" applyProtection="0">
      <alignment horizontal="right" vertical="center"/>
    </xf>
    <xf numFmtId="0" fontId="56" fillId="19" borderId="424" applyNumberFormat="0" applyProtection="0">
      <alignment horizontal="left" vertical="center" indent="1"/>
    </xf>
    <xf numFmtId="4" fontId="60" fillId="32" borderId="424" applyNumberFormat="0" applyProtection="0">
      <alignment horizontal="left" vertical="center" indent="1"/>
    </xf>
    <xf numFmtId="4" fontId="60" fillId="25" borderId="424" applyNumberFormat="0" applyProtection="0">
      <alignment horizontal="right" vertical="center"/>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8" borderId="424" applyNumberFormat="0" applyProtection="0">
      <alignment horizontal="right" vertical="center"/>
    </xf>
    <xf numFmtId="4" fontId="60" fillId="30"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4" fontId="60" fillId="21" borderId="424" applyNumberFormat="0" applyProtection="0">
      <alignment horizontal="right" vertical="center"/>
    </xf>
    <xf numFmtId="0" fontId="88" fillId="53" borderId="426" applyNumberFormat="0" applyFont="0" applyAlignment="0" applyProtection="0"/>
    <xf numFmtId="4" fontId="60" fillId="25" borderId="424" applyNumberFormat="0" applyProtection="0">
      <alignment horizontal="right" vertical="center"/>
    </xf>
    <xf numFmtId="4" fontId="100" fillId="35" borderId="424" applyNumberFormat="0" applyProtection="0">
      <alignment vertical="center"/>
    </xf>
    <xf numFmtId="0" fontId="120" fillId="56" borderId="424" applyNumberFormat="0" applyAlignment="0" applyProtection="0"/>
    <xf numFmtId="4" fontId="100" fillId="2" borderId="424" applyNumberFormat="0" applyProtection="0">
      <alignment vertical="center"/>
    </xf>
    <xf numFmtId="0" fontId="56" fillId="19" borderId="424" applyNumberFormat="0" applyProtection="0">
      <alignment horizontal="left" vertical="center" indent="1"/>
    </xf>
    <xf numFmtId="4" fontId="60" fillId="35" borderId="424" applyNumberFormat="0" applyProtection="0">
      <alignment horizontal="left" vertical="center" indent="1"/>
    </xf>
    <xf numFmtId="0" fontId="56" fillId="33" borderId="424" applyNumberFormat="0" applyProtection="0">
      <alignment horizontal="left" vertical="center" indent="1"/>
    </xf>
    <xf numFmtId="0" fontId="118" fillId="54" borderId="426" applyNumberFormat="0" applyAlignment="0" applyProtection="0"/>
    <xf numFmtId="0" fontId="56" fillId="19"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0" fontId="56" fillId="34" borderId="424" applyNumberFormat="0" applyProtection="0">
      <alignment horizontal="left" vertical="center" indent="1"/>
    </xf>
    <xf numFmtId="0" fontId="2" fillId="0" borderId="0">
      <alignment vertical="center"/>
    </xf>
    <xf numFmtId="0" fontId="2" fillId="0" borderId="0">
      <alignment vertical="center"/>
    </xf>
    <xf numFmtId="0" fontId="65" fillId="0" borderId="435">
      <alignment horizontal="center"/>
    </xf>
    <xf numFmtId="3" fontId="67" fillId="0" borderId="433"/>
    <xf numFmtId="0" fontId="99" fillId="1" borderId="436" applyNumberFormat="0" applyFont="0" applyAlignment="0">
      <alignment horizontal="center"/>
    </xf>
    <xf numFmtId="4" fontId="104"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0" fillId="30" borderId="424" applyNumberFormat="0" applyProtection="0">
      <alignment horizontal="right" vertical="center"/>
    </xf>
    <xf numFmtId="4" fontId="60" fillId="30" borderId="424" applyNumberFormat="0" applyProtection="0">
      <alignment horizontal="righ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100" fillId="35" borderId="424" applyNumberFormat="0" applyProtection="0">
      <alignment vertical="center"/>
    </xf>
    <xf numFmtId="4" fontId="60" fillId="35" borderId="424" applyNumberFormat="0" applyProtection="0">
      <alignmen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4" fontId="60" fillId="32" borderId="424" applyNumberFormat="0" applyProtection="0">
      <alignment horizontal="left" vertical="center" indent="1"/>
    </xf>
    <xf numFmtId="4" fontId="60" fillId="30" borderId="424" applyNumberFormat="0" applyProtection="0">
      <alignment horizontal="left" vertical="center" indent="1"/>
    </xf>
    <xf numFmtId="0" fontId="56" fillId="19" borderId="424" applyNumberFormat="0" applyProtection="0">
      <alignment horizontal="left" vertical="center" indent="1"/>
    </xf>
    <xf numFmtId="4" fontId="60" fillId="30" borderId="425" applyNumberFormat="0" applyProtection="0">
      <alignment horizontal="left" vertical="center" indent="1"/>
    </xf>
    <xf numFmtId="4" fontId="101" fillId="29" borderId="424" applyNumberFormat="0" applyProtection="0">
      <alignment horizontal="left" vertical="center" indent="1"/>
    </xf>
    <xf numFmtId="4" fontId="60" fillId="28" borderId="424" applyNumberFormat="0" applyProtection="0">
      <alignment horizontal="right" vertical="center"/>
    </xf>
    <xf numFmtId="4" fontId="60" fillId="27" borderId="424" applyNumberFormat="0" applyProtection="0">
      <alignment horizontal="right" vertical="center"/>
    </xf>
    <xf numFmtId="4" fontId="60" fillId="26" borderId="424" applyNumberFormat="0" applyProtection="0">
      <alignment horizontal="right" vertical="center"/>
    </xf>
    <xf numFmtId="4" fontId="60" fillId="25" borderId="424" applyNumberFormat="0" applyProtection="0">
      <alignment horizontal="right" vertical="center"/>
    </xf>
    <xf numFmtId="4" fontId="60" fillId="24" borderId="424" applyNumberFormat="0" applyProtection="0">
      <alignment horizontal="right" vertical="center"/>
    </xf>
    <xf numFmtId="4" fontId="60" fillId="23" borderId="424" applyNumberFormat="0" applyProtection="0">
      <alignment horizontal="right" vertical="center"/>
    </xf>
    <xf numFmtId="4" fontId="60" fillId="22" borderId="424" applyNumberFormat="0" applyProtection="0">
      <alignment horizontal="right" vertical="center"/>
    </xf>
    <xf numFmtId="4" fontId="60" fillId="21" borderId="424" applyNumberFormat="0" applyProtection="0">
      <alignment horizontal="right" vertical="center"/>
    </xf>
    <xf numFmtId="4" fontId="60" fillId="20" borderId="424" applyNumberFormat="0" applyProtection="0">
      <alignment horizontal="right" vertical="center"/>
    </xf>
    <xf numFmtId="0" fontId="56" fillId="19" borderId="424" applyNumberFormat="0" applyProtection="0">
      <alignment horizontal="left" vertical="center" indent="1"/>
    </xf>
    <xf numFmtId="4" fontId="60" fillId="2" borderId="424" applyNumberFormat="0" applyProtection="0">
      <alignment horizontal="left" vertical="center" indent="1"/>
    </xf>
    <xf numFmtId="4" fontId="60" fillId="2" borderId="424" applyNumberFormat="0" applyProtection="0">
      <alignment horizontal="left" vertical="center" indent="1"/>
    </xf>
    <xf numFmtId="4" fontId="100" fillId="2" borderId="424" applyNumberFormat="0" applyProtection="0">
      <alignment vertical="center"/>
    </xf>
    <xf numFmtId="4" fontId="60" fillId="2" borderId="424" applyNumberFormat="0" applyProtection="0">
      <alignment vertical="center"/>
    </xf>
    <xf numFmtId="0" fontId="90" fillId="0" borderId="436">
      <alignment horizontal="left" vertical="center"/>
    </xf>
    <xf numFmtId="0" fontId="97" fillId="0" borderId="204"/>
    <xf numFmtId="0" fontId="92" fillId="0" borderId="204">
      <alignment horizontal="center"/>
    </xf>
    <xf numFmtId="3" fontId="67" fillId="0" borderId="433"/>
    <xf numFmtId="3" fontId="67" fillId="0" borderId="433"/>
    <xf numFmtId="196" fontId="83" fillId="0" borderId="433" applyFill="0" applyBorder="0" applyAlignment="0"/>
    <xf numFmtId="10" fontId="88" fillId="17" borderId="433" applyNumberFormat="0" applyBorder="0" applyAlignment="0" applyProtection="0"/>
    <xf numFmtId="3" fontId="67" fillId="0" borderId="433"/>
    <xf numFmtId="3" fontId="67" fillId="0" borderId="433"/>
    <xf numFmtId="3" fontId="67" fillId="0" borderId="433"/>
    <xf numFmtId="196" fontId="83" fillId="0" borderId="433" applyFill="0" applyBorder="0" applyAlignment="0"/>
    <xf numFmtId="10" fontId="88" fillId="17" borderId="433" applyNumberFormat="0" applyBorder="0" applyAlignment="0" applyProtection="0"/>
    <xf numFmtId="4" fontId="60" fillId="2" borderId="424" applyNumberFormat="0" applyProtection="0">
      <alignment vertical="center"/>
    </xf>
    <xf numFmtId="4" fontId="100" fillId="2" borderId="424" applyNumberFormat="0" applyProtection="0">
      <alignment vertical="center"/>
    </xf>
    <xf numFmtId="4" fontId="60" fillId="2" borderId="424" applyNumberFormat="0" applyProtection="0">
      <alignment horizontal="left" vertical="center" indent="1"/>
    </xf>
    <xf numFmtId="4" fontId="60" fillId="2" borderId="424" applyNumberFormat="0" applyProtection="0">
      <alignment horizontal="left" vertical="center" indent="1"/>
    </xf>
    <xf numFmtId="0" fontId="56" fillId="19" borderId="424" applyNumberFormat="0" applyProtection="0">
      <alignment horizontal="left" vertical="center" indent="1"/>
    </xf>
    <xf numFmtId="4" fontId="60" fillId="20" borderId="424" applyNumberFormat="0" applyProtection="0">
      <alignment horizontal="right" vertical="center"/>
    </xf>
    <xf numFmtId="4" fontId="60" fillId="21" borderId="424" applyNumberFormat="0" applyProtection="0">
      <alignment horizontal="right" vertical="center"/>
    </xf>
    <xf numFmtId="4" fontId="60" fillId="22" borderId="424" applyNumberFormat="0" applyProtection="0">
      <alignment horizontal="right" vertical="center"/>
    </xf>
    <xf numFmtId="4" fontId="60" fillId="23" borderId="424" applyNumberFormat="0" applyProtection="0">
      <alignment horizontal="right" vertical="center"/>
    </xf>
    <xf numFmtId="4" fontId="60" fillId="24" borderId="424" applyNumberFormat="0" applyProtection="0">
      <alignment horizontal="right" vertical="center"/>
    </xf>
    <xf numFmtId="4" fontId="60" fillId="25" borderId="424" applyNumberFormat="0" applyProtection="0">
      <alignment horizontal="right" vertical="center"/>
    </xf>
    <xf numFmtId="4" fontId="60" fillId="26" borderId="424" applyNumberFormat="0" applyProtection="0">
      <alignment horizontal="right" vertical="center"/>
    </xf>
    <xf numFmtId="4" fontId="60" fillId="27" borderId="424" applyNumberFormat="0" applyProtection="0">
      <alignment horizontal="right" vertical="center"/>
    </xf>
    <xf numFmtId="4" fontId="60" fillId="28" borderId="424" applyNumberFormat="0" applyProtection="0">
      <alignment horizontal="right" vertical="center"/>
    </xf>
    <xf numFmtId="4" fontId="101" fillId="29" borderId="424" applyNumberFormat="0" applyProtection="0">
      <alignment horizontal="left" vertical="center" indent="1"/>
    </xf>
    <xf numFmtId="0" fontId="56" fillId="19" borderId="424" applyNumberFormat="0" applyProtection="0">
      <alignment horizontal="left" vertical="center" indent="1"/>
    </xf>
    <xf numFmtId="4" fontId="60" fillId="30" borderId="424" applyNumberFormat="0" applyProtection="0">
      <alignment horizontal="left" vertical="center" indent="1"/>
    </xf>
    <xf numFmtId="4" fontId="60" fillId="32" borderId="424" applyNumberFormat="0" applyProtection="0">
      <alignment horizontal="left" vertical="center" indent="1"/>
    </xf>
    <xf numFmtId="0" fontId="56" fillId="32" borderId="424" applyNumberFormat="0" applyProtection="0">
      <alignment horizontal="left" vertical="center" indent="1"/>
    </xf>
    <xf numFmtId="0" fontId="56" fillId="32" borderId="424" applyNumberFormat="0" applyProtection="0">
      <alignment horizontal="left" vertical="center" indent="1"/>
    </xf>
    <xf numFmtId="0" fontId="56" fillId="33" borderId="424" applyNumberFormat="0" applyProtection="0">
      <alignment horizontal="left" vertical="center" indent="1"/>
    </xf>
    <xf numFmtId="0" fontId="56" fillId="33" borderId="424" applyNumberFormat="0" applyProtection="0">
      <alignment horizontal="left" vertical="center" indent="1"/>
    </xf>
    <xf numFmtId="0" fontId="56" fillId="34" borderId="424" applyNumberFormat="0" applyProtection="0">
      <alignment horizontal="left" vertical="center" indent="1"/>
    </xf>
    <xf numFmtId="0" fontId="56" fillId="34" borderId="424" applyNumberFormat="0" applyProtection="0">
      <alignment horizontal="left" vertical="center" indent="1"/>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60" fillId="35" borderId="424" applyNumberFormat="0" applyProtection="0">
      <alignment vertical="center"/>
    </xf>
    <xf numFmtId="4" fontId="100" fillId="35" borderId="424" applyNumberFormat="0" applyProtection="0">
      <alignment vertical="center"/>
    </xf>
    <xf numFmtId="4" fontId="60" fillId="35" borderId="424" applyNumberFormat="0" applyProtection="0">
      <alignment horizontal="left" vertical="center" indent="1"/>
    </xf>
    <xf numFmtId="4" fontId="60" fillId="35" borderId="424" applyNumberFormat="0" applyProtection="0">
      <alignment horizontal="left" vertical="center" indent="1"/>
    </xf>
    <xf numFmtId="4" fontId="60" fillId="30" borderId="424" applyNumberFormat="0" applyProtection="0">
      <alignment horizontal="right" vertical="center"/>
    </xf>
    <xf numFmtId="4" fontId="100" fillId="30" borderId="424" applyNumberFormat="0" applyProtection="0">
      <alignment horizontal="right" vertical="center"/>
    </xf>
    <xf numFmtId="0" fontId="56" fillId="19" borderId="424" applyNumberFormat="0" applyProtection="0">
      <alignment horizontal="left" vertical="center" indent="1"/>
    </xf>
    <xf numFmtId="0" fontId="56" fillId="19" borderId="424" applyNumberFormat="0" applyProtection="0">
      <alignment horizontal="left" vertical="center" indent="1"/>
    </xf>
    <xf numFmtId="4" fontId="104" fillId="30" borderId="424" applyNumberFormat="0" applyProtection="0">
      <alignment horizontal="right" vertical="center"/>
    </xf>
    <xf numFmtId="0" fontId="151" fillId="111" borderId="428" applyNumberFormat="0" applyAlignment="0" applyProtection="0">
      <alignment vertical="center"/>
    </xf>
    <xf numFmtId="0" fontId="151" fillId="111" borderId="428" applyNumberFormat="0" applyAlignment="0" applyProtection="0">
      <alignment vertical="center"/>
    </xf>
    <xf numFmtId="0" fontId="22" fillId="10" borderId="429" applyNumberFormat="0" applyFont="0" applyAlignment="0" applyProtection="0">
      <alignment vertical="center"/>
    </xf>
    <xf numFmtId="0" fontId="22" fillId="10" borderId="429" applyNumberFormat="0" applyFont="0" applyAlignment="0" applyProtection="0">
      <alignment vertical="center"/>
    </xf>
    <xf numFmtId="0" fontId="146" fillId="0" borderId="430" applyNumberFormat="0" applyFill="0" applyAlignment="0" applyProtection="0">
      <alignment vertical="center"/>
    </xf>
    <xf numFmtId="0" fontId="146" fillId="0" borderId="430" applyNumberFormat="0" applyFill="0" applyAlignment="0" applyProtection="0">
      <alignment vertical="center"/>
    </xf>
    <xf numFmtId="0" fontId="157" fillId="98" borderId="428" applyNumberFormat="0" applyAlignment="0" applyProtection="0">
      <alignment vertical="center"/>
    </xf>
    <xf numFmtId="0" fontId="157" fillId="98" borderId="428" applyNumberFormat="0" applyAlignment="0" applyProtection="0">
      <alignment vertical="center"/>
    </xf>
    <xf numFmtId="0" fontId="163" fillId="111" borderId="424" applyNumberFormat="0" applyAlignment="0" applyProtection="0">
      <alignment vertical="center"/>
    </xf>
    <xf numFmtId="0" fontId="163" fillId="111" borderId="424" applyNumberFormat="0" applyAlignment="0" applyProtection="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4" fontId="60" fillId="2" borderId="437" applyNumberFormat="0" applyProtection="0">
      <alignment vertical="center"/>
    </xf>
    <xf numFmtId="4" fontId="100" fillId="2" borderId="437" applyNumberFormat="0" applyProtection="0">
      <alignment vertical="center"/>
    </xf>
    <xf numFmtId="4" fontId="60" fillId="2" borderId="437" applyNumberFormat="0" applyProtection="0">
      <alignment horizontal="left" vertical="center" indent="1"/>
    </xf>
    <xf numFmtId="4" fontId="60" fillId="2" borderId="437" applyNumberFormat="0" applyProtection="0">
      <alignment horizontal="left" vertical="center" indent="1"/>
    </xf>
    <xf numFmtId="0" fontId="56" fillId="19" borderId="437" applyNumberFormat="0" applyProtection="0">
      <alignment horizontal="left" vertical="center" indent="1"/>
    </xf>
    <xf numFmtId="4" fontId="60" fillId="20" borderId="437" applyNumberFormat="0" applyProtection="0">
      <alignment horizontal="right" vertical="center"/>
    </xf>
    <xf numFmtId="4" fontId="60" fillId="21" borderId="437" applyNumberFormat="0" applyProtection="0">
      <alignment horizontal="right" vertical="center"/>
    </xf>
    <xf numFmtId="4" fontId="60" fillId="22" borderId="437" applyNumberFormat="0" applyProtection="0">
      <alignment horizontal="right" vertical="center"/>
    </xf>
    <xf numFmtId="4" fontId="60" fillId="23" borderId="437" applyNumberFormat="0" applyProtection="0">
      <alignment horizontal="right" vertical="center"/>
    </xf>
    <xf numFmtId="4" fontId="60" fillId="24" borderId="437" applyNumberFormat="0" applyProtection="0">
      <alignment horizontal="right" vertical="center"/>
    </xf>
    <xf numFmtId="4" fontId="60" fillId="25" borderId="437" applyNumberFormat="0" applyProtection="0">
      <alignment horizontal="right" vertical="center"/>
    </xf>
    <xf numFmtId="4" fontId="60" fillId="26" borderId="437" applyNumberFormat="0" applyProtection="0">
      <alignment horizontal="right" vertical="center"/>
    </xf>
    <xf numFmtId="4" fontId="60" fillId="27" borderId="437" applyNumberFormat="0" applyProtection="0">
      <alignment horizontal="right" vertical="center"/>
    </xf>
    <xf numFmtId="4" fontId="60" fillId="28" borderId="437" applyNumberFormat="0" applyProtection="0">
      <alignment horizontal="right" vertical="center"/>
    </xf>
    <xf numFmtId="4" fontId="101" fillId="29" borderId="437" applyNumberFormat="0" applyProtection="0">
      <alignment horizontal="left" vertical="center" indent="1"/>
    </xf>
    <xf numFmtId="4" fontId="60" fillId="30" borderId="438" applyNumberFormat="0" applyProtection="0">
      <alignment horizontal="left" vertical="center" indent="1"/>
    </xf>
    <xf numFmtId="0" fontId="56" fillId="19" borderId="437" applyNumberFormat="0" applyProtection="0">
      <alignment horizontal="left" vertical="center" indent="1"/>
    </xf>
    <xf numFmtId="4" fontId="60" fillId="30" borderId="437" applyNumberFormat="0" applyProtection="0">
      <alignment horizontal="left" vertical="center" indent="1"/>
    </xf>
    <xf numFmtId="4" fontId="60" fillId="32" borderId="437" applyNumberFormat="0" applyProtection="0">
      <alignment horizontal="left" vertical="center" indent="1"/>
    </xf>
    <xf numFmtId="0" fontId="56" fillId="32" borderId="437" applyNumberFormat="0" applyProtection="0">
      <alignment horizontal="left" vertical="center" indent="1"/>
    </xf>
    <xf numFmtId="0" fontId="56" fillId="32" borderId="437" applyNumberFormat="0" applyProtection="0">
      <alignment horizontal="left" vertical="center" indent="1"/>
    </xf>
    <xf numFmtId="0" fontId="56" fillId="33" borderId="437" applyNumberFormat="0" applyProtection="0">
      <alignment horizontal="left" vertical="center" indent="1"/>
    </xf>
    <xf numFmtId="0" fontId="56" fillId="33" borderId="437" applyNumberFormat="0" applyProtection="0">
      <alignment horizontal="left" vertical="center" indent="1"/>
    </xf>
    <xf numFmtId="0" fontId="56" fillId="34" borderId="437" applyNumberFormat="0" applyProtection="0">
      <alignment horizontal="left" vertical="center" indent="1"/>
    </xf>
    <xf numFmtId="0" fontId="56" fillId="34" borderId="437" applyNumberFormat="0" applyProtection="0">
      <alignment horizontal="left" vertical="center" indent="1"/>
    </xf>
    <xf numFmtId="0" fontId="56" fillId="19" borderId="437" applyNumberFormat="0" applyProtection="0">
      <alignment horizontal="left" vertical="center" indent="1"/>
    </xf>
    <xf numFmtId="0" fontId="56" fillId="19" borderId="437" applyNumberFormat="0" applyProtection="0">
      <alignment horizontal="left" vertical="center" indent="1"/>
    </xf>
    <xf numFmtId="4" fontId="60" fillId="35" borderId="437" applyNumberFormat="0" applyProtection="0">
      <alignment vertical="center"/>
    </xf>
    <xf numFmtId="4" fontId="100" fillId="35" borderId="437" applyNumberFormat="0" applyProtection="0">
      <alignment vertical="center"/>
    </xf>
    <xf numFmtId="4" fontId="60" fillId="35" borderId="437" applyNumberFormat="0" applyProtection="0">
      <alignment horizontal="left" vertical="center" indent="1"/>
    </xf>
    <xf numFmtId="4" fontId="60" fillId="35" borderId="437" applyNumberFormat="0" applyProtection="0">
      <alignment horizontal="left" vertical="center" indent="1"/>
    </xf>
    <xf numFmtId="4" fontId="60" fillId="30" borderId="437" applyNumberFormat="0" applyProtection="0">
      <alignment horizontal="right" vertical="center"/>
    </xf>
    <xf numFmtId="4" fontId="100" fillId="30" borderId="437" applyNumberFormat="0" applyProtection="0">
      <alignment horizontal="right" vertical="center"/>
    </xf>
    <xf numFmtId="0" fontId="56" fillId="19" borderId="437" applyNumberFormat="0" applyProtection="0">
      <alignment horizontal="left" vertical="center" indent="1"/>
    </xf>
    <xf numFmtId="0" fontId="56" fillId="19" borderId="437" applyNumberFormat="0" applyProtection="0">
      <alignment horizontal="left" vertical="center" indent="1"/>
    </xf>
    <xf numFmtId="4" fontId="104" fillId="30" borderId="437" applyNumberFormat="0" applyProtection="0">
      <alignment horizontal="right" vertical="center"/>
    </xf>
    <xf numFmtId="0" fontId="151" fillId="111" borderId="439" applyNumberFormat="0" applyAlignment="0" applyProtection="0">
      <alignment vertical="center"/>
    </xf>
    <xf numFmtId="0" fontId="22" fillId="10" borderId="440" applyNumberFormat="0" applyFont="0" applyAlignment="0" applyProtection="0">
      <alignment vertical="center"/>
    </xf>
    <xf numFmtId="0" fontId="146" fillId="0" borderId="441" applyNumberFormat="0" applyFill="0" applyAlignment="0" applyProtection="0">
      <alignment vertical="center"/>
    </xf>
    <xf numFmtId="0" fontId="157" fillId="98" borderId="439" applyNumberFormat="0" applyAlignment="0" applyProtection="0">
      <alignment vertical="center"/>
    </xf>
    <xf numFmtId="9" fontId="2" fillId="0" borderId="0" applyFont="0" applyFill="0" applyBorder="0" applyAlignment="0" applyProtection="0">
      <alignment vertical="center"/>
    </xf>
    <xf numFmtId="0" fontId="163" fillId="111" borderId="437" applyNumberFormat="0" applyAlignment="0" applyProtection="0">
      <alignment vertical="center"/>
    </xf>
  </cellStyleXfs>
  <cellXfs count="8535">
    <xf numFmtId="0" fontId="0" fillId="0" borderId="0" xfId="0">
      <alignment vertical="center"/>
    </xf>
    <xf numFmtId="10" fontId="28" fillId="7" borderId="2" xfId="1" applyNumberFormat="1" applyFont="1" applyFill="1" applyBorder="1" applyAlignment="1">
      <alignment horizontal="center" vertical="center"/>
    </xf>
    <xf numFmtId="10" fontId="28" fillId="7" borderId="13" xfId="1" applyNumberFormat="1" applyFont="1" applyFill="1" applyBorder="1" applyAlignment="1">
      <alignment horizontal="center" vertical="center"/>
    </xf>
    <xf numFmtId="41" fontId="28" fillId="7" borderId="0" xfId="2" applyFont="1" applyFill="1" applyBorder="1" applyAlignment="1">
      <alignment horizontal="center" vertical="center"/>
    </xf>
    <xf numFmtId="0" fontId="28" fillId="7" borderId="0" xfId="0" applyFont="1" applyFill="1" applyBorder="1" applyAlignment="1">
      <alignment horizontal="center" vertical="center"/>
    </xf>
    <xf numFmtId="0" fontId="31" fillId="7" borderId="0" xfId="0" applyFont="1" applyFill="1" applyBorder="1" applyAlignment="1">
      <alignment horizontal="center" vertical="center"/>
    </xf>
    <xf numFmtId="10" fontId="28" fillId="7" borderId="0" xfId="1" applyNumberFormat="1" applyFont="1" applyFill="1" applyBorder="1" applyAlignment="1">
      <alignment horizontal="center" vertical="center"/>
    </xf>
    <xf numFmtId="0" fontId="31" fillId="7" borderId="15" xfId="0" applyFont="1" applyFill="1" applyBorder="1" applyAlignment="1">
      <alignment horizontal="center" vertical="center"/>
    </xf>
    <xf numFmtId="41" fontId="31" fillId="7" borderId="16" xfId="2" applyFont="1" applyFill="1" applyBorder="1" applyAlignment="1">
      <alignment horizontal="center" vertical="center"/>
    </xf>
    <xf numFmtId="10" fontId="28" fillId="7" borderId="3" xfId="1" applyNumberFormat="1" applyFont="1" applyFill="1" applyBorder="1" applyAlignment="1">
      <alignment horizontal="center" vertical="center"/>
    </xf>
    <xf numFmtId="10" fontId="28" fillId="7" borderId="11" xfId="1" applyNumberFormat="1" applyFont="1" applyFill="1" applyBorder="1" applyAlignment="1">
      <alignment horizontal="center" vertical="center"/>
    </xf>
    <xf numFmtId="42" fontId="28" fillId="7" borderId="4" xfId="3" quotePrefix="1" applyFont="1" applyFill="1" applyBorder="1" applyAlignment="1">
      <alignment horizontal="center" vertical="center"/>
    </xf>
    <xf numFmtId="42" fontId="28" fillId="7" borderId="27" xfId="3" quotePrefix="1" applyFont="1" applyFill="1" applyBorder="1" applyAlignment="1">
      <alignment horizontal="center" vertical="center"/>
    </xf>
    <xf numFmtId="0" fontId="31" fillId="7" borderId="4" xfId="0" applyFont="1" applyFill="1" applyBorder="1" applyAlignment="1">
      <alignment horizontal="center" vertical="center"/>
    </xf>
    <xf numFmtId="0" fontId="31" fillId="7" borderId="0" xfId="0" applyFont="1" applyFill="1" applyAlignment="1">
      <alignment horizontal="center" vertical="center"/>
    </xf>
    <xf numFmtId="0" fontId="28" fillId="7" borderId="0" xfId="0" applyFont="1" applyFill="1" applyAlignment="1">
      <alignment horizontal="center" vertical="center"/>
    </xf>
    <xf numFmtId="179" fontId="28" fillId="7" borderId="0" xfId="0" applyNumberFormat="1" applyFont="1" applyFill="1" applyAlignment="1">
      <alignment horizontal="center" vertical="center"/>
    </xf>
    <xf numFmtId="42" fontId="28" fillId="7" borderId="9" xfId="3" quotePrefix="1" applyFont="1" applyFill="1" applyBorder="1" applyAlignment="1">
      <alignment horizontal="center" vertical="center"/>
    </xf>
    <xf numFmtId="42" fontId="28" fillId="7" borderId="16" xfId="3" quotePrefix="1" applyFont="1" applyFill="1" applyBorder="1" applyAlignment="1">
      <alignment horizontal="center" vertical="center"/>
    </xf>
    <xf numFmtId="41" fontId="28" fillId="7" borderId="25" xfId="2" quotePrefix="1" applyFont="1" applyFill="1" applyBorder="1" applyAlignment="1">
      <alignment horizontal="center" vertical="center"/>
    </xf>
    <xf numFmtId="41" fontId="28" fillId="7" borderId="40" xfId="2" quotePrefix="1" applyFont="1" applyFill="1" applyBorder="1" applyAlignment="1">
      <alignment horizontal="center" vertical="center"/>
    </xf>
    <xf numFmtId="41" fontId="28" fillId="7" borderId="26" xfId="2" quotePrefix="1" applyFont="1" applyFill="1" applyBorder="1" applyAlignment="1">
      <alignment horizontal="center" vertical="center"/>
    </xf>
    <xf numFmtId="41" fontId="31" fillId="7" borderId="13" xfId="2" applyFont="1" applyFill="1" applyBorder="1" applyAlignment="1">
      <alignment horizontal="center" vertical="center"/>
    </xf>
    <xf numFmtId="0" fontId="31" fillId="3" borderId="16" xfId="0" applyFont="1" applyFill="1" applyBorder="1" applyAlignment="1">
      <alignment horizontal="center" vertical="center"/>
    </xf>
    <xf numFmtId="42" fontId="28" fillId="7" borderId="7" xfId="3" quotePrefix="1" applyFont="1" applyFill="1" applyBorder="1" applyAlignment="1">
      <alignment horizontal="center" vertical="center"/>
    </xf>
    <xf numFmtId="177" fontId="28" fillId="7" borderId="7" xfId="3" quotePrefix="1" applyNumberFormat="1" applyFont="1" applyFill="1" applyBorder="1" applyAlignment="1">
      <alignment horizontal="center" vertical="center"/>
    </xf>
    <xf numFmtId="0" fontId="28" fillId="7" borderId="7" xfId="0" applyFont="1" applyFill="1" applyBorder="1" applyAlignment="1">
      <alignment horizontal="center" vertical="center"/>
    </xf>
    <xf numFmtId="41" fontId="28" fillId="7" borderId="24" xfId="2" quotePrefix="1" applyFont="1" applyFill="1" applyBorder="1" applyAlignment="1">
      <alignment horizontal="center" vertical="center"/>
    </xf>
    <xf numFmtId="0" fontId="28" fillId="7" borderId="24" xfId="0" applyFont="1" applyFill="1" applyBorder="1" applyAlignment="1">
      <alignment horizontal="center" vertical="center"/>
    </xf>
    <xf numFmtId="0" fontId="28" fillId="7" borderId="18" xfId="0" applyFont="1" applyFill="1" applyBorder="1" applyAlignment="1">
      <alignment horizontal="center" vertical="center"/>
    </xf>
    <xf numFmtId="0" fontId="28" fillId="7" borderId="19" xfId="0" applyFont="1" applyFill="1" applyBorder="1" applyAlignment="1">
      <alignment horizontal="center" vertical="center"/>
    </xf>
    <xf numFmtId="42" fontId="28" fillId="7" borderId="8" xfId="3" applyFont="1" applyFill="1" applyBorder="1" applyAlignment="1">
      <alignment horizontal="center" vertical="center"/>
    </xf>
    <xf numFmtId="41" fontId="28" fillId="7" borderId="37" xfId="2" quotePrefix="1" applyFont="1" applyFill="1" applyBorder="1" applyAlignment="1">
      <alignment horizontal="center" vertical="center"/>
    </xf>
    <xf numFmtId="42" fontId="28" fillId="7" borderId="15" xfId="3" quotePrefix="1" applyFont="1" applyFill="1" applyBorder="1" applyAlignment="1">
      <alignment horizontal="center" vertical="center"/>
    </xf>
    <xf numFmtId="0" fontId="31" fillId="3" borderId="4" xfId="0" applyFont="1" applyFill="1" applyBorder="1" applyAlignment="1">
      <alignment horizontal="center" vertical="center"/>
    </xf>
    <xf numFmtId="0" fontId="28" fillId="7" borderId="0" xfId="0" applyFont="1" applyFill="1" applyBorder="1" applyAlignment="1" applyProtection="1">
      <alignment horizontal="center" vertical="center"/>
      <protection locked="0"/>
    </xf>
    <xf numFmtId="179" fontId="37" fillId="7" borderId="0" xfId="0" applyNumberFormat="1" applyFont="1" applyFill="1" applyAlignment="1">
      <alignment horizontal="center" vertical="center"/>
    </xf>
    <xf numFmtId="0" fontId="37" fillId="7" borderId="0" xfId="0" applyFont="1" applyFill="1" applyAlignment="1">
      <alignment horizontal="center" vertical="center"/>
    </xf>
    <xf numFmtId="0" fontId="37" fillId="7" borderId="0" xfId="0" applyFont="1" applyFill="1" applyBorder="1" applyAlignment="1">
      <alignment horizontal="center" vertical="center"/>
    </xf>
    <xf numFmtId="42" fontId="28" fillId="7" borderId="32" xfId="3" quotePrefix="1" applyFont="1" applyFill="1" applyBorder="1" applyAlignment="1">
      <alignment horizontal="center" vertical="center"/>
    </xf>
    <xf numFmtId="42" fontId="28" fillId="7" borderId="31" xfId="3" applyFont="1" applyFill="1" applyBorder="1" applyAlignment="1">
      <alignment horizontal="center" vertical="center"/>
    </xf>
    <xf numFmtId="0" fontId="31" fillId="3" borderId="15" xfId="0" applyFont="1" applyFill="1" applyBorder="1" applyAlignment="1">
      <alignment horizontal="center" vertical="center"/>
    </xf>
    <xf numFmtId="10" fontId="28" fillId="7" borderId="21" xfId="1" applyNumberFormat="1" applyFont="1" applyFill="1" applyBorder="1" applyAlignment="1">
      <alignment horizontal="center" vertical="center"/>
    </xf>
    <xf numFmtId="181" fontId="28" fillId="7" borderId="21" xfId="2" applyNumberFormat="1" applyFont="1" applyFill="1" applyBorder="1" applyAlignment="1">
      <alignment horizontal="center" vertical="center"/>
    </xf>
    <xf numFmtId="0" fontId="28" fillId="7" borderId="42" xfId="0" applyFont="1" applyFill="1" applyBorder="1" applyAlignment="1">
      <alignment horizontal="center" vertical="center"/>
    </xf>
    <xf numFmtId="0" fontId="28" fillId="7" borderId="43" xfId="0" applyFont="1" applyFill="1" applyBorder="1" applyAlignment="1">
      <alignment horizontal="center" vertical="center"/>
    </xf>
    <xf numFmtId="178" fontId="28" fillId="7" borderId="32" xfId="0" quotePrefix="1" applyNumberFormat="1" applyFont="1" applyFill="1" applyBorder="1" applyAlignment="1">
      <alignment horizontal="center" vertical="center"/>
    </xf>
    <xf numFmtId="10" fontId="28" fillId="7" borderId="7" xfId="1" quotePrefix="1" applyNumberFormat="1" applyFont="1" applyFill="1" applyBorder="1" applyAlignment="1">
      <alignment horizontal="center" vertical="center"/>
    </xf>
    <xf numFmtId="0" fontId="38" fillId="10" borderId="0" xfId="0" applyFont="1" applyFill="1" applyBorder="1" applyAlignment="1" applyProtection="1">
      <protection locked="0"/>
    </xf>
    <xf numFmtId="0" fontId="0" fillId="11" borderId="0" xfId="0" applyFill="1" applyAlignment="1" applyProtection="1">
      <protection locked="0"/>
    </xf>
    <xf numFmtId="0" fontId="38" fillId="11" borderId="0" xfId="0" applyFont="1" applyFill="1" applyBorder="1" applyAlignment="1" applyProtection="1">
      <protection locked="0"/>
    </xf>
    <xf numFmtId="0" fontId="0" fillId="12" borderId="0" xfId="0" applyFill="1" applyAlignment="1" applyProtection="1">
      <protection locked="0"/>
    </xf>
    <xf numFmtId="0" fontId="38" fillId="12" borderId="0" xfId="0" applyFont="1" applyFill="1" applyBorder="1" applyAlignment="1" applyProtection="1">
      <protection locked="0"/>
    </xf>
    <xf numFmtId="0" fontId="38" fillId="0" borderId="0" xfId="0" applyFont="1" applyBorder="1" applyAlignment="1" applyProtection="1">
      <alignment horizontal="right" vertical="center"/>
    </xf>
    <xf numFmtId="0" fontId="38" fillId="0" borderId="0" xfId="0" applyFont="1" applyBorder="1" applyAlignment="1" applyProtection="1">
      <alignment horizontal="center" vertical="center"/>
    </xf>
    <xf numFmtId="184" fontId="38" fillId="0" borderId="0" xfId="0" applyNumberFormat="1" applyFont="1" applyBorder="1" applyAlignment="1" applyProtection="1">
      <alignment horizontal="right" vertical="center"/>
    </xf>
    <xf numFmtId="184" fontId="38" fillId="0" borderId="0" xfId="0" applyNumberFormat="1" applyFont="1" applyBorder="1" applyAlignment="1" applyProtection="1">
      <alignment vertical="center"/>
    </xf>
    <xf numFmtId="0" fontId="38" fillId="0" borderId="0" xfId="0" applyFont="1" applyBorder="1" applyAlignment="1" applyProtection="1">
      <protection locked="0"/>
    </xf>
    <xf numFmtId="0" fontId="0" fillId="0" borderId="0" xfId="0" applyAlignment="1" applyProtection="1">
      <protection locked="0"/>
    </xf>
    <xf numFmtId="0" fontId="39" fillId="9" borderId="0" xfId="0" applyFont="1" applyFill="1" applyBorder="1" applyAlignment="1" applyProtection="1">
      <alignment horizontal="center" vertical="center"/>
    </xf>
    <xf numFmtId="0" fontId="28" fillId="7" borderId="21" xfId="0" applyFont="1" applyFill="1" applyBorder="1" applyAlignment="1">
      <alignment horizontal="center" vertical="center"/>
    </xf>
    <xf numFmtId="42" fontId="28" fillId="7" borderId="31" xfId="3" quotePrefix="1" applyFont="1" applyFill="1" applyBorder="1" applyAlignment="1">
      <alignment horizontal="center" vertical="center"/>
    </xf>
    <xf numFmtId="42" fontId="28" fillId="7" borderId="0" xfId="3" applyFont="1" applyFill="1" applyBorder="1" applyAlignment="1">
      <alignment horizontal="center" vertical="center"/>
    </xf>
    <xf numFmtId="42" fontId="28" fillId="7" borderId="30" xfId="3" quotePrefix="1" applyFont="1" applyFill="1" applyBorder="1" applyAlignment="1">
      <alignment horizontal="center" vertical="center"/>
    </xf>
    <xf numFmtId="42" fontId="31" fillId="7" borderId="0" xfId="3" applyFont="1" applyFill="1" applyBorder="1" applyAlignment="1">
      <alignment horizontal="center" vertical="center"/>
    </xf>
    <xf numFmtId="0" fontId="0" fillId="0" borderId="0" xfId="0" applyAlignment="1"/>
    <xf numFmtId="0" fontId="42" fillId="0" borderId="0" xfId="0" applyFont="1" applyAlignment="1"/>
    <xf numFmtId="0" fontId="46" fillId="0" borderId="0" xfId="0" applyFont="1" applyAlignment="1">
      <alignment horizontal="center" vertical="center"/>
    </xf>
    <xf numFmtId="0" fontId="46" fillId="0" borderId="0" xfId="0" applyFont="1" applyAlignment="1"/>
    <xf numFmtId="0" fontId="0" fillId="0" borderId="0" xfId="0" applyAlignment="1">
      <alignment horizontal="center" vertical="center"/>
    </xf>
    <xf numFmtId="0" fontId="31" fillId="4" borderId="15" xfId="4" applyFont="1" applyFill="1" applyBorder="1" applyAlignment="1">
      <alignment horizontal="center" vertical="center"/>
    </xf>
    <xf numFmtId="0" fontId="31" fillId="4" borderId="4" xfId="4" applyFont="1" applyFill="1" applyBorder="1" applyAlignment="1">
      <alignment horizontal="center" vertical="center"/>
    </xf>
    <xf numFmtId="0" fontId="31" fillId="4" borderId="16" xfId="4" applyFont="1" applyFill="1" applyBorder="1" applyAlignment="1">
      <alignment horizontal="center" vertical="center"/>
    </xf>
    <xf numFmtId="0" fontId="31" fillId="4" borderId="21" xfId="4" applyFont="1" applyFill="1" applyBorder="1" applyAlignment="1">
      <alignment horizontal="center" vertical="center"/>
    </xf>
    <xf numFmtId="10" fontId="28" fillId="7" borderId="0" xfId="0" applyNumberFormat="1" applyFont="1" applyFill="1" applyBorder="1" applyAlignment="1">
      <alignment horizontal="center" vertical="center"/>
    </xf>
    <xf numFmtId="10" fontId="28" fillId="7" borderId="1" xfId="0" applyNumberFormat="1" applyFont="1" applyFill="1" applyBorder="1" applyAlignment="1">
      <alignment horizontal="center" vertical="center"/>
    </xf>
    <xf numFmtId="10" fontId="28" fillId="7" borderId="9" xfId="0" applyNumberFormat="1" applyFont="1" applyFill="1" applyBorder="1" applyAlignment="1">
      <alignment horizontal="center" vertical="center"/>
    </xf>
    <xf numFmtId="0" fontId="28" fillId="7" borderId="8" xfId="0" applyFont="1" applyFill="1" applyBorder="1" applyAlignment="1">
      <alignment horizontal="center" vertical="center"/>
    </xf>
    <xf numFmtId="42" fontId="28" fillId="13" borderId="8" xfId="3" applyFont="1" applyFill="1" applyBorder="1" applyAlignment="1">
      <alignment horizontal="center" vertical="center"/>
    </xf>
    <xf numFmtId="10" fontId="28" fillId="13" borderId="1" xfId="0" applyNumberFormat="1" applyFont="1" applyFill="1" applyBorder="1" applyAlignment="1">
      <alignment horizontal="center" vertical="center"/>
    </xf>
    <xf numFmtId="10" fontId="28" fillId="13" borderId="9" xfId="0" applyNumberFormat="1" applyFont="1" applyFill="1" applyBorder="1" applyAlignment="1">
      <alignment horizontal="center" vertical="center"/>
    </xf>
    <xf numFmtId="0" fontId="28" fillId="13" borderId="12" xfId="0" applyFont="1" applyFill="1" applyBorder="1" applyAlignment="1">
      <alignment horizontal="center" vertical="center"/>
    </xf>
    <xf numFmtId="10" fontId="28" fillId="13" borderId="2" xfId="1" applyNumberFormat="1" applyFont="1" applyFill="1" applyBorder="1" applyAlignment="1">
      <alignment horizontal="center" vertical="center"/>
    </xf>
    <xf numFmtId="10" fontId="28" fillId="13" borderId="13" xfId="1" applyNumberFormat="1" applyFont="1" applyFill="1" applyBorder="1" applyAlignment="1">
      <alignment horizontal="center" vertical="center"/>
    </xf>
    <xf numFmtId="0" fontId="28" fillId="13" borderId="10" xfId="0" applyFont="1" applyFill="1" applyBorder="1" applyAlignment="1">
      <alignment horizontal="center" vertical="center"/>
    </xf>
    <xf numFmtId="10" fontId="28" fillId="13" borderId="3" xfId="1" applyNumberFormat="1" applyFont="1" applyFill="1" applyBorder="1" applyAlignment="1">
      <alignment horizontal="center" vertical="center"/>
    </xf>
    <xf numFmtId="10" fontId="28" fillId="13" borderId="11" xfId="1" applyNumberFormat="1" applyFont="1" applyFill="1" applyBorder="1" applyAlignment="1">
      <alignment horizontal="center" vertical="center"/>
    </xf>
    <xf numFmtId="181" fontId="28" fillId="13" borderId="1" xfId="0" applyNumberFormat="1" applyFont="1" applyFill="1" applyBorder="1" applyAlignment="1">
      <alignment horizontal="center" vertical="center"/>
    </xf>
    <xf numFmtId="42" fontId="28" fillId="7" borderId="21" xfId="3" applyFont="1" applyFill="1" applyBorder="1" applyAlignment="1">
      <alignment horizontal="center" vertical="center"/>
    </xf>
    <xf numFmtId="179" fontId="28" fillId="7" borderId="21" xfId="0" applyNumberFormat="1" applyFont="1" applyFill="1" applyBorder="1" applyAlignment="1">
      <alignment horizontal="center" vertical="center"/>
    </xf>
    <xf numFmtId="42" fontId="28" fillId="13" borderId="21" xfId="3" applyFont="1" applyFill="1" applyBorder="1" applyAlignment="1">
      <alignment horizontal="center" vertical="center"/>
    </xf>
    <xf numFmtId="41" fontId="28" fillId="7" borderId="21" xfId="2" applyFont="1" applyFill="1" applyBorder="1" applyAlignment="1">
      <alignment horizontal="center" vertical="center"/>
    </xf>
    <xf numFmtId="41" fontId="28" fillId="13" borderId="21" xfId="2" applyFont="1" applyFill="1" applyBorder="1" applyAlignment="1">
      <alignment horizontal="center" vertical="center"/>
    </xf>
    <xf numFmtId="42" fontId="37" fillId="7" borderId="0" xfId="0" applyNumberFormat="1" applyFont="1" applyFill="1" applyAlignment="1">
      <alignment horizontal="center" vertical="center"/>
    </xf>
    <xf numFmtId="42" fontId="28" fillId="7" borderId="30" xfId="3" applyFont="1" applyFill="1" applyBorder="1" applyAlignment="1">
      <alignment horizontal="center" vertical="center"/>
    </xf>
    <xf numFmtId="42" fontId="28" fillId="7" borderId="32" xfId="3" applyFont="1" applyFill="1" applyBorder="1" applyAlignment="1">
      <alignment horizontal="center" vertical="center"/>
    </xf>
    <xf numFmtId="0" fontId="28" fillId="7" borderId="31" xfId="0" applyFont="1" applyFill="1" applyBorder="1" applyAlignment="1">
      <alignment horizontal="center" vertical="center"/>
    </xf>
    <xf numFmtId="0" fontId="28" fillId="7" borderId="0" xfId="0" quotePrefix="1" applyFont="1" applyFill="1" applyBorder="1" applyAlignment="1">
      <alignment horizontal="center" vertical="center"/>
    </xf>
    <xf numFmtId="42" fontId="28" fillId="7" borderId="0" xfId="3" quotePrefix="1" applyFont="1" applyFill="1" applyBorder="1" applyAlignment="1">
      <alignment horizontal="center" vertical="center"/>
    </xf>
    <xf numFmtId="1" fontId="38" fillId="0" borderId="0" xfId="0" applyNumberFormat="1" applyFont="1" applyBorder="1" applyAlignment="1" applyProtection="1">
      <protection locked="0"/>
    </xf>
    <xf numFmtId="0" fontId="29" fillId="7" borderId="0" xfId="0" applyFont="1" applyFill="1" applyBorder="1" applyAlignment="1">
      <alignment horizontal="center" vertical="center"/>
    </xf>
    <xf numFmtId="0" fontId="35" fillId="7" borderId="0" xfId="0" applyFont="1" applyFill="1" applyBorder="1" applyAlignment="1">
      <alignment horizontal="center" vertical="center"/>
    </xf>
    <xf numFmtId="0" fontId="31" fillId="7" borderId="12" xfId="0" applyFont="1" applyFill="1" applyBorder="1" applyAlignment="1">
      <alignment horizontal="center" vertical="center"/>
    </xf>
    <xf numFmtId="0" fontId="31" fillId="7" borderId="10" xfId="0" applyFont="1" applyFill="1" applyBorder="1" applyAlignment="1">
      <alignment horizontal="center" vertical="center"/>
    </xf>
    <xf numFmtId="41" fontId="31" fillId="7" borderId="9" xfId="2" applyFont="1" applyFill="1" applyBorder="1" applyAlignment="1">
      <alignment horizontal="center" vertical="center"/>
    </xf>
    <xf numFmtId="10" fontId="28" fillId="7" borderId="0" xfId="0" applyNumberFormat="1" applyFont="1" applyFill="1" applyAlignment="1">
      <alignment horizontal="center" vertical="center"/>
    </xf>
    <xf numFmtId="0" fontId="31" fillId="7" borderId="27" xfId="0" applyFont="1" applyFill="1" applyBorder="1" applyAlignment="1">
      <alignment horizontal="center" vertical="center"/>
    </xf>
    <xf numFmtId="0" fontId="31" fillId="7" borderId="24" xfId="0" applyFont="1" applyFill="1" applyBorder="1" applyAlignment="1">
      <alignment horizontal="center" vertical="center"/>
    </xf>
    <xf numFmtId="0" fontId="31" fillId="7" borderId="18" xfId="0" applyFont="1" applyFill="1" applyBorder="1" applyAlignment="1">
      <alignment horizontal="center" vertical="center"/>
    </xf>
    <xf numFmtId="0" fontId="31" fillId="7" borderId="19" xfId="0" applyFont="1" applyFill="1" applyBorder="1" applyAlignment="1">
      <alignment horizontal="center" vertical="center"/>
    </xf>
    <xf numFmtId="0" fontId="31" fillId="7" borderId="34" xfId="0" applyFont="1" applyFill="1" applyBorder="1" applyAlignment="1">
      <alignment horizontal="center" vertical="center"/>
    </xf>
    <xf numFmtId="0" fontId="31" fillId="7" borderId="28" xfId="0" applyFont="1" applyFill="1" applyBorder="1" applyAlignment="1">
      <alignment horizontal="center" vertical="center"/>
    </xf>
    <xf numFmtId="41" fontId="31" fillId="7" borderId="4" xfId="2" applyFont="1" applyFill="1" applyBorder="1" applyAlignment="1">
      <alignment horizontal="center" vertical="center"/>
    </xf>
    <xf numFmtId="10" fontId="28" fillId="7" borderId="0" xfId="1" applyNumberFormat="1" applyFont="1" applyFill="1" applyAlignment="1">
      <alignment horizontal="center" vertical="center"/>
    </xf>
    <xf numFmtId="41" fontId="38" fillId="0" borderId="0" xfId="2" applyFont="1" applyBorder="1" applyAlignment="1" applyProtection="1">
      <alignment horizontal="right" vertical="center"/>
    </xf>
    <xf numFmtId="43" fontId="38" fillId="0" borderId="0" xfId="0" applyNumberFormat="1" applyFont="1" applyBorder="1" applyAlignment="1" applyProtection="1">
      <alignment horizontal="right" vertical="center"/>
    </xf>
    <xf numFmtId="10" fontId="38" fillId="0" borderId="0" xfId="1" applyNumberFormat="1" applyFont="1" applyBorder="1" applyAlignment="1" applyProtection="1">
      <alignment vertical="center"/>
    </xf>
    <xf numFmtId="41" fontId="37" fillId="7" borderId="0" xfId="0" applyNumberFormat="1" applyFont="1" applyFill="1" applyBorder="1" applyAlignment="1">
      <alignment horizontal="center" vertical="center"/>
    </xf>
    <xf numFmtId="0" fontId="0" fillId="0" borderId="21" xfId="0" applyBorder="1" applyAlignment="1">
      <alignment horizontal="center" vertical="center"/>
    </xf>
    <xf numFmtId="41" fontId="0" fillId="0" borderId="21" xfId="2" applyFont="1" applyBorder="1" applyAlignment="1">
      <alignment horizontal="center" vertical="center"/>
    </xf>
    <xf numFmtId="41" fontId="0" fillId="0" borderId="21" xfId="0" applyNumberFormat="1" applyBorder="1" applyAlignment="1">
      <alignment horizontal="center" vertical="center"/>
    </xf>
    <xf numFmtId="41" fontId="0" fillId="0" borderId="0" xfId="2" applyFont="1" applyAlignment="1">
      <alignment horizontal="center" vertical="center"/>
    </xf>
    <xf numFmtId="0" fontId="28" fillId="3" borderId="4" xfId="0" applyFont="1" applyFill="1" applyBorder="1" applyAlignment="1" applyProtection="1">
      <alignment horizontal="center" vertical="center"/>
      <protection locked="0"/>
    </xf>
    <xf numFmtId="0" fontId="31" fillId="4" borderId="56" xfId="4" applyFont="1" applyFill="1" applyBorder="1" applyAlignment="1">
      <alignment horizontal="center" vertical="center"/>
    </xf>
    <xf numFmtId="10" fontId="28" fillId="13" borderId="24" xfId="0" applyNumberFormat="1" applyFont="1" applyFill="1" applyBorder="1" applyAlignment="1">
      <alignment horizontal="center" vertical="center"/>
    </xf>
    <xf numFmtId="10" fontId="28" fillId="13" borderId="18" xfId="1" applyNumberFormat="1" applyFont="1" applyFill="1" applyBorder="1" applyAlignment="1">
      <alignment horizontal="center" vertical="center"/>
    </xf>
    <xf numFmtId="10" fontId="28" fillId="13" borderId="19" xfId="1" applyNumberFormat="1" applyFont="1" applyFill="1" applyBorder="1" applyAlignment="1">
      <alignment horizontal="center" vertical="center"/>
    </xf>
    <xf numFmtId="10" fontId="28" fillId="7" borderId="24" xfId="0" applyNumberFormat="1" applyFont="1" applyFill="1" applyBorder="1" applyAlignment="1">
      <alignment horizontal="center" vertical="center"/>
    </xf>
    <xf numFmtId="10" fontId="28" fillId="7" borderId="18" xfId="1" applyNumberFormat="1" applyFont="1" applyFill="1" applyBorder="1" applyAlignment="1">
      <alignment horizontal="center" vertical="center"/>
    </xf>
    <xf numFmtId="10" fontId="28" fillId="7" borderId="19" xfId="1" applyNumberFormat="1" applyFont="1" applyFill="1" applyBorder="1" applyAlignment="1">
      <alignment horizontal="center" vertical="center"/>
    </xf>
    <xf numFmtId="180" fontId="28" fillId="7" borderId="21" xfId="2" quotePrefix="1" applyNumberFormat="1" applyFont="1" applyFill="1" applyBorder="1" applyAlignment="1">
      <alignment horizontal="center" vertical="center"/>
    </xf>
    <xf numFmtId="0" fontId="28" fillId="3" borderId="21" xfId="0" applyFont="1" applyFill="1" applyBorder="1" applyAlignment="1" applyProtection="1">
      <alignment horizontal="center" vertical="center"/>
      <protection locked="0"/>
    </xf>
    <xf numFmtId="182" fontId="28" fillId="7" borderId="21" xfId="0" applyNumberFormat="1" applyFont="1" applyFill="1" applyBorder="1" applyAlignment="1">
      <alignment horizontal="center" vertical="center"/>
    </xf>
    <xf numFmtId="41" fontId="28" fillId="7" borderId="21" xfId="2" quotePrefix="1" applyFont="1" applyFill="1" applyBorder="1" applyAlignment="1">
      <alignment horizontal="center" vertical="center"/>
    </xf>
    <xf numFmtId="184" fontId="38" fillId="0" borderId="116" xfId="0" applyNumberFormat="1" applyFont="1" applyBorder="1" applyAlignment="1" applyProtection="1">
      <alignment horizontal="right" vertical="center"/>
    </xf>
    <xf numFmtId="0" fontId="38" fillId="0" borderId="116" xfId="0" applyFont="1" applyBorder="1" applyAlignment="1" applyProtection="1">
      <alignment horizontal="right" vertical="center"/>
    </xf>
    <xf numFmtId="41" fontId="38" fillId="0" borderId="116" xfId="2" applyFont="1" applyBorder="1" applyAlignment="1" applyProtection="1">
      <alignment horizontal="right" vertical="center"/>
    </xf>
    <xf numFmtId="0" fontId="28" fillId="7" borderId="172" xfId="0" quotePrefix="1" applyFont="1" applyFill="1" applyBorder="1" applyAlignment="1">
      <alignment horizontal="center" vertical="center"/>
    </xf>
    <xf numFmtId="186" fontId="0" fillId="0" borderId="0" xfId="4124" applyNumberFormat="1" applyFont="1" applyAlignment="1">
      <alignment horizontal="right"/>
    </xf>
    <xf numFmtId="3" fontId="28" fillId="7" borderId="0" xfId="0" applyNumberFormat="1" applyFont="1" applyFill="1" applyAlignment="1">
      <alignment horizontal="center" vertical="center"/>
    </xf>
    <xf numFmtId="0" fontId="124" fillId="0" borderId="118" xfId="0" applyFont="1" applyBorder="1" applyAlignment="1">
      <alignment horizontal="center" vertical="center"/>
    </xf>
    <xf numFmtId="0" fontId="125" fillId="0" borderId="119" xfId="0" applyFont="1" applyFill="1" applyBorder="1" applyAlignment="1">
      <alignment horizontal="center" vertical="center" wrapText="1"/>
    </xf>
    <xf numFmtId="0" fontId="125" fillId="0" borderId="120" xfId="0" applyFont="1" applyFill="1" applyBorder="1" applyAlignment="1">
      <alignment horizontal="center" vertical="center"/>
    </xf>
    <xf numFmtId="0" fontId="125" fillId="0" borderId="121" xfId="0" applyFont="1" applyFill="1" applyBorder="1" applyAlignment="1">
      <alignment horizontal="center" vertical="center"/>
    </xf>
    <xf numFmtId="41" fontId="43" fillId="0" borderId="0" xfId="4124" applyFont="1"/>
    <xf numFmtId="186" fontId="42" fillId="0" borderId="0" xfId="0" applyNumberFormat="1" applyFont="1" applyAlignment="1">
      <alignment horizontal="right"/>
    </xf>
    <xf numFmtId="41" fontId="43" fillId="0" borderId="0" xfId="4124" applyNumberFormat="1" applyFont="1"/>
    <xf numFmtId="181" fontId="165" fillId="0" borderId="0" xfId="4124" applyNumberFormat="1" applyFont="1"/>
    <xf numFmtId="0" fontId="45" fillId="0" borderId="122" xfId="0" applyFont="1" applyBorder="1" applyAlignment="1">
      <alignment horizontal="center" vertical="center" wrapText="1"/>
    </xf>
    <xf numFmtId="0" fontId="44" fillId="0" borderId="124" xfId="0" applyFont="1" applyBorder="1" applyAlignment="1">
      <alignment horizontal="center" vertical="center" wrapText="1"/>
    </xf>
    <xf numFmtId="0" fontId="45" fillId="0" borderId="49" xfId="0" applyFont="1" applyBorder="1" applyAlignment="1">
      <alignment horizontal="center" vertical="center"/>
    </xf>
    <xf numFmtId="186" fontId="45" fillId="0" borderId="85" xfId="4124" applyNumberFormat="1" applyFont="1" applyBorder="1" applyAlignment="1">
      <alignment horizontal="right" vertical="center"/>
    </xf>
    <xf numFmtId="186" fontId="45" fillId="0" borderId="89" xfId="4124" applyNumberFormat="1" applyFont="1" applyBorder="1" applyAlignment="1">
      <alignment horizontal="right" vertical="center"/>
    </xf>
    <xf numFmtId="41" fontId="54" fillId="0" borderId="86" xfId="4124" applyFont="1" applyBorder="1" applyAlignment="1">
      <alignment horizontal="center" vertical="center"/>
    </xf>
    <xf numFmtId="183" fontId="48" fillId="0" borderId="87" xfId="0" applyNumberFormat="1" applyFont="1" applyBorder="1" applyAlignment="1">
      <alignment horizontal="center" vertical="center"/>
    </xf>
    <xf numFmtId="186" fontId="45" fillId="0" borderId="85" xfId="0" applyNumberFormat="1" applyFont="1" applyBorder="1" applyAlignment="1">
      <alignment horizontal="right" vertical="center"/>
    </xf>
    <xf numFmtId="186" fontId="45" fillId="0" borderId="86" xfId="4124" applyNumberFormat="1" applyFont="1" applyBorder="1" applyAlignment="1">
      <alignment horizontal="right" vertical="center"/>
    </xf>
    <xf numFmtId="41" fontId="54" fillId="0" borderId="86" xfId="4124" applyNumberFormat="1" applyFont="1" applyBorder="1" applyAlignment="1">
      <alignment horizontal="center" vertical="center"/>
    </xf>
    <xf numFmtId="183" fontId="48" fillId="0" borderId="90" xfId="0" applyNumberFormat="1" applyFont="1" applyBorder="1" applyAlignment="1">
      <alignment horizontal="center" vertical="center"/>
    </xf>
    <xf numFmtId="186" fontId="45" fillId="0" borderId="89" xfId="0" applyNumberFormat="1" applyFont="1" applyBorder="1" applyAlignment="1">
      <alignment horizontal="right" vertical="center"/>
    </xf>
    <xf numFmtId="183" fontId="44" fillId="0" borderId="125" xfId="0" applyNumberFormat="1" applyFont="1" applyBorder="1" applyAlignment="1">
      <alignment horizontal="center" vertical="center"/>
    </xf>
    <xf numFmtId="181" fontId="127" fillId="0" borderId="49" xfId="4124" applyNumberFormat="1" applyFont="1" applyBorder="1" applyAlignment="1">
      <alignment horizontal="center" vertical="center"/>
    </xf>
    <xf numFmtId="41" fontId="54" fillId="0" borderId="81" xfId="4124" applyFont="1" applyBorder="1" applyAlignment="1">
      <alignment horizontal="center" vertical="center"/>
    </xf>
    <xf numFmtId="183" fontId="48" fillId="0" borderId="61" xfId="4124" applyNumberFormat="1" applyFont="1" applyBorder="1" applyAlignment="1">
      <alignment horizontal="center" vertical="center"/>
    </xf>
    <xf numFmtId="186" fontId="45" fillId="0" borderId="91" xfId="4124" applyNumberFormat="1" applyFont="1" applyBorder="1" applyAlignment="1">
      <alignment horizontal="right" vertical="center"/>
    </xf>
    <xf numFmtId="186" fontId="45" fillId="0" borderId="93" xfId="4124" applyNumberFormat="1" applyFont="1" applyBorder="1" applyAlignment="1">
      <alignment horizontal="right" vertical="center"/>
    </xf>
    <xf numFmtId="41" fontId="54" fillId="0" borderId="92" xfId="4124" applyNumberFormat="1" applyFont="1" applyBorder="1" applyAlignment="1">
      <alignment horizontal="center" vertical="center"/>
    </xf>
    <xf numFmtId="186" fontId="45" fillId="0" borderId="91" xfId="0" applyNumberFormat="1" applyFont="1" applyBorder="1" applyAlignment="1">
      <alignment horizontal="right" vertical="center"/>
    </xf>
    <xf numFmtId="186" fontId="45" fillId="0" borderId="92" xfId="4124" applyNumberFormat="1" applyFont="1" applyBorder="1" applyAlignment="1">
      <alignment horizontal="right" vertical="center"/>
    </xf>
    <xf numFmtId="186" fontId="45" fillId="0" borderId="93" xfId="0" applyNumberFormat="1" applyFont="1" applyBorder="1" applyAlignment="1">
      <alignment horizontal="right" vertical="center"/>
    </xf>
    <xf numFmtId="41" fontId="54" fillId="0" borderId="92" xfId="4124" applyFont="1" applyBorder="1" applyAlignment="1">
      <alignment horizontal="center" vertical="center"/>
    </xf>
    <xf numFmtId="183" fontId="48" fillId="0" borderId="88" xfId="0" applyNumberFormat="1" applyFont="1" applyBorder="1" applyAlignment="1">
      <alignment horizontal="center" vertical="center"/>
    </xf>
    <xf numFmtId="183" fontId="44" fillId="0" borderId="124" xfId="0" applyNumberFormat="1" applyFont="1" applyBorder="1" applyAlignment="1">
      <alignment horizontal="center" vertical="center"/>
    </xf>
    <xf numFmtId="181" fontId="127" fillId="0" borderId="48" xfId="4124" applyNumberFormat="1" applyFont="1" applyBorder="1" applyAlignment="1">
      <alignment horizontal="center" vertical="center"/>
    </xf>
    <xf numFmtId="0" fontId="45" fillId="0" borderId="48" xfId="0" applyFont="1" applyBorder="1" applyAlignment="1">
      <alignment horizontal="center" vertical="center"/>
    </xf>
    <xf numFmtId="183" fontId="45" fillId="0" borderId="124" xfId="0" applyNumberFormat="1" applyFont="1" applyBorder="1" applyAlignment="1">
      <alignment horizontal="center" vertical="center"/>
    </xf>
    <xf numFmtId="183" fontId="45" fillId="0" borderId="125" xfId="0" applyNumberFormat="1" applyFont="1" applyBorder="1" applyAlignment="1">
      <alignment horizontal="center" vertical="center"/>
    </xf>
    <xf numFmtId="0" fontId="45" fillId="0" borderId="96" xfId="0" applyFont="1" applyBorder="1" applyAlignment="1">
      <alignment horizontal="center" vertical="center"/>
    </xf>
    <xf numFmtId="186" fontId="45" fillId="0" borderId="97" xfId="4124" applyNumberFormat="1" applyFont="1" applyBorder="1" applyAlignment="1">
      <alignment horizontal="right" vertical="center"/>
    </xf>
    <xf numFmtId="186" fontId="45" fillId="0" borderId="101" xfId="4124" applyNumberFormat="1" applyFont="1" applyBorder="1" applyAlignment="1">
      <alignment horizontal="right" vertical="center"/>
    </xf>
    <xf numFmtId="183" fontId="48" fillId="0" borderId="99" xfId="4124" applyNumberFormat="1" applyFont="1" applyBorder="1" applyAlignment="1">
      <alignment horizontal="center" vertical="center"/>
    </xf>
    <xf numFmtId="186" fontId="45" fillId="0" borderId="98" xfId="4124" applyNumberFormat="1" applyFont="1" applyBorder="1" applyAlignment="1">
      <alignment horizontal="right" vertical="center"/>
    </xf>
    <xf numFmtId="183" fontId="48" fillId="0" borderId="100" xfId="4124" applyNumberFormat="1" applyFont="1" applyBorder="1" applyAlignment="1">
      <alignment horizontal="center" vertical="center"/>
    </xf>
    <xf numFmtId="183" fontId="45" fillId="0" borderId="127" xfId="4124" applyNumberFormat="1" applyFont="1" applyBorder="1" applyAlignment="1">
      <alignment horizontal="center" vertical="center"/>
    </xf>
    <xf numFmtId="43" fontId="128" fillId="0" borderId="96" xfId="4124" applyNumberFormat="1" applyFont="1" applyBorder="1" applyAlignment="1">
      <alignment horizontal="center" vertical="center"/>
    </xf>
    <xf numFmtId="183" fontId="48" fillId="0" borderId="129" xfId="4124" applyNumberFormat="1" applyFont="1" applyBorder="1" applyAlignment="1">
      <alignment horizontal="center" vertical="center"/>
    </xf>
    <xf numFmtId="186" fontId="44" fillId="0" borderId="144" xfId="4124" applyNumberFormat="1" applyFont="1" applyFill="1" applyBorder="1" applyAlignment="1">
      <alignment horizontal="right" vertical="center"/>
    </xf>
    <xf numFmtId="186" fontId="44" fillId="0" borderId="145" xfId="4124" applyNumberFormat="1" applyFont="1" applyFill="1" applyBorder="1" applyAlignment="1">
      <alignment horizontal="right" vertical="center"/>
    </xf>
    <xf numFmtId="186" fontId="44" fillId="0" borderId="144" xfId="0" applyNumberFormat="1" applyFont="1" applyFill="1" applyBorder="1" applyAlignment="1">
      <alignment horizontal="right" vertical="center"/>
    </xf>
    <xf numFmtId="186" fontId="44" fillId="0" borderId="146" xfId="4124" applyNumberFormat="1" applyFont="1" applyFill="1" applyBorder="1" applyAlignment="1">
      <alignment horizontal="right" vertical="center"/>
    </xf>
    <xf numFmtId="186" fontId="44" fillId="0" borderId="63" xfId="4124" applyNumberFormat="1" applyFont="1" applyFill="1" applyBorder="1" applyAlignment="1">
      <alignment horizontal="right" vertical="center"/>
    </xf>
    <xf numFmtId="186" fontId="44" fillId="0" borderId="65" xfId="4124" applyNumberFormat="1" applyFont="1" applyFill="1" applyBorder="1" applyAlignment="1">
      <alignment horizontal="right" vertical="center"/>
    </xf>
    <xf numFmtId="186" fontId="44" fillId="0" borderId="63" xfId="0" applyNumberFormat="1" applyFont="1" applyFill="1" applyBorder="1" applyAlignment="1">
      <alignment horizontal="right" vertical="center"/>
    </xf>
    <xf numFmtId="186" fontId="44" fillId="0" borderId="64" xfId="4124" applyNumberFormat="1" applyFont="1" applyFill="1" applyBorder="1" applyAlignment="1">
      <alignment horizontal="right" vertical="center"/>
    </xf>
    <xf numFmtId="186" fontId="44" fillId="0" borderId="68" xfId="4124" applyNumberFormat="1" applyFont="1" applyFill="1" applyBorder="1" applyAlignment="1">
      <alignment horizontal="right" vertical="center"/>
    </xf>
    <xf numFmtId="186" fontId="44" fillId="0" borderId="131" xfId="4124" applyNumberFormat="1" applyFont="1" applyFill="1" applyBorder="1" applyAlignment="1">
      <alignment horizontal="right" vertical="center"/>
    </xf>
    <xf numFmtId="186" fontId="44" fillId="0" borderId="132" xfId="4124" applyNumberFormat="1" applyFont="1" applyFill="1" applyBorder="1" applyAlignment="1">
      <alignment horizontal="right" vertical="center"/>
    </xf>
    <xf numFmtId="41" fontId="52" fillId="0" borderId="133" xfId="4124" applyFont="1" applyFill="1" applyBorder="1" applyAlignment="1">
      <alignment horizontal="center" vertical="center"/>
    </xf>
    <xf numFmtId="186" fontId="44" fillId="0" borderId="133" xfId="4124" applyNumberFormat="1" applyFont="1" applyFill="1" applyBorder="1" applyAlignment="1">
      <alignment horizontal="right" vertical="center"/>
    </xf>
    <xf numFmtId="183" fontId="47" fillId="0" borderId="138" xfId="4124" applyNumberFormat="1" applyFont="1" applyFill="1" applyBorder="1" applyAlignment="1">
      <alignment horizontal="center" vertical="center"/>
    </xf>
    <xf numFmtId="187" fontId="28" fillId="7" borderId="0" xfId="2" applyNumberFormat="1" applyFont="1" applyFill="1" applyBorder="1" applyAlignment="1">
      <alignment horizontal="center" vertical="center"/>
    </xf>
    <xf numFmtId="0" fontId="31" fillId="3" borderId="214" xfId="0" applyFont="1" applyFill="1" applyBorder="1" applyAlignment="1">
      <alignment horizontal="center" vertical="center"/>
    </xf>
    <xf numFmtId="0" fontId="31" fillId="4" borderId="214" xfId="4" applyFont="1" applyFill="1" applyBorder="1" applyAlignment="1">
      <alignment horizontal="center" vertical="center"/>
    </xf>
    <xf numFmtId="42" fontId="28" fillId="7" borderId="214" xfId="3" applyFont="1" applyFill="1" applyBorder="1" applyAlignment="1">
      <alignment horizontal="center" vertical="center"/>
    </xf>
    <xf numFmtId="10" fontId="28" fillId="7" borderId="214" xfId="1" quotePrefix="1" applyNumberFormat="1" applyFont="1" applyFill="1" applyBorder="1" applyAlignment="1">
      <alignment horizontal="center" vertical="center"/>
    </xf>
    <xf numFmtId="187" fontId="28" fillId="7" borderId="214" xfId="2" quotePrefix="1" applyNumberFormat="1" applyFont="1" applyFill="1" applyBorder="1" applyAlignment="1">
      <alignment horizontal="center" vertical="center"/>
    </xf>
    <xf numFmtId="41" fontId="28" fillId="7" borderId="214" xfId="2" quotePrefix="1" applyFont="1" applyFill="1" applyBorder="1" applyAlignment="1">
      <alignment horizontal="center" vertical="center"/>
    </xf>
    <xf numFmtId="42" fontId="28" fillId="7" borderId="214" xfId="3" quotePrefix="1" applyFont="1" applyFill="1" applyBorder="1" applyAlignment="1">
      <alignment horizontal="center" vertical="center"/>
    </xf>
    <xf numFmtId="0" fontId="28" fillId="7" borderId="214" xfId="0" applyFont="1" applyFill="1" applyBorder="1" applyAlignment="1">
      <alignment horizontal="center" vertical="center"/>
    </xf>
    <xf numFmtId="41" fontId="28" fillId="5" borderId="214" xfId="2" applyFont="1" applyFill="1" applyBorder="1" applyAlignment="1">
      <alignment horizontal="center" vertical="center"/>
    </xf>
    <xf numFmtId="177" fontId="28" fillId="5" borderId="214" xfId="2" applyNumberFormat="1" applyFont="1" applyFill="1" applyBorder="1" applyAlignment="1">
      <alignment horizontal="center" vertical="center"/>
    </xf>
    <xf numFmtId="187" fontId="28" fillId="7" borderId="214" xfId="0" applyNumberFormat="1" applyFont="1" applyFill="1" applyBorder="1" applyAlignment="1">
      <alignment horizontal="center" vertical="center"/>
    </xf>
    <xf numFmtId="187" fontId="28" fillId="7" borderId="214" xfId="2" applyNumberFormat="1" applyFont="1" applyFill="1" applyBorder="1" applyAlignment="1">
      <alignment horizontal="center" vertical="center"/>
    </xf>
    <xf numFmtId="177" fontId="28" fillId="7" borderId="214" xfId="2" applyNumberFormat="1" applyFont="1" applyFill="1" applyBorder="1" applyAlignment="1">
      <alignment horizontal="center" vertical="center"/>
    </xf>
    <xf numFmtId="183" fontId="28" fillId="7" borderId="214" xfId="1" applyNumberFormat="1" applyFont="1" applyFill="1" applyBorder="1" applyAlignment="1">
      <alignment horizontal="center" vertical="center"/>
    </xf>
    <xf numFmtId="0" fontId="28" fillId="5" borderId="214" xfId="0" applyFont="1" applyFill="1" applyBorder="1" applyAlignment="1">
      <alignment horizontal="center" vertical="center"/>
    </xf>
    <xf numFmtId="10" fontId="28" fillId="7" borderId="214" xfId="1" applyNumberFormat="1" applyFont="1" applyFill="1" applyBorder="1" applyAlignment="1">
      <alignment horizontal="center" vertical="center"/>
    </xf>
    <xf numFmtId="177" fontId="28" fillId="3" borderId="214" xfId="2" applyNumberFormat="1" applyFont="1" applyFill="1" applyBorder="1" applyAlignment="1">
      <alignment horizontal="center" vertical="center"/>
    </xf>
    <xf numFmtId="178" fontId="28" fillId="7" borderId="214" xfId="1" quotePrefix="1" applyNumberFormat="1" applyFont="1" applyFill="1" applyBorder="1" applyAlignment="1">
      <alignment horizontal="center" vertical="center"/>
    </xf>
    <xf numFmtId="178" fontId="28" fillId="7" borderId="214" xfId="3" quotePrefix="1" applyNumberFormat="1" applyFont="1" applyFill="1" applyBorder="1" applyAlignment="1">
      <alignment horizontal="center" vertical="center"/>
    </xf>
    <xf numFmtId="177" fontId="28" fillId="7" borderId="214" xfId="3" applyNumberFormat="1" applyFont="1" applyFill="1" applyBorder="1" applyAlignment="1">
      <alignment horizontal="center" vertical="center"/>
    </xf>
    <xf numFmtId="0" fontId="28" fillId="3" borderId="214" xfId="0" applyFont="1" applyFill="1" applyBorder="1" applyAlignment="1">
      <alignment horizontal="center" vertical="center"/>
    </xf>
    <xf numFmtId="176" fontId="28" fillId="7" borderId="214" xfId="0" applyNumberFormat="1" applyFont="1" applyFill="1" applyBorder="1" applyAlignment="1">
      <alignment horizontal="center" vertical="center"/>
    </xf>
    <xf numFmtId="176" fontId="28" fillId="5" borderId="214" xfId="0" applyNumberFormat="1" applyFont="1" applyFill="1" applyBorder="1" applyAlignment="1">
      <alignment horizontal="center" vertical="center"/>
    </xf>
    <xf numFmtId="43" fontId="28" fillId="7" borderId="214" xfId="0" applyNumberFormat="1" applyFont="1" applyFill="1" applyBorder="1" applyAlignment="1">
      <alignment horizontal="center" vertical="center"/>
    </xf>
    <xf numFmtId="43" fontId="28" fillId="5" borderId="214" xfId="0" applyNumberFormat="1" applyFont="1" applyFill="1" applyBorder="1" applyAlignment="1">
      <alignment horizontal="center" vertical="center"/>
    </xf>
    <xf numFmtId="176" fontId="31" fillId="7" borderId="214" xfId="0" applyNumberFormat="1" applyFont="1" applyFill="1" applyBorder="1" applyAlignment="1">
      <alignment horizontal="center" vertical="center"/>
    </xf>
    <xf numFmtId="176" fontId="31" fillId="5" borderId="214" xfId="0" applyNumberFormat="1" applyFont="1" applyFill="1" applyBorder="1" applyAlignment="1">
      <alignment horizontal="center" vertical="center"/>
    </xf>
    <xf numFmtId="10" fontId="28" fillId="5" borderId="214" xfId="1" applyNumberFormat="1" applyFont="1" applyFill="1" applyBorder="1" applyAlignment="1">
      <alignment horizontal="center" vertical="center"/>
    </xf>
    <xf numFmtId="10" fontId="28" fillId="3" borderId="214" xfId="1" applyNumberFormat="1" applyFont="1" applyFill="1" applyBorder="1" applyAlignment="1">
      <alignment horizontal="center" vertical="center"/>
    </xf>
    <xf numFmtId="183" fontId="28" fillId="7" borderId="214" xfId="2" applyNumberFormat="1" applyFont="1" applyFill="1" applyBorder="1" applyAlignment="1">
      <alignment horizontal="center" vertical="center"/>
    </xf>
    <xf numFmtId="176" fontId="28" fillId="3" borderId="214" xfId="0" applyNumberFormat="1" applyFont="1" applyFill="1" applyBorder="1" applyAlignment="1">
      <alignment horizontal="center" vertical="center"/>
    </xf>
    <xf numFmtId="179" fontId="28" fillId="5" borderId="214" xfId="3" applyNumberFormat="1" applyFont="1" applyFill="1" applyBorder="1" applyAlignment="1">
      <alignment horizontal="center" vertical="center"/>
    </xf>
    <xf numFmtId="179" fontId="28" fillId="3" borderId="214" xfId="3" applyNumberFormat="1" applyFont="1" applyFill="1" applyBorder="1" applyAlignment="1">
      <alignment horizontal="center" vertical="center"/>
    </xf>
    <xf numFmtId="181" fontId="28" fillId="7" borderId="214" xfId="2" applyNumberFormat="1" applyFont="1" applyFill="1" applyBorder="1" applyAlignment="1">
      <alignment horizontal="center" vertical="center"/>
    </xf>
    <xf numFmtId="181" fontId="28" fillId="3" borderId="214" xfId="2" applyNumberFormat="1" applyFont="1" applyFill="1" applyBorder="1" applyAlignment="1">
      <alignment horizontal="center" vertical="center"/>
    </xf>
    <xf numFmtId="41" fontId="28" fillId="6" borderId="214" xfId="2" quotePrefix="1" applyFont="1" applyFill="1" applyBorder="1" applyAlignment="1">
      <alignment horizontal="center" vertical="center"/>
    </xf>
    <xf numFmtId="10" fontId="28" fillId="6" borderId="214" xfId="1" applyNumberFormat="1" applyFont="1" applyFill="1" applyBorder="1" applyAlignment="1">
      <alignment horizontal="center" vertical="center"/>
    </xf>
    <xf numFmtId="0" fontId="31" fillId="6" borderId="214" xfId="0" applyFont="1" applyFill="1" applyBorder="1" applyAlignment="1">
      <alignment horizontal="center" vertical="center"/>
    </xf>
    <xf numFmtId="183" fontId="28" fillId="6" borderId="214" xfId="2" applyNumberFormat="1" applyFont="1" applyFill="1" applyBorder="1" applyAlignment="1">
      <alignment horizontal="center" vertical="center"/>
    </xf>
    <xf numFmtId="181" fontId="28" fillId="6" borderId="214" xfId="2" applyNumberFormat="1" applyFont="1" applyFill="1" applyBorder="1" applyAlignment="1">
      <alignment horizontal="center" vertical="center"/>
    </xf>
    <xf numFmtId="42" fontId="28" fillId="6" borderId="214" xfId="3" applyFont="1" applyFill="1" applyBorder="1" applyAlignment="1">
      <alignment horizontal="center" vertical="center"/>
    </xf>
    <xf numFmtId="42" fontId="28" fillId="6" borderId="214" xfId="3" quotePrefix="1" applyFont="1" applyFill="1" applyBorder="1" applyAlignment="1">
      <alignment horizontal="center" vertical="center"/>
    </xf>
    <xf numFmtId="42" fontId="31" fillId="6" borderId="214" xfId="3" quotePrefix="1" applyFont="1" applyFill="1" applyBorder="1" applyAlignment="1">
      <alignment horizontal="center" vertical="center"/>
    </xf>
    <xf numFmtId="186" fontId="44" fillId="0" borderId="140" xfId="4124" applyNumberFormat="1" applyFont="1" applyFill="1" applyBorder="1" applyAlignment="1">
      <alignment horizontal="right" vertical="center"/>
    </xf>
    <xf numFmtId="186" fontId="44" fillId="0" borderId="141" xfId="4124" applyNumberFormat="1" applyFont="1" applyFill="1" applyBorder="1" applyAlignment="1">
      <alignment horizontal="right" vertical="center"/>
    </xf>
    <xf numFmtId="41" fontId="52" fillId="0" borderId="31" xfId="4124" applyFont="1" applyFill="1" applyBorder="1" applyAlignment="1">
      <alignment horizontal="center" vertical="center"/>
    </xf>
    <xf numFmtId="186" fontId="44" fillId="0" borderId="31" xfId="4124" applyNumberFormat="1" applyFont="1" applyFill="1" applyBorder="1" applyAlignment="1">
      <alignment horizontal="right" vertical="center"/>
    </xf>
    <xf numFmtId="177" fontId="28" fillId="7" borderId="0" xfId="0" applyNumberFormat="1" applyFont="1" applyFill="1" applyBorder="1" applyAlignment="1">
      <alignment horizontal="center" vertical="center"/>
    </xf>
    <xf numFmtId="221" fontId="28" fillId="7" borderId="0" xfId="0" applyNumberFormat="1" applyFont="1" applyFill="1" applyBorder="1" applyAlignment="1">
      <alignment horizontal="center" vertical="center"/>
    </xf>
    <xf numFmtId="179" fontId="28" fillId="7" borderId="0" xfId="0" applyNumberFormat="1" applyFont="1" applyFill="1" applyBorder="1" applyAlignment="1">
      <alignment horizontal="center" vertical="center"/>
    </xf>
    <xf numFmtId="41" fontId="28" fillId="7" borderId="0" xfId="2" applyFont="1" applyFill="1" applyAlignment="1">
      <alignment horizontal="center" vertical="center"/>
    </xf>
    <xf numFmtId="0" fontId="59" fillId="0" borderId="215" xfId="0" applyFont="1" applyBorder="1" applyAlignment="1">
      <alignment horizontal="center" vertical="top" wrapText="1" readingOrder="1"/>
    </xf>
    <xf numFmtId="41" fontId="38" fillId="0" borderId="0" xfId="2" applyFont="1" applyBorder="1" applyAlignment="1" applyProtection="1">
      <protection locked="0"/>
    </xf>
    <xf numFmtId="41" fontId="38" fillId="0" borderId="214" xfId="2" applyFont="1" applyBorder="1" applyAlignment="1" applyProtection="1">
      <protection locked="0"/>
    </xf>
    <xf numFmtId="180" fontId="38" fillId="0" borderId="214" xfId="0" applyNumberFormat="1" applyFont="1" applyBorder="1" applyAlignment="1" applyProtection="1">
      <protection locked="0"/>
    </xf>
    <xf numFmtId="41" fontId="38" fillId="0" borderId="0" xfId="0" applyNumberFormat="1" applyFont="1" applyBorder="1" applyAlignment="1" applyProtection="1">
      <alignment horizontal="right" vertical="center"/>
    </xf>
    <xf numFmtId="187" fontId="28" fillId="7" borderId="0" xfId="0" applyNumberFormat="1" applyFont="1" applyFill="1" applyBorder="1" applyAlignment="1">
      <alignment horizontal="center" vertical="center"/>
    </xf>
    <xf numFmtId="0" fontId="51" fillId="0" borderId="0" xfId="0" applyFont="1">
      <alignment vertical="center"/>
    </xf>
    <xf numFmtId="184" fontId="38" fillId="0" borderId="0" xfId="0" applyNumberFormat="1" applyFont="1" applyBorder="1" applyAlignment="1" applyProtection="1">
      <protection locked="0"/>
    </xf>
    <xf numFmtId="41" fontId="23" fillId="0" borderId="214" xfId="2" applyFont="1" applyBorder="1" applyAlignment="1">
      <alignment horizontal="right" vertical="center"/>
    </xf>
    <xf numFmtId="43" fontId="38" fillId="10" borderId="0" xfId="0" applyNumberFormat="1" applyFont="1" applyFill="1" applyBorder="1" applyAlignment="1" applyProtection="1">
      <protection locked="0"/>
    </xf>
    <xf numFmtId="41" fontId="38" fillId="10" borderId="0" xfId="2" applyFont="1" applyFill="1" applyBorder="1" applyAlignment="1" applyProtection="1">
      <protection locked="0"/>
    </xf>
    <xf numFmtId="180" fontId="38" fillId="10" borderId="0" xfId="0" applyNumberFormat="1" applyFont="1" applyFill="1" applyBorder="1" applyAlignment="1" applyProtection="1">
      <protection locked="0"/>
    </xf>
    <xf numFmtId="41" fontId="0" fillId="0" borderId="0" xfId="0" applyNumberFormat="1" applyAlignment="1" applyProtection="1">
      <protection locked="0"/>
    </xf>
    <xf numFmtId="41" fontId="0" fillId="11" borderId="0" xfId="2" applyFont="1" applyFill="1" applyAlignment="1" applyProtection="1">
      <protection locked="0"/>
    </xf>
    <xf numFmtId="3" fontId="28" fillId="7" borderId="0" xfId="0" applyNumberFormat="1" applyFont="1" applyFill="1" applyBorder="1" applyAlignment="1">
      <alignment horizontal="center" vertical="center"/>
    </xf>
    <xf numFmtId="10" fontId="0" fillId="11" borderId="0" xfId="1" applyNumberFormat="1" applyFont="1" applyFill="1" applyAlignment="1" applyProtection="1">
      <protection locked="0"/>
    </xf>
    <xf numFmtId="0" fontId="28" fillId="114" borderId="214" xfId="0" applyFont="1" applyFill="1" applyBorder="1" applyAlignment="1">
      <alignment horizontal="center" vertical="center"/>
    </xf>
    <xf numFmtId="0" fontId="38" fillId="10" borderId="0" xfId="3846" applyFont="1" applyFill="1" applyBorder="1">
      <protection locked="0"/>
    </xf>
    <xf numFmtId="0" fontId="110" fillId="11" borderId="0" xfId="3846" applyFill="1">
      <protection locked="0"/>
    </xf>
    <xf numFmtId="41" fontId="28" fillId="114" borderId="214" xfId="2" applyFont="1" applyFill="1" applyBorder="1" applyAlignment="1">
      <alignment horizontal="center" vertical="center"/>
    </xf>
    <xf numFmtId="177" fontId="28" fillId="114" borderId="214" xfId="2" applyNumberFormat="1" applyFont="1" applyFill="1" applyBorder="1" applyAlignment="1">
      <alignment horizontal="center" vertical="center"/>
    </xf>
    <xf numFmtId="178" fontId="28" fillId="114" borderId="214" xfId="1" quotePrefix="1" applyNumberFormat="1" applyFont="1" applyFill="1" applyBorder="1" applyAlignment="1">
      <alignment horizontal="center" vertical="center"/>
    </xf>
    <xf numFmtId="178" fontId="28" fillId="114" borderId="214" xfId="3" quotePrefix="1" applyNumberFormat="1" applyFont="1" applyFill="1" applyBorder="1" applyAlignment="1">
      <alignment horizontal="center" vertical="center"/>
    </xf>
    <xf numFmtId="177" fontId="28" fillId="114" borderId="214" xfId="3" applyNumberFormat="1" applyFont="1" applyFill="1" applyBorder="1" applyAlignment="1">
      <alignment horizontal="center" vertical="center"/>
    </xf>
    <xf numFmtId="10" fontId="28" fillId="7" borderId="7" xfId="3" quotePrefix="1" applyNumberFormat="1" applyFont="1" applyFill="1" applyBorder="1" applyAlignment="1">
      <alignment horizontal="center" vertical="center"/>
    </xf>
    <xf numFmtId="0" fontId="59" fillId="0" borderId="218" xfId="0" applyFont="1" applyBorder="1" applyAlignment="1">
      <alignment horizontal="center" vertical="center" wrapText="1" readingOrder="1"/>
    </xf>
    <xf numFmtId="3" fontId="59" fillId="0" borderId="218" xfId="0" applyNumberFormat="1" applyFont="1" applyBorder="1" applyAlignment="1">
      <alignment horizontal="center" vertical="center" wrapText="1" readingOrder="1"/>
    </xf>
    <xf numFmtId="3" fontId="38" fillId="0" borderId="0" xfId="0" applyNumberFormat="1" applyFont="1" applyBorder="1" applyAlignment="1" applyProtection="1">
      <protection locked="0"/>
    </xf>
    <xf numFmtId="3" fontId="0" fillId="0" borderId="0" xfId="0" applyNumberFormat="1" applyAlignment="1" applyProtection="1">
      <protection locked="0"/>
    </xf>
    <xf numFmtId="41" fontId="0" fillId="0" borderId="0" xfId="2" applyFont="1" applyAlignment="1" applyProtection="1">
      <protection locked="0"/>
    </xf>
    <xf numFmtId="187" fontId="172" fillId="15" borderId="229" xfId="0" applyNumberFormat="1" applyFont="1" applyFill="1" applyBorder="1" applyAlignment="1">
      <alignment vertical="center"/>
    </xf>
    <xf numFmtId="0" fontId="28" fillId="116" borderId="214" xfId="0" applyFont="1" applyFill="1" applyBorder="1" applyAlignment="1">
      <alignment horizontal="center" vertical="center"/>
    </xf>
    <xf numFmtId="41" fontId="28" fillId="116" borderId="214" xfId="2" applyFont="1" applyFill="1" applyBorder="1" applyAlignment="1">
      <alignment horizontal="center" vertical="center"/>
    </xf>
    <xf numFmtId="177" fontId="28" fillId="116" borderId="214" xfId="2" applyNumberFormat="1" applyFont="1" applyFill="1" applyBorder="1" applyAlignment="1">
      <alignment horizontal="center" vertical="center"/>
    </xf>
    <xf numFmtId="0" fontId="0" fillId="0" borderId="0" xfId="0">
      <alignment vertical="center"/>
    </xf>
    <xf numFmtId="0" fontId="46" fillId="0" borderId="0" xfId="0" applyFont="1">
      <alignment vertical="center"/>
    </xf>
    <xf numFmtId="0" fontId="26" fillId="0" borderId="0" xfId="0" applyFont="1">
      <alignment vertical="center"/>
    </xf>
    <xf numFmtId="0" fontId="26" fillId="0" borderId="0" xfId="0" applyFont="1" applyAlignment="1">
      <alignment horizontal="center" vertical="center"/>
    </xf>
    <xf numFmtId="0" fontId="173" fillId="0" borderId="0" xfId="0" applyFont="1" applyAlignment="1">
      <alignment horizontal="center" vertical="center"/>
    </xf>
    <xf numFmtId="0" fontId="35" fillId="0" borderId="0" xfId="0" applyFont="1">
      <alignment vertical="center"/>
    </xf>
    <xf numFmtId="0" fontId="174" fillId="7" borderId="0" xfId="0" applyFont="1" applyFill="1">
      <alignment vertical="center"/>
    </xf>
    <xf numFmtId="0" fontId="169" fillId="0" borderId="0" xfId="0" applyFont="1">
      <alignment vertical="center"/>
    </xf>
    <xf numFmtId="3" fontId="166" fillId="0" borderId="82" xfId="0" applyNumberFormat="1" applyFont="1" applyBorder="1" applyAlignment="1">
      <alignment horizontal="center" vertical="center" wrapText="1"/>
    </xf>
    <xf numFmtId="3" fontId="166" fillId="0" borderId="253" xfId="0" applyNumberFormat="1" applyFont="1" applyBorder="1" applyAlignment="1">
      <alignment horizontal="center" vertical="center" wrapText="1"/>
    </xf>
    <xf numFmtId="38" fontId="29" fillId="0" borderId="253" xfId="0" applyNumberFormat="1" applyFont="1" applyBorder="1" applyAlignment="1">
      <alignment horizontal="center" vertical="center"/>
    </xf>
    <xf numFmtId="0" fontId="29" fillId="0" borderId="0" xfId="0" applyFont="1" applyAlignment="1">
      <alignment horizontal="center" vertical="center"/>
    </xf>
    <xf numFmtId="0" fontId="29" fillId="0" borderId="0" xfId="0" applyFont="1">
      <alignment vertical="center"/>
    </xf>
    <xf numFmtId="0" fontId="29" fillId="0" borderId="82" xfId="0" applyFont="1" applyBorder="1" applyAlignment="1">
      <alignment horizontal="center" vertical="center"/>
    </xf>
    <xf numFmtId="0" fontId="29" fillId="0" borderId="253" xfId="0" applyFont="1" applyBorder="1" applyAlignment="1">
      <alignment horizontal="center" vertical="center"/>
    </xf>
    <xf numFmtId="0" fontId="29" fillId="0" borderId="253" xfId="0" applyFont="1" applyBorder="1" applyAlignment="1">
      <alignment horizontal="left" vertical="center" wrapText="1"/>
    </xf>
    <xf numFmtId="3" fontId="26" fillId="0" borderId="0" xfId="0" applyNumberFormat="1" applyFont="1">
      <alignment vertical="center"/>
    </xf>
    <xf numFmtId="10" fontId="38" fillId="0" borderId="0" xfId="1" applyNumberFormat="1" applyFont="1" applyBorder="1" applyAlignment="1" applyProtection="1">
      <alignment horizontal="right" vertical="center"/>
    </xf>
    <xf numFmtId="2" fontId="46" fillId="0" borderId="0" xfId="0" applyNumberFormat="1" applyFont="1" applyAlignment="1">
      <alignment horizontal="center" vertical="center"/>
    </xf>
    <xf numFmtId="0" fontId="172" fillId="5" borderId="6" xfId="0" quotePrefix="1" applyFont="1" applyFill="1" applyBorder="1" applyAlignment="1">
      <alignment horizontal="center" vertical="center"/>
    </xf>
    <xf numFmtId="0" fontId="172" fillId="5" borderId="6" xfId="0" applyFont="1" applyFill="1" applyBorder="1" applyAlignment="1">
      <alignment horizontal="center" vertical="center"/>
    </xf>
    <xf numFmtId="4" fontId="58" fillId="7" borderId="236" xfId="2" applyNumberFormat="1" applyFont="1" applyFill="1" applyBorder="1" applyAlignment="1">
      <alignment horizontal="center" vertical="center"/>
    </xf>
    <xf numFmtId="183" fontId="58" fillId="7" borderId="236" xfId="2" applyNumberFormat="1" applyFont="1" applyFill="1" applyBorder="1" applyAlignment="1">
      <alignment horizontal="center" vertical="center"/>
    </xf>
    <xf numFmtId="38" fontId="172" fillId="6" borderId="236" xfId="2" applyNumberFormat="1" applyFont="1" applyFill="1" applyBorder="1" applyAlignment="1">
      <alignment horizontal="center" vertical="center"/>
    </xf>
    <xf numFmtId="38" fontId="172" fillId="6" borderId="194" xfId="2" applyNumberFormat="1" applyFont="1" applyFill="1" applyBorder="1" applyAlignment="1">
      <alignment horizontal="center" vertical="center"/>
    </xf>
    <xf numFmtId="9" fontId="172" fillId="6" borderId="236" xfId="1" applyFont="1" applyFill="1" applyBorder="1" applyAlignment="1">
      <alignment horizontal="center" vertical="center"/>
    </xf>
    <xf numFmtId="0" fontId="172" fillId="7" borderId="0" xfId="0" applyFont="1" applyFill="1" applyBorder="1" applyAlignment="1">
      <alignment horizontal="center" vertical="center"/>
    </xf>
    <xf numFmtId="41" fontId="58" fillId="7" borderId="0" xfId="2" applyFont="1" applyFill="1" applyBorder="1" applyAlignment="1">
      <alignment horizontal="center" vertical="center"/>
    </xf>
    <xf numFmtId="183" fontId="58" fillId="7" borderId="0" xfId="2" applyNumberFormat="1" applyFont="1" applyFill="1" applyBorder="1" applyAlignment="1">
      <alignment horizontal="center" vertical="center"/>
    </xf>
    <xf numFmtId="9" fontId="58" fillId="7" borderId="0" xfId="1" applyFont="1" applyFill="1" applyBorder="1" applyAlignment="1">
      <alignment horizontal="center" vertical="center"/>
    </xf>
    <xf numFmtId="0" fontId="179" fillId="7" borderId="236" xfId="0" applyFont="1" applyFill="1" applyBorder="1" applyAlignment="1">
      <alignment horizontal="center" vertical="center" wrapText="1" readingOrder="1"/>
    </xf>
    <xf numFmtId="38" fontId="179" fillId="7" borderId="236" xfId="0" applyNumberFormat="1" applyFont="1" applyFill="1" applyBorder="1" applyAlignment="1">
      <alignment horizontal="center" vertical="center" wrapText="1" readingOrder="1"/>
    </xf>
    <xf numFmtId="0" fontId="29" fillId="7" borderId="0" xfId="0" applyFont="1" applyFill="1">
      <alignment vertical="center"/>
    </xf>
    <xf numFmtId="0" fontId="29" fillId="7" borderId="0" xfId="0" applyFont="1" applyFill="1" applyAlignment="1">
      <alignment vertical="center" wrapText="1"/>
    </xf>
    <xf numFmtId="2" fontId="29" fillId="7" borderId="0" xfId="0" applyNumberFormat="1" applyFont="1" applyFill="1">
      <alignment vertical="center"/>
    </xf>
    <xf numFmtId="4" fontId="29" fillId="7" borderId="0" xfId="0" applyNumberFormat="1" applyFont="1" applyFill="1">
      <alignment vertical="center"/>
    </xf>
    <xf numFmtId="0" fontId="44" fillId="0" borderId="130" xfId="0" applyFont="1" applyFill="1" applyBorder="1" applyAlignment="1">
      <alignment horizontal="center" vertical="center"/>
    </xf>
    <xf numFmtId="0" fontId="44" fillId="0" borderId="139" xfId="0" applyFont="1" applyFill="1" applyBorder="1" applyAlignment="1">
      <alignment horizontal="center" vertical="center"/>
    </xf>
    <xf numFmtId="0" fontId="44" fillId="0" borderId="143" xfId="0" applyFont="1" applyFill="1" applyBorder="1" applyAlignment="1">
      <alignment horizontal="center" vertical="center"/>
    </xf>
    <xf numFmtId="0" fontId="44" fillId="0" borderId="148" xfId="0" applyFont="1" applyFill="1" applyBorder="1" applyAlignment="1">
      <alignment horizontal="center" vertical="center"/>
    </xf>
    <xf numFmtId="183" fontId="47" fillId="0" borderId="149" xfId="4124" applyNumberFormat="1" applyFont="1" applyFill="1" applyBorder="1" applyAlignment="1">
      <alignment horizontal="center" vertical="center"/>
    </xf>
    <xf numFmtId="0" fontId="44" fillId="0" borderId="51" xfId="0" applyFont="1" applyFill="1" applyBorder="1" applyAlignment="1">
      <alignment horizontal="center" vertical="center"/>
    </xf>
    <xf numFmtId="183" fontId="47" fillId="0" borderId="59" xfId="4124" applyNumberFormat="1" applyFont="1" applyFill="1" applyBorder="1" applyAlignment="1">
      <alignment horizontal="center" vertical="center"/>
    </xf>
    <xf numFmtId="187" fontId="29" fillId="0" borderId="0" xfId="0" applyNumberFormat="1" applyFont="1" applyAlignment="1">
      <alignment horizontal="center" vertical="center"/>
    </xf>
    <xf numFmtId="0" fontId="58" fillId="0" borderId="0" xfId="0" applyFont="1" applyAlignment="1">
      <alignment horizontal="center" vertical="center"/>
    </xf>
    <xf numFmtId="0" fontId="172" fillId="15" borderId="6" xfId="0" quotePrefix="1" applyFont="1" applyFill="1" applyBorder="1" applyAlignment="1">
      <alignment horizontal="center" vertical="center"/>
    </xf>
    <xf numFmtId="0" fontId="58" fillId="0" borderId="201" xfId="0" applyFont="1" applyBorder="1" applyAlignment="1">
      <alignment horizontal="center" vertical="center"/>
    </xf>
    <xf numFmtId="0" fontId="58" fillId="0" borderId="214" xfId="0" applyFont="1" applyBorder="1" applyAlignment="1">
      <alignment horizontal="center" vertical="center"/>
    </xf>
    <xf numFmtId="187" fontId="58" fillId="7" borderId="32" xfId="2" applyNumberFormat="1" applyFont="1" applyFill="1" applyBorder="1" applyAlignment="1">
      <alignment horizontal="center" vertical="center"/>
    </xf>
    <xf numFmtId="0" fontId="58" fillId="7" borderId="220" xfId="0" applyFont="1" applyFill="1" applyBorder="1" applyAlignment="1">
      <alignment horizontal="center" vertical="center"/>
    </xf>
    <xf numFmtId="178" fontId="58" fillId="7" borderId="242" xfId="2" applyNumberFormat="1" applyFont="1" applyFill="1" applyBorder="1" applyAlignment="1">
      <alignment horizontal="center" vertical="center"/>
    </xf>
    <xf numFmtId="187" fontId="172" fillId="0" borderId="225" xfId="0" applyNumberFormat="1" applyFont="1" applyBorder="1" applyAlignment="1">
      <alignment horizontal="center" vertical="center"/>
    </xf>
    <xf numFmtId="9" fontId="172" fillId="0" borderId="226" xfId="1" applyFont="1" applyBorder="1" applyAlignment="1">
      <alignment horizontal="center" vertical="center"/>
    </xf>
    <xf numFmtId="0" fontId="172" fillId="0" borderId="227" xfId="0" applyFont="1" applyBorder="1" applyAlignment="1">
      <alignment horizontal="center" vertical="center"/>
    </xf>
    <xf numFmtId="0" fontId="58" fillId="0" borderId="0" xfId="0" applyFont="1">
      <alignment vertical="center"/>
    </xf>
    <xf numFmtId="187" fontId="58" fillId="0" borderId="0" xfId="0" applyNumberFormat="1" applyFont="1">
      <alignment vertical="center"/>
    </xf>
    <xf numFmtId="187" fontId="58" fillId="7" borderId="3" xfId="2" applyNumberFormat="1" applyFont="1" applyFill="1" applyBorder="1" applyAlignment="1">
      <alignment horizontal="center" vertical="center"/>
    </xf>
    <xf numFmtId="183" fontId="58" fillId="7" borderId="1" xfId="0" applyNumberFormat="1" applyFont="1" applyFill="1" applyBorder="1" applyAlignment="1">
      <alignment horizontal="center" vertical="center"/>
    </xf>
    <xf numFmtId="187" fontId="58" fillId="7" borderId="1" xfId="2" applyNumberFormat="1" applyFont="1" applyFill="1" applyBorder="1" applyAlignment="1">
      <alignment horizontal="center" vertical="center"/>
    </xf>
    <xf numFmtId="226" fontId="58" fillId="7" borderId="1" xfId="2" applyNumberFormat="1" applyFont="1" applyFill="1" applyBorder="1" applyAlignment="1">
      <alignment horizontal="center" vertical="center"/>
    </xf>
    <xf numFmtId="0" fontId="172" fillId="0" borderId="0" xfId="0" applyFont="1" applyAlignment="1">
      <alignment horizontal="center" vertical="center"/>
    </xf>
    <xf numFmtId="31" fontId="172" fillId="0" borderId="204" xfId="0" applyNumberFormat="1" applyFont="1" applyBorder="1" applyAlignment="1">
      <alignment vertical="center"/>
    </xf>
    <xf numFmtId="181" fontId="172" fillId="0" borderId="204" xfId="2" applyNumberFormat="1" applyFont="1" applyBorder="1" applyAlignment="1">
      <alignment vertical="center"/>
    </xf>
    <xf numFmtId="3" fontId="58" fillId="0" borderId="214" xfId="0" applyNumberFormat="1" applyFont="1" applyBorder="1" applyAlignment="1">
      <alignment horizontal="center" vertical="center"/>
    </xf>
    <xf numFmtId="38" fontId="58" fillId="0" borderId="236" xfId="0" applyNumberFormat="1" applyFont="1" applyBorder="1" applyAlignment="1">
      <alignment horizontal="center" vertical="center"/>
    </xf>
    <xf numFmtId="9" fontId="58" fillId="0" borderId="214" xfId="1" applyFont="1" applyBorder="1" applyAlignment="1">
      <alignment horizontal="center" vertical="center"/>
    </xf>
    <xf numFmtId="2" fontId="58" fillId="0" borderId="214" xfId="0" applyNumberFormat="1" applyFont="1" applyBorder="1" applyAlignment="1">
      <alignment horizontal="center" vertical="center"/>
    </xf>
    <xf numFmtId="176" fontId="58" fillId="0" borderId="0" xfId="0" applyNumberFormat="1" applyFont="1">
      <alignment vertical="center"/>
    </xf>
    <xf numFmtId="187" fontId="58" fillId="0" borderId="3" xfId="2" applyNumberFormat="1" applyFont="1" applyBorder="1" applyAlignment="1">
      <alignment horizontal="center" vertical="center"/>
    </xf>
    <xf numFmtId="0" fontId="58" fillId="0" borderId="220" xfId="0" applyFont="1" applyBorder="1" applyAlignment="1">
      <alignment horizontal="center" vertical="center"/>
    </xf>
    <xf numFmtId="223" fontId="58" fillId="0" borderId="224" xfId="2" applyNumberFormat="1" applyFont="1" applyBorder="1" applyAlignment="1">
      <alignment horizontal="center" vertical="center"/>
    </xf>
    <xf numFmtId="9" fontId="172" fillId="0" borderId="224" xfId="1" applyFont="1" applyBorder="1" applyAlignment="1">
      <alignment horizontal="center" vertical="center"/>
    </xf>
    <xf numFmtId="0" fontId="58" fillId="0" borderId="227" xfId="0" applyFont="1" applyBorder="1">
      <alignment vertical="center"/>
    </xf>
    <xf numFmtId="226" fontId="58" fillId="0" borderId="0" xfId="0" applyNumberFormat="1" applyFont="1">
      <alignment vertical="center"/>
    </xf>
    <xf numFmtId="2" fontId="5" fillId="0" borderId="0" xfId="12074" applyNumberFormat="1" applyFont="1">
      <alignment vertical="center"/>
    </xf>
    <xf numFmtId="0" fontId="0" fillId="0" borderId="0" xfId="0" applyFont="1">
      <alignment vertical="center"/>
    </xf>
    <xf numFmtId="38" fontId="172" fillId="0" borderId="225" xfId="2" applyNumberFormat="1" applyFont="1" applyBorder="1" applyAlignment="1">
      <alignment horizontal="center" vertical="center"/>
    </xf>
    <xf numFmtId="38" fontId="58" fillId="0" borderId="0" xfId="0" applyNumberFormat="1" applyFont="1">
      <alignment vertical="center"/>
    </xf>
    <xf numFmtId="0" fontId="179" fillId="3" borderId="214" xfId="0" applyFont="1" applyFill="1" applyBorder="1" applyAlignment="1">
      <alignment horizontal="center" vertical="center" wrapText="1" readingOrder="1"/>
    </xf>
    <xf numFmtId="0" fontId="35" fillId="3" borderId="214" xfId="0" applyFont="1" applyFill="1" applyBorder="1" applyAlignment="1">
      <alignment horizontal="center" vertical="center"/>
    </xf>
    <xf numFmtId="0" fontId="179" fillId="6" borderId="214" xfId="0" applyFont="1" applyFill="1" applyBorder="1" applyAlignment="1">
      <alignment horizontal="center" vertical="center" wrapText="1" readingOrder="1"/>
    </xf>
    <xf numFmtId="38" fontId="35" fillId="6" borderId="214" xfId="0" applyNumberFormat="1" applyFont="1" applyFill="1" applyBorder="1" applyAlignment="1">
      <alignment horizontal="center" vertical="center"/>
    </xf>
    <xf numFmtId="38" fontId="29" fillId="0" borderId="214" xfId="0" applyNumberFormat="1" applyFont="1" applyBorder="1" applyAlignment="1">
      <alignment horizontal="center" vertical="center"/>
    </xf>
    <xf numFmtId="187" fontId="29" fillId="115" borderId="214" xfId="0" applyNumberFormat="1" applyFont="1" applyFill="1" applyBorder="1" applyAlignment="1">
      <alignment horizontal="center" vertical="center"/>
    </xf>
    <xf numFmtId="224" fontId="29" fillId="7" borderId="0" xfId="0" applyNumberFormat="1" applyFont="1" applyFill="1" applyBorder="1" applyAlignment="1">
      <alignment horizontal="center" vertical="center"/>
    </xf>
    <xf numFmtId="0" fontId="179" fillId="7" borderId="214" xfId="0" applyFont="1" applyFill="1" applyBorder="1" applyAlignment="1">
      <alignment horizontal="center" vertical="center" wrapText="1" readingOrder="1"/>
    </xf>
    <xf numFmtId="2" fontId="35" fillId="7" borderId="214" xfId="0" applyNumberFormat="1" applyFont="1" applyFill="1" applyBorder="1" applyAlignment="1">
      <alignment horizontal="center" vertical="center"/>
    </xf>
    <xf numFmtId="2" fontId="35" fillId="7" borderId="249" xfId="0" applyNumberFormat="1" applyFont="1" applyFill="1" applyBorder="1" applyAlignment="1">
      <alignment horizontal="center" vertical="center"/>
    </xf>
    <xf numFmtId="0" fontId="179" fillId="0" borderId="214" xfId="0" applyFont="1" applyBorder="1" applyAlignment="1">
      <alignment horizontal="center" vertical="center" wrapText="1" readingOrder="1"/>
    </xf>
    <xf numFmtId="3" fontId="179" fillId="3" borderId="214" xfId="0" applyNumberFormat="1" applyFont="1" applyFill="1" applyBorder="1" applyAlignment="1">
      <alignment horizontal="center" vertical="center" wrapText="1" readingOrder="1"/>
    </xf>
    <xf numFmtId="38" fontId="29" fillId="7" borderId="214" xfId="0" applyNumberFormat="1" applyFont="1" applyFill="1" applyBorder="1" applyAlignment="1">
      <alignment horizontal="center" vertical="center"/>
    </xf>
    <xf numFmtId="38" fontId="29" fillId="7" borderId="249" xfId="0" applyNumberFormat="1" applyFont="1" applyFill="1" applyBorder="1" applyAlignment="1">
      <alignment horizontal="center" vertical="center"/>
    </xf>
    <xf numFmtId="38" fontId="0" fillId="0" borderId="0" xfId="0" applyNumberFormat="1" applyFont="1">
      <alignment vertical="center"/>
    </xf>
    <xf numFmtId="0" fontId="35" fillId="7" borderId="236" xfId="0" applyFont="1" applyFill="1" applyBorder="1" applyAlignment="1">
      <alignment horizontal="center" vertical="center"/>
    </xf>
    <xf numFmtId="183" fontId="35" fillId="7" borderId="214" xfId="0" applyNumberFormat="1" applyFont="1" applyFill="1" applyBorder="1" applyAlignment="1">
      <alignment horizontal="center" vertical="center" readingOrder="1"/>
    </xf>
    <xf numFmtId="183" fontId="29" fillId="7" borderId="214" xfId="0" applyNumberFormat="1" applyFont="1" applyFill="1" applyBorder="1" applyAlignment="1">
      <alignment horizontal="center" vertical="center" readingOrder="1"/>
    </xf>
    <xf numFmtId="0" fontId="29" fillId="7" borderId="0" xfId="0" applyFont="1" applyFill="1" applyBorder="1" applyAlignment="1">
      <alignment horizontal="center" vertical="center" readingOrder="1"/>
    </xf>
    <xf numFmtId="38" fontId="29" fillId="7" borderId="214" xfId="0" applyNumberFormat="1" applyFont="1" applyFill="1" applyBorder="1" applyAlignment="1">
      <alignment horizontal="center" vertical="center" readingOrder="1"/>
    </xf>
    <xf numFmtId="0" fontId="179" fillId="0" borderId="0" xfId="0" applyFont="1" applyBorder="1" applyAlignment="1">
      <alignment horizontal="center" vertical="center" wrapText="1" readingOrder="1"/>
    </xf>
    <xf numFmtId="38" fontId="29" fillId="7" borderId="0" xfId="0" applyNumberFormat="1" applyFont="1" applyFill="1" applyBorder="1" applyAlignment="1">
      <alignment horizontal="center" vertical="center"/>
    </xf>
    <xf numFmtId="38" fontId="29" fillId="7" borderId="0" xfId="0" applyNumberFormat="1" applyFont="1" applyFill="1" applyBorder="1" applyAlignment="1">
      <alignment horizontal="center" vertical="center" readingOrder="1"/>
    </xf>
    <xf numFmtId="41" fontId="29" fillId="7" borderId="0" xfId="0" applyNumberFormat="1" applyFont="1" applyFill="1" applyBorder="1" applyAlignment="1">
      <alignment horizontal="center" vertical="center" readingOrder="1"/>
    </xf>
    <xf numFmtId="38" fontId="35" fillId="7" borderId="249" xfId="0" applyNumberFormat="1" applyFont="1" applyFill="1" applyBorder="1" applyAlignment="1">
      <alignment horizontal="center" vertical="center"/>
    </xf>
    <xf numFmtId="38" fontId="35" fillId="3" borderId="214" xfId="0" applyNumberFormat="1" applyFont="1" applyFill="1" applyBorder="1" applyAlignment="1">
      <alignment horizontal="center" vertical="center"/>
    </xf>
    <xf numFmtId="0" fontId="179" fillId="3" borderId="236" xfId="0" applyFont="1" applyFill="1" applyBorder="1" applyAlignment="1">
      <alignment horizontal="center" vertical="center" wrapText="1" readingOrder="1"/>
    </xf>
    <xf numFmtId="0" fontId="35" fillId="3" borderId="236" xfId="0" applyFont="1" applyFill="1" applyBorder="1" applyAlignment="1">
      <alignment horizontal="center" vertical="center"/>
    </xf>
    <xf numFmtId="38" fontId="29" fillId="7" borderId="236" xfId="0" applyNumberFormat="1" applyFont="1" applyFill="1" applyBorder="1" applyAlignment="1">
      <alignment horizontal="center" vertical="center"/>
    </xf>
    <xf numFmtId="38" fontId="35" fillId="7" borderId="236" xfId="0" applyNumberFormat="1" applyFont="1" applyFill="1" applyBorder="1" applyAlignment="1">
      <alignment horizontal="center" vertical="center"/>
    </xf>
    <xf numFmtId="3" fontId="179" fillId="3" borderId="236" xfId="0" applyNumberFormat="1" applyFont="1" applyFill="1" applyBorder="1" applyAlignment="1">
      <alignment horizontal="center" vertical="center" wrapText="1" readingOrder="1"/>
    </xf>
    <xf numFmtId="0" fontId="172" fillId="5" borderId="236" xfId="0" applyFont="1" applyFill="1" applyBorder="1" applyAlignment="1">
      <alignment horizontal="center" vertical="center"/>
    </xf>
    <xf numFmtId="10" fontId="172" fillId="6" borderId="236" xfId="1" applyNumberFormat="1" applyFont="1" applyFill="1" applyBorder="1" applyAlignment="1">
      <alignment horizontal="center" vertical="center"/>
    </xf>
    <xf numFmtId="0" fontId="29" fillId="0" borderId="214" xfId="0" applyFont="1" applyBorder="1" applyAlignment="1">
      <alignment horizontal="center" vertical="center"/>
    </xf>
    <xf numFmtId="10" fontId="166" fillId="0" borderId="214" xfId="0" applyNumberFormat="1" applyFont="1" applyBorder="1" applyAlignment="1">
      <alignment horizontal="center" vertical="center" wrapText="1"/>
    </xf>
    <xf numFmtId="183" fontId="166" fillId="0" borderId="214" xfId="0" applyNumberFormat="1" applyFont="1" applyBorder="1" applyAlignment="1">
      <alignment horizontal="center" vertical="center" wrapText="1"/>
    </xf>
    <xf numFmtId="183" fontId="29" fillId="0" borderId="214" xfId="0" applyNumberFormat="1" applyFont="1" applyBorder="1" applyAlignment="1">
      <alignment horizontal="center" vertical="center"/>
    </xf>
    <xf numFmtId="183" fontId="29" fillId="0" borderId="0" xfId="0" applyNumberFormat="1" applyFont="1" applyAlignment="1">
      <alignment horizontal="center" vertical="center"/>
    </xf>
    <xf numFmtId="0" fontId="35" fillId="6" borderId="214" xfId="0" applyFont="1" applyFill="1" applyBorder="1" applyAlignment="1">
      <alignment horizontal="center" vertical="center"/>
    </xf>
    <xf numFmtId="9" fontId="172" fillId="6" borderId="214" xfId="1" applyFont="1" applyFill="1" applyBorder="1" applyAlignment="1">
      <alignment horizontal="center" vertical="center"/>
    </xf>
    <xf numFmtId="0" fontId="172" fillId="6" borderId="214" xfId="0" applyFont="1" applyFill="1" applyBorder="1" applyAlignment="1">
      <alignment horizontal="center" vertical="center"/>
    </xf>
    <xf numFmtId="0" fontId="166" fillId="0" borderId="0" xfId="0" applyFont="1" applyBorder="1" applyAlignment="1">
      <alignment horizontal="center" vertical="center" wrapText="1"/>
    </xf>
    <xf numFmtId="0" fontId="29" fillId="0" borderId="0" xfId="0" applyFont="1" applyBorder="1" applyAlignment="1">
      <alignment horizontal="center" vertical="center"/>
    </xf>
    <xf numFmtId="3" fontId="29" fillId="0" borderId="0" xfId="0" applyNumberFormat="1" applyFont="1" applyBorder="1" applyAlignment="1">
      <alignment horizontal="center" vertical="center"/>
    </xf>
    <xf numFmtId="0" fontId="166" fillId="0" borderId="214" xfId="0" applyFont="1" applyBorder="1" applyAlignment="1">
      <alignment horizontal="center" vertical="center" wrapText="1"/>
    </xf>
    <xf numFmtId="38" fontId="29" fillId="0" borderId="236" xfId="0" applyNumberFormat="1" applyFont="1" applyBorder="1" applyAlignment="1">
      <alignment horizontal="center" vertical="center"/>
    </xf>
    <xf numFmtId="0" fontId="179" fillId="7" borderId="0" xfId="0" applyFont="1" applyFill="1" applyBorder="1" applyAlignment="1">
      <alignment horizontal="center" vertical="center" wrapText="1"/>
    </xf>
    <xf numFmtId="0" fontId="35" fillId="7" borderId="0" xfId="0" applyFont="1" applyFill="1" applyBorder="1">
      <alignment vertical="center"/>
    </xf>
    <xf numFmtId="3" fontId="35" fillId="7" borderId="0" xfId="0" applyNumberFormat="1" applyFont="1" applyFill="1" applyBorder="1" applyAlignment="1">
      <alignment horizontal="center" vertical="center"/>
    </xf>
    <xf numFmtId="38" fontId="35" fillId="7" borderId="0" xfId="0" applyNumberFormat="1" applyFont="1" applyFill="1" applyBorder="1" applyAlignment="1">
      <alignment horizontal="center" vertical="center"/>
    </xf>
    <xf numFmtId="0" fontId="58" fillId="7" borderId="0" xfId="0" applyFont="1" applyFill="1" applyBorder="1" applyAlignment="1">
      <alignment horizontal="center" vertical="center"/>
    </xf>
    <xf numFmtId="183" fontId="35" fillId="7" borderId="0" xfId="0" applyNumberFormat="1" applyFont="1" applyFill="1" applyBorder="1" applyAlignment="1">
      <alignment horizontal="center" vertical="center"/>
    </xf>
    <xf numFmtId="0" fontId="58" fillId="0" borderId="214" xfId="0" applyFont="1" applyBorder="1" applyAlignment="1">
      <alignment horizontal="left" vertical="center"/>
    </xf>
    <xf numFmtId="0" fontId="166" fillId="0" borderId="244" xfId="0" applyFont="1" applyBorder="1" applyAlignment="1">
      <alignment horizontal="center" vertical="center" wrapText="1"/>
    </xf>
    <xf numFmtId="38" fontId="29" fillId="0" borderId="0" xfId="0" applyNumberFormat="1" applyFont="1" applyAlignment="1">
      <alignment horizontal="center" vertical="center"/>
    </xf>
    <xf numFmtId="183" fontId="178" fillId="0" borderId="0" xfId="0" applyNumberFormat="1" applyFont="1" applyBorder="1" applyAlignment="1">
      <alignment horizontal="center" vertical="center"/>
    </xf>
    <xf numFmtId="228" fontId="29" fillId="0" borderId="0" xfId="0" applyNumberFormat="1" applyFont="1" applyBorder="1" applyAlignment="1">
      <alignment horizontal="center" vertical="center"/>
    </xf>
    <xf numFmtId="225" fontId="178" fillId="0" borderId="0" xfId="0" applyNumberFormat="1" applyFont="1" applyAlignment="1">
      <alignment horizontal="center" vertical="center"/>
    </xf>
    <xf numFmtId="0" fontId="178" fillId="0" borderId="0" xfId="0" applyFont="1">
      <alignment vertical="center"/>
    </xf>
    <xf numFmtId="1" fontId="177" fillId="7" borderId="0" xfId="0" applyNumberFormat="1" applyFont="1" applyFill="1" applyBorder="1" applyAlignment="1">
      <alignment horizontal="center" vertical="center"/>
    </xf>
    <xf numFmtId="0" fontId="177" fillId="7" borderId="0" xfId="0" applyFont="1" applyFill="1" applyBorder="1">
      <alignment vertical="center"/>
    </xf>
    <xf numFmtId="0" fontId="177" fillId="7" borderId="0" xfId="0" applyFont="1" applyFill="1" applyBorder="1" applyAlignment="1">
      <alignment horizontal="center" vertical="center"/>
    </xf>
    <xf numFmtId="0" fontId="178" fillId="0" borderId="0" xfId="0" applyFont="1" applyAlignment="1">
      <alignment horizontal="center" vertical="center"/>
    </xf>
    <xf numFmtId="3" fontId="166" fillId="0" borderId="54" xfId="0" applyNumberFormat="1" applyFont="1" applyBorder="1" applyAlignment="1">
      <alignment horizontal="center" vertical="center" wrapText="1"/>
    </xf>
    <xf numFmtId="0" fontId="29" fillId="0" borderId="54" xfId="0" applyFont="1" applyBorder="1" applyAlignment="1">
      <alignment horizontal="center" vertical="center" wrapText="1"/>
    </xf>
    <xf numFmtId="10" fontId="29" fillId="0" borderId="0" xfId="0" applyNumberFormat="1" applyFont="1" applyBorder="1">
      <alignment vertical="center"/>
    </xf>
    <xf numFmtId="0" fontId="167" fillId="119" borderId="103" xfId="0" applyFont="1" applyFill="1" applyBorder="1" applyAlignment="1">
      <alignment horizontal="center" vertical="center" wrapText="1"/>
    </xf>
    <xf numFmtId="0" fontId="180" fillId="119" borderId="103" xfId="0" applyFont="1" applyFill="1" applyBorder="1" applyAlignment="1">
      <alignment horizontal="center" vertical="center" wrapText="1"/>
    </xf>
    <xf numFmtId="0" fontId="181" fillId="121" borderId="262" xfId="0" applyFont="1" applyFill="1" applyBorder="1" applyAlignment="1">
      <alignment horizontal="center" vertical="center"/>
    </xf>
    <xf numFmtId="0" fontId="182" fillId="123" borderId="262" xfId="0" applyFont="1" applyFill="1" applyBorder="1" applyAlignment="1">
      <alignment horizontal="center" vertical="center"/>
    </xf>
    <xf numFmtId="187" fontId="182" fillId="123" borderId="262" xfId="0" applyNumberFormat="1" applyFont="1" applyFill="1" applyBorder="1" applyAlignment="1">
      <alignment horizontal="center" vertical="center"/>
    </xf>
    <xf numFmtId="3" fontId="182" fillId="123" borderId="262" xfId="0" applyNumberFormat="1" applyFont="1" applyFill="1" applyBorder="1" applyAlignment="1">
      <alignment horizontal="center" vertical="center"/>
    </xf>
    <xf numFmtId="4" fontId="58" fillId="7" borderId="262" xfId="2" applyNumberFormat="1" applyFont="1" applyFill="1" applyBorder="1" applyAlignment="1">
      <alignment horizontal="center" vertical="center"/>
    </xf>
    <xf numFmtId="0" fontId="28" fillId="3" borderId="214" xfId="0" applyFont="1" applyFill="1" applyBorder="1" applyAlignment="1" applyProtection="1">
      <alignment horizontal="center" vertical="center"/>
      <protection locked="0"/>
    </xf>
    <xf numFmtId="0" fontId="31" fillId="7" borderId="8" xfId="0" applyFont="1" applyFill="1" applyBorder="1" applyAlignment="1">
      <alignment horizontal="center" vertical="center"/>
    </xf>
    <xf numFmtId="0" fontId="28" fillId="7" borderId="32" xfId="0" applyFont="1" applyFill="1" applyBorder="1" applyAlignment="1">
      <alignment horizontal="center" vertical="center"/>
    </xf>
    <xf numFmtId="0" fontId="28" fillId="7" borderId="30" xfId="0" applyFont="1" applyFill="1" applyBorder="1" applyAlignment="1">
      <alignment horizontal="center" vertical="center"/>
    </xf>
    <xf numFmtId="0" fontId="28" fillId="7" borderId="21" xfId="0" applyFont="1" applyFill="1" applyBorder="1" applyAlignment="1">
      <alignment horizontal="center" vertical="center"/>
    </xf>
    <xf numFmtId="187" fontId="28" fillId="5" borderId="214" xfId="2" applyNumberFormat="1" applyFont="1" applyFill="1" applyBorder="1" applyAlignment="1">
      <alignment horizontal="center" vertical="center"/>
    </xf>
    <xf numFmtId="187" fontId="171" fillId="0" borderId="214" xfId="2" applyNumberFormat="1" applyFont="1" applyBorder="1" applyAlignment="1">
      <alignment horizontal="center" vertical="center"/>
    </xf>
    <xf numFmtId="187" fontId="28" fillId="114" borderId="214" xfId="0" applyNumberFormat="1" applyFont="1" applyFill="1" applyBorder="1" applyAlignment="1">
      <alignment horizontal="center" vertical="center"/>
    </xf>
    <xf numFmtId="187" fontId="28" fillId="114" borderId="214" xfId="2" applyNumberFormat="1" applyFont="1" applyFill="1" applyBorder="1" applyAlignment="1">
      <alignment horizontal="center" vertical="center"/>
    </xf>
    <xf numFmtId="38" fontId="28" fillId="7" borderId="214" xfId="3" applyNumberFormat="1" applyFont="1" applyFill="1" applyBorder="1" applyAlignment="1">
      <alignment horizontal="center" vertical="center"/>
    </xf>
    <xf numFmtId="38" fontId="28" fillId="7" borderId="214" xfId="2" quotePrefix="1" applyNumberFormat="1" applyFont="1" applyFill="1" applyBorder="1" applyAlignment="1">
      <alignment horizontal="center" vertical="center"/>
    </xf>
    <xf numFmtId="38" fontId="28" fillId="7" borderId="0" xfId="3" applyNumberFormat="1" applyFont="1" applyFill="1" applyBorder="1" applyAlignment="1">
      <alignment horizontal="center" vertical="center"/>
    </xf>
    <xf numFmtId="38" fontId="28" fillId="7" borderId="214" xfId="3" quotePrefix="1" applyNumberFormat="1" applyFont="1" applyFill="1" applyBorder="1" applyAlignment="1">
      <alignment horizontal="center" vertical="center"/>
    </xf>
    <xf numFmtId="38" fontId="31" fillId="7" borderId="214" xfId="3" applyNumberFormat="1" applyFont="1" applyFill="1" applyBorder="1" applyAlignment="1">
      <alignment horizontal="center" vertical="center"/>
    </xf>
    <xf numFmtId="38" fontId="28" fillId="5" borderId="214" xfId="2" quotePrefix="1" applyNumberFormat="1" applyFont="1" applyFill="1" applyBorder="1" applyAlignment="1">
      <alignment horizontal="center" vertical="center"/>
    </xf>
    <xf numFmtId="38" fontId="28" fillId="6" borderId="214" xfId="3" applyNumberFormat="1" applyFont="1" applyFill="1" applyBorder="1" applyAlignment="1">
      <alignment horizontal="center" vertical="center"/>
    </xf>
    <xf numFmtId="38" fontId="28" fillId="6" borderId="214" xfId="3" quotePrefix="1" applyNumberFormat="1" applyFont="1" applyFill="1" applyBorder="1" applyAlignment="1">
      <alignment horizontal="center" vertical="center"/>
    </xf>
    <xf numFmtId="38" fontId="28" fillId="6" borderId="214" xfId="2" quotePrefix="1" applyNumberFormat="1" applyFont="1" applyFill="1" applyBorder="1" applyAlignment="1">
      <alignment horizontal="center" vertical="center"/>
    </xf>
    <xf numFmtId="38" fontId="28" fillId="5" borderId="214" xfId="1" quotePrefix="1" applyNumberFormat="1" applyFont="1" applyFill="1" applyBorder="1" applyAlignment="1">
      <alignment horizontal="center" vertical="center"/>
    </xf>
    <xf numFmtId="187" fontId="171" fillId="0" borderId="0" xfId="0" applyNumberFormat="1" applyFont="1" applyAlignment="1">
      <alignment horizontal="center" vertical="center"/>
    </xf>
    <xf numFmtId="0" fontId="181" fillId="120" borderId="262" xfId="22859" applyFont="1" applyFill="1" applyBorder="1" applyAlignment="1">
      <alignment horizontal="center" vertical="center" wrapText="1"/>
    </xf>
    <xf numFmtId="0" fontId="182" fillId="124" borderId="262" xfId="22859" applyFont="1" applyFill="1" applyBorder="1" applyAlignment="1">
      <alignment horizontal="center" vertical="center" wrapText="1"/>
    </xf>
    <xf numFmtId="187" fontId="182" fillId="124" borderId="262" xfId="22859" applyNumberFormat="1" applyFont="1" applyFill="1" applyBorder="1" applyAlignment="1">
      <alignment horizontal="center" vertical="center" wrapText="1"/>
    </xf>
    <xf numFmtId="3" fontId="40" fillId="0" borderId="17" xfId="0" applyNumberFormat="1" applyFont="1" applyBorder="1" applyAlignment="1">
      <alignment horizontal="center" vertical="center" wrapText="1"/>
    </xf>
    <xf numFmtId="3" fontId="40" fillId="0" borderId="2" xfId="0" applyNumberFormat="1" applyFont="1" applyBorder="1" applyAlignment="1">
      <alignment horizontal="center" vertical="center" wrapText="1"/>
    </xf>
    <xf numFmtId="3" fontId="40" fillId="0" borderId="3" xfId="0" applyNumberFormat="1" applyFont="1" applyBorder="1" applyAlignment="1">
      <alignment horizontal="center" vertical="center" wrapText="1"/>
    </xf>
    <xf numFmtId="187" fontId="27" fillId="0" borderId="0" xfId="0" applyNumberFormat="1" applyFont="1" applyAlignment="1">
      <alignment horizontal="center" vertical="center"/>
    </xf>
    <xf numFmtId="187" fontId="55" fillId="0" borderId="5" xfId="0" applyNumberFormat="1" applyFont="1" applyFill="1" applyBorder="1" applyAlignment="1">
      <alignment horizontal="center" vertical="center"/>
    </xf>
    <xf numFmtId="3" fontId="50" fillId="0" borderId="0" xfId="0" applyNumberFormat="1" applyFont="1" applyAlignment="1">
      <alignment horizontal="center" vertical="center"/>
    </xf>
    <xf numFmtId="3" fontId="53" fillId="0" borderId="0" xfId="0" applyNumberFormat="1" applyFont="1" applyAlignment="1">
      <alignment horizontal="center" vertical="center"/>
    </xf>
    <xf numFmtId="3" fontId="40" fillId="0" borderId="21" xfId="3799" applyNumberFormat="1" applyFont="1" applyBorder="1" applyAlignment="1">
      <alignment horizontal="center" vertical="center" wrapText="1"/>
    </xf>
    <xf numFmtId="0" fontId="59" fillId="0" borderId="0" xfId="0" applyFont="1" applyAlignment="1">
      <alignment horizontal="center" vertical="center"/>
    </xf>
    <xf numFmtId="187" fontId="31" fillId="6" borderId="214" xfId="0" applyNumberFormat="1" applyFont="1" applyFill="1" applyBorder="1" applyAlignment="1">
      <alignment horizontal="center" vertical="center"/>
    </xf>
    <xf numFmtId="187" fontId="31" fillId="6" borderId="214" xfId="2" applyNumberFormat="1" applyFont="1" applyFill="1" applyBorder="1" applyAlignment="1">
      <alignment horizontal="center" vertical="center"/>
    </xf>
    <xf numFmtId="187" fontId="31" fillId="7" borderId="0" xfId="0" applyNumberFormat="1" applyFont="1" applyFill="1" applyBorder="1" applyAlignment="1">
      <alignment horizontal="center" vertical="center"/>
    </xf>
    <xf numFmtId="187" fontId="31" fillId="6" borderId="214" xfId="2" quotePrefix="1" applyNumberFormat="1" applyFont="1" applyFill="1" applyBorder="1" applyAlignment="1">
      <alignment horizontal="center" vertical="center"/>
    </xf>
    <xf numFmtId="38" fontId="31" fillId="6" borderId="214" xfId="1" applyNumberFormat="1" applyFont="1" applyFill="1" applyBorder="1" applyAlignment="1">
      <alignment horizontal="center" vertical="center"/>
    </xf>
    <xf numFmtId="38" fontId="31" fillId="6" borderId="214" xfId="2" applyNumberFormat="1" applyFont="1" applyFill="1" applyBorder="1" applyAlignment="1">
      <alignment horizontal="center" vertical="center"/>
    </xf>
    <xf numFmtId="38" fontId="31" fillId="7" borderId="0" xfId="0" applyNumberFormat="1" applyFont="1" applyFill="1" applyBorder="1" applyAlignment="1">
      <alignment horizontal="center" vertical="center"/>
    </xf>
    <xf numFmtId="0" fontId="31" fillId="7" borderId="7" xfId="0" applyFont="1" applyFill="1" applyBorder="1" applyAlignment="1">
      <alignment horizontal="center" vertical="center"/>
    </xf>
    <xf numFmtId="10" fontId="31" fillId="7" borderId="0" xfId="1" applyNumberFormat="1" applyFont="1" applyFill="1" applyAlignment="1">
      <alignment horizontal="center" vertical="center"/>
    </xf>
    <xf numFmtId="31" fontId="172" fillId="0" borderId="204" xfId="0" applyNumberFormat="1" applyFont="1" applyBorder="1" applyAlignment="1">
      <alignment horizontal="right" vertical="center"/>
    </xf>
    <xf numFmtId="2" fontId="58" fillId="0" borderId="0" xfId="0" applyNumberFormat="1" applyFont="1">
      <alignment vertical="center"/>
    </xf>
    <xf numFmtId="187" fontId="58" fillId="7" borderId="19" xfId="2" applyNumberFormat="1" applyFont="1" applyFill="1" applyBorder="1" applyAlignment="1">
      <alignment horizontal="center" vertical="center"/>
    </xf>
    <xf numFmtId="229" fontId="58" fillId="0" borderId="0" xfId="0" applyNumberFormat="1" applyFont="1" applyAlignment="1">
      <alignment horizontal="center" vertical="center"/>
    </xf>
    <xf numFmtId="187" fontId="58" fillId="0" borderId="265" xfId="2" applyNumberFormat="1" applyFont="1" applyBorder="1" applyAlignment="1">
      <alignment horizontal="center" vertical="center"/>
    </xf>
    <xf numFmtId="38" fontId="172" fillId="0" borderId="227" xfId="0" applyNumberFormat="1" applyFont="1" applyBorder="1" applyAlignment="1">
      <alignment horizontal="center" vertical="center" wrapText="1"/>
    </xf>
    <xf numFmtId="10" fontId="29" fillId="0" borderId="0" xfId="1" applyNumberFormat="1" applyFont="1" applyAlignment="1">
      <alignment horizontal="center" vertical="center"/>
    </xf>
    <xf numFmtId="183" fontId="29" fillId="0" borderId="0" xfId="1" applyNumberFormat="1" applyFont="1" applyAlignment="1">
      <alignment horizontal="center" vertical="center"/>
    </xf>
    <xf numFmtId="3" fontId="29" fillId="7" borderId="0" xfId="0" applyNumberFormat="1" applyFont="1" applyFill="1" applyAlignment="1">
      <alignment vertical="center" wrapText="1"/>
    </xf>
    <xf numFmtId="1" fontId="29" fillId="7" borderId="0" xfId="0" applyNumberFormat="1" applyFont="1" applyFill="1">
      <alignment vertical="center"/>
    </xf>
    <xf numFmtId="183" fontId="58" fillId="0" borderId="265" xfId="2" applyNumberFormat="1" applyFont="1" applyBorder="1" applyAlignment="1">
      <alignment horizontal="center" vertical="center"/>
    </xf>
    <xf numFmtId="10" fontId="28" fillId="7" borderId="0" xfId="1" quotePrefix="1" applyNumberFormat="1" applyFont="1" applyFill="1" applyBorder="1" applyAlignment="1">
      <alignment horizontal="center" vertical="center"/>
    </xf>
    <xf numFmtId="41" fontId="28" fillId="7" borderId="0" xfId="2" quotePrefix="1" applyFont="1" applyFill="1" applyBorder="1" applyAlignment="1">
      <alignment horizontal="center" vertical="center"/>
    </xf>
    <xf numFmtId="0" fontId="166" fillId="0" borderId="214" xfId="0" applyFont="1" applyBorder="1" applyAlignment="1">
      <alignment horizontal="center" vertical="center" wrapText="1"/>
    </xf>
    <xf numFmtId="178" fontId="28" fillId="114" borderId="214" xfId="2" applyNumberFormat="1" applyFont="1" applyFill="1" applyBorder="1" applyAlignment="1">
      <alignment horizontal="center" vertical="center"/>
    </xf>
    <xf numFmtId="178" fontId="28" fillId="116" borderId="214" xfId="2" applyNumberFormat="1" applyFont="1" applyFill="1" applyBorder="1" applyAlignment="1">
      <alignment horizontal="center" vertical="center"/>
    </xf>
    <xf numFmtId="0" fontId="27" fillId="0" borderId="54" xfId="0" applyFont="1" applyBorder="1" applyAlignment="1">
      <alignment horizontal="center" vertical="center" wrapText="1"/>
    </xf>
    <xf numFmtId="0" fontId="27" fillId="16" borderId="54" xfId="0" applyFont="1" applyFill="1" applyBorder="1" applyAlignment="1">
      <alignment horizontal="center" vertical="center" wrapText="1"/>
    </xf>
    <xf numFmtId="10" fontId="166" fillId="0" borderId="269" xfId="0" applyNumberFormat="1" applyFont="1" applyBorder="1" applyAlignment="1">
      <alignment horizontal="center" vertical="center" wrapText="1"/>
    </xf>
    <xf numFmtId="183" fontId="166" fillId="0" borderId="269" xfId="0" applyNumberFormat="1" applyFont="1" applyBorder="1" applyAlignment="1">
      <alignment horizontal="center" vertical="center" wrapText="1"/>
    </xf>
    <xf numFmtId="183" fontId="29" fillId="0" borderId="269" xfId="0" applyNumberFormat="1" applyFont="1" applyBorder="1" applyAlignment="1">
      <alignment horizontal="center" vertical="center"/>
    </xf>
    <xf numFmtId="0" fontId="166" fillId="0" borderId="269" xfId="0" applyFont="1" applyBorder="1" applyAlignment="1">
      <alignment horizontal="center" vertical="center" wrapText="1"/>
    </xf>
    <xf numFmtId="0" fontId="35" fillId="6" borderId="269" xfId="0" applyFont="1" applyFill="1" applyBorder="1" applyAlignment="1">
      <alignment horizontal="center" vertical="center"/>
    </xf>
    <xf numFmtId="10" fontId="29" fillId="0" borderId="0" xfId="0" applyNumberFormat="1" applyFont="1" applyBorder="1" applyAlignment="1">
      <alignment horizontal="center" vertical="center"/>
    </xf>
    <xf numFmtId="38" fontId="178" fillId="0" borderId="214" xfId="0" applyNumberFormat="1" applyFont="1" applyBorder="1" applyAlignment="1">
      <alignment horizontal="center" vertical="center"/>
    </xf>
    <xf numFmtId="183" fontId="58" fillId="0" borderId="0" xfId="0" applyNumberFormat="1" applyFont="1" applyBorder="1" applyAlignment="1">
      <alignment horizontal="center" vertical="center"/>
    </xf>
    <xf numFmtId="183" fontId="48" fillId="0" borderId="134" xfId="0" applyNumberFormat="1" applyFont="1" applyFill="1" applyBorder="1" applyAlignment="1">
      <alignment horizontal="center" vertical="center"/>
    </xf>
    <xf numFmtId="183" fontId="48" fillId="0" borderId="135" xfId="0" applyNumberFormat="1" applyFont="1" applyFill="1" applyBorder="1" applyAlignment="1">
      <alignment horizontal="center" vertical="center"/>
    </xf>
    <xf numFmtId="183" fontId="48" fillId="0" borderId="136" xfId="0" applyNumberFormat="1" applyFont="1" applyFill="1" applyBorder="1" applyAlignment="1">
      <alignment horizontal="center" vertical="center"/>
    </xf>
    <xf numFmtId="9" fontId="172" fillId="7" borderId="0" xfId="1" applyFont="1" applyFill="1" applyBorder="1" applyAlignment="1">
      <alignment horizontal="center" vertical="center"/>
    </xf>
    <xf numFmtId="2" fontId="58" fillId="7" borderId="269" xfId="0" applyNumberFormat="1" applyFont="1" applyFill="1" applyBorder="1" applyAlignment="1">
      <alignment horizontal="center" vertical="center"/>
    </xf>
    <xf numFmtId="2" fontId="29" fillId="0" borderId="269" xfId="0" applyNumberFormat="1" applyFont="1" applyBorder="1" applyAlignment="1">
      <alignment horizontal="center" vertical="center"/>
    </xf>
    <xf numFmtId="1" fontId="29" fillId="0" borderId="269" xfId="0" applyNumberFormat="1" applyFont="1" applyBorder="1" applyAlignment="1">
      <alignment horizontal="center" vertical="center"/>
    </xf>
    <xf numFmtId="0" fontId="125" fillId="0" borderId="270" xfId="0" applyFont="1" applyFill="1" applyBorder="1" applyAlignment="1">
      <alignment horizontal="center" vertical="center" wrapText="1"/>
    </xf>
    <xf numFmtId="0" fontId="125" fillId="0" borderId="245" xfId="0" applyFont="1" applyFill="1" applyBorder="1" applyAlignment="1">
      <alignment horizontal="center"/>
    </xf>
    <xf numFmtId="0" fontId="125" fillId="0" borderId="271" xfId="0" applyFont="1" applyFill="1" applyBorder="1" applyAlignment="1">
      <alignment horizontal="center"/>
    </xf>
    <xf numFmtId="186" fontId="44" fillId="0" borderId="272" xfId="4124" applyNumberFormat="1" applyFont="1" applyBorder="1" applyAlignment="1">
      <alignment horizontal="center" vertical="center" wrapText="1"/>
    </xf>
    <xf numFmtId="186" fontId="44" fillId="0" borderId="273" xfId="4124" applyNumberFormat="1" applyFont="1" applyBorder="1" applyAlignment="1">
      <alignment horizontal="center" vertical="center" wrapText="1"/>
    </xf>
    <xf numFmtId="41" fontId="52" fillId="0" borderId="274" xfId="4124" applyFont="1" applyBorder="1" applyAlignment="1">
      <alignment horizontal="center" vertical="center"/>
    </xf>
    <xf numFmtId="0" fontId="47" fillId="0" borderId="275" xfId="0" applyFont="1" applyBorder="1" applyAlignment="1">
      <alignment horizontal="center" vertical="center"/>
    </xf>
    <xf numFmtId="186" fontId="44" fillId="0" borderId="274" xfId="4124" applyNumberFormat="1" applyFont="1" applyBorder="1" applyAlignment="1">
      <alignment horizontal="center" vertical="center" wrapText="1"/>
    </xf>
    <xf numFmtId="41" fontId="52" fillId="0" borderId="274" xfId="4124" applyNumberFormat="1" applyFont="1" applyBorder="1" applyAlignment="1">
      <alignment horizontal="center" vertical="center" wrapText="1"/>
    </xf>
    <xf numFmtId="0" fontId="47" fillId="0" borderId="276" xfId="0" applyFont="1" applyBorder="1" applyAlignment="1">
      <alignment horizontal="center" vertical="center"/>
    </xf>
    <xf numFmtId="41" fontId="52" fillId="0" borderId="274" xfId="4124" applyFont="1" applyBorder="1" applyAlignment="1">
      <alignment horizontal="center" vertical="center" wrapText="1"/>
    </xf>
    <xf numFmtId="0" fontId="47" fillId="0" borderId="275" xfId="0" applyFont="1" applyBorder="1" applyAlignment="1">
      <alignment horizontal="center" vertical="center" wrapText="1"/>
    </xf>
    <xf numFmtId="0" fontId="47" fillId="0" borderId="276" xfId="0" applyFont="1" applyBorder="1" applyAlignment="1">
      <alignment horizontal="center" vertical="center" wrapText="1"/>
    </xf>
    <xf numFmtId="41" fontId="44" fillId="0" borderId="277" xfId="4124" applyFont="1" applyBorder="1" applyAlignment="1">
      <alignment horizontal="center" vertical="center"/>
    </xf>
    <xf numFmtId="181" fontId="44" fillId="0" borderId="278" xfId="4124" applyNumberFormat="1" applyFont="1" applyBorder="1" applyAlignment="1">
      <alignment horizontal="center" vertical="center"/>
    </xf>
    <xf numFmtId="180" fontId="54" fillId="0" borderId="98" xfId="4124" applyNumberFormat="1" applyFont="1" applyBorder="1" applyAlignment="1">
      <alignment horizontal="center" vertical="center"/>
    </xf>
    <xf numFmtId="180" fontId="54" fillId="0" borderId="128" xfId="4124" applyNumberFormat="1" applyFont="1" applyBorder="1" applyAlignment="1">
      <alignment horizontal="center" vertical="center"/>
    </xf>
    <xf numFmtId="186" fontId="44" fillId="0" borderId="131" xfId="0" applyNumberFormat="1" applyFont="1" applyFill="1" applyBorder="1" applyAlignment="1">
      <alignment horizontal="right" vertical="center"/>
    </xf>
    <xf numFmtId="186" fontId="44" fillId="0" borderId="132" xfId="0" applyNumberFormat="1" applyFont="1" applyFill="1" applyBorder="1" applyAlignment="1">
      <alignment horizontal="right" vertical="center"/>
    </xf>
    <xf numFmtId="183" fontId="44" fillId="0" borderId="137" xfId="0" applyNumberFormat="1" applyFont="1" applyFill="1" applyBorder="1" applyAlignment="1">
      <alignment horizontal="center" vertical="center"/>
    </xf>
    <xf numFmtId="186" fontId="44" fillId="0" borderId="140" xfId="0" applyNumberFormat="1" applyFont="1" applyFill="1" applyBorder="1" applyAlignment="1">
      <alignment horizontal="right" vertical="center"/>
    </xf>
    <xf numFmtId="183" fontId="48" fillId="0" borderId="102" xfId="0" applyNumberFormat="1" applyFont="1" applyFill="1" applyBorder="1" applyAlignment="1">
      <alignment horizontal="center" vertical="center"/>
    </xf>
    <xf numFmtId="186" fontId="44" fillId="0" borderId="141" xfId="0" applyNumberFormat="1" applyFont="1" applyFill="1" applyBorder="1" applyAlignment="1">
      <alignment horizontal="right" vertical="center"/>
    </xf>
    <xf numFmtId="183" fontId="44" fillId="0" borderId="142" xfId="0" applyNumberFormat="1" applyFont="1" applyFill="1" applyBorder="1" applyAlignment="1">
      <alignment horizontal="center" vertical="center"/>
    </xf>
    <xf numFmtId="41" fontId="52" fillId="0" borderId="146" xfId="4124" applyFont="1" applyFill="1" applyBorder="1" applyAlignment="1">
      <alignment horizontal="center" vertical="center"/>
    </xf>
    <xf numFmtId="186" fontId="44" fillId="0" borderId="145" xfId="0" applyNumberFormat="1" applyFont="1" applyFill="1" applyBorder="1" applyAlignment="1">
      <alignment horizontal="right" vertical="center"/>
    </xf>
    <xf numFmtId="183" fontId="44" fillId="0" borderId="147" xfId="0" applyNumberFormat="1" applyFont="1" applyFill="1" applyBorder="1" applyAlignment="1">
      <alignment horizontal="center" vertical="center"/>
    </xf>
    <xf numFmtId="0" fontId="45" fillId="0" borderId="49" xfId="0" applyFont="1" applyFill="1" applyBorder="1" applyAlignment="1">
      <alignment horizontal="center" vertical="center"/>
    </xf>
    <xf numFmtId="186" fontId="45" fillId="0" borderId="85" xfId="4124" applyNumberFormat="1" applyFont="1" applyFill="1" applyBorder="1" applyAlignment="1">
      <alignment horizontal="right" vertical="center"/>
    </xf>
    <xf numFmtId="186" fontId="45" fillId="0" borderId="89" xfId="4124" applyNumberFormat="1" applyFont="1" applyFill="1" applyBorder="1" applyAlignment="1">
      <alignment horizontal="right" vertical="center"/>
    </xf>
    <xf numFmtId="41" fontId="54" fillId="0" borderId="86" xfId="4124" applyNumberFormat="1" applyFont="1" applyFill="1" applyBorder="1" applyAlignment="1">
      <alignment horizontal="center" vertical="center"/>
    </xf>
    <xf numFmtId="183" fontId="48" fillId="0" borderId="87" xfId="0" applyNumberFormat="1" applyFont="1" applyFill="1" applyBorder="1" applyAlignment="1">
      <alignment horizontal="center" vertical="center"/>
    </xf>
    <xf numFmtId="186" fontId="45" fillId="0" borderId="86" xfId="4124" applyNumberFormat="1" applyFont="1" applyFill="1" applyBorder="1" applyAlignment="1">
      <alignment horizontal="right" vertical="center"/>
    </xf>
    <xf numFmtId="183" fontId="48" fillId="0" borderId="90" xfId="0" applyNumberFormat="1" applyFont="1" applyFill="1" applyBorder="1" applyAlignment="1">
      <alignment horizontal="center" vertical="center"/>
    </xf>
    <xf numFmtId="41" fontId="54" fillId="0" borderId="86" xfId="4124" applyFont="1" applyFill="1" applyBorder="1" applyAlignment="1">
      <alignment horizontal="center" vertical="center"/>
    </xf>
    <xf numFmtId="183" fontId="45" fillId="0" borderId="125" xfId="0" applyNumberFormat="1" applyFont="1" applyFill="1" applyBorder="1" applyAlignment="1">
      <alignment horizontal="center" vertical="center"/>
    </xf>
    <xf numFmtId="41" fontId="54" fillId="0" borderId="81" xfId="4124" applyFont="1" applyFill="1" applyBorder="1" applyAlignment="1">
      <alignment horizontal="center" vertical="center"/>
    </xf>
    <xf numFmtId="183" fontId="48" fillId="0" borderId="61" xfId="4124" applyNumberFormat="1" applyFont="1" applyFill="1" applyBorder="1" applyAlignment="1">
      <alignment horizontal="center" vertical="center"/>
    </xf>
    <xf numFmtId="41" fontId="52" fillId="0" borderId="64" xfId="4124" applyFont="1" applyFill="1" applyBorder="1" applyAlignment="1">
      <alignment horizontal="center" vertical="center"/>
    </xf>
    <xf numFmtId="186" fontId="49" fillId="0" borderId="78" xfId="4124" applyNumberFormat="1" applyFont="1" applyFill="1" applyBorder="1" applyAlignment="1">
      <alignment horizontal="right" vertical="center"/>
    </xf>
    <xf numFmtId="186" fontId="44" fillId="0" borderId="95" xfId="0" applyNumberFormat="1" applyFont="1" applyFill="1" applyBorder="1" applyAlignment="1">
      <alignment horizontal="right" vertical="center"/>
    </xf>
    <xf numFmtId="183" fontId="48" fillId="0" borderId="66" xfId="0" applyNumberFormat="1" applyFont="1" applyFill="1" applyBorder="1" applyAlignment="1">
      <alignment horizontal="center" vertical="center"/>
    </xf>
    <xf numFmtId="186" fontId="44" fillId="0" borderId="84" xfId="0" applyNumberFormat="1" applyFont="1" applyFill="1" applyBorder="1" applyAlignment="1">
      <alignment horizontal="right" vertical="center"/>
    </xf>
    <xf numFmtId="183" fontId="44" fillId="0" borderId="118" xfId="0" applyNumberFormat="1" applyFont="1" applyFill="1" applyBorder="1" applyAlignment="1">
      <alignment horizontal="center" vertical="center"/>
    </xf>
    <xf numFmtId="41" fontId="52" fillId="0" borderId="206" xfId="4124" applyFont="1" applyFill="1" applyBorder="1" applyAlignment="1">
      <alignment horizontal="center" vertical="center"/>
    </xf>
    <xf numFmtId="186" fontId="44" fillId="0" borderId="67" xfId="4124" applyNumberFormat="1" applyFont="1" applyFill="1" applyBorder="1" applyAlignment="1">
      <alignment horizontal="right" vertical="center"/>
    </xf>
    <xf numFmtId="186" fontId="44" fillId="0" borderId="71" xfId="4124" applyNumberFormat="1" applyFont="1" applyFill="1" applyBorder="1" applyAlignment="1">
      <alignment horizontal="right" vertical="center"/>
    </xf>
    <xf numFmtId="41" fontId="52" fillId="0" borderId="68" xfId="4124" applyFont="1" applyFill="1" applyBorder="1" applyAlignment="1">
      <alignment horizontal="center" vertical="center"/>
    </xf>
    <xf numFmtId="183" fontId="48" fillId="0" borderId="69" xfId="0" applyNumberFormat="1" applyFont="1" applyFill="1" applyBorder="1" applyAlignment="1">
      <alignment horizontal="center" vertical="center"/>
    </xf>
    <xf numFmtId="186" fontId="44" fillId="0" borderId="67" xfId="0" applyNumberFormat="1" applyFont="1" applyFill="1" applyBorder="1" applyAlignment="1">
      <alignment horizontal="right" vertical="center"/>
    </xf>
    <xf numFmtId="183" fontId="48" fillId="0" borderId="70" xfId="0" applyNumberFormat="1" applyFont="1" applyFill="1" applyBorder="1" applyAlignment="1">
      <alignment horizontal="center" vertical="center"/>
    </xf>
    <xf numFmtId="186" fontId="44" fillId="0" borderId="71" xfId="0" applyNumberFormat="1" applyFont="1" applyFill="1" applyBorder="1" applyAlignment="1">
      <alignment horizontal="right" vertical="center"/>
    </xf>
    <xf numFmtId="183" fontId="44" fillId="0" borderId="150" xfId="0" applyNumberFormat="1" applyFont="1" applyFill="1" applyBorder="1" applyAlignment="1">
      <alignment horizontal="center" vertical="center"/>
    </xf>
    <xf numFmtId="181" fontId="126" fillId="0" borderId="51" xfId="4124" applyNumberFormat="1" applyFont="1" applyFill="1" applyBorder="1" applyAlignment="1">
      <alignment horizontal="center" vertical="center"/>
    </xf>
    <xf numFmtId="0" fontId="44" fillId="0" borderId="151" xfId="0" applyFont="1" applyFill="1" applyBorder="1" applyAlignment="1">
      <alignment horizontal="center" vertical="center"/>
    </xf>
    <xf numFmtId="186" fontId="44" fillId="0" borderId="152" xfId="4124" applyNumberFormat="1" applyFont="1" applyFill="1" applyBorder="1" applyAlignment="1">
      <alignment horizontal="right" vertical="center"/>
    </xf>
    <xf numFmtId="186" fontId="44" fillId="0" borderId="153" xfId="4124" applyNumberFormat="1" applyFont="1" applyFill="1" applyBorder="1" applyAlignment="1">
      <alignment horizontal="right" vertical="center"/>
    </xf>
    <xf numFmtId="41" fontId="52" fillId="0" borderId="154" xfId="4124" applyFont="1" applyFill="1" applyBorder="1" applyAlignment="1">
      <alignment horizontal="center" vertical="center"/>
    </xf>
    <xf numFmtId="183" fontId="48" fillId="0" borderId="155" xfId="0" applyNumberFormat="1" applyFont="1" applyFill="1" applyBorder="1" applyAlignment="1">
      <alignment horizontal="center" vertical="center"/>
    </xf>
    <xf numFmtId="186" fontId="44" fillId="0" borderId="152" xfId="0" applyNumberFormat="1" applyFont="1" applyFill="1" applyBorder="1" applyAlignment="1">
      <alignment horizontal="right" vertical="center"/>
    </xf>
    <xf numFmtId="186" fontId="44" fillId="0" borderId="154" xfId="4124" applyNumberFormat="1" applyFont="1" applyFill="1" applyBorder="1" applyAlignment="1">
      <alignment horizontal="right" vertical="center"/>
    </xf>
    <xf numFmtId="186" fontId="44" fillId="0" borderId="153" xfId="0" applyNumberFormat="1" applyFont="1" applyFill="1" applyBorder="1" applyAlignment="1">
      <alignment horizontal="right" vertical="center"/>
    </xf>
    <xf numFmtId="183" fontId="44" fillId="0" borderId="156" xfId="0" applyNumberFormat="1" applyFont="1" applyFill="1" applyBorder="1" applyAlignment="1">
      <alignment horizontal="center" vertical="center"/>
    </xf>
    <xf numFmtId="41" fontId="52" fillId="0" borderId="207" xfId="4124" applyFont="1" applyFill="1" applyBorder="1" applyAlignment="1">
      <alignment horizontal="center" vertical="center"/>
    </xf>
    <xf numFmtId="183" fontId="47" fillId="0" borderId="60" xfId="4124" applyNumberFormat="1" applyFont="1" applyFill="1" applyBorder="1" applyAlignment="1">
      <alignment horizontal="center" vertical="center"/>
    </xf>
    <xf numFmtId="186" fontId="45" fillId="0" borderId="91" xfId="4124" applyNumberFormat="1" applyFont="1" applyFill="1" applyBorder="1" applyAlignment="1">
      <alignment horizontal="right" vertical="center"/>
    </xf>
    <xf numFmtId="181" fontId="126" fillId="0" borderId="49" xfId="4124" applyNumberFormat="1" applyFont="1" applyFill="1" applyBorder="1" applyAlignment="1">
      <alignment horizontal="center" vertical="center"/>
    </xf>
    <xf numFmtId="186" fontId="44" fillId="0" borderId="65" xfId="0" applyNumberFormat="1" applyFont="1" applyFill="1" applyBorder="1" applyAlignment="1">
      <alignment horizontal="right" vertical="center"/>
    </xf>
    <xf numFmtId="181" fontId="0" fillId="0" borderId="0" xfId="0" applyNumberFormat="1" applyAlignment="1">
      <alignment horizontal="center" vertical="center"/>
    </xf>
    <xf numFmtId="43" fontId="0" fillId="0" borderId="0" xfId="0" applyNumberFormat="1" applyAlignment="1">
      <alignment horizontal="center" vertical="center"/>
    </xf>
    <xf numFmtId="0" fontId="44" fillId="0" borderId="53" xfId="0" applyFont="1" applyFill="1" applyBorder="1" applyAlignment="1">
      <alignment horizontal="center" vertical="center"/>
    </xf>
    <xf numFmtId="186" fontId="44" fillId="0" borderId="72" xfId="4124" applyNumberFormat="1" applyFont="1" applyFill="1" applyBorder="1" applyAlignment="1">
      <alignment horizontal="right" vertical="center"/>
    </xf>
    <xf numFmtId="186" fontId="44" fillId="0" borderId="76" xfId="4124" applyNumberFormat="1" applyFont="1" applyFill="1" applyBorder="1" applyAlignment="1">
      <alignment horizontal="right" vertical="center"/>
    </xf>
    <xf numFmtId="41" fontId="52" fillId="0" borderId="73" xfId="4124" applyFont="1" applyFill="1" applyBorder="1" applyAlignment="1">
      <alignment horizontal="center" vertical="center"/>
    </xf>
    <xf numFmtId="183" fontId="48" fillId="0" borderId="74" xfId="0" applyNumberFormat="1" applyFont="1" applyFill="1" applyBorder="1" applyAlignment="1">
      <alignment horizontal="center" vertical="center"/>
    </xf>
    <xf numFmtId="186" fontId="44" fillId="0" borderId="72" xfId="0" applyNumberFormat="1" applyFont="1" applyFill="1" applyBorder="1" applyAlignment="1">
      <alignment horizontal="right" vertical="center"/>
    </xf>
    <xf numFmtId="186" fontId="44" fillId="0" borderId="73" xfId="4124" applyNumberFormat="1" applyFont="1" applyFill="1" applyBorder="1" applyAlignment="1">
      <alignment horizontal="right" vertical="center"/>
    </xf>
    <xf numFmtId="183" fontId="48" fillId="0" borderId="75" xfId="0" applyNumberFormat="1" applyFont="1" applyFill="1" applyBorder="1" applyAlignment="1">
      <alignment horizontal="center" vertical="center"/>
    </xf>
    <xf numFmtId="186" fontId="44" fillId="0" borderId="76" xfId="0" applyNumberFormat="1" applyFont="1" applyFill="1" applyBorder="1" applyAlignment="1">
      <alignment horizontal="right" vertical="center"/>
    </xf>
    <xf numFmtId="183" fontId="44" fillId="0" borderId="157" xfId="0" applyNumberFormat="1" applyFont="1" applyFill="1" applyBorder="1" applyAlignment="1">
      <alignment horizontal="center" vertical="center"/>
    </xf>
    <xf numFmtId="183" fontId="47" fillId="0" borderId="158" xfId="4124" applyNumberFormat="1" applyFont="1" applyFill="1" applyBorder="1" applyAlignment="1">
      <alignment horizontal="center" vertical="center"/>
    </xf>
    <xf numFmtId="41" fontId="52" fillId="0" borderId="81" xfId="4124" applyFont="1" applyFill="1" applyBorder="1" applyAlignment="1">
      <alignment horizontal="center" vertical="center"/>
    </xf>
    <xf numFmtId="183" fontId="47" fillId="0" borderId="61" xfId="4124" applyNumberFormat="1" applyFont="1" applyFill="1" applyBorder="1" applyAlignment="1">
      <alignment horizontal="center" vertical="center"/>
    </xf>
    <xf numFmtId="0" fontId="44" fillId="0" borderId="52" xfId="0" applyFont="1" applyFill="1" applyBorder="1" applyAlignment="1">
      <alignment horizontal="center" vertical="center"/>
    </xf>
    <xf numFmtId="186" fontId="44" fillId="0" borderId="77" xfId="4124" applyNumberFormat="1" applyFont="1" applyFill="1" applyBorder="1" applyAlignment="1">
      <alignment horizontal="right" vertical="center"/>
    </xf>
    <xf numFmtId="186" fontId="44" fillId="0" borderId="80" xfId="4124" applyNumberFormat="1" applyFont="1" applyFill="1" applyBorder="1" applyAlignment="1">
      <alignment horizontal="right" vertical="center"/>
    </xf>
    <xf numFmtId="41" fontId="52" fillId="0" borderId="78" xfId="4124" applyFont="1" applyFill="1" applyBorder="1" applyAlignment="1">
      <alignment horizontal="center" vertical="center"/>
    </xf>
    <xf numFmtId="183" fontId="48" fillId="0" borderId="79" xfId="0" applyNumberFormat="1" applyFont="1" applyFill="1" applyBorder="1" applyAlignment="1">
      <alignment horizontal="center" vertical="center"/>
    </xf>
    <xf numFmtId="186" fontId="44" fillId="0" borderId="77" xfId="0" applyNumberFormat="1" applyFont="1" applyFill="1" applyBorder="1" applyAlignment="1">
      <alignment horizontal="right" vertical="center"/>
    </xf>
    <xf numFmtId="186" fontId="44" fillId="0" borderId="78" xfId="4124" applyNumberFormat="1" applyFont="1" applyFill="1" applyBorder="1" applyAlignment="1">
      <alignment horizontal="right" vertical="center"/>
    </xf>
    <xf numFmtId="186" fontId="44" fillId="0" borderId="80" xfId="0" applyNumberFormat="1" applyFont="1" applyFill="1" applyBorder="1" applyAlignment="1">
      <alignment horizontal="right" vertical="center"/>
    </xf>
    <xf numFmtId="41" fontId="52" fillId="0" borderId="208" xfId="4124" applyFont="1" applyFill="1" applyBorder="1" applyAlignment="1">
      <alignment horizontal="center" vertical="center"/>
    </xf>
    <xf numFmtId="2" fontId="48" fillId="0" borderId="90" xfId="0" applyNumberFormat="1" applyFont="1" applyFill="1" applyBorder="1" applyAlignment="1">
      <alignment horizontal="center" vertical="center"/>
    </xf>
    <xf numFmtId="0" fontId="45" fillId="0" borderId="50" xfId="0" applyFont="1" applyFill="1" applyBorder="1" applyAlignment="1">
      <alignment horizontal="center" vertical="center"/>
    </xf>
    <xf numFmtId="186" fontId="45" fillId="0" borderId="159" xfId="4124" applyNumberFormat="1" applyFont="1" applyFill="1" applyBorder="1" applyAlignment="1">
      <alignment horizontal="right" vertical="center"/>
    </xf>
    <xf numFmtId="186" fontId="45" fillId="0" borderId="209" xfId="4124" applyNumberFormat="1" applyFont="1" applyFill="1" applyBorder="1" applyAlignment="1">
      <alignment horizontal="right" vertical="center"/>
    </xf>
    <xf numFmtId="41" fontId="54" fillId="0" borderId="210" xfId="4124" applyNumberFormat="1" applyFont="1" applyFill="1" applyBorder="1" applyAlignment="1">
      <alignment horizontal="center" vertical="center"/>
    </xf>
    <xf numFmtId="43" fontId="48" fillId="0" borderId="160" xfId="0" applyNumberFormat="1" applyFont="1" applyFill="1" applyBorder="1" applyAlignment="1">
      <alignment horizontal="center" vertical="center"/>
    </xf>
    <xf numFmtId="186" fontId="45" fillId="0" borderId="210" xfId="4124" applyNumberFormat="1" applyFont="1" applyFill="1" applyBorder="1" applyAlignment="1">
      <alignment horizontal="right" vertical="center"/>
    </xf>
    <xf numFmtId="43" fontId="48" fillId="0" borderId="161" xfId="0" applyNumberFormat="1" applyFont="1" applyFill="1" applyBorder="1" applyAlignment="1">
      <alignment horizontal="center" vertical="center"/>
    </xf>
    <xf numFmtId="43" fontId="45" fillId="0" borderId="162" xfId="0" applyNumberFormat="1" applyFont="1" applyFill="1" applyBorder="1" applyAlignment="1">
      <alignment horizontal="center" vertical="center"/>
    </xf>
    <xf numFmtId="41" fontId="52" fillId="0" borderId="211" xfId="4124" applyFont="1" applyFill="1" applyBorder="1" applyAlignment="1">
      <alignment horizontal="center" vertical="center"/>
    </xf>
    <xf numFmtId="181" fontId="48" fillId="0" borderId="58" xfId="4124" applyNumberFormat="1" applyFont="1" applyFill="1" applyBorder="1" applyAlignment="1">
      <alignment horizontal="center" vertical="center"/>
    </xf>
    <xf numFmtId="178" fontId="29" fillId="0" borderId="269" xfId="0" applyNumberFormat="1" applyFont="1" applyBorder="1" applyAlignment="1">
      <alignment horizontal="center" vertical="center"/>
    </xf>
    <xf numFmtId="0" fontId="58" fillId="5" borderId="269" xfId="0" applyFont="1" applyFill="1" applyBorder="1" applyAlignment="1">
      <alignment horizontal="center" vertical="center" wrapText="1"/>
    </xf>
    <xf numFmtId="0" fontId="29" fillId="5" borderId="269" xfId="0" applyFont="1" applyFill="1" applyBorder="1" applyAlignment="1">
      <alignment horizontal="center" vertical="center" wrapText="1"/>
    </xf>
    <xf numFmtId="2" fontId="58" fillId="0" borderId="269" xfId="0" applyNumberFormat="1" applyFont="1" applyBorder="1" applyAlignment="1">
      <alignment horizontal="center" vertical="center"/>
    </xf>
    <xf numFmtId="4" fontId="58" fillId="0" borderId="269" xfId="0" applyNumberFormat="1" applyFont="1" applyBorder="1" applyAlignment="1">
      <alignment horizontal="center" vertical="center"/>
    </xf>
    <xf numFmtId="1" fontId="29" fillId="0" borderId="0" xfId="0" applyNumberFormat="1" applyFont="1" applyAlignment="1">
      <alignment horizontal="center" vertical="center"/>
    </xf>
    <xf numFmtId="3" fontId="58" fillId="0" borderId="269" xfId="0" applyNumberFormat="1" applyFont="1" applyBorder="1" applyAlignment="1">
      <alignment horizontal="center" vertical="center"/>
    </xf>
    <xf numFmtId="9" fontId="58" fillId="0" borderId="269" xfId="1" applyFont="1" applyBorder="1" applyAlignment="1">
      <alignment horizontal="center" vertical="center"/>
    </xf>
    <xf numFmtId="1" fontId="58" fillId="0" borderId="0" xfId="0" applyNumberFormat="1" applyFont="1">
      <alignment vertical="center"/>
    </xf>
    <xf numFmtId="226" fontId="58" fillId="0" borderId="269" xfId="2" applyNumberFormat="1" applyFont="1" applyBorder="1" applyAlignment="1">
      <alignment horizontal="center" vertical="center"/>
    </xf>
    <xf numFmtId="2" fontId="46" fillId="0" borderId="0" xfId="0" applyNumberFormat="1" applyFont="1" applyAlignment="1"/>
    <xf numFmtId="2" fontId="0" fillId="0" borderId="0" xfId="0" applyNumberFormat="1" applyAlignment="1">
      <alignment horizontal="center" vertical="center"/>
    </xf>
    <xf numFmtId="2" fontId="27" fillId="16" borderId="54" xfId="0" applyNumberFormat="1" applyFont="1" applyFill="1" applyBorder="1" applyAlignment="1">
      <alignment horizontal="center" vertical="center" wrapText="1"/>
    </xf>
    <xf numFmtId="1" fontId="31" fillId="7" borderId="0" xfId="0" applyNumberFormat="1" applyFont="1" applyFill="1" applyBorder="1" applyAlignment="1">
      <alignment horizontal="center" vertical="center"/>
    </xf>
    <xf numFmtId="1" fontId="28" fillId="7" borderId="0" xfId="0" applyNumberFormat="1" applyFont="1" applyFill="1" applyBorder="1" applyAlignment="1">
      <alignment horizontal="center" vertical="center"/>
    </xf>
    <xf numFmtId="179" fontId="58" fillId="0" borderId="0" xfId="0" applyNumberFormat="1" applyFont="1">
      <alignment vertical="center"/>
    </xf>
    <xf numFmtId="187" fontId="28" fillId="7" borderId="0" xfId="0" applyNumberFormat="1" applyFont="1" applyFill="1" applyAlignment="1">
      <alignment horizontal="center" vertical="center"/>
    </xf>
    <xf numFmtId="3" fontId="58" fillId="0" borderId="0" xfId="0" applyNumberFormat="1" applyFont="1">
      <alignment vertical="center"/>
    </xf>
    <xf numFmtId="0" fontId="45" fillId="3" borderId="49" xfId="0" applyFont="1" applyFill="1" applyBorder="1" applyAlignment="1">
      <alignment horizontal="center" vertical="center"/>
    </xf>
    <xf numFmtId="186" fontId="45" fillId="3" borderId="85" xfId="4124" applyNumberFormat="1" applyFont="1" applyFill="1" applyBorder="1" applyAlignment="1">
      <alignment horizontal="right" vertical="center"/>
    </xf>
    <xf numFmtId="186" fontId="45" fillId="3" borderId="89" xfId="4124" applyNumberFormat="1" applyFont="1" applyFill="1" applyBorder="1" applyAlignment="1">
      <alignment horizontal="right" vertical="center"/>
    </xf>
    <xf numFmtId="41" fontId="54" fillId="3" borderId="86" xfId="4124" applyFont="1" applyFill="1" applyBorder="1" applyAlignment="1">
      <alignment horizontal="center" vertical="center"/>
    </xf>
    <xf numFmtId="183" fontId="48" fillId="3" borderId="90" xfId="0" applyNumberFormat="1" applyFont="1" applyFill="1" applyBorder="1" applyAlignment="1">
      <alignment horizontal="center" vertical="center"/>
    </xf>
    <xf numFmtId="186" fontId="45" fillId="3" borderId="85" xfId="0" applyNumberFormat="1" applyFont="1" applyFill="1" applyBorder="1" applyAlignment="1">
      <alignment horizontal="right" vertical="center"/>
    </xf>
    <xf numFmtId="186" fontId="45" fillId="3" borderId="86" xfId="4124" applyNumberFormat="1" applyFont="1" applyFill="1" applyBorder="1" applyAlignment="1">
      <alignment horizontal="right" vertical="center"/>
    </xf>
    <xf numFmtId="41" fontId="54" fillId="3" borderId="86" xfId="4124" applyNumberFormat="1" applyFont="1" applyFill="1" applyBorder="1" applyAlignment="1">
      <alignment horizontal="center" vertical="center"/>
    </xf>
    <xf numFmtId="183" fontId="48" fillId="3" borderId="87" xfId="0" applyNumberFormat="1" applyFont="1" applyFill="1" applyBorder="1" applyAlignment="1">
      <alignment horizontal="center" vertical="center"/>
    </xf>
    <xf numFmtId="186" fontId="45" fillId="3" borderId="89" xfId="0" applyNumberFormat="1" applyFont="1" applyFill="1" applyBorder="1" applyAlignment="1">
      <alignment horizontal="right" vertical="center"/>
    </xf>
    <xf numFmtId="183" fontId="45" fillId="3" borderId="125" xfId="0" applyNumberFormat="1" applyFont="1" applyFill="1" applyBorder="1" applyAlignment="1">
      <alignment horizontal="center" vertical="center"/>
    </xf>
    <xf numFmtId="181" fontId="127" fillId="3" borderId="49" xfId="4124" applyNumberFormat="1" applyFont="1" applyFill="1" applyBorder="1" applyAlignment="1">
      <alignment horizontal="center" vertical="center"/>
    </xf>
    <xf numFmtId="41" fontId="54" fillId="3" borderId="81" xfId="4124" applyFont="1" applyFill="1" applyBorder="1" applyAlignment="1">
      <alignment horizontal="center" vertical="center"/>
    </xf>
    <xf numFmtId="183" fontId="48" fillId="3" borderId="61" xfId="4124" applyNumberFormat="1" applyFont="1" applyFill="1" applyBorder="1" applyAlignment="1">
      <alignment horizontal="center" vertical="center"/>
    </xf>
    <xf numFmtId="0" fontId="46" fillId="3" borderId="0" xfId="0" applyFont="1" applyFill="1" applyAlignment="1">
      <alignment horizontal="center" vertical="center"/>
    </xf>
    <xf numFmtId="0" fontId="45" fillId="3" borderId="94" xfId="0" applyFont="1" applyFill="1" applyBorder="1" applyAlignment="1">
      <alignment horizontal="center" vertical="center"/>
    </xf>
    <xf numFmtId="186" fontId="45" fillId="3" borderId="95" xfId="4124" applyNumberFormat="1" applyFont="1" applyFill="1" applyBorder="1" applyAlignment="1">
      <alignment horizontal="right" vertical="center"/>
    </xf>
    <xf numFmtId="186" fontId="45" fillId="3" borderId="84" xfId="4124" applyNumberFormat="1" applyFont="1" applyFill="1" applyBorder="1" applyAlignment="1">
      <alignment horizontal="right" vertical="center"/>
    </xf>
    <xf numFmtId="41" fontId="54" fillId="3" borderId="5" xfId="4124" applyFont="1" applyFill="1" applyBorder="1" applyAlignment="1">
      <alignment horizontal="center" vertical="center"/>
    </xf>
    <xf numFmtId="183" fontId="48" fillId="3" borderId="41" xfId="0" applyNumberFormat="1" applyFont="1" applyFill="1" applyBorder="1" applyAlignment="1">
      <alignment horizontal="center" vertical="center"/>
    </xf>
    <xf numFmtId="186" fontId="45" fillId="3" borderId="95" xfId="0" applyNumberFormat="1" applyFont="1" applyFill="1" applyBorder="1" applyAlignment="1">
      <alignment horizontal="right" vertical="center"/>
    </xf>
    <xf numFmtId="186" fontId="45" fillId="3" borderId="5" xfId="4124" applyNumberFormat="1" applyFont="1" applyFill="1" applyBorder="1" applyAlignment="1">
      <alignment horizontal="right" vertical="center"/>
    </xf>
    <xf numFmtId="41" fontId="54" fillId="3" borderId="5" xfId="4124" applyNumberFormat="1" applyFont="1" applyFill="1" applyBorder="1" applyAlignment="1">
      <alignment horizontal="center" vertical="center"/>
    </xf>
    <xf numFmtId="183" fontId="48" fillId="3" borderId="66" xfId="0" applyNumberFormat="1" applyFont="1" applyFill="1" applyBorder="1" applyAlignment="1">
      <alignment horizontal="center" vertical="center"/>
    </xf>
    <xf numFmtId="186" fontId="45" fillId="3" borderId="84" xfId="0" applyNumberFormat="1" applyFont="1" applyFill="1" applyBorder="1" applyAlignment="1">
      <alignment horizontal="right" vertical="center"/>
    </xf>
    <xf numFmtId="183" fontId="45" fillId="3" borderId="118" xfId="0" applyNumberFormat="1" applyFont="1" applyFill="1" applyBorder="1" applyAlignment="1">
      <alignment horizontal="center" vertical="center"/>
    </xf>
    <xf numFmtId="181" fontId="127" fillId="3" borderId="94" xfId="4124" applyNumberFormat="1" applyFont="1" applyFill="1" applyBorder="1" applyAlignment="1">
      <alignment horizontal="center" vertical="center"/>
    </xf>
    <xf numFmtId="41" fontId="54" fillId="3" borderId="0" xfId="4124" applyFont="1" applyFill="1" applyBorder="1" applyAlignment="1">
      <alignment horizontal="center" vertical="center"/>
    </xf>
    <xf numFmtId="183" fontId="48" fillId="3" borderId="126" xfId="4124" applyNumberFormat="1" applyFont="1" applyFill="1" applyBorder="1" applyAlignment="1">
      <alignment horizontal="center" vertical="center"/>
    </xf>
    <xf numFmtId="179" fontId="29" fillId="7" borderId="0" xfId="0" applyNumberFormat="1" applyFont="1" applyFill="1">
      <alignment vertical="center"/>
    </xf>
    <xf numFmtId="2" fontId="0" fillId="0" borderId="0" xfId="0" applyNumberFormat="1">
      <alignment vertical="center"/>
    </xf>
    <xf numFmtId="226" fontId="28" fillId="7" borderId="0" xfId="0" applyNumberFormat="1" applyFont="1" applyFill="1" applyBorder="1" applyAlignment="1">
      <alignment horizontal="center" vertical="center"/>
    </xf>
    <xf numFmtId="181" fontId="28" fillId="7" borderId="0" xfId="2" applyNumberFormat="1" applyFont="1" applyFill="1" applyBorder="1" applyAlignment="1">
      <alignment horizontal="center" vertical="center"/>
    </xf>
    <xf numFmtId="0" fontId="172" fillId="5" borderId="5" xfId="0" quotePrefix="1" applyFont="1" applyFill="1" applyBorder="1" applyAlignment="1">
      <alignment horizontal="center" vertical="center"/>
    </xf>
    <xf numFmtId="4" fontId="58" fillId="7" borderId="6" xfId="2" applyNumberFormat="1" applyFont="1" applyFill="1" applyBorder="1" applyAlignment="1">
      <alignment horizontal="center" vertical="center"/>
    </xf>
    <xf numFmtId="0" fontId="172" fillId="7" borderId="120" xfId="0" applyFont="1" applyFill="1" applyBorder="1" applyAlignment="1">
      <alignment horizontal="center" vertical="center"/>
    </xf>
    <xf numFmtId="0" fontId="172" fillId="7" borderId="269" xfId="0" applyFont="1" applyFill="1" applyBorder="1" applyAlignment="1">
      <alignment horizontal="center" vertical="center"/>
    </xf>
    <xf numFmtId="176" fontId="29" fillId="7" borderId="0" xfId="0" applyNumberFormat="1" applyFont="1" applyFill="1">
      <alignment vertical="center"/>
    </xf>
    <xf numFmtId="184" fontId="188" fillId="7" borderId="0" xfId="0" applyNumberFormat="1" applyFont="1" applyFill="1" applyBorder="1" applyAlignment="1" applyProtection="1">
      <alignment vertical="center"/>
    </xf>
    <xf numFmtId="0" fontId="188" fillId="7" borderId="0" xfId="0" applyFont="1" applyFill="1" applyBorder="1" applyAlignment="1" applyProtection="1">
      <alignment vertical="center"/>
    </xf>
    <xf numFmtId="0" fontId="189" fillId="7" borderId="0" xfId="0" applyFont="1" applyFill="1" applyAlignment="1" applyProtection="1">
      <protection locked="0"/>
    </xf>
    <xf numFmtId="0" fontId="0" fillId="0" borderId="0" xfId="0" applyAlignment="1">
      <alignment horizontal="center" vertical="center"/>
    </xf>
    <xf numFmtId="10" fontId="31" fillId="7" borderId="0" xfId="1" applyNumberFormat="1" applyFont="1" applyFill="1" applyBorder="1" applyAlignment="1">
      <alignment horizontal="center" vertical="center"/>
    </xf>
    <xf numFmtId="222" fontId="28" fillId="7" borderId="0" xfId="0" applyNumberFormat="1" applyFont="1" applyFill="1" applyBorder="1" applyAlignment="1">
      <alignment horizontal="center" vertical="center"/>
    </xf>
    <xf numFmtId="38" fontId="29" fillId="7" borderId="0" xfId="0" applyNumberFormat="1" applyFont="1" applyFill="1">
      <alignment vertical="center"/>
    </xf>
    <xf numFmtId="0" fontId="172" fillId="7" borderId="262" xfId="0" applyFont="1" applyFill="1" applyBorder="1" applyAlignment="1">
      <alignment horizontal="center" vertical="center"/>
    </xf>
    <xf numFmtId="0" fontId="172" fillId="7" borderId="236" xfId="0" applyFont="1" applyFill="1" applyBorder="1" applyAlignment="1">
      <alignment horizontal="center" vertical="center"/>
    </xf>
    <xf numFmtId="0" fontId="125" fillId="0" borderId="0" xfId="0" applyFont="1">
      <alignment vertical="center"/>
    </xf>
    <xf numFmtId="0" fontId="125" fillId="0" borderId="0" xfId="0" applyFont="1" applyAlignment="1">
      <alignment horizontal="center" vertical="center"/>
    </xf>
    <xf numFmtId="0" fontId="125" fillId="0" borderId="0" xfId="0" applyFont="1" applyFill="1" applyBorder="1">
      <alignment vertical="center"/>
    </xf>
    <xf numFmtId="1" fontId="35" fillId="7" borderId="0" xfId="0" applyNumberFormat="1" applyFont="1" applyFill="1" applyBorder="1" applyAlignment="1">
      <alignment horizontal="center" vertical="center"/>
    </xf>
    <xf numFmtId="0" fontId="170" fillId="7" borderId="0" xfId="0" applyFont="1" applyFill="1" applyAlignment="1">
      <alignment horizontal="center" vertical="center"/>
    </xf>
    <xf numFmtId="2" fontId="170" fillId="7" borderId="269" xfId="0" applyNumberFormat="1" applyFont="1" applyFill="1" applyBorder="1" applyAlignment="1" applyProtection="1">
      <alignment vertical="center"/>
      <protection locked="0"/>
    </xf>
    <xf numFmtId="0" fontId="170" fillId="7" borderId="269" xfId="0" applyFont="1" applyFill="1" applyBorder="1" applyAlignment="1" applyProtection="1">
      <alignment vertical="center"/>
      <protection locked="0"/>
    </xf>
    <xf numFmtId="9" fontId="125" fillId="0" borderId="0" xfId="1" applyNumberFormat="1" applyFont="1" applyAlignment="1">
      <alignment horizontal="center" vertical="center"/>
    </xf>
    <xf numFmtId="0" fontId="59" fillId="0" borderId="215" xfId="0" applyFont="1" applyBorder="1" applyAlignment="1">
      <alignment horizontal="center" vertical="center" wrapText="1"/>
    </xf>
    <xf numFmtId="0" fontId="180" fillId="0" borderId="215" xfId="0" applyFont="1" applyBorder="1" applyAlignment="1">
      <alignment horizontal="center" wrapText="1"/>
    </xf>
    <xf numFmtId="0" fontId="59" fillId="0" borderId="215" xfId="0" applyFont="1" applyBorder="1" applyAlignment="1">
      <alignment horizontal="center" wrapText="1"/>
    </xf>
    <xf numFmtId="178" fontId="29" fillId="0" borderId="0" xfId="0" applyNumberFormat="1" applyFont="1">
      <alignment vertical="center"/>
    </xf>
    <xf numFmtId="223" fontId="58" fillId="0" borderId="0" xfId="0" applyNumberFormat="1" applyFont="1" applyAlignment="1">
      <alignment horizontal="center" vertical="center"/>
    </xf>
    <xf numFmtId="223" fontId="58" fillId="0" borderId="0" xfId="0" applyNumberFormat="1" applyFont="1">
      <alignment vertical="center"/>
    </xf>
    <xf numFmtId="0" fontId="172" fillId="7" borderId="236" xfId="0" applyFont="1" applyFill="1" applyBorder="1" applyAlignment="1">
      <alignment horizontal="center" vertical="center"/>
    </xf>
    <xf numFmtId="3" fontId="0" fillId="0" borderId="0" xfId="0" applyNumberFormat="1" applyFont="1" applyAlignment="1">
      <alignment vertical="center" wrapText="1"/>
    </xf>
    <xf numFmtId="3" fontId="29" fillId="0" borderId="0" xfId="0" applyNumberFormat="1" applyFont="1">
      <alignment vertical="center"/>
    </xf>
    <xf numFmtId="2" fontId="29" fillId="0" borderId="0" xfId="0" applyNumberFormat="1" applyFont="1">
      <alignment vertical="center"/>
    </xf>
    <xf numFmtId="183" fontId="29" fillId="7" borderId="0" xfId="0" applyNumberFormat="1" applyFont="1" applyFill="1">
      <alignment vertical="center"/>
    </xf>
    <xf numFmtId="0" fontId="38" fillId="11" borderId="0" xfId="3846" applyFont="1" applyFill="1" applyBorder="1">
      <protection locked="0"/>
    </xf>
    <xf numFmtId="0" fontId="110" fillId="11" borderId="0" xfId="3846" applyFill="1">
      <protection locked="0"/>
    </xf>
    <xf numFmtId="0" fontId="110" fillId="12" borderId="0" xfId="3846" applyFill="1">
      <protection locked="0"/>
    </xf>
    <xf numFmtId="233" fontId="28" fillId="7" borderId="0" xfId="0" applyNumberFormat="1" applyFont="1" applyFill="1" applyBorder="1" applyAlignment="1">
      <alignment horizontal="center" vertical="center"/>
    </xf>
    <xf numFmtId="9" fontId="29" fillId="7" borderId="0" xfId="1" applyFont="1" applyFill="1">
      <alignment vertical="center"/>
    </xf>
    <xf numFmtId="2" fontId="58" fillId="0" borderId="201" xfId="0" applyNumberFormat="1" applyFont="1" applyBorder="1" applyAlignment="1">
      <alignment horizontal="center" vertical="center"/>
    </xf>
    <xf numFmtId="0" fontId="29" fillId="0" borderId="0" xfId="0" applyFont="1" applyAlignment="1">
      <alignment horizontal="center" vertical="center"/>
    </xf>
    <xf numFmtId="0" fontId="174" fillId="0" borderId="0" xfId="0" applyFont="1">
      <alignment vertical="center"/>
    </xf>
    <xf numFmtId="0" fontId="30" fillId="0" borderId="269" xfId="0" applyFont="1" applyBorder="1" applyAlignment="1">
      <alignment horizontal="center" vertical="center"/>
    </xf>
    <xf numFmtId="0" fontId="170" fillId="7" borderId="269" xfId="0" applyFont="1" applyFill="1" applyBorder="1" applyAlignment="1">
      <alignment horizontal="center" vertical="center"/>
    </xf>
    <xf numFmtId="3" fontId="170" fillId="7" borderId="269" xfId="2" applyNumberFormat="1" applyFont="1" applyFill="1" applyBorder="1" applyAlignment="1">
      <alignment horizontal="center" vertical="center"/>
    </xf>
    <xf numFmtId="227" fontId="170" fillId="7" borderId="269" xfId="2" applyNumberFormat="1" applyFont="1" applyFill="1" applyBorder="1" applyAlignment="1">
      <alignment horizontal="center" vertical="center"/>
    </xf>
    <xf numFmtId="4" fontId="170" fillId="7" borderId="269" xfId="2" applyNumberFormat="1" applyFont="1" applyFill="1" applyBorder="1" applyAlignment="1">
      <alignment horizontal="center" vertical="center"/>
    </xf>
    <xf numFmtId="0" fontId="30" fillId="0" borderId="269" xfId="0" applyFont="1" applyBorder="1" applyAlignment="1">
      <alignment horizontal="center" vertical="center" wrapText="1"/>
    </xf>
    <xf numFmtId="0" fontId="166" fillId="0" borderId="214" xfId="0" applyFont="1" applyBorder="1" applyAlignment="1">
      <alignment horizontal="center" vertical="center" wrapText="1"/>
    </xf>
    <xf numFmtId="0" fontId="28" fillId="3" borderId="214" xfId="0" applyFont="1" applyFill="1" applyBorder="1" applyAlignment="1" applyProtection="1">
      <alignment horizontal="center" vertical="center"/>
      <protection locked="0"/>
    </xf>
    <xf numFmtId="0" fontId="29" fillId="0" borderId="0" xfId="0" applyFont="1" applyAlignment="1">
      <alignment horizontal="center" vertical="center"/>
    </xf>
    <xf numFmtId="0" fontId="29" fillId="0" borderId="0" xfId="0" applyFont="1" applyAlignment="1">
      <alignment horizontal="center" vertical="center"/>
    </xf>
    <xf numFmtId="0" fontId="172" fillId="15" borderId="6" xfId="0" applyFont="1" applyFill="1" applyBorder="1" applyAlignment="1">
      <alignment horizontal="center" vertical="center"/>
    </xf>
    <xf numFmtId="187" fontId="28" fillId="7" borderId="269" xfId="0" applyNumberFormat="1" applyFont="1" applyFill="1" applyBorder="1" applyAlignment="1">
      <alignment horizontal="center" vertical="center"/>
    </xf>
    <xf numFmtId="38" fontId="31" fillId="7" borderId="269" xfId="0" applyNumberFormat="1" applyFont="1" applyFill="1" applyBorder="1" applyAlignment="1">
      <alignment horizontal="center" vertical="center"/>
    </xf>
    <xf numFmtId="0" fontId="28" fillId="7" borderId="269" xfId="0" applyFont="1" applyFill="1" applyBorder="1" applyAlignment="1">
      <alignment horizontal="center" vertical="center"/>
    </xf>
    <xf numFmtId="187" fontId="28" fillId="116" borderId="214" xfId="2" applyNumberFormat="1" applyFont="1" applyFill="1" applyBorder="1" applyAlignment="1">
      <alignment horizontal="center" vertical="center"/>
    </xf>
    <xf numFmtId="38" fontId="29" fillId="7" borderId="120" xfId="2" applyNumberFormat="1" applyFont="1" applyFill="1" applyBorder="1" applyAlignment="1">
      <alignment horizontal="center" vertical="center"/>
    </xf>
    <xf numFmtId="38" fontId="29" fillId="7" borderId="45" xfId="2" applyNumberFormat="1" applyFont="1" applyFill="1" applyBorder="1" applyAlignment="1">
      <alignment horizontal="center" vertical="center"/>
    </xf>
    <xf numFmtId="38" fontId="29" fillId="7" borderId="38" xfId="2" applyNumberFormat="1" applyFont="1" applyFill="1" applyBorder="1" applyAlignment="1">
      <alignment horizontal="center" vertical="center"/>
    </xf>
    <xf numFmtId="183" fontId="29" fillId="7" borderId="0" xfId="2" applyNumberFormat="1" applyFont="1" applyFill="1" applyBorder="1" applyAlignment="1">
      <alignment horizontal="center" vertical="center"/>
    </xf>
    <xf numFmtId="38" fontId="29" fillId="7" borderId="0" xfId="2" applyNumberFormat="1" applyFont="1" applyFill="1" applyBorder="1" applyAlignment="1">
      <alignment horizontal="center" vertical="center"/>
    </xf>
    <xf numFmtId="9" fontId="29" fillId="7" borderId="0" xfId="1" applyFont="1" applyFill="1" applyBorder="1" applyAlignment="1">
      <alignment horizontal="center" vertical="center"/>
    </xf>
    <xf numFmtId="9" fontId="29" fillId="7" borderId="236" xfId="1" applyFont="1" applyFill="1" applyBorder="1" applyAlignment="1">
      <alignment horizontal="center" vertical="center"/>
    </xf>
    <xf numFmtId="0" fontId="166" fillId="0" borderId="214" xfId="0" applyFont="1" applyBorder="1" applyAlignment="1">
      <alignment horizontal="center" vertical="center" wrapText="1"/>
    </xf>
    <xf numFmtId="41" fontId="184" fillId="93" borderId="269" xfId="2" applyFont="1" applyFill="1" applyBorder="1" applyAlignment="1">
      <alignment horizontal="center" vertical="center"/>
    </xf>
    <xf numFmtId="41" fontId="191" fillId="0" borderId="16" xfId="2" applyFont="1" applyBorder="1" applyAlignment="1">
      <alignment horizontal="center" vertical="center"/>
    </xf>
    <xf numFmtId="41" fontId="184" fillId="3" borderId="265" xfId="2" applyFont="1" applyFill="1" applyBorder="1" applyAlignment="1">
      <alignment horizontal="center" vertical="center"/>
    </xf>
    <xf numFmtId="183" fontId="29" fillId="0" borderId="0" xfId="0" applyNumberFormat="1" applyFont="1">
      <alignment vertical="center"/>
    </xf>
    <xf numFmtId="0" fontId="179" fillId="15" borderId="269" xfId="0" applyFont="1" applyFill="1" applyBorder="1" applyAlignment="1">
      <alignment horizontal="center" vertical="center" wrapText="1"/>
    </xf>
    <xf numFmtId="3" fontId="0" fillId="0" borderId="0" xfId="0" applyNumberFormat="1" applyFont="1" applyAlignment="1">
      <alignment horizontal="center" vertical="center"/>
    </xf>
    <xf numFmtId="0" fontId="181" fillId="120" borderId="262" xfId="22859" applyFont="1" applyFill="1" applyBorder="1" applyAlignment="1">
      <alignment horizontal="center" vertical="center" wrapText="1"/>
    </xf>
    <xf numFmtId="40" fontId="28" fillId="7" borderId="214" xfId="3" quotePrefix="1" applyNumberFormat="1" applyFont="1" applyFill="1" applyBorder="1" applyAlignment="1">
      <alignment horizontal="center" vertical="center"/>
    </xf>
    <xf numFmtId="178" fontId="28" fillId="7" borderId="0" xfId="1" applyNumberFormat="1" applyFont="1" applyFill="1" applyBorder="1" applyAlignment="1">
      <alignment horizontal="center" vertical="center"/>
    </xf>
    <xf numFmtId="3" fontId="173" fillId="0" borderId="0" xfId="0" applyNumberFormat="1" applyFont="1" applyAlignment="1">
      <alignment horizontal="center" vertical="center"/>
    </xf>
    <xf numFmtId="3" fontId="0" fillId="0" borderId="0" xfId="0" applyNumberFormat="1" applyAlignment="1">
      <alignment horizontal="center" vertical="center"/>
    </xf>
    <xf numFmtId="0" fontId="29" fillId="0" borderId="0" xfId="0" applyFont="1" applyAlignment="1">
      <alignment horizontal="center" vertical="center"/>
    </xf>
    <xf numFmtId="0" fontId="0" fillId="0" borderId="0" xfId="0" applyFill="1" applyAlignment="1">
      <alignment horizontal="center" vertical="center"/>
    </xf>
    <xf numFmtId="187" fontId="58" fillId="7" borderId="289" xfId="2" applyNumberFormat="1" applyFont="1" applyFill="1" applyBorder="1" applyAlignment="1">
      <alignment horizontal="center" vertical="center"/>
    </xf>
    <xf numFmtId="187" fontId="0" fillId="0" borderId="0" xfId="0" applyNumberFormat="1">
      <alignment vertical="center"/>
    </xf>
    <xf numFmtId="0" fontId="187" fillId="0" borderId="0" xfId="0" applyFont="1">
      <alignment vertical="center"/>
    </xf>
    <xf numFmtId="178" fontId="58" fillId="7" borderId="290" xfId="2" applyNumberFormat="1" applyFont="1" applyFill="1" applyBorder="1" applyAlignment="1">
      <alignment horizontal="center" vertical="center"/>
    </xf>
    <xf numFmtId="187" fontId="58" fillId="7" borderId="290" xfId="2" applyNumberFormat="1" applyFont="1" applyFill="1" applyBorder="1" applyAlignment="1">
      <alignment horizontal="center" vertical="center"/>
    </xf>
    <xf numFmtId="187" fontId="58" fillId="0" borderId="242" xfId="2" applyNumberFormat="1" applyFont="1" applyBorder="1" applyAlignment="1">
      <alignment horizontal="center" vertical="center"/>
    </xf>
    <xf numFmtId="0" fontId="193" fillId="0" borderId="0" xfId="0" applyFont="1" applyAlignment="1">
      <alignment horizontal="center" vertical="center"/>
    </xf>
    <xf numFmtId="0" fontId="58" fillId="0" borderId="0" xfId="0" applyFont="1" applyBorder="1" applyAlignment="1">
      <alignment horizontal="center" vertical="center"/>
    </xf>
    <xf numFmtId="187" fontId="58" fillId="0" borderId="269" xfId="0" applyNumberFormat="1" applyFont="1" applyBorder="1" applyAlignment="1">
      <alignment horizontal="center" vertical="center"/>
    </xf>
    <xf numFmtId="0" fontId="172" fillId="0" borderId="0" xfId="0" applyFont="1" applyBorder="1" applyAlignment="1">
      <alignment horizontal="right" vertical="center"/>
    </xf>
    <xf numFmtId="0" fontId="172" fillId="0" borderId="0" xfId="0" applyFont="1" applyFill="1" applyBorder="1" applyAlignment="1">
      <alignment horizontal="center" vertical="center"/>
    </xf>
    <xf numFmtId="0" fontId="29" fillId="0" borderId="0" xfId="0" applyFont="1" applyAlignment="1">
      <alignment horizontal="left" vertical="center"/>
    </xf>
    <xf numFmtId="0" fontId="29" fillId="0" borderId="214" xfId="0" applyFont="1" applyBorder="1" applyAlignment="1">
      <alignment horizontal="center" vertical="center" wrapText="1"/>
    </xf>
    <xf numFmtId="38" fontId="29" fillId="0" borderId="214" xfId="0" applyNumberFormat="1" applyFont="1" applyBorder="1" applyAlignment="1">
      <alignment horizontal="center" vertical="center" wrapText="1"/>
    </xf>
    <xf numFmtId="0" fontId="35" fillId="7" borderId="0" xfId="0" applyFont="1" applyFill="1" applyBorder="1" applyAlignment="1">
      <alignment horizontal="center" vertical="center" wrapText="1"/>
    </xf>
    <xf numFmtId="0" fontId="58" fillId="0" borderId="0" xfId="0" applyFont="1" applyFill="1" applyBorder="1" applyAlignment="1">
      <alignment horizontal="center" vertical="center"/>
    </xf>
    <xf numFmtId="0" fontId="58" fillId="0" borderId="0" xfId="0" applyFont="1" applyFill="1" applyAlignment="1">
      <alignment horizontal="center" vertical="center"/>
    </xf>
    <xf numFmtId="183" fontId="58" fillId="7" borderId="242" xfId="2" applyNumberFormat="1" applyFont="1" applyFill="1" applyBorder="1" applyAlignment="1">
      <alignment horizontal="center" vertical="center"/>
    </xf>
    <xf numFmtId="187" fontId="58" fillId="7" borderId="5" xfId="2" applyNumberFormat="1" applyFont="1" applyFill="1" applyBorder="1" applyAlignment="1">
      <alignment horizontal="center" vertical="center"/>
    </xf>
    <xf numFmtId="187" fontId="58" fillId="7" borderId="242" xfId="2" applyNumberFormat="1" applyFont="1" applyFill="1" applyBorder="1" applyAlignment="1">
      <alignment horizontal="center" vertical="center"/>
    </xf>
    <xf numFmtId="3" fontId="194" fillId="3" borderId="21" xfId="3799" applyNumberFormat="1" applyFont="1" applyFill="1" applyBorder="1" applyAlignment="1">
      <alignment horizontal="center" vertical="center" wrapText="1"/>
    </xf>
    <xf numFmtId="187" fontId="58" fillId="0" borderId="25" xfId="2" applyNumberFormat="1" applyFont="1" applyFill="1" applyBorder="1" applyAlignment="1">
      <alignment horizontal="center" vertical="center"/>
    </xf>
    <xf numFmtId="0" fontId="29" fillId="7" borderId="269" xfId="0" applyFont="1" applyFill="1" applyBorder="1">
      <alignment vertical="center"/>
    </xf>
    <xf numFmtId="0" fontId="29" fillId="7" borderId="0" xfId="0" applyFont="1" applyFill="1" applyBorder="1">
      <alignment vertical="center"/>
    </xf>
    <xf numFmtId="183" fontId="58" fillId="7" borderId="295" xfId="0" applyNumberFormat="1" applyFont="1" applyFill="1" applyBorder="1" applyAlignment="1">
      <alignment horizontal="center" vertical="center"/>
    </xf>
    <xf numFmtId="183" fontId="58" fillId="7" borderId="289" xfId="2" applyNumberFormat="1" applyFont="1" applyFill="1" applyBorder="1" applyAlignment="1">
      <alignment horizontal="center" vertical="center"/>
    </xf>
    <xf numFmtId="183" fontId="58" fillId="7" borderId="297" xfId="2" applyNumberFormat="1" applyFont="1" applyFill="1" applyBorder="1" applyAlignment="1">
      <alignment horizontal="center" vertical="center"/>
    </xf>
    <xf numFmtId="187" fontId="58" fillId="7" borderId="295" xfId="2" applyNumberFormat="1" applyFont="1" applyFill="1" applyBorder="1" applyAlignment="1">
      <alignment horizontal="center" vertical="center"/>
    </xf>
    <xf numFmtId="178" fontId="58" fillId="7" borderId="297" xfId="2" applyNumberFormat="1" applyFont="1" applyFill="1" applyBorder="1" applyAlignment="1">
      <alignment horizontal="center" vertical="center"/>
    </xf>
    <xf numFmtId="178" fontId="58" fillId="7" borderId="299" xfId="2" applyNumberFormat="1" applyFont="1" applyFill="1" applyBorder="1" applyAlignment="1">
      <alignment horizontal="center" vertical="center"/>
    </xf>
    <xf numFmtId="187" fontId="172" fillId="0" borderId="300" xfId="0" applyNumberFormat="1" applyFont="1" applyBorder="1" applyAlignment="1">
      <alignment horizontal="center" vertical="center"/>
    </xf>
    <xf numFmtId="183" fontId="58" fillId="0" borderId="291" xfId="2" applyNumberFormat="1" applyFont="1" applyFill="1" applyBorder="1" applyAlignment="1">
      <alignment horizontal="center" vertical="center" wrapText="1"/>
    </xf>
    <xf numFmtId="187" fontId="58" fillId="15" borderId="5" xfId="2" applyNumberFormat="1" applyFont="1" applyFill="1" applyBorder="1" applyAlignment="1">
      <alignment horizontal="center" vertical="center"/>
    </xf>
    <xf numFmtId="235" fontId="28" fillId="7" borderId="32" xfId="0" quotePrefix="1" applyNumberFormat="1" applyFont="1" applyFill="1" applyBorder="1" applyAlignment="1">
      <alignment horizontal="center" vertical="center"/>
    </xf>
    <xf numFmtId="187" fontId="58" fillId="7" borderId="298" xfId="2" applyNumberFormat="1" applyFont="1" applyFill="1" applyBorder="1" applyAlignment="1">
      <alignment horizontal="center" vertical="center"/>
    </xf>
    <xf numFmtId="183" fontId="58" fillId="7" borderId="296" xfId="0" applyNumberFormat="1" applyFont="1" applyFill="1" applyBorder="1" applyAlignment="1">
      <alignment horizontal="center" vertical="center"/>
    </xf>
    <xf numFmtId="187" fontId="58" fillId="7" borderId="296" xfId="2" applyNumberFormat="1" applyFont="1" applyFill="1" applyBorder="1" applyAlignment="1">
      <alignment horizontal="center" vertical="center"/>
    </xf>
    <xf numFmtId="187" fontId="58" fillId="7" borderId="299" xfId="2" applyNumberFormat="1" applyFont="1" applyFill="1" applyBorder="1" applyAlignment="1">
      <alignment horizontal="center" vertical="center"/>
    </xf>
    <xf numFmtId="223" fontId="58" fillId="0" borderId="38" xfId="2" applyNumberFormat="1" applyFont="1" applyBorder="1" applyAlignment="1">
      <alignment horizontal="center" vertical="center"/>
    </xf>
    <xf numFmtId="178" fontId="58" fillId="15" borderId="31" xfId="2" applyNumberFormat="1" applyFont="1" applyFill="1" applyBorder="1" applyAlignment="1">
      <alignment horizontal="center" vertical="center"/>
    </xf>
    <xf numFmtId="178" fontId="58" fillId="15" borderId="5" xfId="1" applyNumberFormat="1" applyFont="1" applyFill="1" applyBorder="1" applyAlignment="1">
      <alignment horizontal="center" vertical="center"/>
    </xf>
    <xf numFmtId="187" fontId="58" fillId="15" borderId="38" xfId="2" applyNumberFormat="1" applyFont="1" applyFill="1" applyBorder="1" applyAlignment="1">
      <alignment horizontal="center" vertical="center"/>
    </xf>
    <xf numFmtId="38" fontId="58" fillId="15" borderId="5" xfId="2" applyNumberFormat="1" applyFont="1" applyFill="1" applyBorder="1" applyAlignment="1">
      <alignment horizontal="center" vertical="center"/>
    </xf>
    <xf numFmtId="3" fontId="58" fillId="15" borderId="5" xfId="2" quotePrefix="1" applyNumberFormat="1" applyFont="1" applyFill="1" applyBorder="1" applyAlignment="1">
      <alignment horizontal="center" vertical="center"/>
    </xf>
    <xf numFmtId="3" fontId="58" fillId="15" borderId="5" xfId="0" applyNumberFormat="1" applyFont="1" applyFill="1" applyBorder="1" applyAlignment="1">
      <alignment horizontal="center" vertical="center"/>
    </xf>
    <xf numFmtId="9" fontId="58" fillId="15" borderId="5" xfId="1" applyFont="1" applyFill="1" applyBorder="1" applyAlignment="1">
      <alignment horizontal="center" vertical="center"/>
    </xf>
    <xf numFmtId="3" fontId="58" fillId="15" borderId="6" xfId="0" applyNumberFormat="1" applyFont="1" applyFill="1" applyBorder="1" applyAlignment="1">
      <alignment horizontal="center" vertical="center"/>
    </xf>
    <xf numFmtId="0" fontId="29" fillId="0" borderId="0" xfId="0" applyFont="1" applyAlignment="1">
      <alignment horizontal="center" vertical="center"/>
    </xf>
    <xf numFmtId="0" fontId="58" fillId="0" borderId="269" xfId="0" applyFont="1" applyBorder="1" applyAlignment="1">
      <alignment horizontal="center" vertical="center"/>
    </xf>
    <xf numFmtId="187" fontId="58" fillId="0" borderId="308" xfId="2" applyNumberFormat="1" applyFont="1" applyFill="1" applyBorder="1" applyAlignment="1">
      <alignment horizontal="center" vertical="center"/>
    </xf>
    <xf numFmtId="187" fontId="58" fillId="0" borderId="297" xfId="2" applyNumberFormat="1" applyFont="1" applyBorder="1" applyAlignment="1">
      <alignment horizontal="center" vertical="center"/>
    </xf>
    <xf numFmtId="38" fontId="172" fillId="0" borderId="300" xfId="0" applyNumberFormat="1" applyFont="1" applyBorder="1" applyAlignment="1">
      <alignment horizontal="center" vertical="center"/>
    </xf>
    <xf numFmtId="187" fontId="58" fillId="0" borderId="298" xfId="2" applyNumberFormat="1" applyFont="1" applyBorder="1" applyAlignment="1">
      <alignment horizontal="center" vertical="center"/>
    </xf>
    <xf numFmtId="3" fontId="58" fillId="0" borderId="281" xfId="0" applyNumberFormat="1" applyFont="1" applyBorder="1" applyAlignment="1">
      <alignment horizontal="center" vertical="center"/>
    </xf>
    <xf numFmtId="2" fontId="58" fillId="0" borderId="281" xfId="0" applyNumberFormat="1" applyFont="1" applyBorder="1" applyAlignment="1">
      <alignment horizontal="center" vertical="center"/>
    </xf>
    <xf numFmtId="183" fontId="58" fillId="0" borderId="269" xfId="0" applyNumberFormat="1" applyFont="1" applyBorder="1" applyAlignment="1">
      <alignment horizontal="center" vertical="center"/>
    </xf>
    <xf numFmtId="0" fontId="58" fillId="0" borderId="281" xfId="0" applyFont="1" applyBorder="1" applyAlignment="1">
      <alignment horizontal="center" vertical="center"/>
    </xf>
    <xf numFmtId="0" fontId="58" fillId="0" borderId="282" xfId="0" applyFont="1" applyBorder="1" applyAlignment="1">
      <alignment horizontal="center" vertical="center"/>
    </xf>
    <xf numFmtId="178" fontId="28" fillId="7" borderId="214" xfId="2" applyNumberFormat="1" applyFont="1" applyFill="1" applyBorder="1" applyAlignment="1">
      <alignment horizontal="center" vertical="center"/>
    </xf>
    <xf numFmtId="0" fontId="29" fillId="7" borderId="0" xfId="0" applyFont="1" applyFill="1" applyAlignment="1">
      <alignment horizontal="center" vertical="center"/>
    </xf>
    <xf numFmtId="0" fontId="29" fillId="7" borderId="269" xfId="0" applyFont="1" applyFill="1" applyBorder="1" applyAlignment="1">
      <alignment horizontal="center" vertical="center"/>
    </xf>
    <xf numFmtId="187" fontId="58" fillId="7" borderId="269" xfId="2" applyNumberFormat="1" applyFont="1" applyFill="1" applyBorder="1" applyAlignment="1">
      <alignment horizontal="center" vertical="center" wrapText="1"/>
    </xf>
    <xf numFmtId="187" fontId="58" fillId="7" borderId="294" xfId="2" applyNumberFormat="1" applyFont="1" applyFill="1" applyBorder="1" applyAlignment="1">
      <alignment horizontal="center" vertical="center"/>
    </xf>
    <xf numFmtId="187" fontId="172" fillId="0" borderId="268" xfId="0" applyNumberFormat="1" applyFont="1" applyBorder="1" applyAlignment="1">
      <alignment horizontal="center" vertical="center"/>
    </xf>
    <xf numFmtId="41" fontId="28" fillId="116" borderId="214" xfId="2" applyNumberFormat="1" applyFont="1" applyFill="1" applyBorder="1" applyAlignment="1">
      <alignment horizontal="center" vertical="center"/>
    </xf>
    <xf numFmtId="178" fontId="172" fillId="0" borderId="204" xfId="0" applyNumberFormat="1" applyFont="1" applyBorder="1" applyAlignment="1">
      <alignment vertical="center"/>
    </xf>
    <xf numFmtId="178" fontId="58" fillId="0" borderId="0" xfId="0" applyNumberFormat="1" applyFont="1">
      <alignment vertical="center"/>
    </xf>
    <xf numFmtId="38" fontId="166" fillId="0" borderId="269" xfId="0" applyNumberFormat="1" applyFont="1" applyBorder="1" applyAlignment="1">
      <alignment horizontal="center" vertical="center" wrapText="1"/>
    </xf>
    <xf numFmtId="38" fontId="29" fillId="0" borderId="269" xfId="0" applyNumberFormat="1" applyFont="1" applyBorder="1" applyAlignment="1">
      <alignment horizontal="center" vertical="center"/>
    </xf>
    <xf numFmtId="38" fontId="35" fillId="6" borderId="269" xfId="0" applyNumberFormat="1" applyFont="1" applyFill="1" applyBorder="1" applyAlignment="1">
      <alignment horizontal="center" vertical="center"/>
    </xf>
    <xf numFmtId="9" fontId="172" fillId="6" borderId="269" xfId="1" applyFont="1" applyFill="1" applyBorder="1" applyAlignment="1">
      <alignment horizontal="center" vertical="center"/>
    </xf>
    <xf numFmtId="0" fontId="172" fillId="6" borderId="269" xfId="0" applyFont="1" applyFill="1" applyBorder="1" applyAlignment="1">
      <alignment horizontal="center" vertical="center"/>
    </xf>
    <xf numFmtId="0" fontId="192" fillId="0" borderId="54" xfId="0" applyFont="1" applyBorder="1" applyAlignment="1">
      <alignment horizontal="center" vertical="center" wrapText="1"/>
    </xf>
    <xf numFmtId="235" fontId="28" fillId="7" borderId="214" xfId="3" quotePrefix="1" applyNumberFormat="1" applyFont="1" applyFill="1" applyBorder="1" applyAlignment="1">
      <alignment horizontal="center" vertical="center"/>
    </xf>
    <xf numFmtId="38" fontId="29" fillId="0" borderId="214" xfId="0" quotePrefix="1" applyNumberFormat="1" applyFont="1" applyBorder="1" applyAlignment="1">
      <alignment horizontal="center" vertical="center" wrapText="1"/>
    </xf>
    <xf numFmtId="0" fontId="29" fillId="0" borderId="0" xfId="0" applyFont="1" applyAlignment="1">
      <alignment horizontal="center" vertical="center"/>
    </xf>
    <xf numFmtId="0" fontId="58" fillId="0" borderId="0" xfId="0" applyFont="1" applyBorder="1" applyAlignment="1">
      <alignment horizontal="left" vertical="center"/>
    </xf>
    <xf numFmtId="187" fontId="58" fillId="7" borderId="310" xfId="2" applyNumberFormat="1" applyFont="1" applyFill="1" applyBorder="1" applyAlignment="1">
      <alignment horizontal="center" vertical="center"/>
    </xf>
    <xf numFmtId="185" fontId="0" fillId="0" borderId="0" xfId="0" applyNumberFormat="1" applyAlignment="1">
      <alignment horizontal="center" vertical="center"/>
    </xf>
    <xf numFmtId="185" fontId="29" fillId="7" borderId="0" xfId="0" applyNumberFormat="1" applyFont="1" applyFill="1">
      <alignment vertical="center"/>
    </xf>
    <xf numFmtId="0" fontId="35" fillId="3" borderId="269" xfId="0" applyFont="1" applyFill="1" applyBorder="1" applyAlignment="1">
      <alignment horizontal="center" vertical="center"/>
    </xf>
    <xf numFmtId="0" fontId="29" fillId="7" borderId="269" xfId="0" applyFont="1" applyFill="1" applyBorder="1" applyAlignment="1">
      <alignment horizontal="left" vertical="center"/>
    </xf>
    <xf numFmtId="0" fontId="29" fillId="7" borderId="267" xfId="0" applyFont="1" applyFill="1" applyBorder="1">
      <alignment vertical="center"/>
    </xf>
    <xf numFmtId="0" fontId="29" fillId="7" borderId="264" xfId="0" applyFont="1" applyFill="1" applyBorder="1">
      <alignment vertical="center"/>
    </xf>
    <xf numFmtId="226" fontId="58" fillId="7" borderId="0" xfId="2" applyNumberFormat="1" applyFont="1" applyFill="1" applyBorder="1" applyAlignment="1">
      <alignment horizontal="center" vertical="center"/>
    </xf>
    <xf numFmtId="187" fontId="29" fillId="7" borderId="269" xfId="0" applyNumberFormat="1" applyFont="1" applyFill="1" applyBorder="1" applyAlignment="1">
      <alignment vertical="center"/>
    </xf>
    <xf numFmtId="3" fontId="58" fillId="7" borderId="269" xfId="2" applyNumberFormat="1" applyFont="1" applyFill="1" applyBorder="1" applyAlignment="1">
      <alignment horizontal="center" vertical="center"/>
    </xf>
    <xf numFmtId="0" fontId="196" fillId="0" borderId="0" xfId="0" applyFont="1" applyAlignment="1">
      <alignment horizontal="right" vertical="center"/>
    </xf>
    <xf numFmtId="0" fontId="185" fillId="0" borderId="0" xfId="0" applyFont="1" applyAlignment="1">
      <alignment horizontal="left" vertical="center"/>
    </xf>
    <xf numFmtId="0" fontId="44" fillId="0" borderId="200" xfId="0" applyFont="1" applyBorder="1">
      <alignment vertical="center"/>
    </xf>
    <xf numFmtId="0" fontId="44" fillId="0" borderId="280" xfId="0" applyFont="1" applyBorder="1">
      <alignment vertical="center"/>
    </xf>
    <xf numFmtId="0" fontId="45" fillId="0" borderId="269" xfId="0" applyFont="1" applyBorder="1" applyAlignment="1">
      <alignment horizontal="left" vertical="center" wrapText="1"/>
    </xf>
    <xf numFmtId="0" fontId="45" fillId="0" borderId="269" xfId="0" applyFont="1" applyBorder="1" applyAlignment="1">
      <alignment vertical="center" wrapText="1"/>
    </xf>
    <xf numFmtId="0" fontId="45" fillId="0" borderId="283" xfId="0" applyFont="1" applyBorder="1" applyAlignment="1">
      <alignment vertical="center" wrapText="1"/>
    </xf>
    <xf numFmtId="0" fontId="44" fillId="0" borderId="284" xfId="0" applyFont="1" applyBorder="1">
      <alignment vertical="center"/>
    </xf>
    <xf numFmtId="0" fontId="166" fillId="0" borderId="214" xfId="0" applyFont="1" applyBorder="1" applyAlignment="1">
      <alignment horizontal="center" vertical="center" wrapText="1"/>
    </xf>
    <xf numFmtId="0" fontId="44" fillId="0" borderId="0" xfId="0" applyFont="1">
      <alignment vertical="center"/>
    </xf>
    <xf numFmtId="0" fontId="176" fillId="117" borderId="312" xfId="0" applyFont="1" applyFill="1" applyBorder="1" applyAlignment="1">
      <alignment horizontal="center" vertical="center"/>
    </xf>
    <xf numFmtId="0" fontId="176" fillId="117" borderId="313" xfId="0" applyFont="1" applyFill="1" applyBorder="1" applyAlignment="1">
      <alignment horizontal="center" vertical="center"/>
    </xf>
    <xf numFmtId="0" fontId="176" fillId="117" borderId="314" xfId="0" applyFont="1" applyFill="1" applyBorder="1" applyAlignment="1">
      <alignment horizontal="center" vertical="center"/>
    </xf>
    <xf numFmtId="0" fontId="176" fillId="117" borderId="219" xfId="0" applyFont="1" applyFill="1" applyBorder="1" applyAlignment="1">
      <alignment horizontal="center" vertical="center"/>
    </xf>
    <xf numFmtId="0" fontId="176" fillId="117" borderId="6" xfId="0" applyFont="1" applyFill="1" applyBorder="1" applyAlignment="1">
      <alignment horizontal="center" vertical="center"/>
    </xf>
    <xf numFmtId="0" fontId="176" fillId="117" borderId="309" xfId="0" applyFont="1" applyFill="1" applyBorder="1" applyAlignment="1">
      <alignment horizontal="center" vertical="center"/>
    </xf>
    <xf numFmtId="0" fontId="176" fillId="117" borderId="269" xfId="0" applyFont="1" applyFill="1" applyBorder="1" applyAlignment="1">
      <alignment horizontal="center" vertical="center"/>
    </xf>
    <xf numFmtId="0" fontId="176" fillId="117" borderId="282" xfId="0" applyFont="1" applyFill="1" applyBorder="1" applyAlignment="1">
      <alignment horizontal="center" vertical="center"/>
    </xf>
    <xf numFmtId="0" fontId="176" fillId="117" borderId="283" xfId="0" applyFont="1" applyFill="1" applyBorder="1" applyAlignment="1">
      <alignment horizontal="center" vertical="center"/>
    </xf>
    <xf numFmtId="38" fontId="166" fillId="0" borderId="214" xfId="0" applyNumberFormat="1" applyFont="1" applyBorder="1" applyAlignment="1">
      <alignment horizontal="center" vertical="center" wrapText="1"/>
    </xf>
    <xf numFmtId="0" fontId="58" fillId="0" borderId="241" xfId="0" applyFont="1" applyBorder="1" applyAlignment="1">
      <alignment horizontal="center" vertical="center"/>
    </xf>
    <xf numFmtId="0" fontId="58" fillId="0" borderId="6" xfId="0" applyFont="1" applyBorder="1" applyAlignment="1">
      <alignment horizontal="center" vertical="center"/>
    </xf>
    <xf numFmtId="0" fontId="58" fillId="15" borderId="200" xfId="0" applyFont="1" applyFill="1" applyBorder="1" applyAlignment="1">
      <alignment horizontal="center" vertical="center"/>
    </xf>
    <xf numFmtId="3" fontId="58" fillId="0" borderId="241" xfId="0" applyNumberFormat="1" applyFont="1" applyBorder="1" applyAlignment="1">
      <alignment horizontal="center" vertical="center"/>
    </xf>
    <xf numFmtId="3" fontId="58" fillId="0" borderId="6" xfId="0" applyNumberFormat="1" applyFont="1" applyBorder="1" applyAlignment="1">
      <alignment horizontal="center" vertical="center"/>
    </xf>
    <xf numFmtId="0" fontId="177" fillId="125" borderId="295" xfId="0" applyFont="1" applyFill="1" applyBorder="1" applyAlignment="1">
      <alignment horizontal="center" vertical="center"/>
    </xf>
    <xf numFmtId="0" fontId="177" fillId="125" borderId="289" xfId="0" applyFont="1" applyFill="1" applyBorder="1" applyAlignment="1">
      <alignment horizontal="center" vertical="center"/>
    </xf>
    <xf numFmtId="0" fontId="177" fillId="125" borderId="288" xfId="0" applyFont="1" applyFill="1" applyBorder="1" applyAlignment="1">
      <alignment horizontal="center" vertical="center"/>
    </xf>
    <xf numFmtId="0" fontId="177" fillId="125" borderId="269" xfId="0" applyFont="1" applyFill="1" applyBorder="1" applyAlignment="1">
      <alignment horizontal="center" vertical="center"/>
    </xf>
    <xf numFmtId="0" fontId="177" fillId="125" borderId="6" xfId="0" applyFont="1" applyFill="1" applyBorder="1" applyAlignment="1">
      <alignment horizontal="center" vertical="center"/>
    </xf>
    <xf numFmtId="0" fontId="177" fillId="127" borderId="280" xfId="0" applyFont="1" applyFill="1" applyBorder="1" applyAlignment="1">
      <alignment horizontal="center" vertical="center"/>
    </xf>
    <xf numFmtId="0" fontId="177" fillId="127" borderId="95" xfId="0" applyFont="1" applyFill="1" applyBorder="1" applyAlignment="1">
      <alignment horizontal="center" vertical="center"/>
    </xf>
    <xf numFmtId="0" fontId="177" fillId="127" borderId="66" xfId="0" applyFont="1" applyFill="1" applyBorder="1" applyAlignment="1">
      <alignment horizontal="center" vertical="center"/>
    </xf>
    <xf numFmtId="0" fontId="177" fillId="127" borderId="243" xfId="0" applyFont="1" applyFill="1" applyBorder="1" applyAlignment="1">
      <alignment horizontal="center" vertical="center"/>
    </xf>
    <xf numFmtId="0" fontId="177" fillId="127" borderId="284" xfId="0" applyFont="1" applyFill="1" applyBorder="1" applyAlignment="1">
      <alignment horizontal="center" vertical="center"/>
    </xf>
    <xf numFmtId="41" fontId="178" fillId="126" borderId="301" xfId="2" applyFont="1" applyFill="1" applyBorder="1" applyAlignment="1">
      <alignment horizontal="center" vertical="center"/>
    </xf>
    <xf numFmtId="0" fontId="178" fillId="126" borderId="301" xfId="0" applyFont="1" applyFill="1" applyBorder="1" applyAlignment="1">
      <alignment horizontal="center" vertical="center"/>
    </xf>
    <xf numFmtId="0" fontId="178" fillId="126" borderId="302" xfId="0" applyFont="1" applyFill="1" applyBorder="1" applyAlignment="1">
      <alignment horizontal="center" vertical="center"/>
    </xf>
    <xf numFmtId="0" fontId="178" fillId="126" borderId="94" xfId="0" applyFont="1" applyFill="1" applyBorder="1" applyAlignment="1">
      <alignment horizontal="center" vertical="center"/>
    </xf>
    <xf numFmtId="0" fontId="178" fillId="126" borderId="303" xfId="0" applyFont="1" applyFill="1" applyBorder="1" applyAlignment="1">
      <alignment horizontal="center" vertical="center"/>
    </xf>
    <xf numFmtId="0" fontId="178" fillId="126" borderId="304" xfId="0" applyFont="1" applyFill="1" applyBorder="1" applyAlignment="1">
      <alignment horizontal="center" vertical="center"/>
    </xf>
    <xf numFmtId="0" fontId="177" fillId="126" borderId="287" xfId="0" applyFont="1" applyFill="1" applyBorder="1" applyAlignment="1">
      <alignment horizontal="center" vertical="center"/>
    </xf>
    <xf numFmtId="0" fontId="178" fillId="126" borderId="306" xfId="0" applyFont="1" applyFill="1" applyBorder="1" applyAlignment="1">
      <alignment horizontal="center" vertical="center"/>
    </xf>
    <xf numFmtId="178" fontId="58" fillId="0" borderId="308" xfId="2" applyNumberFormat="1" applyFont="1" applyBorder="1" applyAlignment="1">
      <alignment horizontal="center" vertical="center" wrapText="1"/>
    </xf>
    <xf numFmtId="178" fontId="58" fillId="0" borderId="25" xfId="2" applyNumberFormat="1" applyFont="1" applyBorder="1" applyAlignment="1">
      <alignment horizontal="center" vertical="center" wrapText="1"/>
    </xf>
    <xf numFmtId="178" fontId="58" fillId="0" borderId="26" xfId="2" applyNumberFormat="1" applyFont="1" applyBorder="1" applyAlignment="1">
      <alignment horizontal="center" vertical="center" wrapText="1"/>
    </xf>
    <xf numFmtId="38" fontId="58" fillId="15" borderId="6" xfId="2" applyNumberFormat="1" applyFont="1" applyFill="1" applyBorder="1" applyAlignment="1">
      <alignment horizontal="center" vertical="center"/>
    </xf>
    <xf numFmtId="223" fontId="58" fillId="15" borderId="38" xfId="2" applyNumberFormat="1" applyFont="1" applyFill="1" applyBorder="1" applyAlignment="1">
      <alignment horizontal="center" vertical="center"/>
    </xf>
    <xf numFmtId="9" fontId="58" fillId="15" borderId="38" xfId="1" applyFont="1" applyFill="1" applyBorder="1" applyAlignment="1">
      <alignment horizontal="center" vertical="center"/>
    </xf>
    <xf numFmtId="0" fontId="177" fillId="127" borderId="121" xfId="0" applyFont="1" applyFill="1" applyBorder="1" applyAlignment="1">
      <alignment horizontal="center" vertical="center"/>
    </xf>
    <xf numFmtId="0" fontId="178" fillId="126" borderId="122" xfId="0" applyFont="1" applyFill="1" applyBorder="1" applyAlignment="1">
      <alignment horizontal="center" vertical="center"/>
    </xf>
    <xf numFmtId="183" fontId="58" fillId="0" borderId="320" xfId="2" applyNumberFormat="1" applyFont="1" applyBorder="1" applyAlignment="1">
      <alignment horizontal="center" vertical="center"/>
    </xf>
    <xf numFmtId="183" fontId="58" fillId="0" borderId="321" xfId="2" applyNumberFormat="1" applyFont="1" applyBorder="1" applyAlignment="1">
      <alignment horizontal="center" vertical="center"/>
    </xf>
    <xf numFmtId="183" fontId="58" fillId="0" borderId="322" xfId="2" applyNumberFormat="1" applyFont="1" applyBorder="1" applyAlignment="1">
      <alignment horizontal="center" vertical="center"/>
    </xf>
    <xf numFmtId="38" fontId="58" fillId="0" borderId="120" xfId="2" applyNumberFormat="1" applyFont="1" applyBorder="1" applyAlignment="1">
      <alignment horizontal="center" vertical="center"/>
    </xf>
    <xf numFmtId="187" fontId="58" fillId="0" borderId="45" xfId="2" applyNumberFormat="1" applyFont="1" applyBorder="1" applyAlignment="1">
      <alignment horizontal="center" vertical="center"/>
    </xf>
    <xf numFmtId="9" fontId="58" fillId="0" borderId="45" xfId="1" applyFont="1" applyBorder="1" applyAlignment="1">
      <alignment horizontal="center" vertical="center"/>
    </xf>
    <xf numFmtId="0" fontId="58" fillId="0" borderId="121" xfId="0" applyFont="1" applyBorder="1" applyAlignment="1">
      <alignment horizontal="center" vertical="center"/>
    </xf>
    <xf numFmtId="0" fontId="177" fillId="127" borderId="323" xfId="0" applyFont="1" applyFill="1" applyBorder="1" applyAlignment="1">
      <alignment horizontal="center" vertical="center"/>
    </xf>
    <xf numFmtId="0" fontId="178" fillId="126" borderId="326" xfId="0" applyFont="1" applyFill="1" applyBorder="1" applyAlignment="1">
      <alignment horizontal="center" vertical="center"/>
    </xf>
    <xf numFmtId="2" fontId="58" fillId="0" borderId="241" xfId="0" applyNumberFormat="1" applyFont="1" applyBorder="1" applyAlignment="1">
      <alignment horizontal="center" vertical="center"/>
    </xf>
    <xf numFmtId="183" fontId="58" fillId="0" borderId="297" xfId="0" applyNumberFormat="1" applyFont="1" applyFill="1" applyBorder="1" applyAlignment="1">
      <alignment horizontal="center" vertical="center"/>
    </xf>
    <xf numFmtId="183" fontId="58" fillId="0" borderId="242" xfId="0" applyNumberFormat="1" applyFont="1" applyFill="1" applyBorder="1" applyAlignment="1">
      <alignment horizontal="center" vertical="center"/>
    </xf>
    <xf numFmtId="183" fontId="58" fillId="0" borderId="242" xfId="2" applyNumberFormat="1" applyFont="1" applyFill="1" applyBorder="1" applyAlignment="1">
      <alignment horizontal="center" vertical="center"/>
    </xf>
    <xf numFmtId="187" fontId="58" fillId="0" borderId="242" xfId="2" applyNumberFormat="1" applyFont="1" applyFill="1" applyBorder="1" applyAlignment="1">
      <alignment horizontal="center" vertical="center"/>
    </xf>
    <xf numFmtId="187" fontId="58" fillId="0" borderId="294" xfId="2" applyNumberFormat="1" applyFont="1" applyFill="1" applyBorder="1" applyAlignment="1">
      <alignment horizontal="center" vertical="center"/>
    </xf>
    <xf numFmtId="187" fontId="58" fillId="15" borderId="328" xfId="2" applyNumberFormat="1" applyFont="1" applyFill="1" applyBorder="1" applyAlignment="1">
      <alignment horizontal="center" vertical="center"/>
    </xf>
    <xf numFmtId="9" fontId="58" fillId="15" borderId="328" xfId="1" applyFont="1" applyFill="1" applyBorder="1" applyAlignment="1">
      <alignment horizontal="center" vertical="center"/>
    </xf>
    <xf numFmtId="0" fontId="178" fillId="126" borderId="287" xfId="0" applyFont="1" applyFill="1" applyBorder="1" applyAlignment="1">
      <alignment horizontal="center" vertical="center"/>
    </xf>
    <xf numFmtId="183" fontId="58" fillId="7" borderId="300" xfId="0" applyNumberFormat="1" applyFont="1" applyFill="1" applyBorder="1" applyAlignment="1">
      <alignment horizontal="center" vertical="center"/>
    </xf>
    <xf numFmtId="183" fontId="58" fillId="7" borderId="225" xfId="0" applyNumberFormat="1" applyFont="1" applyFill="1" applyBorder="1" applyAlignment="1">
      <alignment horizontal="center" vertical="center"/>
    </xf>
    <xf numFmtId="183" fontId="58" fillId="7" borderId="225" xfId="2" applyNumberFormat="1" applyFont="1" applyFill="1" applyBorder="1" applyAlignment="1">
      <alignment horizontal="center" vertical="center"/>
    </xf>
    <xf numFmtId="187" fontId="58" fillId="7" borderId="225" xfId="2" applyNumberFormat="1" applyFont="1" applyFill="1" applyBorder="1" applyAlignment="1">
      <alignment horizontal="center" vertical="center"/>
    </xf>
    <xf numFmtId="187" fontId="58" fillId="7" borderId="268" xfId="2" applyNumberFormat="1" applyFont="1" applyFill="1" applyBorder="1" applyAlignment="1">
      <alignment horizontal="center" vertical="center"/>
    </xf>
    <xf numFmtId="187" fontId="58" fillId="7" borderId="226" xfId="2" applyNumberFormat="1" applyFont="1" applyFill="1" applyBorder="1" applyAlignment="1">
      <alignment horizontal="center" vertical="center"/>
    </xf>
    <xf numFmtId="223" fontId="58" fillId="0" borderId="226" xfId="2" applyNumberFormat="1" applyFont="1" applyBorder="1" applyAlignment="1">
      <alignment horizontal="center" vertical="center"/>
    </xf>
    <xf numFmtId="9" fontId="58" fillId="7" borderId="226" xfId="1" applyFont="1" applyFill="1" applyBorder="1" applyAlignment="1">
      <alignment horizontal="center" vertical="center"/>
    </xf>
    <xf numFmtId="183" fontId="58" fillId="0" borderId="318" xfId="2" applyNumberFormat="1" applyFont="1" applyFill="1" applyBorder="1" applyAlignment="1">
      <alignment horizontal="center" vertical="center"/>
    </xf>
    <xf numFmtId="187" fontId="58" fillId="0" borderId="318" xfId="2" applyNumberFormat="1" applyFont="1" applyFill="1" applyBorder="1" applyAlignment="1">
      <alignment horizontal="center" vertical="center"/>
    </xf>
    <xf numFmtId="187" fontId="58" fillId="7" borderId="308" xfId="2" applyNumberFormat="1" applyFont="1" applyFill="1" applyBorder="1" applyAlignment="1">
      <alignment horizontal="center" vertical="center"/>
    </xf>
    <xf numFmtId="187" fontId="58" fillId="7" borderId="25" xfId="2" applyNumberFormat="1" applyFont="1" applyFill="1" applyBorder="1" applyAlignment="1">
      <alignment horizontal="center" vertical="center"/>
    </xf>
    <xf numFmtId="226" fontId="58" fillId="7" borderId="25" xfId="2" applyNumberFormat="1" applyFont="1" applyFill="1" applyBorder="1" applyAlignment="1">
      <alignment horizontal="center" vertical="center"/>
    </xf>
    <xf numFmtId="226" fontId="58" fillId="7" borderId="26" xfId="2" applyNumberFormat="1" applyFont="1" applyFill="1" applyBorder="1" applyAlignment="1">
      <alignment horizontal="center" vertical="center"/>
    </xf>
    <xf numFmtId="9" fontId="58" fillId="7" borderId="38" xfId="1" applyFont="1" applyFill="1" applyBorder="1" applyAlignment="1">
      <alignment horizontal="center" vertical="center"/>
    </xf>
    <xf numFmtId="0" fontId="178" fillId="126" borderId="130" xfId="0" applyFont="1" applyFill="1" applyBorder="1" applyAlignment="1">
      <alignment horizontal="center" vertical="center"/>
    </xf>
    <xf numFmtId="183" fontId="58" fillId="7" borderId="329" xfId="2" applyNumberFormat="1" applyFont="1" applyFill="1" applyBorder="1" applyAlignment="1">
      <alignment horizontal="center" vertical="center"/>
    </xf>
    <xf numFmtId="183" fontId="58" fillId="7" borderId="330" xfId="2" applyNumberFormat="1" applyFont="1" applyFill="1" applyBorder="1" applyAlignment="1">
      <alignment horizontal="center" vertical="center"/>
    </xf>
    <xf numFmtId="183" fontId="58" fillId="7" borderId="331" xfId="2" applyNumberFormat="1" applyFont="1" applyFill="1" applyBorder="1" applyAlignment="1">
      <alignment horizontal="center" vertical="center"/>
    </xf>
    <xf numFmtId="187" fontId="58" fillId="7" borderId="133" xfId="2" applyNumberFormat="1" applyFont="1" applyFill="1" applyBorder="1" applyAlignment="1">
      <alignment horizontal="center" vertical="center"/>
    </xf>
    <xf numFmtId="223" fontId="58" fillId="0" borderId="332" xfId="2" applyNumberFormat="1" applyFont="1" applyBorder="1" applyAlignment="1">
      <alignment horizontal="center" vertical="center"/>
    </xf>
    <xf numFmtId="0" fontId="58" fillId="7" borderId="136" xfId="0" applyFont="1" applyFill="1" applyBorder="1" applyAlignment="1">
      <alignment horizontal="center" vertical="center"/>
    </xf>
    <xf numFmtId="0" fontId="178" fillId="126" borderId="315" xfId="0" applyFont="1" applyFill="1" applyBorder="1" applyAlignment="1">
      <alignment horizontal="center" vertical="center"/>
    </xf>
    <xf numFmtId="0" fontId="178" fillId="126" borderId="336" xfId="0" applyFont="1" applyFill="1" applyBorder="1" applyAlignment="1">
      <alignment horizontal="center" vertical="center"/>
    </xf>
    <xf numFmtId="187" fontId="58" fillId="7" borderId="0" xfId="2" applyNumberFormat="1" applyFont="1" applyFill="1" applyBorder="1" applyAlignment="1">
      <alignment horizontal="center" vertical="center"/>
    </xf>
    <xf numFmtId="187" fontId="58" fillId="7" borderId="328" xfId="2" applyNumberFormat="1" applyFont="1" applyFill="1" applyBorder="1" applyAlignment="1">
      <alignment horizontal="center" vertical="center"/>
    </xf>
    <xf numFmtId="223" fontId="58" fillId="0" borderId="328" xfId="2" applyNumberFormat="1" applyFont="1" applyBorder="1" applyAlignment="1">
      <alignment horizontal="center" vertical="center"/>
    </xf>
    <xf numFmtId="178" fontId="58" fillId="7" borderId="300" xfId="2" applyNumberFormat="1" applyFont="1" applyFill="1" applyBorder="1" applyAlignment="1">
      <alignment horizontal="center" vertical="center"/>
    </xf>
    <xf numFmtId="178" fontId="58" fillId="7" borderId="225" xfId="2" applyNumberFormat="1" applyFont="1" applyFill="1" applyBorder="1" applyAlignment="1">
      <alignment horizontal="center" vertical="center"/>
    </xf>
    <xf numFmtId="178" fontId="58" fillId="7" borderId="268" xfId="2" applyNumberFormat="1" applyFont="1" applyFill="1" applyBorder="1" applyAlignment="1">
      <alignment horizontal="center" vertical="center"/>
    </xf>
    <xf numFmtId="178" fontId="58" fillId="7" borderId="108" xfId="2" applyNumberFormat="1" applyFont="1" applyFill="1" applyBorder="1" applyAlignment="1">
      <alignment horizontal="center" vertical="center"/>
    </xf>
    <xf numFmtId="178" fontId="58" fillId="7" borderId="226" xfId="2" applyNumberFormat="1" applyFont="1" applyFill="1" applyBorder="1" applyAlignment="1">
      <alignment horizontal="center" vertical="center"/>
    </xf>
    <xf numFmtId="0" fontId="58" fillId="7" borderId="227" xfId="0" applyFont="1" applyFill="1" applyBorder="1" applyAlignment="1">
      <alignment horizontal="center" vertical="center"/>
    </xf>
    <xf numFmtId="183" fontId="58" fillId="7" borderId="317" xfId="0" applyNumberFormat="1" applyFont="1" applyFill="1" applyBorder="1" applyAlignment="1">
      <alignment horizontal="center" vertical="center"/>
    </xf>
    <xf numFmtId="183" fontId="58" fillId="7" borderId="318" xfId="2" applyNumberFormat="1" applyFont="1" applyFill="1" applyBorder="1" applyAlignment="1">
      <alignment horizontal="center" vertical="center"/>
    </xf>
    <xf numFmtId="0" fontId="178" fillId="126" borderId="337" xfId="0" applyFont="1" applyFill="1" applyBorder="1" applyAlignment="1">
      <alignment horizontal="center" vertical="center"/>
    </xf>
    <xf numFmtId="178" fontId="58" fillId="7" borderId="338" xfId="0" applyNumberFormat="1" applyFont="1" applyFill="1" applyBorder="1" applyAlignment="1">
      <alignment horizontal="center" vertical="center"/>
    </xf>
    <xf numFmtId="178" fontId="58" fillId="7" borderId="339" xfId="0" applyNumberFormat="1" applyFont="1" applyFill="1" applyBorder="1" applyAlignment="1">
      <alignment horizontal="center" vertical="center"/>
    </xf>
    <xf numFmtId="178" fontId="58" fillId="7" borderId="340" xfId="0" applyNumberFormat="1" applyFont="1" applyFill="1" applyBorder="1" applyAlignment="1">
      <alignment horizontal="center" vertical="center"/>
    </xf>
    <xf numFmtId="0" fontId="178" fillId="126" borderId="341" xfId="0" applyFont="1" applyFill="1" applyBorder="1" applyAlignment="1">
      <alignment horizontal="center" vertical="center"/>
    </xf>
    <xf numFmtId="183" fontId="58" fillId="7" borderId="342" xfId="2" applyNumberFormat="1" applyFont="1" applyFill="1" applyBorder="1" applyAlignment="1">
      <alignment horizontal="center" vertical="center"/>
    </xf>
    <xf numFmtId="183" fontId="58" fillId="7" borderId="17" xfId="2" applyNumberFormat="1" applyFont="1" applyFill="1" applyBorder="1" applyAlignment="1">
      <alignment horizontal="center" vertical="center"/>
    </xf>
    <xf numFmtId="187" fontId="58" fillId="7" borderId="297" xfId="2" applyNumberFormat="1" applyFont="1" applyFill="1" applyBorder="1" applyAlignment="1">
      <alignment horizontal="center" vertical="center"/>
    </xf>
    <xf numFmtId="38" fontId="58" fillId="0" borderId="328" xfId="2" applyNumberFormat="1" applyFont="1" applyFill="1" applyBorder="1" applyAlignment="1">
      <alignment horizontal="center" vertical="center"/>
    </xf>
    <xf numFmtId="9" fontId="58" fillId="0" borderId="328" xfId="1" applyFont="1" applyFill="1" applyBorder="1" applyAlignment="1">
      <alignment horizontal="center" vertical="center"/>
    </xf>
    <xf numFmtId="0" fontId="177" fillId="126" borderId="50" xfId="0" applyFont="1" applyFill="1" applyBorder="1" applyAlignment="1">
      <alignment horizontal="center" vertical="center"/>
    </xf>
    <xf numFmtId="187" fontId="172" fillId="7" borderId="344" xfId="0" applyNumberFormat="1" applyFont="1" applyFill="1" applyBorder="1" applyAlignment="1">
      <alignment horizontal="center" vertical="center"/>
    </xf>
    <xf numFmtId="187" fontId="172" fillId="7" borderId="345" xfId="0" applyNumberFormat="1" applyFont="1" applyFill="1" applyBorder="1" applyAlignment="1">
      <alignment horizontal="center" vertical="center"/>
    </xf>
    <xf numFmtId="187" fontId="172" fillId="7" borderId="346" xfId="0" applyNumberFormat="1" applyFont="1" applyFill="1" applyBorder="1" applyAlignment="1">
      <alignment horizontal="center" vertical="center"/>
    </xf>
    <xf numFmtId="183" fontId="58" fillId="7" borderId="320" xfId="2" applyNumberFormat="1" applyFont="1" applyFill="1" applyBorder="1" applyAlignment="1">
      <alignment horizontal="center" vertical="center"/>
    </xf>
    <xf numFmtId="183" fontId="58" fillId="7" borderId="321" xfId="2" applyNumberFormat="1" applyFont="1" applyFill="1" applyBorder="1" applyAlignment="1">
      <alignment horizontal="center" vertical="center"/>
    </xf>
    <xf numFmtId="183" fontId="58" fillId="7" borderId="120" xfId="2" applyNumberFormat="1" applyFont="1" applyFill="1" applyBorder="1" applyAlignment="1">
      <alignment horizontal="center" vertical="center"/>
    </xf>
    <xf numFmtId="183" fontId="58" fillId="7" borderId="45" xfId="2" applyNumberFormat="1" applyFont="1" applyFill="1" applyBorder="1" applyAlignment="1">
      <alignment horizontal="center" vertical="center"/>
    </xf>
    <xf numFmtId="38" fontId="58" fillId="7" borderId="120" xfId="2" applyNumberFormat="1" applyFont="1" applyFill="1" applyBorder="1" applyAlignment="1">
      <alignment horizontal="center" vertical="center"/>
    </xf>
    <xf numFmtId="38" fontId="58" fillId="7" borderId="45" xfId="0" applyNumberFormat="1" applyFont="1" applyFill="1" applyBorder="1" applyAlignment="1">
      <alignment horizontal="center" vertical="center"/>
    </xf>
    <xf numFmtId="9" fontId="58" fillId="7" borderId="45" xfId="1" applyFont="1" applyFill="1" applyBorder="1" applyAlignment="1">
      <alignment horizontal="center" vertical="center"/>
    </xf>
    <xf numFmtId="0" fontId="178" fillId="126" borderId="44" xfId="0" applyFont="1" applyFill="1" applyBorder="1" applyAlignment="1">
      <alignment horizontal="center" vertical="center"/>
    </xf>
    <xf numFmtId="183" fontId="58" fillId="0" borderId="348" xfId="2" applyNumberFormat="1" applyFont="1" applyFill="1" applyBorder="1" applyAlignment="1">
      <alignment horizontal="center" vertical="center"/>
    </xf>
    <xf numFmtId="178" fontId="58" fillId="0" borderId="349" xfId="2" applyNumberFormat="1" applyFont="1" applyFill="1" applyBorder="1" applyAlignment="1">
      <alignment horizontal="center" vertical="center"/>
    </xf>
    <xf numFmtId="38" fontId="58" fillId="15" borderId="228" xfId="2" applyNumberFormat="1" applyFont="1" applyFill="1" applyBorder="1" applyAlignment="1">
      <alignment horizontal="center" vertical="center"/>
    </xf>
    <xf numFmtId="38" fontId="58" fillId="15" borderId="332" xfId="0" applyNumberFormat="1" applyFont="1" applyFill="1" applyBorder="1" applyAlignment="1">
      <alignment horizontal="center" vertical="center"/>
    </xf>
    <xf numFmtId="38" fontId="58" fillId="15" borderId="332" xfId="2" applyNumberFormat="1" applyFont="1" applyFill="1" applyBorder="1" applyAlignment="1">
      <alignment horizontal="center" vertical="center"/>
    </xf>
    <xf numFmtId="9" fontId="58" fillId="15" borderId="332" xfId="1" applyFont="1" applyFill="1" applyBorder="1" applyAlignment="1">
      <alignment horizontal="center" vertical="center"/>
    </xf>
    <xf numFmtId="0" fontId="58" fillId="15" borderId="135" xfId="0" applyFont="1" applyFill="1" applyBorder="1" applyAlignment="1">
      <alignment horizontal="center" vertical="center"/>
    </xf>
    <xf numFmtId="183" fontId="58" fillId="0" borderId="317" xfId="2" applyNumberFormat="1" applyFont="1" applyFill="1" applyBorder="1" applyAlignment="1">
      <alignment horizontal="center" vertical="center"/>
    </xf>
    <xf numFmtId="183" fontId="58" fillId="0" borderId="299" xfId="2" applyNumberFormat="1" applyFont="1" applyFill="1" applyBorder="1" applyAlignment="1">
      <alignment horizontal="center" vertical="center"/>
    </xf>
    <xf numFmtId="183" fontId="58" fillId="0" borderId="290" xfId="2" applyNumberFormat="1" applyFont="1" applyFill="1" applyBorder="1" applyAlignment="1">
      <alignment horizontal="center" vertical="center"/>
    </xf>
    <xf numFmtId="178" fontId="58" fillId="7" borderId="347" xfId="0" applyNumberFormat="1" applyFont="1" applyFill="1" applyBorder="1" applyAlignment="1">
      <alignment horizontal="center" vertical="center"/>
    </xf>
    <xf numFmtId="178" fontId="58" fillId="7" borderId="348" xfId="0" applyNumberFormat="1" applyFont="1" applyFill="1" applyBorder="1" applyAlignment="1">
      <alignment horizontal="center" vertical="center"/>
    </xf>
    <xf numFmtId="187" fontId="58" fillId="7" borderId="332" xfId="0" applyNumberFormat="1" applyFont="1" applyFill="1" applyBorder="1" applyAlignment="1">
      <alignment horizontal="center" vertical="center"/>
    </xf>
    <xf numFmtId="187" fontId="58" fillId="15" borderId="228" xfId="2" applyNumberFormat="1" applyFont="1" applyFill="1" applyBorder="1" applyAlignment="1">
      <alignment horizontal="center" vertical="center"/>
    </xf>
    <xf numFmtId="187" fontId="58" fillId="15" borderId="45" xfId="2" applyNumberFormat="1" applyFont="1" applyFill="1" applyBorder="1" applyAlignment="1">
      <alignment horizontal="center" vertical="center"/>
    </xf>
    <xf numFmtId="38" fontId="58" fillId="0" borderId="279" xfId="2" applyNumberFormat="1" applyFont="1" applyFill="1" applyBorder="1" applyAlignment="1">
      <alignment horizontal="center" vertical="center"/>
    </xf>
    <xf numFmtId="187" fontId="58" fillId="0" borderId="317" xfId="2" applyNumberFormat="1" applyFont="1" applyFill="1" applyBorder="1" applyAlignment="1">
      <alignment horizontal="center" vertical="center"/>
    </xf>
    <xf numFmtId="226" fontId="58" fillId="0" borderId="318" xfId="2" applyNumberFormat="1" applyFont="1" applyFill="1" applyBorder="1" applyAlignment="1">
      <alignment horizontal="center" vertical="center"/>
    </xf>
    <xf numFmtId="187" fontId="58" fillId="0" borderId="299" xfId="2" applyNumberFormat="1" applyFont="1" applyFill="1" applyBorder="1" applyAlignment="1">
      <alignment horizontal="center" vertical="center"/>
    </xf>
    <xf numFmtId="187" fontId="58" fillId="0" borderId="290" xfId="2" applyNumberFormat="1" applyFont="1" applyFill="1" applyBorder="1" applyAlignment="1">
      <alignment horizontal="center" vertical="center"/>
    </xf>
    <xf numFmtId="0" fontId="177" fillId="127" borderId="135" xfId="0" applyFont="1" applyFill="1" applyBorder="1" applyAlignment="1">
      <alignment horizontal="center" vertical="center"/>
    </xf>
    <xf numFmtId="187" fontId="58" fillId="7" borderId="347" xfId="2" applyNumberFormat="1" applyFont="1" applyFill="1" applyBorder="1" applyAlignment="1">
      <alignment horizontal="center" vertical="center"/>
    </xf>
    <xf numFmtId="187" fontId="58" fillId="7" borderId="348" xfId="2" applyNumberFormat="1" applyFont="1" applyFill="1" applyBorder="1" applyAlignment="1">
      <alignment horizontal="center" vertical="center"/>
    </xf>
    <xf numFmtId="187" fontId="58" fillId="7" borderId="228" xfId="2" applyNumberFormat="1" applyFont="1" applyFill="1" applyBorder="1" applyAlignment="1">
      <alignment horizontal="center" vertical="center"/>
    </xf>
    <xf numFmtId="187" fontId="58" fillId="7" borderId="332" xfId="2" applyNumberFormat="1" applyFont="1" applyFill="1" applyBorder="1" applyAlignment="1">
      <alignment horizontal="center" vertical="center"/>
    </xf>
    <xf numFmtId="9" fontId="178" fillId="15" borderId="332" xfId="1" applyFont="1" applyFill="1" applyBorder="1" applyAlignment="1">
      <alignment horizontal="center" vertical="center"/>
    </xf>
    <xf numFmtId="0" fontId="177" fillId="125" borderId="281" xfId="0" applyFont="1" applyFill="1" applyBorder="1" applyAlignment="1">
      <alignment horizontal="center" vertical="center"/>
    </xf>
    <xf numFmtId="187" fontId="58" fillId="0" borderId="335" xfId="2" applyNumberFormat="1" applyFont="1" applyBorder="1" applyAlignment="1">
      <alignment horizontal="center" vertical="center"/>
    </xf>
    <xf numFmtId="1" fontId="58" fillId="0" borderId="316" xfId="0" applyNumberFormat="1" applyFont="1" applyFill="1" applyBorder="1" applyAlignment="1">
      <alignment horizontal="center" vertical="center"/>
    </xf>
    <xf numFmtId="2" fontId="58" fillId="0" borderId="316" xfId="0" applyNumberFormat="1" applyFont="1" applyBorder="1" applyAlignment="1">
      <alignment horizontal="center" vertical="center"/>
    </xf>
    <xf numFmtId="0" fontId="58" fillId="0" borderId="316" xfId="0" applyFont="1" applyBorder="1" applyAlignment="1">
      <alignment horizontal="center" vertical="center"/>
    </xf>
    <xf numFmtId="0" fontId="58" fillId="0" borderId="319" xfId="0" applyFont="1" applyBorder="1" applyAlignment="1">
      <alignment horizontal="center" vertical="center"/>
    </xf>
    <xf numFmtId="0" fontId="178" fillId="127" borderId="280" xfId="0" applyFont="1" applyFill="1" applyBorder="1" applyAlignment="1">
      <alignment horizontal="center" vertical="center"/>
    </xf>
    <xf numFmtId="0" fontId="178" fillId="127" borderId="243" xfId="0" applyFont="1" applyFill="1" applyBorder="1" applyAlignment="1">
      <alignment horizontal="center" vertical="center"/>
    </xf>
    <xf numFmtId="2" fontId="58" fillId="0" borderId="319" xfId="0" applyNumberFormat="1" applyFont="1" applyBorder="1" applyAlignment="1">
      <alignment horizontal="center" vertical="center"/>
    </xf>
    <xf numFmtId="183" fontId="58" fillId="0" borderId="241" xfId="0" applyNumberFormat="1" applyFont="1" applyBorder="1" applyAlignment="1">
      <alignment horizontal="center" vertical="center"/>
    </xf>
    <xf numFmtId="183" fontId="58" fillId="0" borderId="292" xfId="2" applyNumberFormat="1" applyFont="1" applyBorder="1" applyAlignment="1">
      <alignment horizontal="center" vertical="center"/>
    </xf>
    <xf numFmtId="0" fontId="178" fillId="127" borderId="200" xfId="0" applyFont="1" applyFill="1" applyBorder="1" applyAlignment="1">
      <alignment horizontal="center" vertical="center"/>
    </xf>
    <xf numFmtId="2" fontId="58" fillId="0" borderId="219" xfId="0" applyNumberFormat="1" applyFont="1" applyBorder="1" applyAlignment="1">
      <alignment horizontal="center" vertical="center"/>
    </xf>
    <xf numFmtId="2" fontId="58" fillId="0" borderId="6" xfId="0" applyNumberFormat="1" applyFont="1" applyBorder="1" applyAlignment="1">
      <alignment horizontal="center" vertical="center"/>
    </xf>
    <xf numFmtId="2" fontId="58" fillId="0" borderId="38" xfId="0" applyNumberFormat="1" applyFont="1" applyBorder="1" applyAlignment="1">
      <alignment horizontal="center" vertical="center"/>
    </xf>
    <xf numFmtId="0" fontId="58" fillId="0" borderId="200" xfId="0" applyFont="1" applyBorder="1" applyAlignment="1">
      <alignment horizontal="center" vertical="center"/>
    </xf>
    <xf numFmtId="0" fontId="58" fillId="0" borderId="219" xfId="0" applyFont="1" applyBorder="1" applyAlignment="1">
      <alignment horizontal="center" vertical="center"/>
    </xf>
    <xf numFmtId="0" fontId="178" fillId="127" borderId="95" xfId="0" applyFont="1" applyFill="1" applyBorder="1" applyAlignment="1">
      <alignment horizontal="center" vertical="center"/>
    </xf>
    <xf numFmtId="0" fontId="178" fillId="127" borderId="66" xfId="0" applyFont="1" applyFill="1" applyBorder="1" applyAlignment="1">
      <alignment horizontal="center" vertical="center"/>
    </xf>
    <xf numFmtId="0" fontId="58" fillId="0" borderId="95" xfId="0" applyFont="1" applyFill="1" applyBorder="1" applyAlignment="1">
      <alignment horizontal="center" vertical="center"/>
    </xf>
    <xf numFmtId="0" fontId="58" fillId="0" borderId="5" xfId="0" applyFont="1" applyFill="1" applyBorder="1" applyAlignment="1">
      <alignment horizontal="center" vertical="center"/>
    </xf>
    <xf numFmtId="0" fontId="58" fillId="15" borderId="5" xfId="0" applyFont="1" applyFill="1" applyBorder="1" applyAlignment="1">
      <alignment horizontal="center" vertical="center"/>
    </xf>
    <xf numFmtId="185" fontId="58" fillId="0" borderId="5" xfId="0" applyNumberFormat="1" applyFont="1" applyFill="1" applyBorder="1" applyAlignment="1">
      <alignment horizontal="center" vertical="center"/>
    </xf>
    <xf numFmtId="185" fontId="58" fillId="0" borderId="328" xfId="0" applyNumberFormat="1" applyFont="1" applyFill="1" applyBorder="1" applyAlignment="1">
      <alignment horizontal="center" vertical="center"/>
    </xf>
    <xf numFmtId="3" fontId="58" fillId="0" borderId="38" xfId="0" applyNumberFormat="1" applyFont="1" applyBorder="1" applyAlignment="1">
      <alignment horizontal="center" vertical="center"/>
    </xf>
    <xf numFmtId="0" fontId="178" fillId="127" borderId="121" xfId="0" applyFont="1" applyFill="1" applyBorder="1" applyAlignment="1">
      <alignment horizontal="center" vertical="center"/>
    </xf>
    <xf numFmtId="2" fontId="58" fillId="0" borderId="119" xfId="0" applyNumberFormat="1" applyFont="1" applyBorder="1" applyAlignment="1">
      <alignment horizontal="center" vertical="center"/>
    </xf>
    <xf numFmtId="2" fontId="58" fillId="0" borderId="120" xfId="0" applyNumberFormat="1" applyFont="1" applyBorder="1" applyAlignment="1">
      <alignment horizontal="center" vertical="center"/>
    </xf>
    <xf numFmtId="183" fontId="58" fillId="0" borderId="120" xfId="0" applyNumberFormat="1" applyFont="1" applyBorder="1" applyAlignment="1">
      <alignment horizontal="center" vertical="center"/>
    </xf>
    <xf numFmtId="183" fontId="58" fillId="0" borderId="45" xfId="2" applyNumberFormat="1" applyFont="1" applyBorder="1" applyAlignment="1">
      <alignment horizontal="center" vertical="center"/>
    </xf>
    <xf numFmtId="9" fontId="58" fillId="0" borderId="120" xfId="1" applyFont="1" applyBorder="1" applyAlignment="1">
      <alignment horizontal="center" vertical="center"/>
    </xf>
    <xf numFmtId="0" fontId="178" fillId="127" borderId="323" xfId="0" applyFont="1" applyFill="1" applyBorder="1" applyAlignment="1">
      <alignment horizontal="center" vertical="center"/>
    </xf>
    <xf numFmtId="4" fontId="58" fillId="0" borderId="282" xfId="0" applyNumberFormat="1" applyFont="1" applyBorder="1" applyAlignment="1">
      <alignment horizontal="center" vertical="center"/>
    </xf>
    <xf numFmtId="4" fontId="58" fillId="0" borderId="324" xfId="0" applyNumberFormat="1" applyFont="1" applyBorder="1" applyAlignment="1">
      <alignment horizontal="center" vertical="center"/>
    </xf>
    <xf numFmtId="187" fontId="58" fillId="0" borderId="324" xfId="0" applyNumberFormat="1" applyFont="1" applyBorder="1" applyAlignment="1">
      <alignment horizontal="center" vertical="center"/>
    </xf>
    <xf numFmtId="187" fontId="58" fillId="0" borderId="325" xfId="2" applyNumberFormat="1" applyFont="1" applyBorder="1" applyAlignment="1">
      <alignment horizontal="center" vertical="center"/>
    </xf>
    <xf numFmtId="1" fontId="58" fillId="0" borderId="119" xfId="0" applyNumberFormat="1" applyFont="1" applyFill="1" applyBorder="1" applyAlignment="1">
      <alignment horizontal="center" vertical="center"/>
    </xf>
    <xf numFmtId="1" fontId="58" fillId="0" borderId="120" xfId="0" applyNumberFormat="1" applyFont="1" applyFill="1" applyBorder="1" applyAlignment="1">
      <alignment horizontal="center" vertical="center"/>
    </xf>
    <xf numFmtId="1" fontId="58" fillId="0" borderId="45" xfId="0" applyNumberFormat="1" applyFont="1" applyFill="1" applyBorder="1" applyAlignment="1">
      <alignment horizontal="center" vertical="center"/>
    </xf>
    <xf numFmtId="9" fontId="58" fillId="0" borderId="120" xfId="1" applyFont="1" applyFill="1" applyBorder="1" applyAlignment="1">
      <alignment horizontal="center" vertical="center"/>
    </xf>
    <xf numFmtId="0" fontId="58" fillId="0" borderId="121" xfId="0" applyFont="1" applyFill="1" applyBorder="1" applyAlignment="1">
      <alignment horizontal="center" vertical="center"/>
    </xf>
    <xf numFmtId="1" fontId="58" fillId="0" borderId="334" xfId="0" applyNumberFormat="1" applyFont="1" applyFill="1" applyBorder="1" applyAlignment="1">
      <alignment horizontal="center" vertical="center"/>
    </xf>
    <xf numFmtId="1" fontId="58" fillId="0" borderId="282" xfId="0" applyNumberFormat="1" applyFont="1" applyFill="1" applyBorder="1" applyAlignment="1">
      <alignment horizontal="center" vertical="center"/>
    </xf>
    <xf numFmtId="1" fontId="58" fillId="0" borderId="324" xfId="0" applyNumberFormat="1" applyFont="1" applyFill="1" applyBorder="1" applyAlignment="1">
      <alignment horizontal="center" vertical="center"/>
    </xf>
    <xf numFmtId="2" fontId="58" fillId="0" borderId="45" xfId="0" applyNumberFormat="1" applyFont="1" applyBorder="1" applyAlignment="1">
      <alignment horizontal="center" vertical="center"/>
    </xf>
    <xf numFmtId="2" fontId="58" fillId="0" borderId="334" xfId="0" applyNumberFormat="1" applyFont="1" applyBorder="1" applyAlignment="1">
      <alignment horizontal="center" vertical="center"/>
    </xf>
    <xf numFmtId="177" fontId="58" fillId="0" borderId="334" xfId="0" applyNumberFormat="1" applyFont="1" applyBorder="1" applyAlignment="1">
      <alignment horizontal="center" vertical="center"/>
    </xf>
    <xf numFmtId="187" fontId="58" fillId="0" borderId="334" xfId="0" applyNumberFormat="1" applyFont="1" applyBorder="1" applyAlignment="1">
      <alignment horizontal="center" vertical="center"/>
    </xf>
    <xf numFmtId="0" fontId="178" fillId="127" borderId="333" xfId="0" applyFont="1" applyFill="1" applyBorder="1" applyAlignment="1">
      <alignment horizontal="center" vertical="center"/>
    </xf>
    <xf numFmtId="0" fontId="58" fillId="0" borderId="334" xfId="0" applyFont="1" applyBorder="1" applyAlignment="1">
      <alignment horizontal="center" vertical="center"/>
    </xf>
    <xf numFmtId="0" fontId="58" fillId="0" borderId="324" xfId="0" applyFont="1" applyBorder="1" applyAlignment="1">
      <alignment horizontal="center" vertical="center"/>
    </xf>
    <xf numFmtId="2" fontId="58" fillId="0" borderId="324" xfId="0" applyNumberFormat="1" applyFont="1" applyBorder="1" applyAlignment="1">
      <alignment horizontal="center" vertical="center"/>
    </xf>
    <xf numFmtId="0" fontId="58" fillId="0" borderId="119" xfId="0" applyFont="1" applyBorder="1" applyAlignment="1">
      <alignment horizontal="center" vertical="center"/>
    </xf>
    <xf numFmtId="0" fontId="58" fillId="0" borderId="120" xfId="0" applyFont="1" applyBorder="1" applyAlignment="1">
      <alignment horizontal="center" vertical="center"/>
    </xf>
    <xf numFmtId="0" fontId="178" fillId="127" borderId="223" xfId="0" applyFont="1" applyFill="1" applyBorder="1" applyAlignment="1">
      <alignment horizontal="center" vertical="center"/>
    </xf>
    <xf numFmtId="0" fontId="178" fillId="127" borderId="227" xfId="0" applyFont="1" applyFill="1" applyBorder="1" applyAlignment="1">
      <alignment horizontal="center" vertical="center"/>
    </xf>
    <xf numFmtId="3" fontId="58" fillId="0" borderId="223" xfId="0" applyNumberFormat="1" applyFont="1" applyFill="1" applyBorder="1" applyAlignment="1">
      <alignment horizontal="center" vertical="center"/>
    </xf>
    <xf numFmtId="3" fontId="58" fillId="0" borderId="224" xfId="0" applyNumberFormat="1" applyFont="1" applyFill="1" applyBorder="1" applyAlignment="1">
      <alignment horizontal="center" vertical="center"/>
    </xf>
    <xf numFmtId="3" fontId="58" fillId="15" borderId="224" xfId="0" applyNumberFormat="1" applyFont="1" applyFill="1" applyBorder="1" applyAlignment="1">
      <alignment horizontal="center" vertical="center"/>
    </xf>
    <xf numFmtId="3" fontId="58" fillId="0" borderId="226" xfId="0" applyNumberFormat="1" applyFont="1" applyFill="1" applyBorder="1" applyAlignment="1">
      <alignment horizontal="center" vertical="center"/>
    </xf>
    <xf numFmtId="9" fontId="58" fillId="0" borderId="224" xfId="1" applyFont="1" applyFill="1" applyBorder="1" applyAlignment="1">
      <alignment horizontal="center" vertical="center"/>
    </xf>
    <xf numFmtId="0" fontId="58" fillId="0" borderId="227" xfId="0" applyFont="1" applyFill="1" applyBorder="1" applyAlignment="1">
      <alignment horizontal="center" vertical="center"/>
    </xf>
    <xf numFmtId="0" fontId="178" fillId="127" borderId="135" xfId="0" applyFont="1" applyFill="1" applyBorder="1" applyAlignment="1">
      <alignment horizontal="center" vertical="center"/>
    </xf>
    <xf numFmtId="0" fontId="58" fillId="0" borderId="261" xfId="0" applyFont="1" applyBorder="1" applyAlignment="1">
      <alignment horizontal="center" vertical="center"/>
    </xf>
    <xf numFmtId="3" fontId="58" fillId="0" borderId="228" xfId="0" applyNumberFormat="1" applyFont="1" applyBorder="1" applyAlignment="1">
      <alignment horizontal="center" vertical="center"/>
    </xf>
    <xf numFmtId="3" fontId="58" fillId="0" borderId="332" xfId="0" applyNumberFormat="1" applyFont="1" applyBorder="1" applyAlignment="1">
      <alignment horizontal="center" vertical="center"/>
    </xf>
    <xf numFmtId="9" fontId="58" fillId="15" borderId="228" xfId="1" applyFont="1" applyFill="1" applyBorder="1" applyAlignment="1">
      <alignment horizontal="center" vertical="center"/>
    </xf>
    <xf numFmtId="0" fontId="58" fillId="15" borderId="123" xfId="0" applyFont="1" applyFill="1" applyBorder="1" applyAlignment="1">
      <alignment horizontal="center" vertical="center"/>
    </xf>
    <xf numFmtId="3" fontId="58" fillId="0" borderId="324" xfId="0" applyNumberFormat="1" applyFont="1" applyBorder="1" applyAlignment="1">
      <alignment horizontal="center" vertical="center"/>
    </xf>
    <xf numFmtId="0" fontId="58" fillId="7" borderId="351" xfId="0" applyFont="1" applyFill="1" applyBorder="1" applyAlignment="1">
      <alignment horizontal="center" vertical="center"/>
    </xf>
    <xf numFmtId="3" fontId="58" fillId="15" borderId="6" xfId="2" quotePrefix="1" applyNumberFormat="1" applyFont="1" applyFill="1" applyBorder="1" applyAlignment="1">
      <alignment horizontal="center" vertical="center"/>
    </xf>
    <xf numFmtId="226" fontId="58" fillId="0" borderId="320" xfId="2" applyNumberFormat="1" applyFont="1" applyBorder="1" applyAlignment="1">
      <alignment horizontal="center" vertical="center"/>
    </xf>
    <xf numFmtId="226" fontId="58" fillId="0" borderId="321" xfId="2" applyNumberFormat="1" applyFont="1" applyBorder="1" applyAlignment="1">
      <alignment horizontal="center" vertical="center"/>
    </xf>
    <xf numFmtId="3" fontId="58" fillId="0" borderId="45" xfId="2" applyNumberFormat="1" applyFont="1" applyBorder="1" applyAlignment="1">
      <alignment horizontal="center" vertical="center"/>
    </xf>
    <xf numFmtId="38" fontId="58" fillId="15" borderId="120" xfId="2" applyNumberFormat="1" applyFont="1" applyFill="1" applyBorder="1" applyAlignment="1">
      <alignment horizontal="center" vertical="center"/>
    </xf>
    <xf numFmtId="3" fontId="58" fillId="15" borderId="120" xfId="2" quotePrefix="1" applyNumberFormat="1" applyFont="1" applyFill="1" applyBorder="1" applyAlignment="1">
      <alignment horizontal="center" vertical="center"/>
    </xf>
    <xf numFmtId="9" fontId="58" fillId="15" borderId="120" xfId="1" applyFont="1" applyFill="1" applyBorder="1" applyAlignment="1">
      <alignment horizontal="center" vertical="center"/>
    </xf>
    <xf numFmtId="226" fontId="58" fillId="0" borderId="329" xfId="2" applyNumberFormat="1" applyFont="1" applyBorder="1" applyAlignment="1">
      <alignment horizontal="center" vertical="center"/>
    </xf>
    <xf numFmtId="226" fontId="58" fillId="0" borderId="330" xfId="2" applyNumberFormat="1" applyFont="1" applyBorder="1" applyAlignment="1">
      <alignment horizontal="center" vertical="center"/>
    </xf>
    <xf numFmtId="0" fontId="58" fillId="0" borderId="136" xfId="0" applyFont="1" applyBorder="1" applyAlignment="1">
      <alignment horizontal="center" vertical="center"/>
    </xf>
    <xf numFmtId="187" fontId="58" fillId="0" borderId="353" xfId="2" applyNumberFormat="1" applyFont="1" applyBorder="1" applyAlignment="1">
      <alignment horizontal="center" vertical="center"/>
    </xf>
    <xf numFmtId="187" fontId="58" fillId="0" borderId="354" xfId="2" applyNumberFormat="1" applyFont="1" applyBorder="1" applyAlignment="1">
      <alignment horizontal="center" vertical="center"/>
    </xf>
    <xf numFmtId="0" fontId="58" fillId="0" borderId="355" xfId="0" applyFont="1" applyBorder="1" applyAlignment="1">
      <alignment horizontal="center" vertical="center"/>
    </xf>
    <xf numFmtId="183" fontId="48" fillId="0" borderId="332" xfId="0" applyNumberFormat="1" applyFont="1" applyFill="1" applyBorder="1" applyAlignment="1">
      <alignment horizontal="center" vertical="center"/>
    </xf>
    <xf numFmtId="181" fontId="126" fillId="0" borderId="44" xfId="4124" applyNumberFormat="1" applyFont="1" applyFill="1" applyBorder="1" applyAlignment="1">
      <alignment horizontal="center" vertical="center"/>
    </xf>
    <xf numFmtId="41" fontId="52" fillId="0" borderId="356" xfId="4124" applyFont="1" applyFill="1" applyBorder="1" applyAlignment="1">
      <alignment horizontal="center" vertical="center"/>
    </xf>
    <xf numFmtId="183" fontId="47" fillId="0" borderId="357" xfId="4124" applyNumberFormat="1" applyFont="1" applyFill="1" applyBorder="1" applyAlignment="1">
      <alignment horizontal="center" vertical="center"/>
    </xf>
    <xf numFmtId="183" fontId="48" fillId="0" borderId="343" xfId="0" applyNumberFormat="1" applyFont="1" applyFill="1" applyBorder="1" applyAlignment="1">
      <alignment horizontal="center" vertical="center"/>
    </xf>
    <xf numFmtId="183" fontId="48" fillId="0" borderId="305" xfId="0" applyNumberFormat="1" applyFont="1" applyFill="1" applyBorder="1" applyAlignment="1">
      <alignment horizontal="center" vertical="center"/>
    </xf>
    <xf numFmtId="41" fontId="52" fillId="0" borderId="358" xfId="4124" applyFont="1" applyFill="1" applyBorder="1" applyAlignment="1">
      <alignment horizontal="center" vertical="center"/>
    </xf>
    <xf numFmtId="183" fontId="47" fillId="0" borderId="359" xfId="4124" applyNumberFormat="1" applyFont="1" applyFill="1" applyBorder="1" applyAlignment="1">
      <alignment horizontal="center" vertical="center"/>
    </xf>
    <xf numFmtId="183" fontId="48" fillId="0" borderId="360" xfId="0" applyNumberFormat="1" applyFont="1" applyFill="1" applyBorder="1" applyAlignment="1">
      <alignment horizontal="center" vertical="center"/>
    </xf>
    <xf numFmtId="181" fontId="126" fillId="0" borderId="361" xfId="4124" applyNumberFormat="1" applyFont="1" applyFill="1" applyBorder="1" applyAlignment="1">
      <alignment horizontal="center" vertical="center"/>
    </xf>
    <xf numFmtId="41" fontId="52" fillId="0" borderId="362" xfId="4124" applyFont="1" applyFill="1" applyBorder="1" applyAlignment="1">
      <alignment horizontal="center" vertical="center"/>
    </xf>
    <xf numFmtId="183" fontId="47" fillId="0" borderId="363" xfId="4124" applyNumberFormat="1" applyFont="1" applyFill="1" applyBorder="1" applyAlignment="1">
      <alignment horizontal="center" vertical="center"/>
    </xf>
    <xf numFmtId="2" fontId="29" fillId="6" borderId="0" xfId="0" applyNumberFormat="1" applyFont="1" applyFill="1" applyAlignment="1">
      <alignment horizontal="center" vertical="center"/>
    </xf>
    <xf numFmtId="38" fontId="172" fillId="0" borderId="286" xfId="2" applyNumberFormat="1" applyFont="1" applyBorder="1" applyAlignment="1">
      <alignment horizontal="center" vertical="center"/>
    </xf>
    <xf numFmtId="4" fontId="29" fillId="7" borderId="45" xfId="2" applyNumberFormat="1" applyFont="1" applyFill="1" applyBorder="1" applyAlignment="1">
      <alignment horizontal="center" vertical="center"/>
    </xf>
    <xf numFmtId="0" fontId="45" fillId="0" borderId="0" xfId="0" applyFont="1" applyFill="1" applyBorder="1" applyAlignment="1">
      <alignment horizontal="center" vertical="center"/>
    </xf>
    <xf numFmtId="186" fontId="45" fillId="0" borderId="0" xfId="4124" applyNumberFormat="1" applyFont="1" applyFill="1" applyBorder="1" applyAlignment="1">
      <alignment horizontal="right" vertical="center"/>
    </xf>
    <xf numFmtId="41" fontId="54" fillId="0" borderId="0" xfId="4124" applyNumberFormat="1" applyFont="1" applyFill="1" applyBorder="1" applyAlignment="1">
      <alignment horizontal="center" vertical="center"/>
    </xf>
    <xf numFmtId="43" fontId="48" fillId="0" borderId="0" xfId="0" applyNumberFormat="1" applyFont="1" applyFill="1" applyBorder="1" applyAlignment="1">
      <alignment horizontal="center" vertical="center"/>
    </xf>
    <xf numFmtId="43" fontId="45" fillId="0" borderId="0" xfId="0" applyNumberFormat="1" applyFont="1" applyFill="1" applyBorder="1" applyAlignment="1">
      <alignment horizontal="center" vertical="center"/>
    </xf>
    <xf numFmtId="181" fontId="127" fillId="0" borderId="0" xfId="4124" applyNumberFormat="1" applyFont="1" applyFill="1" applyBorder="1" applyAlignment="1">
      <alignment horizontal="center" vertical="center"/>
    </xf>
    <xf numFmtId="41" fontId="52" fillId="0" borderId="0" xfId="4124" applyFont="1" applyFill="1" applyBorder="1" applyAlignment="1">
      <alignment horizontal="center" vertical="center"/>
    </xf>
    <xf numFmtId="181" fontId="48" fillId="0" borderId="0" xfId="4124" applyNumberFormat="1" applyFont="1" applyFill="1" applyBorder="1" applyAlignment="1">
      <alignment horizontal="center" vertical="center"/>
    </xf>
    <xf numFmtId="186" fontId="45" fillId="0" borderId="77" xfId="4124" applyNumberFormat="1" applyFont="1" applyFill="1" applyBorder="1" applyAlignment="1">
      <alignment horizontal="right" vertical="center"/>
    </xf>
    <xf numFmtId="186" fontId="45" fillId="0" borderId="78" xfId="4124" applyNumberFormat="1" applyFont="1" applyFill="1" applyBorder="1" applyAlignment="1">
      <alignment horizontal="right" vertical="center"/>
    </xf>
    <xf numFmtId="41" fontId="54" fillId="0" borderId="78" xfId="4124" applyNumberFormat="1" applyFont="1" applyFill="1" applyBorder="1" applyAlignment="1">
      <alignment horizontal="center" vertical="center"/>
    </xf>
    <xf numFmtId="183" fontId="48" fillId="0" borderId="78" xfId="0" applyNumberFormat="1" applyFont="1" applyFill="1" applyBorder="1" applyAlignment="1">
      <alignment horizontal="center" vertical="center"/>
    </xf>
    <xf numFmtId="43" fontId="45" fillId="0" borderId="78" xfId="0" applyNumberFormat="1" applyFont="1" applyFill="1" applyBorder="1" applyAlignment="1">
      <alignment horizontal="center" vertical="center"/>
    </xf>
    <xf numFmtId="181" fontId="126" fillId="0" borderId="78" xfId="4124" applyNumberFormat="1" applyFont="1" applyFill="1" applyBorder="1" applyAlignment="1">
      <alignment horizontal="center" vertical="center"/>
    </xf>
    <xf numFmtId="183" fontId="47" fillId="0" borderId="365" xfId="4124" applyNumberFormat="1" applyFont="1" applyFill="1" applyBorder="1" applyAlignment="1">
      <alignment horizontal="center" vertical="center"/>
    </xf>
    <xf numFmtId="186" fontId="45" fillId="0" borderId="67" xfId="4124" applyNumberFormat="1" applyFont="1" applyFill="1" applyBorder="1" applyAlignment="1">
      <alignment horizontal="right" vertical="center"/>
    </xf>
    <xf numFmtId="186" fontId="45" fillId="0" borderId="68" xfId="4124" applyNumberFormat="1" applyFont="1" applyFill="1" applyBorder="1" applyAlignment="1">
      <alignment horizontal="right" vertical="center"/>
    </xf>
    <xf numFmtId="41" fontId="54" fillId="0" borderId="68" xfId="4124" applyNumberFormat="1" applyFont="1" applyFill="1" applyBorder="1" applyAlignment="1">
      <alignment horizontal="center" vertical="center"/>
    </xf>
    <xf numFmtId="183" fontId="48" fillId="0" borderId="68" xfId="0" applyNumberFormat="1" applyFont="1" applyFill="1" applyBorder="1" applyAlignment="1">
      <alignment horizontal="center" vertical="center"/>
    </xf>
    <xf numFmtId="43" fontId="45" fillId="0" borderId="68" xfId="0" applyNumberFormat="1" applyFont="1" applyFill="1" applyBorder="1" applyAlignment="1">
      <alignment horizontal="center" vertical="center"/>
    </xf>
    <xf numFmtId="181" fontId="126" fillId="0" borderId="68" xfId="4124" applyNumberFormat="1" applyFont="1" applyFill="1" applyBorder="1" applyAlignment="1">
      <alignment horizontal="center" vertical="center"/>
    </xf>
    <xf numFmtId="183" fontId="47" fillId="0" borderId="70" xfId="4124" applyNumberFormat="1" applyFont="1" applyFill="1" applyBorder="1" applyAlignment="1">
      <alignment horizontal="center" vertical="center"/>
    </xf>
    <xf numFmtId="186" fontId="45" fillId="0" borderId="152" xfId="4124" applyNumberFormat="1" applyFont="1" applyFill="1" applyBorder="1" applyAlignment="1">
      <alignment horizontal="right" vertical="center"/>
    </xf>
    <xf numFmtId="186" fontId="45" fillId="0" borderId="154" xfId="4124" applyNumberFormat="1" applyFont="1" applyFill="1" applyBorder="1" applyAlignment="1">
      <alignment horizontal="right" vertical="center"/>
    </xf>
    <xf numFmtId="41" fontId="54" fillId="0" borderId="154" xfId="4124" applyNumberFormat="1" applyFont="1" applyFill="1" applyBorder="1" applyAlignment="1">
      <alignment horizontal="center" vertical="center"/>
    </xf>
    <xf numFmtId="43" fontId="48" fillId="0" borderId="154" xfId="0" applyNumberFormat="1" applyFont="1" applyFill="1" applyBorder="1" applyAlignment="1">
      <alignment horizontal="center" vertical="center"/>
    </xf>
    <xf numFmtId="43" fontId="45" fillId="0" borderId="154" xfId="0" applyNumberFormat="1" applyFont="1" applyFill="1" applyBorder="1" applyAlignment="1">
      <alignment horizontal="center" vertical="center"/>
    </xf>
    <xf numFmtId="181" fontId="127" fillId="0" borderId="154" xfId="4124" applyNumberFormat="1" applyFont="1" applyFill="1" applyBorder="1" applyAlignment="1">
      <alignment horizontal="center" vertical="center"/>
    </xf>
    <xf numFmtId="181" fontId="48" fillId="0" borderId="155" xfId="4124" applyNumberFormat="1" applyFont="1" applyFill="1" applyBorder="1" applyAlignment="1">
      <alignment horizontal="center" vertical="center"/>
    </xf>
    <xf numFmtId="187" fontId="183" fillId="0" borderId="347" xfId="2" applyNumberFormat="1" applyFont="1" applyBorder="1" applyAlignment="1">
      <alignment horizontal="center" vertical="center" wrapText="1"/>
    </xf>
    <xf numFmtId="187" fontId="183" fillId="0" borderId="348" xfId="2" applyNumberFormat="1" applyFont="1" applyBorder="1" applyAlignment="1">
      <alignment horizontal="center" vertical="center" wrapText="1"/>
    </xf>
    <xf numFmtId="0" fontId="58" fillId="0" borderId="0" xfId="0" applyFont="1" applyBorder="1" applyAlignment="1">
      <alignment horizontal="center" vertical="center"/>
    </xf>
    <xf numFmtId="0" fontId="177" fillId="125" borderId="214" xfId="0" applyFont="1" applyFill="1" applyBorder="1" applyAlignment="1">
      <alignment horizontal="center" vertical="center"/>
    </xf>
    <xf numFmtId="0" fontId="177" fillId="125" borderId="269" xfId="0" applyFont="1" applyFill="1" applyBorder="1" applyAlignment="1">
      <alignment horizontal="center" vertical="center"/>
    </xf>
    <xf numFmtId="38" fontId="172" fillId="0" borderId="268" xfId="2" applyNumberFormat="1" applyFont="1" applyBorder="1" applyAlignment="1">
      <alignment horizontal="center" vertical="center"/>
    </xf>
    <xf numFmtId="0" fontId="178" fillId="126" borderId="367" xfId="0" applyFont="1" applyFill="1" applyBorder="1" applyAlignment="1">
      <alignment horizontal="center" vertical="center"/>
    </xf>
    <xf numFmtId="226" fontId="58" fillId="0" borderId="297" xfId="2" applyNumberFormat="1" applyFont="1" applyFill="1" applyBorder="1" applyAlignment="1">
      <alignment horizontal="center" vertical="center"/>
    </xf>
    <xf numFmtId="226" fontId="58" fillId="0" borderId="242" xfId="2" applyNumberFormat="1" applyFont="1" applyFill="1" applyBorder="1" applyAlignment="1">
      <alignment horizontal="center" vertical="center"/>
    </xf>
    <xf numFmtId="0" fontId="0" fillId="0" borderId="242" xfId="0" applyNumberFormat="1" applyBorder="1" applyAlignment="1" applyProtection="1">
      <alignment horizontal="center" vertical="center"/>
      <protection locked="0"/>
    </xf>
    <xf numFmtId="178" fontId="58" fillId="0" borderId="242" xfId="2" applyNumberFormat="1" applyFont="1" applyFill="1" applyBorder="1" applyAlignment="1">
      <alignment horizontal="center" vertical="center"/>
    </xf>
    <xf numFmtId="226" fontId="58" fillId="0" borderId="373" xfId="2" applyNumberFormat="1" applyFont="1" applyFill="1" applyBorder="1" applyAlignment="1">
      <alignment horizontal="center" vertical="center"/>
    </xf>
    <xf numFmtId="187" fontId="58" fillId="15" borderId="25" xfId="2" applyNumberFormat="1" applyFont="1" applyFill="1" applyBorder="1" applyAlignment="1">
      <alignment horizontal="center" vertical="center"/>
    </xf>
    <xf numFmtId="187" fontId="58" fillId="0" borderId="300" xfId="0" applyNumberFormat="1" applyFont="1" applyBorder="1" applyAlignment="1">
      <alignment horizontal="center" vertical="center"/>
    </xf>
    <xf numFmtId="187" fontId="58" fillId="0" borderId="225" xfId="0" applyNumberFormat="1" applyFont="1" applyBorder="1" applyAlignment="1">
      <alignment horizontal="center" vertical="center"/>
    </xf>
    <xf numFmtId="226" fontId="58" fillId="0" borderId="368" xfId="2" applyNumberFormat="1" applyFont="1" applyFill="1" applyBorder="1" applyAlignment="1">
      <alignment horizontal="center" vertical="center"/>
    </xf>
    <xf numFmtId="185" fontId="58" fillId="0" borderId="374" xfId="0" applyNumberFormat="1" applyFont="1" applyFill="1" applyBorder="1" applyAlignment="1">
      <alignment horizontal="center" vertical="center"/>
    </xf>
    <xf numFmtId="223" fontId="58" fillId="0" borderId="5" xfId="2" applyNumberFormat="1" applyFont="1" applyFill="1" applyBorder="1" applyAlignment="1">
      <alignment horizontal="center" vertical="center"/>
    </xf>
    <xf numFmtId="236" fontId="28" fillId="5" borderId="214" xfId="2" applyNumberFormat="1" applyFont="1" applyFill="1" applyBorder="1" applyAlignment="1">
      <alignment horizontal="center" vertical="center"/>
    </xf>
    <xf numFmtId="0" fontId="26" fillId="0" borderId="377" xfId="0" applyFont="1" applyBorder="1" applyAlignment="1">
      <alignment horizontal="center" vertical="center"/>
    </xf>
    <xf numFmtId="0" fontId="26" fillId="0" borderId="6" xfId="0" applyFont="1" applyBorder="1" applyAlignment="1">
      <alignment horizontal="center" vertical="center"/>
    </xf>
    <xf numFmtId="0" fontId="26" fillId="0" borderId="324" xfId="0" applyFont="1" applyBorder="1" applyAlignment="1">
      <alignment horizontal="center" vertical="center"/>
    </xf>
    <xf numFmtId="0" fontId="177" fillId="125" borderId="103" xfId="0" applyFont="1" applyFill="1" applyBorder="1" applyAlignment="1">
      <alignment horizontal="center" vertical="center" wrapText="1"/>
    </xf>
    <xf numFmtId="0" fontId="177" fillId="125" borderId="311" xfId="0" applyFont="1" applyFill="1" applyBorder="1" applyAlignment="1">
      <alignment horizontal="center" vertical="center" wrapText="1" readingOrder="1"/>
    </xf>
    <xf numFmtId="0" fontId="177" fillId="125" borderId="55" xfId="0" applyFont="1" applyFill="1" applyBorder="1" applyAlignment="1">
      <alignment horizontal="center" vertical="center" wrapText="1" readingOrder="1"/>
    </xf>
    <xf numFmtId="0" fontId="177" fillId="125" borderId="205" xfId="0" applyFont="1" applyFill="1" applyBorder="1" applyAlignment="1">
      <alignment horizontal="center" vertical="center" wrapText="1" readingOrder="1"/>
    </xf>
    <xf numFmtId="0" fontId="177" fillId="125" borderId="54" xfId="0" applyFont="1" applyFill="1" applyBorder="1" applyAlignment="1">
      <alignment horizontal="center" vertical="center" wrapText="1" readingOrder="1"/>
    </xf>
    <xf numFmtId="0" fontId="177" fillId="128" borderId="54" xfId="0" applyFont="1" applyFill="1" applyBorder="1" applyAlignment="1">
      <alignment horizontal="center" vertical="center" wrapText="1"/>
    </xf>
    <xf numFmtId="0" fontId="177" fillId="128" borderId="55" xfId="0" applyFont="1" applyFill="1" applyBorder="1" applyAlignment="1">
      <alignment horizontal="center" vertical="center" wrapText="1"/>
    </xf>
    <xf numFmtId="9" fontId="177" fillId="128" borderId="55" xfId="1" applyFont="1" applyFill="1" applyBorder="1" applyAlignment="1">
      <alignment horizontal="center" vertical="center" wrapText="1"/>
    </xf>
    <xf numFmtId="3" fontId="177" fillId="128" borderId="54" xfId="0" applyNumberFormat="1" applyFont="1" applyFill="1" applyBorder="1" applyAlignment="1">
      <alignment horizontal="center" vertical="center" wrapText="1"/>
    </xf>
    <xf numFmtId="0" fontId="177" fillId="125" borderId="378" xfId="0" applyFont="1" applyFill="1" applyBorder="1" applyAlignment="1">
      <alignment horizontal="center" vertical="center" wrapText="1" readingOrder="1"/>
    </xf>
    <xf numFmtId="38" fontId="166" fillId="0" borderId="379" xfId="1" applyNumberFormat="1" applyFont="1" applyBorder="1" applyAlignment="1">
      <alignment horizontal="center" vertical="center" wrapText="1"/>
    </xf>
    <xf numFmtId="4" fontId="58" fillId="7" borderId="377" xfId="2" applyNumberFormat="1" applyFont="1" applyFill="1" applyBorder="1" applyAlignment="1">
      <alignment horizontal="center" vertical="center"/>
    </xf>
    <xf numFmtId="3" fontId="58" fillId="7" borderId="377" xfId="2" applyNumberFormat="1" applyFont="1" applyFill="1" applyBorder="1" applyAlignment="1">
      <alignment horizontal="center" vertical="center"/>
    </xf>
    <xf numFmtId="187" fontId="172" fillId="6" borderId="377" xfId="2" applyNumberFormat="1" applyFont="1" applyFill="1" applyBorder="1" applyAlignment="1">
      <alignment horizontal="center" vertical="center" wrapText="1"/>
    </xf>
    <xf numFmtId="3" fontId="58" fillId="7" borderId="6" xfId="2" applyNumberFormat="1" applyFont="1" applyFill="1" applyBorder="1" applyAlignment="1">
      <alignment horizontal="center" vertical="center"/>
    </xf>
    <xf numFmtId="9" fontId="29" fillId="7" borderId="120" xfId="1" applyFont="1" applyFill="1" applyBorder="1" applyAlignment="1">
      <alignment horizontal="center" vertical="center"/>
    </xf>
    <xf numFmtId="0" fontId="177" fillId="125" borderId="5" xfId="0" applyFont="1" applyFill="1" applyBorder="1" applyAlignment="1">
      <alignment horizontal="center" vertical="center"/>
    </xf>
    <xf numFmtId="0" fontId="177" fillId="125" borderId="382" xfId="0" applyFont="1" applyFill="1" applyBorder="1" applyAlignment="1">
      <alignment horizontal="center" vertical="center"/>
    </xf>
    <xf numFmtId="38" fontId="177" fillId="125" borderId="382" xfId="2" applyNumberFormat="1" applyFont="1" applyFill="1" applyBorder="1" applyAlignment="1">
      <alignment horizontal="center" vertical="center"/>
    </xf>
    <xf numFmtId="9" fontId="177" fillId="125" borderId="383" xfId="1" applyFont="1" applyFill="1" applyBorder="1" applyAlignment="1">
      <alignment horizontal="center" vertical="center"/>
    </xf>
    <xf numFmtId="9" fontId="177" fillId="125" borderId="382" xfId="1" applyFont="1" applyFill="1" applyBorder="1" applyAlignment="1">
      <alignment horizontal="center" vertical="center"/>
    </xf>
    <xf numFmtId="41" fontId="177" fillId="125" borderId="382" xfId="2" applyFont="1" applyFill="1" applyBorder="1" applyAlignment="1">
      <alignment horizontal="center" vertical="center"/>
    </xf>
    <xf numFmtId="41" fontId="178" fillId="127" borderId="6" xfId="2" applyFont="1" applyFill="1" applyBorder="1" applyAlignment="1">
      <alignment horizontal="center" vertical="center"/>
    </xf>
    <xf numFmtId="41" fontId="178" fillId="127" borderId="377" xfId="2" applyFont="1" applyFill="1" applyBorder="1" applyAlignment="1">
      <alignment horizontal="center" vertical="center"/>
    </xf>
    <xf numFmtId="41" fontId="178" fillId="127" borderId="120" xfId="2" applyFont="1" applyFill="1" applyBorder="1" applyAlignment="1">
      <alignment horizontal="center" vertical="center"/>
    </xf>
    <xf numFmtId="0" fontId="177" fillId="127" borderId="236" xfId="0" applyFont="1" applyFill="1" applyBorder="1" applyAlignment="1">
      <alignment horizontal="center" vertical="center"/>
    </xf>
    <xf numFmtId="41" fontId="178" fillId="127" borderId="236" xfId="2" applyFont="1" applyFill="1" applyBorder="1" applyAlignment="1">
      <alignment horizontal="center" vertical="center"/>
    </xf>
    <xf numFmtId="0" fontId="177" fillId="127" borderId="269" xfId="0" applyFont="1" applyFill="1" applyBorder="1" applyAlignment="1">
      <alignment horizontal="center" vertical="center"/>
    </xf>
    <xf numFmtId="41" fontId="178" fillId="127" borderId="269" xfId="2" applyFont="1" applyFill="1" applyBorder="1" applyAlignment="1">
      <alignment horizontal="center" vertical="center"/>
    </xf>
    <xf numFmtId="2" fontId="4" fillId="0" borderId="0" xfId="12074" applyNumberFormat="1" applyFont="1">
      <alignment vertical="center"/>
    </xf>
    <xf numFmtId="41" fontId="177" fillId="125" borderId="377" xfId="2" applyFont="1" applyFill="1" applyBorder="1" applyAlignment="1">
      <alignment horizontal="center" vertical="center"/>
    </xf>
    <xf numFmtId="38" fontId="177" fillId="125" borderId="377" xfId="2" applyNumberFormat="1" applyFont="1" applyFill="1" applyBorder="1" applyAlignment="1">
      <alignment horizontal="center" vertical="center"/>
    </xf>
    <xf numFmtId="9" fontId="177" fillId="125" borderId="377" xfId="1" applyFont="1" applyFill="1" applyBorder="1" applyAlignment="1">
      <alignment horizontal="center" vertical="center"/>
    </xf>
    <xf numFmtId="9" fontId="177" fillId="125" borderId="371" xfId="1" applyFont="1" applyFill="1" applyBorder="1" applyAlignment="1">
      <alignment horizontal="center" vertical="center"/>
    </xf>
    <xf numFmtId="187" fontId="58" fillId="7" borderId="120" xfId="2" applyNumberFormat="1" applyFont="1" applyFill="1" applyBorder="1" applyAlignment="1">
      <alignment horizontal="center" vertical="center"/>
    </xf>
    <xf numFmtId="3" fontId="58" fillId="7" borderId="120" xfId="2" applyNumberFormat="1" applyFont="1" applyFill="1" applyBorder="1" applyAlignment="1">
      <alignment horizontal="center" vertical="center"/>
    </xf>
    <xf numFmtId="38" fontId="29" fillId="0" borderId="120" xfId="2" applyNumberFormat="1" applyFont="1" applyFill="1" applyBorder="1" applyAlignment="1">
      <alignment horizontal="center" vertical="center"/>
    </xf>
    <xf numFmtId="9" fontId="29" fillId="0" borderId="121" xfId="1" applyFont="1" applyFill="1" applyBorder="1" applyAlignment="1">
      <alignment horizontal="center" vertical="center"/>
    </xf>
    <xf numFmtId="187" fontId="172" fillId="6" borderId="382" xfId="2" applyNumberFormat="1" applyFont="1" applyFill="1" applyBorder="1" applyAlignment="1">
      <alignment horizontal="center" vertical="center"/>
    </xf>
    <xf numFmtId="3" fontId="177" fillId="125" borderId="382" xfId="2" applyNumberFormat="1" applyFont="1" applyFill="1" applyBorder="1" applyAlignment="1">
      <alignment horizontal="center" vertical="center" wrapText="1"/>
    </xf>
    <xf numFmtId="178" fontId="177" fillId="125" borderId="382" xfId="2" applyNumberFormat="1" applyFont="1" applyFill="1" applyBorder="1" applyAlignment="1">
      <alignment horizontal="center" vertical="center"/>
    </xf>
    <xf numFmtId="226" fontId="172" fillId="8" borderId="120" xfId="0" applyNumberFormat="1" applyFont="1" applyFill="1" applyBorder="1" applyAlignment="1">
      <alignment horizontal="center" vertical="center"/>
    </xf>
    <xf numFmtId="2" fontId="172" fillId="8" borderId="120" xfId="0" applyNumberFormat="1" applyFont="1" applyFill="1" applyBorder="1" applyAlignment="1">
      <alignment horizontal="center" vertical="center" wrapText="1"/>
    </xf>
    <xf numFmtId="2" fontId="35" fillId="8" borderId="45" xfId="0" quotePrefix="1" applyNumberFormat="1" applyFont="1" applyFill="1" applyBorder="1" applyAlignment="1">
      <alignment horizontal="center" vertical="center"/>
    </xf>
    <xf numFmtId="2" fontId="35" fillId="8" borderId="120" xfId="0" applyNumberFormat="1" applyFont="1" applyFill="1" applyBorder="1" applyAlignment="1">
      <alignment horizontal="center" vertical="center"/>
    </xf>
    <xf numFmtId="0" fontId="35" fillId="8" borderId="120" xfId="0" applyFont="1" applyFill="1" applyBorder="1" applyAlignment="1">
      <alignment horizontal="center" vertical="center"/>
    </xf>
    <xf numFmtId="0" fontId="35" fillId="8" borderId="120" xfId="0" applyFont="1" applyFill="1" applyBorder="1" applyAlignment="1">
      <alignment horizontal="center" vertical="center" wrapText="1"/>
    </xf>
    <xf numFmtId="0" fontId="35" fillId="8" borderId="121" xfId="0" applyFont="1" applyFill="1" applyBorder="1" applyAlignment="1">
      <alignment horizontal="center" vertical="center" wrapText="1"/>
    </xf>
    <xf numFmtId="183" fontId="58" fillId="7" borderId="120" xfId="2" applyNumberFormat="1" applyFont="1" applyFill="1" applyBorder="1" applyAlignment="1">
      <alignment horizontal="center" vertical="center" wrapText="1"/>
    </xf>
    <xf numFmtId="183" fontId="29" fillId="7" borderId="45" xfId="2" applyNumberFormat="1" applyFont="1" applyFill="1" applyBorder="1" applyAlignment="1">
      <alignment horizontal="center" vertical="center" wrapText="1"/>
    </xf>
    <xf numFmtId="38" fontId="29" fillId="7" borderId="120" xfId="2" applyNumberFormat="1" applyFont="1" applyFill="1" applyBorder="1" applyAlignment="1">
      <alignment horizontal="center" vertical="center" wrapText="1"/>
    </xf>
    <xf numFmtId="0" fontId="177" fillId="125" borderId="214" xfId="0" applyFont="1" applyFill="1" applyBorder="1" applyAlignment="1">
      <alignment horizontal="center" vertical="center" wrapText="1"/>
    </xf>
    <xf numFmtId="38" fontId="177" fillId="125" borderId="214" xfId="0" applyNumberFormat="1" applyFont="1" applyFill="1" applyBorder="1" applyAlignment="1">
      <alignment horizontal="center" vertical="center"/>
    </xf>
    <xf numFmtId="9" fontId="177" fillId="125" borderId="214" xfId="1" applyFont="1" applyFill="1" applyBorder="1" applyAlignment="1">
      <alignment horizontal="center" vertical="center"/>
    </xf>
    <xf numFmtId="0" fontId="178" fillId="127" borderId="214" xfId="0" applyFont="1" applyFill="1" applyBorder="1" applyAlignment="1">
      <alignment horizontal="center" vertical="center"/>
    </xf>
    <xf numFmtId="183" fontId="177" fillId="125" borderId="269" xfId="0" applyNumberFormat="1" applyFont="1" applyFill="1" applyBorder="1" applyAlignment="1">
      <alignment horizontal="center" vertical="center"/>
    </xf>
    <xf numFmtId="183" fontId="177" fillId="125" borderId="214" xfId="0" applyNumberFormat="1" applyFont="1" applyFill="1" applyBorder="1" applyAlignment="1">
      <alignment horizontal="center" vertical="center"/>
    </xf>
    <xf numFmtId="38" fontId="177" fillId="125" borderId="236" xfId="0" applyNumberFormat="1" applyFont="1" applyFill="1" applyBorder="1" applyAlignment="1">
      <alignment horizontal="center" vertical="center"/>
    </xf>
    <xf numFmtId="187" fontId="58" fillId="15" borderId="372" xfId="2" applyNumberFormat="1" applyFont="1" applyFill="1" applyBorder="1" applyAlignment="1">
      <alignment horizontal="center" vertical="center"/>
    </xf>
    <xf numFmtId="0" fontId="58" fillId="15" borderId="371" xfId="0" applyFont="1" applyFill="1" applyBorder="1" applyAlignment="1">
      <alignment horizontal="center" vertical="center"/>
    </xf>
    <xf numFmtId="38" fontId="58" fillId="7" borderId="377" xfId="2" applyNumberFormat="1" applyFont="1" applyFill="1" applyBorder="1" applyAlignment="1">
      <alignment horizontal="center" vertical="center"/>
    </xf>
    <xf numFmtId="38" fontId="58" fillId="7" borderId="372" xfId="0" applyNumberFormat="1" applyFont="1" applyFill="1" applyBorder="1" applyAlignment="1">
      <alignment horizontal="center" vertical="center"/>
    </xf>
    <xf numFmtId="38" fontId="58" fillId="7" borderId="372" xfId="2" applyNumberFormat="1" applyFont="1" applyFill="1" applyBorder="1" applyAlignment="1">
      <alignment horizontal="center" vertical="center"/>
    </xf>
    <xf numFmtId="9" fontId="58" fillId="7" borderId="372" xfId="1" applyFont="1" applyFill="1" applyBorder="1" applyAlignment="1">
      <alignment horizontal="center" vertical="center"/>
    </xf>
    <xf numFmtId="38" fontId="58" fillId="15" borderId="381" xfId="2" applyNumberFormat="1" applyFont="1" applyFill="1" applyBorder="1" applyAlignment="1">
      <alignment horizontal="center" vertical="center"/>
    </xf>
    <xf numFmtId="0" fontId="58" fillId="15" borderId="383" xfId="0" applyFont="1" applyFill="1" applyBorder="1" applyAlignment="1">
      <alignment horizontal="center" vertical="center"/>
    </xf>
    <xf numFmtId="9" fontId="178" fillId="15" borderId="381" xfId="1" applyFont="1" applyFill="1" applyBorder="1" applyAlignment="1">
      <alignment horizontal="center" vertical="center"/>
    </xf>
    <xf numFmtId="183" fontId="58" fillId="7" borderId="328" xfId="2" applyNumberFormat="1" applyFont="1" applyFill="1" applyBorder="1" applyAlignment="1">
      <alignment horizontal="center" vertical="center"/>
    </xf>
    <xf numFmtId="183" fontId="58" fillId="7" borderId="226" xfId="2" applyNumberFormat="1" applyFont="1" applyFill="1" applyBorder="1" applyAlignment="1">
      <alignment horizontal="center" vertical="center"/>
    </xf>
    <xf numFmtId="178" fontId="58" fillId="0" borderId="328" xfId="2" applyNumberFormat="1" applyFont="1" applyFill="1" applyBorder="1" applyAlignment="1">
      <alignment horizontal="center" vertical="center"/>
    </xf>
    <xf numFmtId="183" fontId="58" fillId="0" borderId="292" xfId="2" applyNumberFormat="1" applyFont="1" applyFill="1" applyBorder="1" applyAlignment="1">
      <alignment horizontal="center" vertical="center" wrapText="1"/>
    </xf>
    <xf numFmtId="183" fontId="58" fillId="7" borderId="38" xfId="2" applyNumberFormat="1" applyFont="1" applyFill="1" applyBorder="1" applyAlignment="1">
      <alignment horizontal="center" vertical="center"/>
    </xf>
    <xf numFmtId="0" fontId="58" fillId="15" borderId="327" xfId="0" applyFont="1" applyFill="1" applyBorder="1" applyAlignment="1">
      <alignment horizontal="center" vertical="center"/>
    </xf>
    <xf numFmtId="187" fontId="172" fillId="0" borderId="226" xfId="0" applyNumberFormat="1" applyFont="1" applyBorder="1" applyAlignment="1">
      <alignment horizontal="center" vertical="center"/>
    </xf>
    <xf numFmtId="1" fontId="58" fillId="0" borderId="377" xfId="0" applyNumberFormat="1" applyFont="1" applyFill="1" applyBorder="1" applyAlignment="1">
      <alignment horizontal="center" vertical="center"/>
    </xf>
    <xf numFmtId="176" fontId="58" fillId="0" borderId="374" xfId="0" applyNumberFormat="1" applyFont="1" applyFill="1" applyBorder="1" applyAlignment="1">
      <alignment horizontal="center" vertical="center"/>
    </xf>
    <xf numFmtId="1" fontId="58" fillId="0" borderId="372" xfId="0" applyNumberFormat="1" applyFont="1" applyFill="1" applyBorder="1" applyAlignment="1">
      <alignment horizontal="center" vertical="center"/>
    </xf>
    <xf numFmtId="176" fontId="58" fillId="0" borderId="372" xfId="0" applyNumberFormat="1" applyFont="1" applyFill="1" applyBorder="1" applyAlignment="1">
      <alignment horizontal="center" vertical="center"/>
    </xf>
    <xf numFmtId="2" fontId="58" fillId="0" borderId="328" xfId="0" applyNumberFormat="1" applyFont="1" applyFill="1" applyBorder="1" applyAlignment="1">
      <alignment horizontal="center" vertical="center"/>
    </xf>
    <xf numFmtId="226" fontId="58" fillId="0" borderId="45" xfId="2" applyNumberFormat="1" applyFont="1" applyBorder="1" applyAlignment="1">
      <alignment horizontal="center" vertical="center"/>
    </xf>
    <xf numFmtId="187" fontId="58" fillId="0" borderId="328" xfId="2" applyNumberFormat="1" applyFont="1" applyFill="1" applyBorder="1" applyAlignment="1">
      <alignment horizontal="center" vertical="center"/>
    </xf>
    <xf numFmtId="187" fontId="58" fillId="0" borderId="38" xfId="2" applyNumberFormat="1" applyFont="1" applyFill="1" applyBorder="1" applyAlignment="1">
      <alignment horizontal="center" vertical="center"/>
    </xf>
    <xf numFmtId="226" fontId="58" fillId="0" borderId="134" xfId="2" applyNumberFormat="1" applyFont="1" applyBorder="1" applyAlignment="1">
      <alignment horizontal="center" vertical="center"/>
    </xf>
    <xf numFmtId="187" fontId="58" fillId="0" borderId="310" xfId="2" applyNumberFormat="1" applyFont="1" applyBorder="1" applyAlignment="1">
      <alignment horizontal="center" vertical="center"/>
    </xf>
    <xf numFmtId="187" fontId="58" fillId="0" borderId="385" xfId="2" applyNumberFormat="1" applyFont="1" applyBorder="1" applyAlignment="1">
      <alignment horizontal="center" vertical="center"/>
    </xf>
    <xf numFmtId="187" fontId="58" fillId="0" borderId="328" xfId="2" applyNumberFormat="1" applyFont="1" applyBorder="1" applyAlignment="1">
      <alignment horizontal="center" vertical="center"/>
    </xf>
    <xf numFmtId="38" fontId="172" fillId="0" borderId="226" xfId="2" applyNumberFormat="1" applyFont="1" applyBorder="1" applyAlignment="1">
      <alignment horizontal="center" vertical="center"/>
    </xf>
    <xf numFmtId="181" fontId="126" fillId="0" borderId="94" xfId="4124" applyNumberFormat="1" applyFont="1" applyFill="1" applyBorder="1" applyAlignment="1">
      <alignment horizontal="center" vertical="center"/>
    </xf>
    <xf numFmtId="185" fontId="58" fillId="0" borderId="375" xfId="0" applyNumberFormat="1" applyFont="1" applyFill="1" applyBorder="1" applyAlignment="1">
      <alignment horizontal="center" vertical="center"/>
    </xf>
    <xf numFmtId="0" fontId="177" fillId="125" borderId="35" xfId="0" quotePrefix="1" applyFont="1" applyFill="1" applyBorder="1" applyAlignment="1">
      <alignment horizontal="center" vertical="center"/>
    </xf>
    <xf numFmtId="183" fontId="58" fillId="0" borderId="46" xfId="2" applyNumberFormat="1" applyFont="1" applyBorder="1" applyAlignment="1">
      <alignment horizontal="center" vertical="center"/>
    </xf>
    <xf numFmtId="0" fontId="29" fillId="7" borderId="377" xfId="0" applyFont="1" applyFill="1" applyBorder="1" applyAlignment="1">
      <alignment horizontal="center" vertical="center"/>
    </xf>
    <xf numFmtId="0" fontId="29" fillId="7" borderId="377" xfId="0" applyFont="1" applyFill="1" applyBorder="1">
      <alignment vertical="center"/>
    </xf>
    <xf numFmtId="0" fontId="29" fillId="3" borderId="377" xfId="0" applyFont="1" applyFill="1" applyBorder="1" applyAlignment="1">
      <alignment horizontal="center" vertical="center"/>
    </xf>
    <xf numFmtId="2" fontId="29" fillId="7" borderId="0" xfId="0" applyNumberFormat="1" applyFont="1" applyFill="1" applyAlignment="1">
      <alignment horizontal="center" vertical="center"/>
    </xf>
    <xf numFmtId="176" fontId="29" fillId="7" borderId="0" xfId="0" applyNumberFormat="1" applyFont="1" applyFill="1" applyAlignment="1">
      <alignment horizontal="center" vertical="center"/>
    </xf>
    <xf numFmtId="178" fontId="29" fillId="7" borderId="0" xfId="0" applyNumberFormat="1" applyFont="1" applyFill="1" applyAlignment="1">
      <alignment horizontal="center" vertical="center"/>
    </xf>
    <xf numFmtId="0" fontId="26" fillId="0" borderId="119" xfId="0" applyFont="1" applyBorder="1" applyAlignment="1">
      <alignment horizontal="center" vertical="center"/>
    </xf>
    <xf numFmtId="225" fontId="26" fillId="0" borderId="120" xfId="0" applyNumberFormat="1" applyFont="1" applyBorder="1" applyAlignment="1">
      <alignment horizontal="center" vertical="center"/>
    </xf>
    <xf numFmtId="0" fontId="26" fillId="0" borderId="352" xfId="0" applyFont="1" applyBorder="1" applyAlignment="1">
      <alignment horizontal="center" vertical="center"/>
    </xf>
    <xf numFmtId="185" fontId="26" fillId="0" borderId="6" xfId="0" applyNumberFormat="1" applyFont="1" applyBorder="1" applyAlignment="1">
      <alignment horizontal="center" vertical="center"/>
    </xf>
    <xf numFmtId="185" fontId="26" fillId="0" borderId="377" xfId="0" applyNumberFormat="1" applyFont="1" applyBorder="1" applyAlignment="1">
      <alignment horizontal="center" vertical="center"/>
    </xf>
    <xf numFmtId="185" fontId="26" fillId="0" borderId="0" xfId="0" applyNumberFormat="1" applyFont="1" applyAlignment="1">
      <alignment horizontal="center" vertical="center"/>
    </xf>
    <xf numFmtId="0" fontId="29" fillId="3" borderId="0" xfId="0" applyFont="1" applyFill="1">
      <alignment vertical="center"/>
    </xf>
    <xf numFmtId="0" fontId="177" fillId="125" borderId="374" xfId="0" applyFont="1" applyFill="1" applyBorder="1" applyAlignment="1">
      <alignment horizontal="center" vertical="center" wrapText="1"/>
    </xf>
    <xf numFmtId="0" fontId="166" fillId="0" borderId="374" xfId="0" applyFont="1" applyBorder="1" applyAlignment="1">
      <alignment horizontal="center" vertical="center" wrapText="1"/>
    </xf>
    <xf numFmtId="4" fontId="58" fillId="7" borderId="45" xfId="2" applyNumberFormat="1" applyFont="1" applyFill="1" applyBorder="1" applyAlignment="1">
      <alignment horizontal="center" vertical="center"/>
    </xf>
    <xf numFmtId="4" fontId="58" fillId="7" borderId="38" xfId="2" applyNumberFormat="1" applyFont="1" applyFill="1" applyBorder="1" applyAlignment="1">
      <alignment horizontal="center" vertical="center"/>
    </xf>
    <xf numFmtId="237" fontId="28" fillId="5" borderId="214" xfId="2" applyNumberFormat="1" applyFont="1" applyFill="1" applyBorder="1" applyAlignment="1">
      <alignment horizontal="center" vertical="center"/>
    </xf>
    <xf numFmtId="237" fontId="28" fillId="5" borderId="214" xfId="0" applyNumberFormat="1" applyFont="1" applyFill="1" applyBorder="1" applyAlignment="1">
      <alignment horizontal="center" vertical="center"/>
    </xf>
    <xf numFmtId="186" fontId="0" fillId="0" borderId="0" xfId="4124" applyNumberFormat="1" applyFont="1" applyAlignment="1">
      <alignment horizontal="left"/>
    </xf>
    <xf numFmtId="176" fontId="58" fillId="0" borderId="375" xfId="0" applyNumberFormat="1" applyFont="1" applyFill="1" applyBorder="1" applyAlignment="1">
      <alignment horizontal="center" vertical="center"/>
    </xf>
    <xf numFmtId="1" fontId="58" fillId="0" borderId="370" xfId="0" applyNumberFormat="1" applyFont="1" applyFill="1" applyBorder="1" applyAlignment="1">
      <alignment horizontal="center" vertical="center"/>
    </xf>
    <xf numFmtId="9" fontId="172" fillId="7" borderId="226" xfId="1" applyFont="1" applyFill="1" applyBorder="1" applyAlignment="1">
      <alignment horizontal="center" vertical="center"/>
    </xf>
    <xf numFmtId="0" fontId="172" fillId="7" borderId="227" xfId="0" applyFont="1" applyFill="1" applyBorder="1" applyAlignment="1">
      <alignment horizontal="center" vertical="center"/>
    </xf>
    <xf numFmtId="0" fontId="187" fillId="3" borderId="0" xfId="0" applyFont="1" applyFill="1">
      <alignment vertical="center"/>
    </xf>
    <xf numFmtId="177" fontId="26" fillId="0" borderId="120" xfId="0" applyNumberFormat="1" applyFont="1" applyBorder="1" applyAlignment="1">
      <alignment horizontal="center" vertical="center"/>
    </xf>
    <xf numFmtId="177" fontId="26" fillId="0" borderId="121" xfId="0" applyNumberFormat="1" applyFont="1" applyBorder="1" applyAlignment="1">
      <alignment horizontal="center" vertical="center"/>
    </xf>
    <xf numFmtId="187" fontId="29" fillId="0" borderId="200" xfId="2" applyNumberFormat="1" applyFont="1" applyFill="1" applyBorder="1" applyAlignment="1">
      <alignment horizontal="center" vertical="center"/>
    </xf>
    <xf numFmtId="0" fontId="38" fillId="11" borderId="0" xfId="0" applyFont="1" applyFill="1" applyBorder="1" applyAlignment="1" applyProtection="1">
      <alignment horizontal="center" vertical="center"/>
      <protection locked="0"/>
    </xf>
    <xf numFmtId="0" fontId="0" fillId="11" borderId="0" xfId="0" applyFill="1" applyAlignment="1" applyProtection="1">
      <alignment horizontal="center" vertical="center"/>
      <protection locked="0"/>
    </xf>
    <xf numFmtId="0" fontId="0" fillId="12" borderId="0" xfId="0" applyFill="1" applyAlignment="1" applyProtection="1">
      <alignment horizontal="center" vertical="center"/>
      <protection locked="0"/>
    </xf>
    <xf numFmtId="0" fontId="58" fillId="15" borderId="226" xfId="0" applyFont="1" applyFill="1" applyBorder="1">
      <alignment vertical="center"/>
    </xf>
    <xf numFmtId="0" fontId="172" fillId="15" borderId="108" xfId="0" applyFont="1" applyFill="1" applyBorder="1" applyAlignment="1">
      <alignment vertical="center"/>
    </xf>
    <xf numFmtId="187" fontId="172" fillId="15" borderId="224" xfId="0" applyNumberFormat="1" applyFont="1" applyFill="1" applyBorder="1" applyAlignment="1">
      <alignment horizontal="center" vertical="center"/>
    </xf>
    <xf numFmtId="187" fontId="172" fillId="15" borderId="226" xfId="0" applyNumberFormat="1" applyFont="1" applyFill="1" applyBorder="1" applyAlignment="1">
      <alignment horizontal="center" vertical="center"/>
    </xf>
    <xf numFmtId="187" fontId="172" fillId="15" borderId="223" xfId="0" applyNumberFormat="1" applyFont="1" applyFill="1" applyBorder="1" applyAlignment="1">
      <alignment horizontal="center" vertical="center"/>
    </xf>
    <xf numFmtId="9" fontId="172" fillId="15" borderId="224" xfId="1" applyFont="1" applyFill="1" applyBorder="1" applyAlignment="1">
      <alignment horizontal="center" vertical="center"/>
    </xf>
    <xf numFmtId="187" fontId="172" fillId="15" borderId="389" xfId="0" applyNumberFormat="1" applyFont="1" applyFill="1" applyBorder="1" applyAlignment="1">
      <alignment vertical="center"/>
    </xf>
    <xf numFmtId="38" fontId="172" fillId="0" borderId="285" xfId="2" applyNumberFormat="1" applyFont="1" applyBorder="1" applyAlignment="1">
      <alignment horizontal="center" vertical="center"/>
    </xf>
    <xf numFmtId="0" fontId="175" fillId="0" borderId="377" xfId="0" applyFont="1" applyBorder="1" applyAlignment="1">
      <alignment horizontal="center" vertical="center" wrapText="1" readingOrder="1"/>
    </xf>
    <xf numFmtId="185" fontId="29" fillId="7" borderId="377" xfId="0" applyNumberFormat="1" applyFont="1" applyFill="1" applyBorder="1" applyAlignment="1">
      <alignment horizontal="center" vertical="center"/>
    </xf>
    <xf numFmtId="183" fontId="29" fillId="7" borderId="0" xfId="0" applyNumberFormat="1" applyFont="1" applyFill="1" applyAlignment="1">
      <alignment horizontal="center" vertical="center"/>
    </xf>
    <xf numFmtId="0" fontId="199" fillId="0" borderId="215" xfId="0" applyFont="1" applyBorder="1" applyAlignment="1">
      <alignment horizontal="center" vertical="center" wrapText="1" readingOrder="1"/>
    </xf>
    <xf numFmtId="0" fontId="200" fillId="0" borderId="215" xfId="0" applyFont="1" applyBorder="1" applyAlignment="1">
      <alignment horizontal="center" vertical="center" wrapText="1" readingOrder="1"/>
    </xf>
    <xf numFmtId="0" fontId="26" fillId="0" borderId="253" xfId="0" applyFont="1" applyBorder="1" applyAlignment="1">
      <alignment vertical="center" wrapText="1"/>
    </xf>
    <xf numFmtId="0" fontId="29" fillId="0" borderId="253" xfId="0" applyFont="1" applyBorder="1" applyAlignment="1">
      <alignment vertical="center" wrapText="1"/>
    </xf>
    <xf numFmtId="0" fontId="29" fillId="0" borderId="253" xfId="0" applyFont="1" applyBorder="1" applyAlignment="1">
      <alignment vertical="center"/>
    </xf>
    <xf numFmtId="2" fontId="29" fillId="7" borderId="377" xfId="0" applyNumberFormat="1" applyFont="1" applyFill="1" applyBorder="1" applyAlignment="1">
      <alignment horizontal="center" vertical="center"/>
    </xf>
    <xf numFmtId="183" fontId="58" fillId="7" borderId="45" xfId="2" applyNumberFormat="1" applyFont="1" applyFill="1" applyBorder="1" applyAlignment="1">
      <alignment horizontal="center" vertical="center" wrapText="1"/>
    </xf>
    <xf numFmtId="41" fontId="52" fillId="0" borderId="391" xfId="4124" applyFont="1" applyFill="1" applyBorder="1" applyAlignment="1">
      <alignment horizontal="center" vertical="center"/>
    </xf>
    <xf numFmtId="3" fontId="58" fillId="0" borderId="328" xfId="0" applyNumberFormat="1" applyFont="1" applyBorder="1" applyAlignment="1">
      <alignment horizontal="center" vertical="center"/>
    </xf>
    <xf numFmtId="178" fontId="29" fillId="7" borderId="0" xfId="0" applyNumberFormat="1" applyFont="1" applyFill="1">
      <alignment vertical="center"/>
    </xf>
    <xf numFmtId="0" fontId="172" fillId="0" borderId="0" xfId="0" applyFont="1" applyBorder="1" applyAlignment="1">
      <alignment horizontal="left" vertical="center"/>
    </xf>
    <xf numFmtId="0" fontId="58" fillId="0" borderId="0" xfId="0" applyFont="1" applyBorder="1" applyAlignment="1">
      <alignment horizontal="center" vertical="center" wrapText="1"/>
    </xf>
    <xf numFmtId="178" fontId="29" fillId="7" borderId="377" xfId="0" applyNumberFormat="1" applyFont="1" applyFill="1" applyBorder="1" applyAlignment="1">
      <alignment horizontal="center" vertical="center"/>
    </xf>
    <xf numFmtId="0" fontId="178" fillId="127" borderId="393" xfId="0" applyFont="1" applyFill="1" applyBorder="1" applyAlignment="1">
      <alignment horizontal="center" vertical="center" wrapText="1" readingOrder="1"/>
    </xf>
    <xf numFmtId="0" fontId="166" fillId="0" borderId="393" xfId="0" applyFont="1" applyBorder="1" applyAlignment="1">
      <alignment horizontal="center" vertical="center" wrapText="1"/>
    </xf>
    <xf numFmtId="9" fontId="166" fillId="0" borderId="82" xfId="1" applyFont="1" applyBorder="1" applyAlignment="1">
      <alignment horizontal="center" vertical="center" wrapText="1"/>
    </xf>
    <xf numFmtId="0" fontId="178" fillId="127" borderId="253" xfId="0" applyFont="1" applyFill="1" applyBorder="1" applyAlignment="1">
      <alignment horizontal="center" vertical="center" wrapText="1" readingOrder="1"/>
    </xf>
    <xf numFmtId="0" fontId="166" fillId="0" borderId="253" xfId="0" applyFont="1" applyBorder="1" applyAlignment="1">
      <alignment horizontal="center" vertical="center" wrapText="1"/>
    </xf>
    <xf numFmtId="185" fontId="166" fillId="0" borderId="253" xfId="0" applyNumberFormat="1" applyFont="1" applyBorder="1" applyAlignment="1">
      <alignment horizontal="center" vertical="center" wrapText="1"/>
    </xf>
    <xf numFmtId="9" fontId="166" fillId="0" borderId="253" xfId="1" applyFont="1" applyBorder="1" applyAlignment="1">
      <alignment horizontal="center" vertical="center" wrapText="1"/>
    </xf>
    <xf numFmtId="0" fontId="177" fillId="125" borderId="253" xfId="0" applyFont="1" applyFill="1" applyBorder="1" applyAlignment="1">
      <alignment horizontal="center" vertical="center" wrapText="1" readingOrder="1"/>
    </xf>
    <xf numFmtId="0" fontId="177" fillId="125" borderId="253" xfId="0" applyFont="1" applyFill="1" applyBorder="1" applyAlignment="1">
      <alignment horizontal="center" vertical="center" wrapText="1"/>
    </xf>
    <xf numFmtId="9" fontId="177" fillId="125" borderId="253" xfId="1" applyFont="1" applyFill="1" applyBorder="1" applyAlignment="1">
      <alignment horizontal="center" vertical="center" wrapText="1"/>
    </xf>
    <xf numFmtId="3" fontId="177" fillId="125" borderId="253" xfId="0" applyNumberFormat="1" applyFont="1" applyFill="1" applyBorder="1" applyAlignment="1">
      <alignment horizontal="center" vertical="center" wrapText="1"/>
    </xf>
    <xf numFmtId="9" fontId="177" fillId="125" borderId="253" xfId="1" applyFont="1" applyFill="1" applyBorder="1" applyAlignment="1">
      <alignment horizontal="center" vertical="center"/>
    </xf>
    <xf numFmtId="0" fontId="29" fillId="0" borderId="253" xfId="0" applyFont="1" applyBorder="1">
      <alignment vertical="center"/>
    </xf>
    <xf numFmtId="0" fontId="178" fillId="127" borderId="253" xfId="0" applyFont="1" applyFill="1" applyBorder="1" applyAlignment="1">
      <alignment horizontal="center" vertical="center" wrapText="1"/>
    </xf>
    <xf numFmtId="0" fontId="166" fillId="16" borderId="253" xfId="0" applyFont="1" applyFill="1" applyBorder="1" applyAlignment="1">
      <alignment horizontal="center" vertical="center" wrapText="1"/>
    </xf>
    <xf numFmtId="0" fontId="177" fillId="125" borderId="83" xfId="0" applyFont="1" applyFill="1" applyBorder="1" applyAlignment="1">
      <alignment horizontal="center" vertical="center" wrapText="1"/>
    </xf>
    <xf numFmtId="9" fontId="177" fillId="125" borderId="83" xfId="1" applyFont="1" applyFill="1" applyBorder="1" applyAlignment="1">
      <alignment horizontal="center" vertical="center" wrapText="1"/>
    </xf>
    <xf numFmtId="3" fontId="177" fillId="125" borderId="83" xfId="0" applyNumberFormat="1" applyFont="1" applyFill="1" applyBorder="1" applyAlignment="1">
      <alignment horizontal="center" vertical="center" wrapText="1" readingOrder="1"/>
    </xf>
    <xf numFmtId="3" fontId="177" fillId="125" borderId="83" xfId="0" applyNumberFormat="1" applyFont="1" applyFill="1" applyBorder="1" applyAlignment="1">
      <alignment horizontal="center" vertical="center" wrapText="1"/>
    </xf>
    <xf numFmtId="9" fontId="177" fillId="125" borderId="83" xfId="1" applyFont="1" applyFill="1" applyBorder="1" applyAlignment="1">
      <alignment horizontal="center" vertical="center"/>
    </xf>
    <xf numFmtId="9" fontId="177" fillId="125" borderId="258" xfId="1" applyFont="1" applyFill="1" applyBorder="1" applyAlignment="1">
      <alignment horizontal="center" vertical="center" wrapText="1"/>
    </xf>
    <xf numFmtId="9" fontId="177" fillId="125" borderId="259" xfId="1" applyFont="1" applyFill="1" applyBorder="1" applyAlignment="1">
      <alignment horizontal="center" vertical="center" wrapText="1"/>
    </xf>
    <xf numFmtId="38" fontId="177" fillId="125" borderId="379" xfId="1" applyNumberFormat="1" applyFont="1" applyFill="1" applyBorder="1" applyAlignment="1">
      <alignment horizontal="center" vertical="center" wrapText="1"/>
    </xf>
    <xf numFmtId="38" fontId="177" fillId="125" borderId="394" xfId="1" applyNumberFormat="1" applyFont="1" applyFill="1" applyBorder="1" applyAlignment="1">
      <alignment horizontal="center" vertical="center" wrapText="1"/>
    </xf>
    <xf numFmtId="38" fontId="58" fillId="7" borderId="286" xfId="2" applyNumberFormat="1" applyFont="1" applyFill="1" applyBorder="1" applyAlignment="1">
      <alignment horizontal="center" vertical="center"/>
    </xf>
    <xf numFmtId="223" fontId="58" fillId="0" borderId="120" xfId="2" applyNumberFormat="1" applyFont="1" applyBorder="1" applyAlignment="1">
      <alignment horizontal="center" vertical="center"/>
    </xf>
    <xf numFmtId="183" fontId="58" fillId="0" borderId="368" xfId="0" applyNumberFormat="1" applyFont="1" applyFill="1" applyBorder="1" applyAlignment="1">
      <alignment horizontal="center" vertical="center"/>
    </xf>
    <xf numFmtId="183" fontId="58" fillId="0" borderId="373" xfId="0" applyNumberFormat="1" applyFont="1" applyFill="1" applyBorder="1" applyAlignment="1">
      <alignment horizontal="center" vertical="center"/>
    </xf>
    <xf numFmtId="183" fontId="58" fillId="0" borderId="373" xfId="2" applyNumberFormat="1" applyFont="1" applyFill="1" applyBorder="1" applyAlignment="1">
      <alignment horizontal="center" vertical="center"/>
    </xf>
    <xf numFmtId="183" fontId="58" fillId="0" borderId="368" xfId="2" applyNumberFormat="1" applyFont="1" applyFill="1" applyBorder="1" applyAlignment="1">
      <alignment horizontal="center" vertical="center"/>
    </xf>
    <xf numFmtId="0" fontId="178" fillId="126" borderId="395" xfId="0" applyFont="1" applyFill="1" applyBorder="1" applyAlignment="1">
      <alignment horizontal="center" vertical="center"/>
    </xf>
    <xf numFmtId="183" fontId="58" fillId="0" borderId="396" xfId="2" applyNumberFormat="1" applyFont="1" applyFill="1" applyBorder="1" applyAlignment="1">
      <alignment horizontal="center" vertical="center"/>
    </xf>
    <xf numFmtId="183" fontId="58" fillId="0" borderId="397" xfId="2" applyNumberFormat="1" applyFont="1" applyFill="1" applyBorder="1" applyAlignment="1">
      <alignment horizontal="center" vertical="center"/>
    </xf>
    <xf numFmtId="1" fontId="58" fillId="0" borderId="384" xfId="0" applyNumberFormat="1" applyFont="1" applyFill="1" applyBorder="1" applyAlignment="1">
      <alignment horizontal="center" vertical="center"/>
    </xf>
    <xf numFmtId="1" fontId="58" fillId="0" borderId="382" xfId="0" applyNumberFormat="1" applyFont="1" applyFill="1" applyBorder="1" applyAlignment="1">
      <alignment horizontal="center" vertical="center"/>
    </xf>
    <xf numFmtId="226" fontId="58" fillId="0" borderId="396" xfId="2" applyNumberFormat="1" applyFont="1" applyFill="1" applyBorder="1" applyAlignment="1">
      <alignment horizontal="center" vertical="center"/>
    </xf>
    <xf numFmtId="226" fontId="58" fillId="0" borderId="397" xfId="2" applyNumberFormat="1" applyFont="1" applyFill="1" applyBorder="1" applyAlignment="1">
      <alignment horizontal="center" vertical="center"/>
    </xf>
    <xf numFmtId="0" fontId="178" fillId="126" borderId="121" xfId="0" applyFont="1" applyFill="1" applyBorder="1" applyAlignment="1">
      <alignment horizontal="center" vertical="center"/>
    </xf>
    <xf numFmtId="0" fontId="0" fillId="0" borderId="47" xfId="0" applyBorder="1" applyAlignment="1">
      <alignment horizontal="center" vertical="center"/>
    </xf>
    <xf numFmtId="0" fontId="0" fillId="0" borderId="120" xfId="0" applyBorder="1" applyAlignment="1">
      <alignment horizontal="center" vertical="center"/>
    </xf>
    <xf numFmtId="0" fontId="178" fillId="126" borderId="371" xfId="0" applyFont="1" applyFill="1" applyBorder="1" applyAlignment="1">
      <alignment horizontal="center" vertical="center"/>
    </xf>
    <xf numFmtId="0" fontId="0" fillId="0" borderId="374" xfId="0" applyBorder="1" applyAlignment="1">
      <alignment horizontal="center" vertical="center"/>
    </xf>
    <xf numFmtId="0" fontId="0" fillId="0" borderId="377" xfId="0" applyBorder="1" applyAlignment="1">
      <alignment horizontal="center" vertical="center"/>
    </xf>
    <xf numFmtId="0" fontId="178" fillId="126" borderId="243" xfId="0" applyFont="1" applyFill="1" applyBorder="1" applyAlignment="1">
      <alignment horizontal="center" vertical="center"/>
    </xf>
    <xf numFmtId="0" fontId="0" fillId="0" borderId="291" xfId="0" applyBorder="1" applyAlignment="1">
      <alignment horizontal="center" vertical="center"/>
    </xf>
    <xf numFmtId="0" fontId="0" fillId="0" borderId="216" xfId="0" applyBorder="1" applyAlignment="1">
      <alignment horizontal="center" vertical="center"/>
    </xf>
    <xf numFmtId="0" fontId="178" fillId="126" borderId="383" xfId="0" applyFont="1" applyFill="1" applyBorder="1" applyAlignment="1">
      <alignment horizontal="center" vertical="center"/>
    </xf>
    <xf numFmtId="0" fontId="0" fillId="0" borderId="386" xfId="0" applyBorder="1" applyAlignment="1">
      <alignment horizontal="center" vertical="center"/>
    </xf>
    <xf numFmtId="0" fontId="0" fillId="0" borderId="382" xfId="0" applyBorder="1" applyAlignment="1">
      <alignment horizontal="center" vertical="center"/>
    </xf>
    <xf numFmtId="176" fontId="29" fillId="7" borderId="377" xfId="0" applyNumberFormat="1" applyFont="1" applyFill="1" applyBorder="1" applyAlignment="1">
      <alignment horizontal="center" vertical="center"/>
    </xf>
    <xf numFmtId="0" fontId="58" fillId="0" borderId="253" xfId="0" applyFont="1" applyBorder="1" applyAlignment="1">
      <alignment vertical="center" wrapText="1"/>
    </xf>
    <xf numFmtId="4" fontId="35" fillId="7" borderId="0" xfId="0" applyNumberFormat="1" applyFont="1" applyFill="1" applyBorder="1" applyAlignment="1">
      <alignment horizontal="center" vertical="center"/>
    </xf>
    <xf numFmtId="40" fontId="35" fillId="7" borderId="0" xfId="0" applyNumberFormat="1" applyFont="1" applyFill="1" applyBorder="1" applyAlignment="1">
      <alignment horizontal="center" vertical="center"/>
    </xf>
    <xf numFmtId="0" fontId="201" fillId="7" borderId="377" xfId="0" applyFont="1" applyFill="1" applyBorder="1" applyAlignment="1">
      <alignment horizontal="center" vertical="center" wrapText="1" readingOrder="1"/>
    </xf>
    <xf numFmtId="0" fontId="201" fillId="0" borderId="214" xfId="0" applyFont="1" applyBorder="1" applyAlignment="1">
      <alignment horizontal="center" vertical="center" wrapText="1" readingOrder="1"/>
    </xf>
    <xf numFmtId="0" fontId="179" fillId="0" borderId="377" xfId="0" applyFont="1" applyBorder="1" applyAlignment="1">
      <alignment horizontal="center" vertical="center" wrapText="1" readingOrder="1"/>
    </xf>
    <xf numFmtId="3" fontId="202" fillId="0" borderId="377" xfId="0" applyNumberFormat="1" applyFont="1" applyBorder="1" applyAlignment="1">
      <alignment horizontal="center" vertical="center"/>
    </xf>
    <xf numFmtId="0" fontId="172" fillId="5" borderId="377" xfId="0" quotePrefix="1" applyFont="1" applyFill="1" applyBorder="1" applyAlignment="1">
      <alignment horizontal="center" vertical="center"/>
    </xf>
    <xf numFmtId="4" fontId="29" fillId="7" borderId="38" xfId="2" applyNumberFormat="1" applyFont="1" applyFill="1" applyBorder="1" applyAlignment="1">
      <alignment horizontal="center" vertical="center"/>
    </xf>
    <xf numFmtId="176" fontId="204" fillId="7" borderId="0" xfId="0" applyNumberFormat="1" applyFont="1" applyFill="1" applyBorder="1" applyAlignment="1">
      <alignment horizontal="center" vertical="center"/>
    </xf>
    <xf numFmtId="0" fontId="205" fillId="7" borderId="35" xfId="0" applyFont="1" applyFill="1" applyBorder="1" applyAlignment="1">
      <alignment vertical="center"/>
    </xf>
    <xf numFmtId="0" fontId="58" fillId="7" borderId="327" xfId="0" applyFont="1" applyFill="1" applyBorder="1" applyAlignment="1">
      <alignment horizontal="center" vertical="center"/>
    </xf>
    <xf numFmtId="38" fontId="172" fillId="0" borderId="224" xfId="2" applyNumberFormat="1" applyFont="1" applyBorder="1" applyAlignment="1">
      <alignment horizontal="center" vertical="center"/>
    </xf>
    <xf numFmtId="0" fontId="177" fillId="125" borderId="216" xfId="0" applyFont="1" applyFill="1" applyBorder="1" applyAlignment="1">
      <alignment horizontal="center" vertical="center"/>
    </xf>
    <xf numFmtId="0" fontId="177" fillId="125" borderId="122" xfId="0" applyFont="1" applyFill="1" applyBorder="1" applyAlignment="1">
      <alignment horizontal="center" vertical="center"/>
    </xf>
    <xf numFmtId="178" fontId="58" fillId="0" borderId="377" xfId="2" applyNumberFormat="1" applyFont="1" applyFill="1" applyBorder="1" applyAlignment="1">
      <alignment horizontal="center" vertical="center" wrapText="1"/>
    </xf>
    <xf numFmtId="183" fontId="58" fillId="0" borderId="377" xfId="2" applyNumberFormat="1" applyFont="1" applyFill="1" applyBorder="1" applyAlignment="1">
      <alignment horizontal="center" vertical="center" wrapText="1"/>
    </xf>
    <xf numFmtId="183" fontId="58" fillId="0" borderId="297" xfId="2" applyNumberFormat="1" applyFont="1" applyFill="1" applyBorder="1" applyAlignment="1">
      <alignment horizontal="center" vertical="center"/>
    </xf>
    <xf numFmtId="178" fontId="58" fillId="0" borderId="294" xfId="2" applyNumberFormat="1" applyFont="1" applyFill="1" applyBorder="1" applyAlignment="1">
      <alignment horizontal="center" vertical="center"/>
    </xf>
    <xf numFmtId="183" fontId="58" fillId="0" borderId="377" xfId="0" applyNumberFormat="1" applyFont="1" applyFill="1" applyBorder="1" applyAlignment="1">
      <alignment horizontal="center" vertical="center"/>
    </xf>
    <xf numFmtId="0" fontId="177" fillId="125" borderId="368" xfId="0" applyFont="1" applyFill="1" applyBorder="1" applyAlignment="1">
      <alignment horizontal="center" vertical="center"/>
    </xf>
    <xf numFmtId="0" fontId="177" fillId="125" borderId="373" xfId="0" applyFont="1" applyFill="1" applyBorder="1" applyAlignment="1">
      <alignment horizontal="center" vertical="center"/>
    </xf>
    <xf numFmtId="0" fontId="177" fillId="125" borderId="369" xfId="0" applyFont="1" applyFill="1" applyBorder="1" applyAlignment="1">
      <alignment horizontal="center" vertical="center"/>
    </xf>
    <xf numFmtId="0" fontId="177" fillId="125" borderId="292" xfId="0" applyFont="1" applyFill="1" applyBorder="1" applyAlignment="1">
      <alignment horizontal="center" vertical="center"/>
    </xf>
    <xf numFmtId="0" fontId="177" fillId="125" borderId="216" xfId="0" quotePrefix="1" applyFont="1" applyFill="1" applyBorder="1" applyAlignment="1">
      <alignment horizontal="center" vertical="center"/>
    </xf>
    <xf numFmtId="178" fontId="58" fillId="0" borderId="120" xfId="2" applyNumberFormat="1" applyFont="1" applyFill="1" applyBorder="1" applyAlignment="1">
      <alignment horizontal="center" vertical="center" wrapText="1"/>
    </xf>
    <xf numFmtId="183" fontId="58" fillId="0" borderId="382" xfId="0" applyNumberFormat="1" applyFont="1" applyFill="1" applyBorder="1" applyAlignment="1">
      <alignment horizontal="center" vertical="center"/>
    </xf>
    <xf numFmtId="183" fontId="58" fillId="0" borderId="347" xfId="0" applyNumberFormat="1" applyFont="1" applyFill="1" applyBorder="1" applyAlignment="1">
      <alignment horizontal="center" vertical="center"/>
    </xf>
    <xf numFmtId="183" fontId="58" fillId="0" borderId="348" xfId="0" applyNumberFormat="1" applyFont="1" applyFill="1" applyBorder="1" applyAlignment="1">
      <alignment horizontal="center" vertical="center"/>
    </xf>
    <xf numFmtId="187" fontId="58" fillId="0" borderId="349" xfId="2" applyNumberFormat="1" applyFont="1" applyFill="1" applyBorder="1" applyAlignment="1">
      <alignment horizontal="center" vertical="center"/>
    </xf>
    <xf numFmtId="0" fontId="178" fillId="126" borderId="406" xfId="0" applyFont="1" applyFill="1" applyBorder="1" applyAlignment="1">
      <alignment horizontal="center" vertical="center"/>
    </xf>
    <xf numFmtId="183" fontId="58" fillId="0" borderId="407" xfId="0" applyNumberFormat="1" applyFont="1" applyFill="1" applyBorder="1" applyAlignment="1">
      <alignment horizontal="center" vertical="center"/>
    </xf>
    <xf numFmtId="183" fontId="58" fillId="0" borderId="397" xfId="0" applyNumberFormat="1" applyFont="1" applyFill="1" applyBorder="1" applyAlignment="1">
      <alignment horizontal="center" vertical="center"/>
    </xf>
    <xf numFmtId="183" fontId="58" fillId="0" borderId="216" xfId="2" applyNumberFormat="1" applyFont="1" applyFill="1" applyBorder="1" applyAlignment="1">
      <alignment horizontal="center" vertical="center" wrapText="1"/>
    </xf>
    <xf numFmtId="176" fontId="58" fillId="0" borderId="377" xfId="0" applyNumberFormat="1" applyFont="1" applyFill="1" applyBorder="1" applyAlignment="1">
      <alignment horizontal="center" vertical="center"/>
    </xf>
    <xf numFmtId="0" fontId="177" fillId="125" borderId="291" xfId="0" quotePrefix="1" applyFont="1" applyFill="1" applyBorder="1" applyAlignment="1">
      <alignment horizontal="center" vertical="center"/>
    </xf>
    <xf numFmtId="178" fontId="58" fillId="0" borderId="47" xfId="2" applyNumberFormat="1" applyFont="1" applyFill="1" applyBorder="1" applyAlignment="1">
      <alignment horizontal="center" vertical="center" wrapText="1"/>
    </xf>
    <xf numFmtId="185" fontId="58" fillId="0" borderId="47" xfId="0" applyNumberFormat="1" applyFont="1" applyFill="1" applyBorder="1" applyAlignment="1">
      <alignment horizontal="center" vertical="center"/>
    </xf>
    <xf numFmtId="176" fontId="58" fillId="0" borderId="291" xfId="0" applyNumberFormat="1" applyFont="1" applyFill="1" applyBorder="1" applyAlignment="1">
      <alignment horizontal="center" vertical="center"/>
    </xf>
    <xf numFmtId="176" fontId="58" fillId="0" borderId="216" xfId="0" applyNumberFormat="1" applyFont="1" applyFill="1" applyBorder="1" applyAlignment="1">
      <alignment horizontal="center" vertical="center"/>
    </xf>
    <xf numFmtId="178" fontId="58" fillId="0" borderId="377" xfId="0" applyNumberFormat="1" applyFont="1" applyFill="1" applyBorder="1" applyAlignment="1">
      <alignment horizontal="center" vertical="center"/>
    </xf>
    <xf numFmtId="178" fontId="58" fillId="0" borderId="120" xfId="0" applyNumberFormat="1" applyFont="1" applyFill="1" applyBorder="1" applyAlignment="1">
      <alignment horizontal="center" vertical="center"/>
    </xf>
    <xf numFmtId="183" fontId="58" fillId="0" borderId="216" xfId="0" applyNumberFormat="1" applyFont="1" applyFill="1" applyBorder="1" applyAlignment="1">
      <alignment horizontal="center" vertical="center"/>
    </xf>
    <xf numFmtId="187" fontId="46" fillId="15" borderId="45" xfId="0" applyNumberFormat="1" applyFont="1" applyFill="1" applyBorder="1" applyAlignment="1">
      <alignment horizontal="center" vertical="center"/>
    </xf>
    <xf numFmtId="187" fontId="46" fillId="15" borderId="23" xfId="0" applyNumberFormat="1" applyFont="1" applyFill="1" applyBorder="1" applyAlignment="1">
      <alignment horizontal="center" vertical="center"/>
    </xf>
    <xf numFmtId="187" fontId="46" fillId="15" borderId="6" xfId="0" applyNumberFormat="1" applyFont="1" applyFill="1" applyBorder="1" applyAlignment="1">
      <alignment horizontal="center" vertical="center"/>
    </xf>
    <xf numFmtId="187" fontId="46" fillId="15" borderId="377" xfId="0" applyNumberFormat="1" applyFont="1" applyFill="1" applyBorder="1" applyAlignment="1">
      <alignment horizontal="center" vertical="center"/>
    </xf>
    <xf numFmtId="187" fontId="46" fillId="15" borderId="372" xfId="0" applyNumberFormat="1" applyFont="1" applyFill="1" applyBorder="1" applyAlignment="1">
      <alignment horizontal="center" vertical="center"/>
    </xf>
    <xf numFmtId="187" fontId="206" fillId="3" borderId="120" xfId="0" applyNumberFormat="1" applyFont="1" applyFill="1" applyBorder="1" applyAlignment="1">
      <alignment horizontal="center" vertical="center"/>
    </xf>
    <xf numFmtId="187" fontId="206" fillId="3" borderId="45" xfId="0" applyNumberFormat="1" applyFont="1" applyFill="1" applyBorder="1" applyAlignment="1">
      <alignment horizontal="center" vertical="center"/>
    </xf>
    <xf numFmtId="187" fontId="206" fillId="3" borderId="121" xfId="0" applyNumberFormat="1" applyFont="1" applyFill="1" applyBorder="1" applyAlignment="1">
      <alignment horizontal="center" vertical="center"/>
    </xf>
    <xf numFmtId="187" fontId="206" fillId="3" borderId="47" xfId="0" applyNumberFormat="1" applyFont="1" applyFill="1" applyBorder="1" applyAlignment="1">
      <alignment horizontal="center" vertical="center"/>
    </xf>
    <xf numFmtId="0" fontId="177" fillId="125" borderId="0" xfId="0" quotePrefix="1" applyFont="1" applyFill="1" applyBorder="1" applyAlignment="1">
      <alignment horizontal="center" vertical="center"/>
    </xf>
    <xf numFmtId="178" fontId="58" fillId="0" borderId="45" xfId="2" applyNumberFormat="1" applyFont="1" applyFill="1" applyBorder="1" applyAlignment="1">
      <alignment horizontal="center" vertical="center" wrapText="1"/>
    </xf>
    <xf numFmtId="183" fontId="58" fillId="0" borderId="372" xfId="2" applyNumberFormat="1" applyFont="1" applyFill="1" applyBorder="1" applyAlignment="1">
      <alignment horizontal="center" vertical="center" wrapText="1"/>
    </xf>
    <xf numFmtId="178" fontId="58" fillId="0" borderId="372" xfId="2" applyNumberFormat="1" applyFont="1" applyFill="1" applyBorder="1" applyAlignment="1">
      <alignment horizontal="center" vertical="center" wrapText="1"/>
    </xf>
    <xf numFmtId="176" fontId="58" fillId="0" borderId="364" xfId="0" applyNumberFormat="1" applyFont="1" applyFill="1" applyBorder="1" applyAlignment="1">
      <alignment horizontal="center" vertical="center"/>
    </xf>
    <xf numFmtId="176" fontId="58" fillId="0" borderId="292" xfId="0" applyNumberFormat="1" applyFont="1" applyFill="1" applyBorder="1" applyAlignment="1">
      <alignment horizontal="center" vertical="center"/>
    </xf>
    <xf numFmtId="178" fontId="58" fillId="0" borderId="45" xfId="0" applyNumberFormat="1" applyFont="1" applyFill="1" applyBorder="1" applyAlignment="1">
      <alignment horizontal="center" vertical="center"/>
    </xf>
    <xf numFmtId="183" fontId="58" fillId="0" borderId="372" xfId="0" applyNumberFormat="1" applyFont="1" applyFill="1" applyBorder="1" applyAlignment="1">
      <alignment horizontal="center" vertical="center"/>
    </xf>
    <xf numFmtId="178" fontId="58" fillId="0" borderId="372" xfId="0" applyNumberFormat="1" applyFont="1" applyFill="1" applyBorder="1" applyAlignment="1">
      <alignment horizontal="center" vertical="center"/>
    </xf>
    <xf numFmtId="183" fontId="58" fillId="0" borderId="292" xfId="0" applyNumberFormat="1" applyFont="1" applyFill="1" applyBorder="1" applyAlignment="1">
      <alignment horizontal="center" vertical="center"/>
    </xf>
    <xf numFmtId="183" fontId="58" fillId="0" borderId="381" xfId="0" applyNumberFormat="1" applyFont="1" applyFill="1" applyBorder="1" applyAlignment="1">
      <alignment horizontal="center" vertical="center"/>
    </xf>
    <xf numFmtId="187" fontId="46" fillId="15" borderId="38" xfId="0" applyNumberFormat="1" applyFont="1" applyFill="1" applyBorder="1" applyAlignment="1">
      <alignment horizontal="center" vertical="center"/>
    </xf>
    <xf numFmtId="178" fontId="46" fillId="15" borderId="376" xfId="0" applyNumberFormat="1" applyFont="1" applyFill="1" applyBorder="1" applyAlignment="1">
      <alignment horizontal="center" vertical="center"/>
    </xf>
    <xf numFmtId="178" fontId="46" fillId="15" borderId="122" xfId="0" applyNumberFormat="1" applyFont="1" applyFill="1" applyBorder="1" applyAlignment="1">
      <alignment horizontal="center" vertical="center"/>
    </xf>
    <xf numFmtId="178" fontId="206" fillId="3" borderId="306" xfId="0" applyNumberFormat="1" applyFont="1" applyFill="1" applyBorder="1" applyAlignment="1">
      <alignment horizontal="center" vertical="center"/>
    </xf>
    <xf numFmtId="183" fontId="46" fillId="15" borderId="376" xfId="0" applyNumberFormat="1" applyFont="1" applyFill="1" applyBorder="1" applyAlignment="1">
      <alignment horizontal="center" vertical="center"/>
    </xf>
    <xf numFmtId="183" fontId="46" fillId="15" borderId="367" xfId="0" applyNumberFormat="1" applyFont="1" applyFill="1" applyBorder="1" applyAlignment="1">
      <alignment horizontal="center" vertical="center"/>
    </xf>
    <xf numFmtId="183" fontId="46" fillId="15" borderId="406" xfId="0" applyNumberFormat="1" applyFont="1" applyFill="1" applyBorder="1" applyAlignment="1">
      <alignment horizontal="center" vertical="center"/>
    </xf>
    <xf numFmtId="183" fontId="46" fillId="15" borderId="377" xfId="0" applyNumberFormat="1" applyFont="1" applyFill="1" applyBorder="1" applyAlignment="1">
      <alignment horizontal="center" vertical="center"/>
    </xf>
    <xf numFmtId="183" fontId="46" fillId="15" borderId="372" xfId="0" applyNumberFormat="1" applyFont="1" applyFill="1" applyBorder="1" applyAlignment="1">
      <alignment horizontal="center" vertical="center"/>
    </xf>
    <xf numFmtId="183" fontId="46" fillId="15" borderId="291" xfId="0" applyNumberFormat="1" applyFont="1" applyFill="1" applyBorder="1" applyAlignment="1">
      <alignment horizontal="center" vertical="center"/>
    </xf>
    <xf numFmtId="183" fontId="46" fillId="15" borderId="216" xfId="0" applyNumberFormat="1" applyFont="1" applyFill="1" applyBorder="1" applyAlignment="1">
      <alignment horizontal="center" vertical="center"/>
    </xf>
    <xf numFmtId="183" fontId="46" fillId="15" borderId="292" xfId="0" applyNumberFormat="1" applyFont="1" applyFill="1" applyBorder="1" applyAlignment="1">
      <alignment horizontal="center" vertical="center"/>
    </xf>
    <xf numFmtId="183" fontId="206" fillId="3" borderId="382" xfId="0" applyNumberFormat="1" applyFont="1" applyFill="1" applyBorder="1" applyAlignment="1">
      <alignment horizontal="center" vertical="center"/>
    </xf>
    <xf numFmtId="183" fontId="206" fillId="3" borderId="381" xfId="0" applyNumberFormat="1" applyFont="1" applyFill="1" applyBorder="1" applyAlignment="1">
      <alignment horizontal="center" vertical="center"/>
    </xf>
    <xf numFmtId="183" fontId="206" fillId="3" borderId="406" xfId="0" applyNumberFormat="1" applyFont="1" applyFill="1" applyBorder="1" applyAlignment="1">
      <alignment horizontal="center" vertical="center"/>
    </xf>
    <xf numFmtId="176" fontId="28" fillId="7" borderId="0" xfId="0" applyNumberFormat="1" applyFont="1" applyFill="1" applyAlignment="1">
      <alignment horizontal="center" vertical="center"/>
    </xf>
    <xf numFmtId="183" fontId="58" fillId="0" borderId="0" xfId="0" applyNumberFormat="1" applyFont="1" applyFill="1" applyBorder="1" applyAlignment="1">
      <alignment horizontal="center" vertical="center"/>
    </xf>
    <xf numFmtId="4" fontId="170" fillId="0" borderId="269" xfId="2" applyNumberFormat="1" applyFont="1" applyFill="1" applyBorder="1" applyAlignment="1">
      <alignment horizontal="center" vertical="center"/>
    </xf>
    <xf numFmtId="0" fontId="170" fillId="0" borderId="269" xfId="0" applyFont="1" applyFill="1" applyBorder="1" applyAlignment="1">
      <alignment horizontal="center" vertical="center"/>
    </xf>
    <xf numFmtId="3" fontId="170" fillId="0" borderId="269" xfId="2" applyNumberFormat="1" applyFont="1" applyFill="1" applyBorder="1" applyAlignment="1">
      <alignment horizontal="center" vertical="center"/>
    </xf>
    <xf numFmtId="227" fontId="170" fillId="0" borderId="269" xfId="2" applyNumberFormat="1" applyFont="1" applyFill="1" applyBorder="1" applyAlignment="1">
      <alignment horizontal="center" vertical="center"/>
    </xf>
    <xf numFmtId="0" fontId="170" fillId="93" borderId="269" xfId="0" applyFont="1" applyFill="1" applyBorder="1" applyAlignment="1">
      <alignment horizontal="center" vertical="center"/>
    </xf>
    <xf numFmtId="3" fontId="170" fillId="93" borderId="269" xfId="2" applyNumberFormat="1" applyFont="1" applyFill="1" applyBorder="1" applyAlignment="1">
      <alignment horizontal="center" vertical="center"/>
    </xf>
    <xf numFmtId="227" fontId="170" fillId="93" borderId="269" xfId="2" applyNumberFormat="1" applyFont="1" applyFill="1" applyBorder="1" applyAlignment="1">
      <alignment horizontal="center" vertical="center"/>
    </xf>
    <xf numFmtId="4" fontId="170" fillId="93" borderId="269" xfId="2" applyNumberFormat="1" applyFont="1" applyFill="1" applyBorder="1" applyAlignment="1">
      <alignment horizontal="center" vertical="center"/>
    </xf>
    <xf numFmtId="0" fontId="177" fillId="125" borderId="84" xfId="0" applyFont="1" applyFill="1" applyBorder="1" applyAlignment="1">
      <alignment horizontal="center" vertical="center"/>
    </xf>
    <xf numFmtId="2" fontId="35" fillId="8" borderId="47" xfId="0" applyNumberFormat="1" applyFont="1" applyFill="1" applyBorder="1" applyAlignment="1">
      <alignment horizontal="center" vertical="center"/>
    </xf>
    <xf numFmtId="178" fontId="177" fillId="125" borderId="386" xfId="2" applyNumberFormat="1" applyFont="1" applyFill="1" applyBorder="1" applyAlignment="1">
      <alignment horizontal="center" vertical="center"/>
    </xf>
    <xf numFmtId="38" fontId="58" fillId="7" borderId="132" xfId="2" applyNumberFormat="1" applyFont="1" applyFill="1" applyBorder="1" applyAlignment="1">
      <alignment horizontal="center" vertical="center"/>
    </xf>
    <xf numFmtId="223" fontId="58" fillId="0" borderId="286" xfId="2" applyNumberFormat="1" applyFont="1" applyBorder="1" applyAlignment="1">
      <alignment horizontal="center" vertical="center"/>
    </xf>
    <xf numFmtId="226" fontId="58" fillId="0" borderId="408" xfId="2" applyNumberFormat="1" applyFont="1" applyBorder="1" applyAlignment="1">
      <alignment horizontal="center" vertical="center"/>
    </xf>
    <xf numFmtId="3" fontId="177" fillId="125" borderId="374" xfId="0" applyNumberFormat="1" applyFont="1" applyFill="1" applyBorder="1" applyAlignment="1">
      <alignment horizontal="center" vertical="center"/>
    </xf>
    <xf numFmtId="3" fontId="166" fillId="0" borderId="374" xfId="0" applyNumberFormat="1" applyFont="1" applyBorder="1" applyAlignment="1">
      <alignment horizontal="center" vertical="center" wrapText="1"/>
    </xf>
    <xf numFmtId="38" fontId="177" fillId="125" borderId="374" xfId="0" applyNumberFormat="1" applyFont="1" applyFill="1" applyBorder="1" applyAlignment="1">
      <alignment horizontal="center" vertical="center"/>
    </xf>
    <xf numFmtId="0" fontId="29" fillId="5" borderId="410" xfId="0" applyFont="1" applyFill="1" applyBorder="1" applyAlignment="1">
      <alignment horizontal="center" vertical="center" wrapText="1"/>
    </xf>
    <xf numFmtId="1" fontId="0" fillId="0" borderId="410" xfId="0" applyNumberFormat="1" applyBorder="1" applyAlignment="1">
      <alignment horizontal="center" vertical="center"/>
    </xf>
    <xf numFmtId="232" fontId="28" fillId="5" borderId="214" xfId="0" applyNumberFormat="1" applyFont="1" applyFill="1" applyBorder="1" applyAlignment="1">
      <alignment horizontal="center" vertical="center"/>
    </xf>
    <xf numFmtId="10" fontId="29" fillId="0" borderId="0" xfId="0" applyNumberFormat="1" applyFont="1">
      <alignment vertical="center"/>
    </xf>
    <xf numFmtId="187" fontId="58" fillId="0" borderId="0" xfId="2" applyNumberFormat="1" applyFont="1" applyFill="1" applyBorder="1" applyAlignment="1">
      <alignment horizontal="center" vertical="center"/>
    </xf>
    <xf numFmtId="0" fontId="29" fillId="7" borderId="0" xfId="0" applyFont="1" applyFill="1" applyBorder="1" applyAlignment="1">
      <alignment horizontal="center" vertical="center"/>
    </xf>
    <xf numFmtId="177" fontId="28" fillId="7" borderId="214" xfId="0" applyNumberFormat="1" applyFont="1" applyFill="1" applyBorder="1" applyAlignment="1">
      <alignment horizontal="center" vertical="center"/>
    </xf>
    <xf numFmtId="41" fontId="28" fillId="0" borderId="214" xfId="2" applyFont="1" applyFill="1" applyBorder="1" applyAlignment="1">
      <alignment horizontal="center" vertical="center"/>
    </xf>
    <xf numFmtId="176" fontId="31" fillId="6" borderId="214" xfId="0" applyNumberFormat="1" applyFont="1" applyFill="1" applyBorder="1" applyAlignment="1">
      <alignment horizontal="center" vertical="center"/>
    </xf>
    <xf numFmtId="187" fontId="28" fillId="6" borderId="214" xfId="2" quotePrefix="1" applyNumberFormat="1" applyFont="1" applyFill="1" applyBorder="1" applyAlignment="1">
      <alignment horizontal="center" vertical="center"/>
    </xf>
    <xf numFmtId="183" fontId="48" fillId="3" borderId="328" xfId="0" applyNumberFormat="1" applyFont="1" applyFill="1" applyBorder="1" applyAlignment="1">
      <alignment horizontal="center" vertical="center"/>
    </xf>
    <xf numFmtId="183" fontId="48" fillId="3" borderId="327" xfId="0" applyNumberFormat="1" applyFont="1" applyFill="1" applyBorder="1" applyAlignment="1">
      <alignment horizontal="center" vertical="center"/>
    </xf>
    <xf numFmtId="0" fontId="35" fillId="3" borderId="0" xfId="0" applyFont="1" applyFill="1" applyBorder="1" applyAlignment="1">
      <alignment horizontal="center" vertical="center"/>
    </xf>
    <xf numFmtId="187" fontId="172" fillId="0" borderId="224" xfId="0" applyNumberFormat="1" applyFont="1" applyBorder="1" applyAlignment="1">
      <alignment horizontal="center" vertical="center"/>
    </xf>
    <xf numFmtId="0" fontId="177" fillId="125" borderId="411" xfId="0" applyFont="1" applyFill="1" applyBorder="1" applyAlignment="1">
      <alignment horizontal="center" vertical="center"/>
    </xf>
    <xf numFmtId="187" fontId="58" fillId="0" borderId="447" xfId="2" applyNumberFormat="1" applyFont="1" applyFill="1" applyBorder="1" applyAlignment="1">
      <alignment horizontal="center" vertical="center"/>
    </xf>
    <xf numFmtId="226" fontId="58" fillId="0" borderId="448" xfId="2" applyNumberFormat="1" applyFont="1" applyFill="1" applyBorder="1" applyAlignment="1">
      <alignment horizontal="center" vertical="center"/>
    </xf>
    <xf numFmtId="187" fontId="58" fillId="0" borderId="449" xfId="2" applyNumberFormat="1" applyFont="1" applyBorder="1" applyAlignment="1">
      <alignment horizontal="center" vertical="center"/>
    </xf>
    <xf numFmtId="226" fontId="58" fillId="0" borderId="331" xfId="2" applyNumberFormat="1" applyFont="1" applyBorder="1" applyAlignment="1">
      <alignment horizontal="center" vertical="center"/>
    </xf>
    <xf numFmtId="178" fontId="58" fillId="0" borderId="447" xfId="2" applyNumberFormat="1" applyFont="1" applyFill="1" applyBorder="1" applyAlignment="1">
      <alignment horizontal="center" vertical="center"/>
    </xf>
    <xf numFmtId="226" fontId="58" fillId="0" borderId="447" xfId="2" applyNumberFormat="1" applyFont="1" applyFill="1" applyBorder="1" applyAlignment="1">
      <alignment horizontal="center" vertical="center"/>
    </xf>
    <xf numFmtId="0" fontId="0" fillId="0" borderId="294" xfId="0" applyNumberFormat="1" applyBorder="1" applyAlignment="1" applyProtection="1">
      <alignment horizontal="center" vertical="center"/>
      <protection locked="0"/>
    </xf>
    <xf numFmtId="226" fontId="58" fillId="0" borderId="447" xfId="2" applyNumberFormat="1" applyFont="1" applyBorder="1" applyAlignment="1">
      <alignment horizontal="center" vertical="center"/>
    </xf>
    <xf numFmtId="187" fontId="58" fillId="0" borderId="446" xfId="2" applyNumberFormat="1" applyFont="1" applyFill="1" applyBorder="1" applyAlignment="1">
      <alignment horizontal="center" vertical="center"/>
    </xf>
    <xf numFmtId="187" fontId="58" fillId="0" borderId="448" xfId="2" applyNumberFormat="1" applyFont="1" applyBorder="1" applyAlignment="1">
      <alignment horizontal="center" vertical="center"/>
    </xf>
    <xf numFmtId="226" fontId="58" fillId="0" borderId="322" xfId="2" applyNumberFormat="1" applyFont="1" applyBorder="1" applyAlignment="1">
      <alignment horizontal="center" vertical="center"/>
    </xf>
    <xf numFmtId="187" fontId="58" fillId="0" borderId="0" xfId="2" applyNumberFormat="1" applyFont="1" applyBorder="1" applyAlignment="1">
      <alignment horizontal="center" vertical="center"/>
    </xf>
    <xf numFmtId="0" fontId="29" fillId="0" borderId="0" xfId="0" applyFont="1" applyAlignment="1">
      <alignment horizontal="center" vertical="center"/>
    </xf>
    <xf numFmtId="0" fontId="29" fillId="0" borderId="0" xfId="0" applyFont="1">
      <alignment vertical="center"/>
    </xf>
    <xf numFmtId="0" fontId="58" fillId="0" borderId="0" xfId="0" applyFont="1" applyAlignment="1">
      <alignment horizontal="center" vertical="center"/>
    </xf>
    <xf numFmtId="0" fontId="58" fillId="0" borderId="0" xfId="0" applyFont="1">
      <alignment vertical="center"/>
    </xf>
    <xf numFmtId="2" fontId="58" fillId="0" borderId="0" xfId="0" applyNumberFormat="1" applyFont="1">
      <alignment vertical="center"/>
    </xf>
    <xf numFmtId="1" fontId="29" fillId="0" borderId="0" xfId="0" applyNumberFormat="1" applyFont="1" applyAlignment="1">
      <alignment horizontal="center" vertical="center"/>
    </xf>
    <xf numFmtId="1" fontId="58" fillId="0" borderId="0" xfId="0" applyNumberFormat="1" applyFont="1">
      <alignment vertical="center"/>
    </xf>
    <xf numFmtId="4" fontId="58" fillId="7" borderId="120" xfId="2" applyNumberFormat="1" applyFont="1" applyFill="1" applyBorder="1" applyAlignment="1">
      <alignment horizontal="center" vertical="center"/>
    </xf>
    <xf numFmtId="187" fontId="58" fillId="0" borderId="26" xfId="2" applyNumberFormat="1" applyFont="1" applyFill="1" applyBorder="1" applyAlignment="1">
      <alignment horizontal="center" vertical="center"/>
    </xf>
    <xf numFmtId="187" fontId="58" fillId="0" borderId="294" xfId="2" applyNumberFormat="1" applyFont="1" applyBorder="1" applyAlignment="1">
      <alignment horizontal="center" vertical="center"/>
    </xf>
    <xf numFmtId="1" fontId="58" fillId="0" borderId="121" xfId="0" applyNumberFormat="1" applyFont="1" applyFill="1" applyBorder="1" applyAlignment="1">
      <alignment horizontal="center" vertical="center"/>
    </xf>
    <xf numFmtId="187" fontId="172" fillId="15" borderId="227" xfId="0" applyNumberFormat="1" applyFont="1" applyFill="1" applyBorder="1" applyAlignment="1">
      <alignment horizontal="center" vertical="center"/>
    </xf>
    <xf numFmtId="187" fontId="58" fillId="0" borderId="268" xfId="0" applyNumberFormat="1" applyFont="1" applyBorder="1" applyAlignment="1">
      <alignment horizontal="center" vertical="center"/>
    </xf>
    <xf numFmtId="3" fontId="58" fillId="0" borderId="6" xfId="2" applyNumberFormat="1" applyFont="1" applyFill="1" applyBorder="1" applyAlignment="1">
      <alignment horizontal="center" vertical="center"/>
    </xf>
    <xf numFmtId="178" fontId="58" fillId="0" borderId="294" xfId="2" applyNumberFormat="1" applyFont="1" applyFill="1" applyBorder="1" applyAlignment="1">
      <alignment horizontal="center" vertical="center"/>
    </xf>
    <xf numFmtId="0" fontId="178" fillId="126" borderId="452" xfId="0" applyFont="1" applyFill="1" applyBorder="1" applyAlignment="1">
      <alignment horizontal="center" vertical="center"/>
    </xf>
    <xf numFmtId="0" fontId="178" fillId="126" borderId="453" xfId="0" applyFont="1" applyFill="1" applyBorder="1" applyAlignment="1">
      <alignment horizontal="center" vertical="center"/>
    </xf>
    <xf numFmtId="0" fontId="178" fillId="126" borderId="404" xfId="0" applyFont="1" applyFill="1" applyBorder="1" applyAlignment="1">
      <alignment horizontal="center" vertical="center"/>
    </xf>
    <xf numFmtId="0" fontId="178" fillId="126" borderId="403" xfId="0" applyFont="1" applyFill="1" applyBorder="1" applyAlignment="1">
      <alignment horizontal="center" vertical="center"/>
    </xf>
    <xf numFmtId="38" fontId="177" fillId="126" borderId="285" xfId="0" applyNumberFormat="1" applyFont="1" applyFill="1" applyBorder="1" applyAlignment="1">
      <alignment horizontal="center" vertical="center"/>
    </xf>
    <xf numFmtId="226" fontId="58" fillId="0" borderId="454" xfId="0" applyNumberFormat="1" applyFont="1" applyBorder="1" applyAlignment="1">
      <alignment horizontal="center" vertical="center"/>
    </xf>
    <xf numFmtId="226" fontId="58" fillId="0" borderId="455" xfId="2" applyNumberFormat="1" applyFont="1" applyBorder="1" applyAlignment="1">
      <alignment horizontal="center" vertical="center"/>
    </xf>
    <xf numFmtId="176" fontId="58" fillId="0" borderId="455" xfId="0" applyNumberFormat="1" applyFont="1" applyBorder="1" applyAlignment="1">
      <alignment horizontal="center" vertical="center"/>
    </xf>
    <xf numFmtId="176" fontId="58" fillId="0" borderId="446" xfId="0" applyNumberFormat="1" applyFont="1" applyBorder="1" applyAlignment="1">
      <alignment horizontal="center" vertical="center"/>
    </xf>
    <xf numFmtId="226" fontId="58" fillId="0" borderId="456" xfId="2" applyNumberFormat="1" applyFont="1" applyFill="1" applyBorder="1" applyAlignment="1">
      <alignment horizontal="center" vertical="center"/>
    </xf>
    <xf numFmtId="226" fontId="58" fillId="0" borderId="457" xfId="2" applyNumberFormat="1" applyFont="1" applyFill="1" applyBorder="1" applyAlignment="1">
      <alignment horizontal="center" vertical="center"/>
    </xf>
    <xf numFmtId="178" fontId="58" fillId="0" borderId="457" xfId="2" applyNumberFormat="1" applyFont="1" applyFill="1" applyBorder="1" applyAlignment="1">
      <alignment horizontal="center" vertical="center"/>
    </xf>
    <xf numFmtId="226" fontId="58" fillId="7" borderId="458" xfId="2" applyNumberFormat="1" applyFont="1" applyFill="1" applyBorder="1" applyAlignment="1">
      <alignment horizontal="center" vertical="center"/>
    </xf>
    <xf numFmtId="226" fontId="58" fillId="7" borderId="459" xfId="2" applyNumberFormat="1" applyFont="1" applyFill="1" applyBorder="1" applyAlignment="1">
      <alignment horizontal="center" vertical="center"/>
    </xf>
    <xf numFmtId="226" fontId="58" fillId="7" borderId="460" xfId="2" applyNumberFormat="1" applyFont="1" applyFill="1" applyBorder="1" applyAlignment="1">
      <alignment horizontal="center" vertical="center"/>
    </xf>
    <xf numFmtId="187" fontId="58" fillId="0" borderId="455" xfId="2" applyNumberFormat="1" applyFont="1" applyFill="1" applyBorder="1" applyAlignment="1">
      <alignment horizontal="center" vertical="center"/>
    </xf>
    <xf numFmtId="187" fontId="58" fillId="0" borderId="457" xfId="2" applyNumberFormat="1" applyFont="1" applyBorder="1" applyAlignment="1">
      <alignment horizontal="center" vertical="center"/>
    </xf>
    <xf numFmtId="187" fontId="58" fillId="0" borderId="447" xfId="2" applyNumberFormat="1" applyFont="1" applyBorder="1" applyAlignment="1">
      <alignment horizontal="center" vertical="center"/>
    </xf>
    <xf numFmtId="0" fontId="177" fillId="125" borderId="461" xfId="0" applyFont="1" applyFill="1" applyBorder="1" applyAlignment="1">
      <alignment horizontal="center" vertical="center"/>
    </xf>
    <xf numFmtId="183" fontId="58" fillId="0" borderId="447" xfId="2" applyNumberFormat="1" applyFont="1" applyBorder="1" applyAlignment="1">
      <alignment horizontal="center" vertical="center"/>
    </xf>
    <xf numFmtId="178" fontId="58" fillId="0" borderId="448" xfId="2" applyNumberFormat="1" applyFont="1" applyBorder="1" applyAlignment="1">
      <alignment horizontal="center" vertical="center"/>
    </xf>
    <xf numFmtId="187" fontId="58" fillId="7" borderId="448" xfId="2" applyNumberFormat="1" applyFont="1" applyFill="1" applyBorder="1" applyAlignment="1">
      <alignment horizontal="center" vertical="center"/>
    </xf>
    <xf numFmtId="178" fontId="58" fillId="7" borderId="447" xfId="2" applyNumberFormat="1" applyFont="1" applyFill="1" applyBorder="1" applyAlignment="1">
      <alignment horizontal="center" vertical="center"/>
    </xf>
    <xf numFmtId="0" fontId="29" fillId="0" borderId="269" xfId="0" applyFont="1" applyBorder="1" applyAlignment="1">
      <alignment horizontal="center" vertical="center"/>
    </xf>
    <xf numFmtId="38" fontId="58" fillId="7" borderId="464" xfId="2" applyNumberFormat="1" applyFont="1" applyFill="1" applyBorder="1" applyAlignment="1">
      <alignment horizontal="center" vertical="center"/>
    </xf>
    <xf numFmtId="38" fontId="58" fillId="7" borderId="463" xfId="2" applyNumberFormat="1" applyFont="1" applyFill="1" applyBorder="1" applyAlignment="1">
      <alignment horizontal="center" vertical="center"/>
    </xf>
    <xf numFmtId="9" fontId="58" fillId="7" borderId="463" xfId="1" applyFont="1" applyFill="1" applyBorder="1" applyAlignment="1">
      <alignment horizontal="center" vertical="center"/>
    </xf>
    <xf numFmtId="38" fontId="58" fillId="15" borderId="328" xfId="0" applyNumberFormat="1" applyFont="1" applyFill="1" applyBorder="1" applyAlignment="1">
      <alignment horizontal="center" vertical="center"/>
    </xf>
    <xf numFmtId="38" fontId="58" fillId="7" borderId="45" xfId="2" applyNumberFormat="1" applyFont="1" applyFill="1" applyBorder="1" applyAlignment="1">
      <alignment horizontal="center" vertical="center"/>
    </xf>
    <xf numFmtId="38" fontId="58" fillId="15" borderId="435" xfId="2" applyNumberFormat="1" applyFont="1" applyFill="1" applyBorder="1" applyAlignment="1">
      <alignment horizontal="center" vertical="center"/>
    </xf>
    <xf numFmtId="38" fontId="58" fillId="15" borderId="409" xfId="2" applyNumberFormat="1" applyFont="1" applyFill="1" applyBorder="1" applyAlignment="1">
      <alignment horizontal="center" vertical="center"/>
    </xf>
    <xf numFmtId="9" fontId="58" fillId="15" borderId="409" xfId="1" applyFont="1" applyFill="1" applyBorder="1" applyAlignment="1">
      <alignment horizontal="center" vertical="center"/>
    </xf>
    <xf numFmtId="0" fontId="58" fillId="0" borderId="434" xfId="0" applyFont="1" applyBorder="1" applyAlignment="1">
      <alignment horizontal="center" vertical="center"/>
    </xf>
    <xf numFmtId="38" fontId="58" fillId="15" borderId="464" xfId="2" applyNumberFormat="1" applyFont="1" applyFill="1" applyBorder="1" applyAlignment="1">
      <alignment horizontal="center" vertical="center"/>
    </xf>
    <xf numFmtId="38" fontId="58" fillId="15" borderId="463" xfId="0" applyNumberFormat="1" applyFont="1" applyFill="1" applyBorder="1" applyAlignment="1">
      <alignment horizontal="center" vertical="center"/>
    </xf>
    <xf numFmtId="38" fontId="58" fillId="15" borderId="463" xfId="2" applyNumberFormat="1" applyFont="1" applyFill="1" applyBorder="1" applyAlignment="1">
      <alignment horizontal="center" vertical="center"/>
    </xf>
    <xf numFmtId="9" fontId="58" fillId="15" borderId="463" xfId="1" applyFont="1" applyFill="1" applyBorder="1" applyAlignment="1">
      <alignment horizontal="center" vertical="center"/>
    </xf>
    <xf numFmtId="0" fontId="58" fillId="15" borderId="434" xfId="0" applyFont="1" applyFill="1" applyBorder="1" applyAlignment="1">
      <alignment horizontal="center" vertical="center"/>
    </xf>
    <xf numFmtId="38" fontId="58" fillId="0" borderId="464" xfId="2" applyNumberFormat="1" applyFont="1" applyFill="1" applyBorder="1" applyAlignment="1">
      <alignment horizontal="center" vertical="center"/>
    </xf>
    <xf numFmtId="38" fontId="58" fillId="0" borderId="463" xfId="0" applyNumberFormat="1" applyFont="1" applyFill="1" applyBorder="1" applyAlignment="1">
      <alignment horizontal="center" vertical="center"/>
    </xf>
    <xf numFmtId="38" fontId="58" fillId="7" borderId="465" xfId="2" applyNumberFormat="1" applyFont="1" applyFill="1" applyBorder="1" applyAlignment="1">
      <alignment horizontal="center" vertical="center"/>
    </xf>
    <xf numFmtId="9" fontId="58" fillId="7" borderId="461" xfId="1" applyFont="1" applyFill="1" applyBorder="1" applyAlignment="1">
      <alignment horizontal="center" vertical="center"/>
    </xf>
    <xf numFmtId="38" fontId="58" fillId="0" borderId="435" xfId="2" applyNumberFormat="1" applyFont="1" applyFill="1" applyBorder="1" applyAlignment="1">
      <alignment horizontal="center" vertical="center"/>
    </xf>
    <xf numFmtId="38" fontId="58" fillId="0" borderId="409" xfId="0" applyNumberFormat="1" applyFont="1" applyFill="1" applyBorder="1" applyAlignment="1">
      <alignment horizontal="center" vertical="center"/>
    </xf>
    <xf numFmtId="38" fontId="58" fillId="7" borderId="435" xfId="2" applyNumberFormat="1" applyFont="1" applyFill="1" applyBorder="1" applyAlignment="1">
      <alignment horizontal="center" vertical="center"/>
    </xf>
    <xf numFmtId="9" fontId="58" fillId="7" borderId="409" xfId="1" applyFont="1" applyFill="1" applyBorder="1" applyAlignment="1">
      <alignment horizontal="center" vertical="center"/>
    </xf>
    <xf numFmtId="226" fontId="58" fillId="7" borderId="408" xfId="2" applyNumberFormat="1" applyFont="1" applyFill="1" applyBorder="1" applyAlignment="1">
      <alignment horizontal="center" vertical="center"/>
    </xf>
    <xf numFmtId="38" fontId="58" fillId="0" borderId="461" xfId="2" applyNumberFormat="1" applyFont="1" applyFill="1" applyBorder="1" applyAlignment="1">
      <alignment horizontal="center" vertical="center"/>
    </xf>
    <xf numFmtId="9" fontId="58" fillId="0" borderId="461" xfId="1" applyFont="1" applyFill="1" applyBorder="1" applyAlignment="1">
      <alignment horizontal="center" vertical="center"/>
    </xf>
    <xf numFmtId="226" fontId="58" fillId="0" borderId="463" xfId="2" applyNumberFormat="1" applyFont="1" applyFill="1" applyBorder="1" applyAlignment="1">
      <alignment horizontal="center" vertical="center"/>
    </xf>
    <xf numFmtId="0" fontId="58" fillId="0" borderId="434" xfId="0" applyFont="1" applyFill="1" applyBorder="1" applyAlignment="1">
      <alignment horizontal="center" vertical="center"/>
    </xf>
    <xf numFmtId="38" fontId="58" fillId="15" borderId="461" xfId="2" applyNumberFormat="1" applyFont="1" applyFill="1" applyBorder="1" applyAlignment="1">
      <alignment horizontal="center" vertical="center"/>
    </xf>
    <xf numFmtId="38" fontId="58" fillId="0" borderId="409" xfId="2" applyNumberFormat="1" applyFont="1" applyFill="1" applyBorder="1" applyAlignment="1">
      <alignment horizontal="center" vertical="center"/>
    </xf>
    <xf numFmtId="9" fontId="58" fillId="0" borderId="409" xfId="1" applyFont="1" applyFill="1" applyBorder="1" applyAlignment="1">
      <alignment horizontal="center" vertical="center"/>
    </xf>
    <xf numFmtId="0" fontId="58" fillId="0" borderId="444" xfId="0" applyFont="1" applyFill="1" applyBorder="1" applyAlignment="1">
      <alignment horizontal="center" vertical="center" wrapText="1"/>
    </xf>
    <xf numFmtId="223" fontId="172" fillId="7" borderId="224" xfId="0" applyNumberFormat="1" applyFont="1" applyFill="1" applyBorder="1" applyAlignment="1">
      <alignment horizontal="center" vertical="center"/>
    </xf>
    <xf numFmtId="0" fontId="177" fillId="127" borderId="434" xfId="0" applyFont="1" applyFill="1" applyBorder="1" applyAlignment="1">
      <alignment horizontal="center" vertical="center" wrapText="1"/>
    </xf>
    <xf numFmtId="0" fontId="178" fillId="126" borderId="466" xfId="0" applyFont="1" applyFill="1" applyBorder="1" applyAlignment="1">
      <alignment horizontal="center" vertical="center"/>
    </xf>
    <xf numFmtId="183" fontId="58" fillId="0" borderId="456" xfId="2" applyNumberFormat="1" applyFont="1" applyBorder="1" applyAlignment="1">
      <alignment horizontal="center" vertical="center"/>
    </xf>
    <xf numFmtId="183" fontId="58" fillId="0" borderId="457" xfId="2" applyNumberFormat="1" applyFont="1" applyBorder="1" applyAlignment="1">
      <alignment horizontal="center" vertical="center"/>
    </xf>
    <xf numFmtId="178" fontId="58" fillId="15" borderId="457" xfId="2" applyNumberFormat="1" applyFont="1" applyFill="1" applyBorder="1" applyAlignment="1">
      <alignment horizontal="center" vertical="center"/>
    </xf>
    <xf numFmtId="187" fontId="58" fillId="15" borderId="463" xfId="2" applyNumberFormat="1" applyFont="1" applyFill="1" applyBorder="1" applyAlignment="1">
      <alignment horizontal="center" vertical="center"/>
    </xf>
    <xf numFmtId="223" fontId="58" fillId="15" borderId="463" xfId="2" applyNumberFormat="1" applyFont="1" applyFill="1" applyBorder="1" applyAlignment="1">
      <alignment horizontal="center" vertical="center"/>
    </xf>
    <xf numFmtId="0" fontId="177" fillId="127" borderId="434" xfId="0" applyFont="1" applyFill="1" applyBorder="1" applyAlignment="1">
      <alignment horizontal="center" vertical="center"/>
    </xf>
    <xf numFmtId="0" fontId="178" fillId="127" borderId="445" xfId="0" applyFont="1" applyFill="1" applyBorder="1" applyAlignment="1">
      <alignment horizontal="center" vertical="center"/>
    </xf>
    <xf numFmtId="0" fontId="178" fillId="126" borderId="468" xfId="0" applyFont="1" applyFill="1" applyBorder="1" applyAlignment="1">
      <alignment horizontal="center" vertical="center"/>
    </xf>
    <xf numFmtId="2" fontId="58" fillId="0" borderId="462" xfId="0" applyNumberFormat="1" applyFont="1" applyBorder="1" applyAlignment="1">
      <alignment horizontal="center" vertical="center"/>
    </xf>
    <xf numFmtId="2" fontId="58" fillId="0" borderId="465" xfId="0" applyNumberFormat="1" applyFont="1" applyBorder="1" applyAlignment="1">
      <alignment horizontal="center" vertical="center"/>
    </xf>
    <xf numFmtId="187" fontId="58" fillId="0" borderId="465" xfId="0" applyNumberFormat="1" applyFont="1" applyBorder="1" applyAlignment="1">
      <alignment horizontal="center" vertical="center"/>
    </xf>
    <xf numFmtId="187" fontId="58" fillId="15" borderId="465" xfId="0" applyNumberFormat="1" applyFont="1" applyFill="1" applyBorder="1" applyAlignment="1">
      <alignment horizontal="center" vertical="center"/>
    </xf>
    <xf numFmtId="187" fontId="58" fillId="0" borderId="461" xfId="0" applyNumberFormat="1" applyFont="1" applyBorder="1" applyAlignment="1">
      <alignment horizontal="center" vertical="center"/>
    </xf>
    <xf numFmtId="9" fontId="58" fillId="15" borderId="465" xfId="1" applyFont="1" applyFill="1" applyBorder="1" applyAlignment="1">
      <alignment horizontal="center" vertical="center"/>
    </xf>
    <xf numFmtId="0" fontId="58" fillId="0" borderId="445" xfId="0" applyFont="1" applyBorder="1" applyAlignment="1">
      <alignment horizontal="center" vertical="center"/>
    </xf>
    <xf numFmtId="183" fontId="58" fillId="0" borderId="454" xfId="0" applyNumberFormat="1" applyFont="1" applyBorder="1" applyAlignment="1">
      <alignment horizontal="center" vertical="center"/>
    </xf>
    <xf numFmtId="9" fontId="58" fillId="0" borderId="463" xfId="1" applyFont="1" applyBorder="1" applyAlignment="1">
      <alignment horizontal="center" vertical="center"/>
    </xf>
    <xf numFmtId="38" fontId="58" fillId="0" borderId="463" xfId="2" applyNumberFormat="1" applyFont="1" applyBorder="1" applyAlignment="1">
      <alignment horizontal="center" vertical="center"/>
    </xf>
    <xf numFmtId="223" fontId="58" fillId="0" borderId="463" xfId="2" applyNumberFormat="1" applyFont="1" applyBorder="1" applyAlignment="1">
      <alignment horizontal="center" vertical="center"/>
    </xf>
    <xf numFmtId="176" fontId="58" fillId="0" borderId="471" xfId="0" applyNumberFormat="1" applyFont="1" applyBorder="1" applyAlignment="1">
      <alignment horizontal="center" vertical="center"/>
    </xf>
    <xf numFmtId="183" fontId="58" fillId="0" borderId="472" xfId="0" applyNumberFormat="1" applyFont="1" applyBorder="1" applyAlignment="1">
      <alignment horizontal="center" vertical="center"/>
    </xf>
    <xf numFmtId="38" fontId="58" fillId="0" borderId="463" xfId="2" applyNumberFormat="1" applyFont="1" applyFill="1" applyBorder="1" applyAlignment="1">
      <alignment horizontal="center" vertical="center"/>
    </xf>
    <xf numFmtId="0" fontId="167" fillId="119" borderId="311" xfId="0" applyFont="1" applyFill="1" applyBorder="1" applyAlignment="1">
      <alignment horizontal="center" vertical="center" wrapText="1"/>
    </xf>
    <xf numFmtId="0" fontId="27" fillId="0" borderId="55" xfId="0" applyFont="1" applyBorder="1" applyAlignment="1">
      <alignment horizontal="center" vertical="center" wrapText="1"/>
    </xf>
    <xf numFmtId="0" fontId="27" fillId="16" borderId="55" xfId="0" applyFont="1" applyFill="1" applyBorder="1" applyAlignment="1">
      <alignment horizontal="center" vertical="center" wrapText="1"/>
    </xf>
    <xf numFmtId="0" fontId="180" fillId="119" borderId="390" xfId="0" applyFont="1" applyFill="1" applyBorder="1" applyAlignment="1">
      <alignment horizontal="center" vertical="center" wrapText="1"/>
    </xf>
    <xf numFmtId="2" fontId="27" fillId="16" borderId="205" xfId="0" applyNumberFormat="1" applyFont="1" applyFill="1" applyBorder="1" applyAlignment="1">
      <alignment horizontal="center" vertical="center" wrapText="1"/>
    </xf>
    <xf numFmtId="0" fontId="29" fillId="15" borderId="465" xfId="0" applyFont="1" applyFill="1" applyBorder="1" applyAlignment="1">
      <alignment horizontal="center" vertical="center"/>
    </xf>
    <xf numFmtId="183" fontId="58" fillId="0" borderId="463" xfId="2" applyNumberFormat="1" applyFont="1" applyFill="1" applyBorder="1" applyAlignment="1">
      <alignment horizontal="center" vertical="center"/>
    </xf>
    <xf numFmtId="0" fontId="177" fillId="125" borderId="465" xfId="0" quotePrefix="1" applyFont="1" applyFill="1" applyBorder="1" applyAlignment="1">
      <alignment horizontal="center" vertical="center"/>
    </xf>
    <xf numFmtId="183" fontId="58" fillId="0" borderId="120" xfId="2" applyNumberFormat="1" applyFont="1" applyBorder="1" applyAlignment="1">
      <alignment horizontal="center" vertical="center"/>
    </xf>
    <xf numFmtId="183" fontId="58" fillId="7" borderId="465" xfId="2" applyNumberFormat="1" applyFont="1" applyFill="1" applyBorder="1" applyAlignment="1">
      <alignment horizontal="center" vertical="center"/>
    </xf>
    <xf numFmtId="183" fontId="58" fillId="7" borderId="6" xfId="2" applyNumberFormat="1" applyFont="1" applyFill="1" applyBorder="1" applyAlignment="1">
      <alignment horizontal="center" vertical="center"/>
    </xf>
    <xf numFmtId="183" fontId="58" fillId="7" borderId="408" xfId="2" applyNumberFormat="1" applyFont="1" applyFill="1" applyBorder="1" applyAlignment="1">
      <alignment horizontal="center" vertical="center"/>
    </xf>
    <xf numFmtId="187" fontId="58" fillId="7" borderId="465" xfId="2" applyNumberFormat="1" applyFont="1" applyFill="1" applyBorder="1" applyAlignment="1">
      <alignment horizontal="center" vertical="center"/>
    </xf>
    <xf numFmtId="2" fontId="58" fillId="0" borderId="464" xfId="0" applyNumberFormat="1" applyFont="1" applyFill="1" applyBorder="1" applyAlignment="1">
      <alignment horizontal="center" vertical="center"/>
    </xf>
    <xf numFmtId="1" fontId="58" fillId="0" borderId="461" xfId="0" applyNumberFormat="1" applyFont="1" applyFill="1" applyBorder="1" applyAlignment="1">
      <alignment horizontal="center" vertical="center"/>
    </xf>
    <xf numFmtId="3" fontId="58" fillId="0" borderId="465" xfId="0" applyNumberFormat="1" applyFont="1" applyBorder="1" applyAlignment="1">
      <alignment horizontal="center" vertical="center"/>
    </xf>
    <xf numFmtId="2" fontId="58" fillId="0" borderId="464" xfId="0" applyNumberFormat="1" applyFont="1" applyBorder="1" applyAlignment="1">
      <alignment horizontal="center" vertical="center"/>
    </xf>
    <xf numFmtId="2" fontId="29" fillId="0" borderId="465" xfId="0" applyNumberFormat="1" applyFont="1" applyBorder="1" applyAlignment="1">
      <alignment horizontal="center" vertical="center"/>
    </xf>
    <xf numFmtId="2" fontId="58" fillId="0" borderId="35" xfId="0" applyNumberFormat="1" applyFont="1" applyBorder="1" applyAlignment="1">
      <alignment horizontal="center" vertical="center"/>
    </xf>
    <xf numFmtId="2" fontId="58" fillId="0" borderId="0" xfId="0" applyNumberFormat="1" applyFont="1" applyFill="1" applyBorder="1" applyAlignment="1">
      <alignment horizontal="center" vertical="center"/>
    </xf>
    <xf numFmtId="187" fontId="58" fillId="0" borderId="463" xfId="2" applyNumberFormat="1" applyFont="1" applyFill="1" applyBorder="1" applyAlignment="1">
      <alignment horizontal="center" vertical="center"/>
    </xf>
    <xf numFmtId="226" fontId="58" fillId="0" borderId="464" xfId="2" applyNumberFormat="1" applyFont="1" applyBorder="1" applyAlignment="1">
      <alignment horizontal="center" vertical="center"/>
    </xf>
    <xf numFmtId="226" fontId="58" fillId="0" borderId="120" xfId="2" applyNumberFormat="1" applyFont="1" applyBorder="1" applyAlignment="1">
      <alignment horizontal="center" vertical="center"/>
    </xf>
    <xf numFmtId="178" fontId="58" fillId="0" borderId="464" xfId="0" applyNumberFormat="1" applyFont="1" applyFill="1" applyBorder="1" applyAlignment="1">
      <alignment horizontal="center" vertical="center"/>
    </xf>
    <xf numFmtId="187" fontId="58" fillId="0" borderId="5" xfId="2" applyNumberFormat="1" applyFont="1" applyFill="1" applyBorder="1" applyAlignment="1">
      <alignment horizontal="center" vertical="center"/>
    </xf>
    <xf numFmtId="187" fontId="58" fillId="0" borderId="6" xfId="2" applyNumberFormat="1" applyFont="1" applyFill="1" applyBorder="1" applyAlignment="1">
      <alignment horizontal="center" vertical="center"/>
    </xf>
    <xf numFmtId="187" fontId="58" fillId="0" borderId="464" xfId="2" applyNumberFormat="1" applyFont="1" applyFill="1" applyBorder="1" applyAlignment="1">
      <alignment horizontal="center" vertical="center"/>
    </xf>
    <xf numFmtId="187" fontId="58" fillId="0" borderId="32" xfId="2" applyNumberFormat="1" applyFont="1" applyBorder="1" applyAlignment="1">
      <alignment horizontal="center" vertical="center"/>
    </xf>
    <xf numFmtId="187" fontId="58" fillId="0" borderId="474" xfId="2" applyNumberFormat="1" applyFont="1" applyBorder="1" applyAlignment="1">
      <alignment horizontal="center" vertical="center"/>
    </xf>
    <xf numFmtId="187" fontId="58" fillId="0" borderId="5" xfId="2" applyNumberFormat="1" applyFont="1" applyBorder="1" applyAlignment="1">
      <alignment horizontal="center" vertical="center"/>
    </xf>
    <xf numFmtId="187" fontId="58" fillId="0" borderId="120" xfId="2" applyNumberFormat="1" applyFont="1" applyBorder="1" applyAlignment="1">
      <alignment horizontal="center" vertical="center"/>
    </xf>
    <xf numFmtId="226" fontId="58" fillId="0" borderId="46" xfId="2" applyNumberFormat="1" applyFont="1" applyBorder="1" applyAlignment="1">
      <alignment horizontal="center" vertical="center"/>
    </xf>
    <xf numFmtId="187" fontId="58" fillId="0" borderId="35" xfId="2" applyNumberFormat="1" applyFont="1" applyFill="1" applyBorder="1" applyAlignment="1">
      <alignment horizontal="center" vertical="center"/>
    </xf>
    <xf numFmtId="226" fontId="58" fillId="0" borderId="387" xfId="2" applyNumberFormat="1" applyFont="1" applyBorder="1" applyAlignment="1">
      <alignment horizontal="center" vertical="center"/>
    </xf>
    <xf numFmtId="187" fontId="58" fillId="0" borderId="388" xfId="2" applyNumberFormat="1" applyFont="1" applyBorder="1" applyAlignment="1">
      <alignment horizontal="center" vertical="center"/>
    </xf>
    <xf numFmtId="226" fontId="58" fillId="0" borderId="473" xfId="2" applyNumberFormat="1" applyFont="1" applyBorder="1" applyAlignment="1">
      <alignment horizontal="center" vertical="center"/>
    </xf>
    <xf numFmtId="187" fontId="58" fillId="0" borderId="475" xfId="2" applyNumberFormat="1" applyFont="1" applyBorder="1" applyAlignment="1">
      <alignment horizontal="center" vertical="center"/>
    </xf>
    <xf numFmtId="223" fontId="58" fillId="0" borderId="463" xfId="2" applyNumberFormat="1" applyFont="1" applyFill="1" applyBorder="1" applyAlignment="1">
      <alignment horizontal="center" vertical="center"/>
    </xf>
    <xf numFmtId="183" fontId="29" fillId="0" borderId="119" xfId="2" applyNumberFormat="1" applyFont="1" applyFill="1" applyBorder="1" applyAlignment="1">
      <alignment horizontal="center" vertical="center"/>
    </xf>
    <xf numFmtId="187" fontId="58" fillId="0" borderId="448" xfId="2" applyNumberFormat="1" applyFont="1" applyFill="1" applyBorder="1" applyAlignment="1">
      <alignment horizontal="center" vertical="center"/>
    </xf>
    <xf numFmtId="0" fontId="166" fillId="0" borderId="461" xfId="0" applyFont="1" applyBorder="1" applyAlignment="1">
      <alignment horizontal="center" vertical="center" wrapText="1"/>
    </xf>
    <xf numFmtId="183" fontId="177" fillId="125" borderId="461" xfId="0" applyNumberFormat="1" applyFont="1" applyFill="1" applyBorder="1" applyAlignment="1">
      <alignment horizontal="center" vertical="center"/>
    </xf>
    <xf numFmtId="4" fontId="29" fillId="7" borderId="461" xfId="2" applyNumberFormat="1" applyFont="1" applyFill="1" applyBorder="1" applyAlignment="1">
      <alignment horizontal="center" vertical="center"/>
    </xf>
    <xf numFmtId="183" fontId="29" fillId="7" borderId="461" xfId="2" applyNumberFormat="1" applyFont="1" applyFill="1" applyBorder="1" applyAlignment="1">
      <alignment horizontal="center" vertical="center"/>
    </xf>
    <xf numFmtId="183" fontId="177" fillId="125" borderId="463" xfId="2" applyNumberFormat="1" applyFont="1" applyFill="1" applyBorder="1" applyAlignment="1">
      <alignment horizontal="center" vertical="center"/>
    </xf>
    <xf numFmtId="183" fontId="177" fillId="125" borderId="461" xfId="2" applyNumberFormat="1" applyFont="1" applyFill="1" applyBorder="1" applyAlignment="1">
      <alignment horizontal="center" vertical="center"/>
    </xf>
    <xf numFmtId="0" fontId="177" fillId="125" borderId="464" xfId="0" quotePrefix="1" applyFont="1" applyFill="1" applyBorder="1" applyAlignment="1">
      <alignment horizontal="center" vertical="center"/>
    </xf>
    <xf numFmtId="4" fontId="29" fillId="7" borderId="120" xfId="2" applyNumberFormat="1" applyFont="1" applyFill="1" applyBorder="1" applyAlignment="1">
      <alignment horizontal="center" vertical="center"/>
    </xf>
    <xf numFmtId="4" fontId="29" fillId="7" borderId="465" xfId="2" applyNumberFormat="1" applyFont="1" applyFill="1" applyBorder="1" applyAlignment="1">
      <alignment horizontal="center" vertical="center"/>
    </xf>
    <xf numFmtId="183" fontId="29" fillId="7" borderId="465" xfId="2" applyNumberFormat="1" applyFont="1" applyFill="1" applyBorder="1" applyAlignment="1">
      <alignment horizontal="center" vertical="center"/>
    </xf>
    <xf numFmtId="183" fontId="177" fillId="125" borderId="435" xfId="2" applyNumberFormat="1" applyFont="1" applyFill="1" applyBorder="1" applyAlignment="1">
      <alignment horizontal="center" vertical="center"/>
    </xf>
    <xf numFmtId="4" fontId="29" fillId="7" borderId="6" xfId="2" applyNumberFormat="1" applyFont="1" applyFill="1" applyBorder="1" applyAlignment="1">
      <alignment horizontal="center" vertical="center"/>
    </xf>
    <xf numFmtId="183" fontId="177" fillId="125" borderId="464" xfId="2" applyNumberFormat="1" applyFont="1" applyFill="1" applyBorder="1" applyAlignment="1">
      <alignment horizontal="center" vertical="center"/>
    </xf>
    <xf numFmtId="183" fontId="29" fillId="7" borderId="120" xfId="2" applyNumberFormat="1" applyFont="1" applyFill="1" applyBorder="1" applyAlignment="1">
      <alignment horizontal="center" vertical="center" wrapText="1"/>
    </xf>
    <xf numFmtId="38" fontId="29" fillId="7" borderId="465" xfId="2" applyNumberFormat="1" applyFont="1" applyFill="1" applyBorder="1" applyAlignment="1">
      <alignment horizontal="center" vertical="center"/>
    </xf>
    <xf numFmtId="177" fontId="29" fillId="7" borderId="465" xfId="0" applyNumberFormat="1" applyFont="1" applyFill="1" applyBorder="1" applyAlignment="1">
      <alignment horizontal="center" vertical="center"/>
    </xf>
    <xf numFmtId="183" fontId="29" fillId="7" borderId="442" xfId="2" applyNumberFormat="1" applyFont="1" applyFill="1" applyBorder="1" applyAlignment="1">
      <alignment horizontal="center" vertical="center"/>
    </xf>
    <xf numFmtId="183" fontId="177" fillId="125" borderId="443" xfId="2" applyNumberFormat="1" applyFont="1" applyFill="1" applyBorder="1" applyAlignment="1">
      <alignment horizontal="center" vertical="center"/>
    </xf>
    <xf numFmtId="38" fontId="58" fillId="15" borderId="465" xfId="2" applyNumberFormat="1" applyFont="1" applyFill="1" applyBorder="1" applyAlignment="1">
      <alignment horizontal="center" vertical="center"/>
    </xf>
    <xf numFmtId="226" fontId="58" fillId="0" borderId="6" xfId="2" applyNumberFormat="1" applyFont="1" applyBorder="1" applyAlignment="1">
      <alignment horizontal="center" vertical="center"/>
    </xf>
    <xf numFmtId="183" fontId="58" fillId="0" borderId="447" xfId="2" applyNumberFormat="1" applyFont="1" applyFill="1" applyBorder="1" applyAlignment="1">
      <alignment horizontal="center" vertical="center"/>
    </xf>
    <xf numFmtId="232" fontId="29" fillId="7" borderId="0" xfId="0" applyNumberFormat="1" applyFont="1" applyFill="1">
      <alignment vertical="center"/>
    </xf>
    <xf numFmtId="0" fontId="58" fillId="0" borderId="0" xfId="0" applyFont="1" applyFill="1">
      <alignment vertical="center"/>
    </xf>
    <xf numFmtId="177" fontId="58" fillId="0" borderId="0" xfId="0" applyNumberFormat="1" applyFont="1" applyFill="1">
      <alignment vertical="center"/>
    </xf>
    <xf numFmtId="0" fontId="0" fillId="0" borderId="0" xfId="0" applyFill="1">
      <alignment vertical="center"/>
    </xf>
    <xf numFmtId="176" fontId="58" fillId="0" borderId="0" xfId="0" applyNumberFormat="1" applyFont="1" applyFill="1">
      <alignment vertical="center"/>
    </xf>
    <xf numFmtId="188" fontId="58" fillId="0" borderId="0" xfId="0" applyNumberFormat="1" applyFont="1" applyFill="1">
      <alignment vertical="center"/>
    </xf>
    <xf numFmtId="189" fontId="0" fillId="0" borderId="0" xfId="0" applyNumberFormat="1" applyFont="1" applyFill="1" applyBorder="1">
      <alignment vertical="center"/>
    </xf>
    <xf numFmtId="0" fontId="58" fillId="0" borderId="0" xfId="0" applyFont="1" applyFill="1" applyBorder="1">
      <alignment vertical="center"/>
    </xf>
    <xf numFmtId="0" fontId="0" fillId="0" borderId="0" xfId="0" applyFont="1" applyFill="1" applyBorder="1">
      <alignment vertical="center"/>
    </xf>
    <xf numFmtId="226" fontId="58" fillId="0" borderId="0" xfId="0" applyNumberFormat="1" applyFont="1" applyFill="1" applyBorder="1">
      <alignment vertical="center"/>
    </xf>
    <xf numFmtId="179" fontId="44" fillId="0" borderId="0" xfId="24242" applyNumberFormat="1" applyFont="1" applyFill="1" applyBorder="1">
      <alignment vertical="center"/>
    </xf>
    <xf numFmtId="41" fontId="44" fillId="0" borderId="0" xfId="2" quotePrefix="1" applyFont="1" applyFill="1" applyBorder="1" applyAlignment="1">
      <alignment horizontal="center" vertical="center"/>
    </xf>
    <xf numFmtId="41" fontId="58" fillId="0" borderId="0" xfId="2" applyFont="1" applyFill="1" applyBorder="1" applyAlignment="1">
      <alignment horizontal="center" vertical="center"/>
    </xf>
    <xf numFmtId="41" fontId="44" fillId="0" borderId="0" xfId="2" applyFont="1" applyFill="1" applyBorder="1">
      <alignment vertical="center"/>
    </xf>
    <xf numFmtId="41" fontId="58" fillId="0" borderId="0" xfId="2" applyFont="1" applyFill="1" applyBorder="1">
      <alignment vertical="center"/>
    </xf>
    <xf numFmtId="0" fontId="177" fillId="0" borderId="0" xfId="0" quotePrefix="1" applyFont="1" applyFill="1" applyBorder="1" applyAlignment="1">
      <alignment horizontal="center" vertical="center"/>
    </xf>
    <xf numFmtId="0" fontId="58" fillId="0" borderId="0" xfId="0" applyFont="1" applyBorder="1">
      <alignment vertical="center"/>
    </xf>
    <xf numFmtId="0" fontId="187" fillId="0" borderId="0" xfId="0" applyFont="1" applyBorder="1">
      <alignment vertical="center"/>
    </xf>
    <xf numFmtId="43" fontId="58" fillId="0" borderId="0" xfId="0" applyNumberFormat="1" applyFont="1" applyFill="1">
      <alignment vertical="center"/>
    </xf>
    <xf numFmtId="0" fontId="51" fillId="0" borderId="0" xfId="0" applyFont="1" applyFill="1">
      <alignment vertical="center"/>
    </xf>
    <xf numFmtId="0" fontId="190" fillId="0" borderId="0" xfId="0" applyFont="1" applyFill="1" applyBorder="1" applyAlignment="1">
      <alignment horizontal="center" vertical="center"/>
    </xf>
    <xf numFmtId="177" fontId="190" fillId="0" borderId="0" xfId="0" applyNumberFormat="1" applyFont="1" applyFill="1" applyBorder="1" applyAlignment="1">
      <alignment horizontal="center" vertical="center"/>
    </xf>
    <xf numFmtId="0" fontId="190" fillId="0" borderId="0" xfId="0" applyFont="1" applyFill="1" applyAlignment="1">
      <alignment horizontal="center" vertical="center"/>
    </xf>
    <xf numFmtId="226" fontId="190" fillId="0" borderId="0" xfId="0" applyNumberFormat="1" applyFont="1" applyFill="1" applyAlignment="1">
      <alignment horizontal="center" vertical="center"/>
    </xf>
    <xf numFmtId="0" fontId="172" fillId="0" borderId="0" xfId="0" applyFont="1" applyFill="1" applyAlignment="1">
      <alignment horizontal="center" vertical="center"/>
    </xf>
    <xf numFmtId="177" fontId="0" fillId="0" borderId="0" xfId="0" applyNumberFormat="1" applyFill="1" applyBorder="1" applyAlignment="1">
      <alignment horizontal="center" vertical="center"/>
    </xf>
    <xf numFmtId="187" fontId="172" fillId="0" borderId="0" xfId="0" applyNumberFormat="1" applyFont="1" applyFill="1" applyBorder="1">
      <alignment vertical="center"/>
    </xf>
    <xf numFmtId="41" fontId="44" fillId="0" borderId="0" xfId="2" applyFont="1" applyFill="1" applyBorder="1" applyAlignment="1">
      <alignment horizontal="center" vertical="center"/>
    </xf>
    <xf numFmtId="0" fontId="0" fillId="0" borderId="0" xfId="0" applyFill="1" applyBorder="1" applyAlignment="1">
      <alignment horizontal="center" vertical="center"/>
    </xf>
    <xf numFmtId="2" fontId="110" fillId="0" borderId="0" xfId="0" applyNumberFormat="1" applyFont="1" applyFill="1" applyBorder="1" applyAlignment="1" applyProtection="1">
      <alignment vertical="center"/>
    </xf>
    <xf numFmtId="178" fontId="58" fillId="0" borderId="0" xfId="0" applyNumberFormat="1" applyFont="1" applyFill="1" applyBorder="1" applyAlignment="1">
      <alignment horizontal="center" vertical="center"/>
    </xf>
    <xf numFmtId="0" fontId="38" fillId="0" borderId="0" xfId="0" applyFont="1" applyFill="1" applyBorder="1" applyAlignment="1" applyProtection="1">
      <alignment horizontal="center" vertical="center"/>
      <protection locked="0"/>
    </xf>
    <xf numFmtId="187" fontId="58" fillId="0" borderId="0" xfId="0" applyNumberFormat="1" applyFont="1" applyFill="1" applyBorder="1" applyAlignment="1">
      <alignment horizontal="center" vertical="center"/>
    </xf>
    <xf numFmtId="226" fontId="58" fillId="0" borderId="0" xfId="0" applyNumberFormat="1" applyFont="1" applyFill="1" applyBorder="1" applyAlignment="1">
      <alignment horizontal="center" vertical="center"/>
    </xf>
    <xf numFmtId="0" fontId="0" fillId="0" borderId="0" xfId="0" applyFill="1" applyBorder="1" applyAlignment="1" applyProtection="1">
      <alignment horizontal="center" vertical="center"/>
      <protection locked="0"/>
    </xf>
    <xf numFmtId="176" fontId="58" fillId="0" borderId="0" xfId="0" applyNumberFormat="1" applyFont="1" applyFill="1" applyBorder="1" applyAlignment="1">
      <alignment horizontal="center" vertical="center"/>
    </xf>
    <xf numFmtId="234" fontId="58" fillId="0" borderId="0" xfId="0" applyNumberFormat="1" applyFont="1" applyFill="1" applyBorder="1" applyAlignment="1">
      <alignment horizontal="center" vertical="center"/>
    </xf>
    <xf numFmtId="187" fontId="58" fillId="0" borderId="0" xfId="0" applyNumberFormat="1" applyFont="1" applyFill="1" applyBorder="1">
      <alignment vertical="center"/>
    </xf>
    <xf numFmtId="0" fontId="38" fillId="0" borderId="0" xfId="0" applyFont="1" applyFill="1" applyBorder="1" applyAlignment="1" applyProtection="1">
      <protection locked="0"/>
    </xf>
    <xf numFmtId="0" fontId="0" fillId="0" borderId="0" xfId="0" applyFill="1" applyBorder="1" applyAlignment="1" applyProtection="1">
      <protection locked="0"/>
    </xf>
    <xf numFmtId="189" fontId="110" fillId="0" borderId="0" xfId="0" applyNumberFormat="1" applyFont="1" applyFill="1" applyBorder="1" applyAlignment="1" applyProtection="1">
      <alignment vertical="center"/>
    </xf>
    <xf numFmtId="1" fontId="29" fillId="0" borderId="465" xfId="0" applyNumberFormat="1" applyFont="1" applyBorder="1" applyAlignment="1">
      <alignment horizontal="center" vertical="center"/>
    </xf>
    <xf numFmtId="0" fontId="58" fillId="5" borderId="465" xfId="0" applyFont="1" applyFill="1" applyBorder="1" applyAlignment="1">
      <alignment horizontal="center" vertical="center" wrapText="1"/>
    </xf>
    <xf numFmtId="185" fontId="58" fillId="7" borderId="465" xfId="0" applyNumberFormat="1" applyFont="1" applyFill="1" applyBorder="1" applyAlignment="1">
      <alignment horizontal="center" vertical="center"/>
    </xf>
    <xf numFmtId="176" fontId="29" fillId="0" borderId="269" xfId="0" applyNumberFormat="1" applyFont="1" applyBorder="1" applyAlignment="1">
      <alignment horizontal="center" vertical="center"/>
    </xf>
    <xf numFmtId="183" fontId="58" fillId="0" borderId="434" xfId="0" applyNumberFormat="1" applyFont="1" applyFill="1" applyBorder="1" applyAlignment="1">
      <alignment horizontal="center" vertical="center"/>
    </xf>
    <xf numFmtId="176" fontId="58" fillId="0" borderId="455" xfId="0" applyNumberFormat="1" applyFont="1" applyFill="1" applyBorder="1" applyAlignment="1">
      <alignment horizontal="center" vertical="center"/>
    </xf>
    <xf numFmtId="176" fontId="58" fillId="0" borderId="446" xfId="0" applyNumberFormat="1" applyFont="1" applyFill="1" applyBorder="1" applyAlignment="1">
      <alignment horizontal="center" vertical="center"/>
    </xf>
    <xf numFmtId="0" fontId="177" fillId="125" borderId="470" xfId="0" applyFont="1" applyFill="1" applyBorder="1" applyAlignment="1">
      <alignment horizontal="center" vertical="center" wrapText="1"/>
    </xf>
    <xf numFmtId="0" fontId="29" fillId="0" borderId="470" xfId="0" applyFont="1" applyBorder="1" applyAlignment="1">
      <alignment horizontal="center" vertical="center" wrapText="1"/>
    </xf>
    <xf numFmtId="10" fontId="29" fillId="0" borderId="462" xfId="0" applyNumberFormat="1" applyFont="1" applyBorder="1" applyAlignment="1">
      <alignment horizontal="center" vertical="center" wrapText="1"/>
    </xf>
    <xf numFmtId="183" fontId="177" fillId="125" borderId="405" xfId="0" applyNumberFormat="1" applyFont="1" applyFill="1" applyBorder="1" applyAlignment="1">
      <alignment horizontal="center" vertical="center"/>
    </xf>
    <xf numFmtId="0" fontId="58" fillId="0" borderId="0" xfId="0" applyFont="1" applyFill="1" applyBorder="1" applyAlignment="1">
      <alignment horizontal="center" vertical="center"/>
    </xf>
    <xf numFmtId="183" fontId="0" fillId="0" borderId="410" xfId="0" applyNumberFormat="1" applyBorder="1" applyAlignment="1">
      <alignment horizontal="center" vertical="center"/>
    </xf>
    <xf numFmtId="2" fontId="172" fillId="8" borderId="45" xfId="0" applyNumberFormat="1" applyFont="1" applyFill="1" applyBorder="1" applyAlignment="1">
      <alignment horizontal="center" vertical="center" wrapText="1"/>
    </xf>
    <xf numFmtId="3" fontId="58" fillId="7" borderId="45" xfId="2" applyNumberFormat="1" applyFont="1" applyFill="1" applyBorder="1" applyAlignment="1">
      <alignment horizontal="center" vertical="center"/>
    </xf>
    <xf numFmtId="3" fontId="58" fillId="7" borderId="461" xfId="2" applyNumberFormat="1" applyFont="1" applyFill="1" applyBorder="1" applyAlignment="1">
      <alignment horizontal="center" vertical="center"/>
    </xf>
    <xf numFmtId="3" fontId="177" fillId="125" borderId="461" xfId="2" applyNumberFormat="1" applyFont="1" applyFill="1" applyBorder="1" applyAlignment="1">
      <alignment horizontal="center" vertical="center" wrapText="1"/>
    </xf>
    <xf numFmtId="3" fontId="177" fillId="125" borderId="476" xfId="2" applyNumberFormat="1" applyFont="1" applyFill="1" applyBorder="1" applyAlignment="1">
      <alignment horizontal="center" vertical="center" wrapText="1"/>
    </xf>
    <xf numFmtId="2" fontId="35" fillId="8" borderId="47" xfId="0" quotePrefix="1" applyNumberFormat="1" applyFont="1" applyFill="1" applyBorder="1" applyAlignment="1">
      <alignment horizontal="center" vertical="center"/>
    </xf>
    <xf numFmtId="177" fontId="29" fillId="15" borderId="269" xfId="0" applyNumberFormat="1" applyFont="1" applyFill="1" applyBorder="1" applyAlignment="1">
      <alignment horizontal="center" vertical="center"/>
    </xf>
    <xf numFmtId="177" fontId="29" fillId="15" borderId="269" xfId="0" applyNumberFormat="1" applyFont="1" applyFill="1" applyBorder="1">
      <alignment vertical="center"/>
    </xf>
    <xf numFmtId="41" fontId="178" fillId="127" borderId="464" xfId="2" applyFont="1" applyFill="1" applyBorder="1" applyAlignment="1">
      <alignment horizontal="center" vertical="center"/>
    </xf>
    <xf numFmtId="0" fontId="177" fillId="127" borderId="461" xfId="0" applyFont="1" applyFill="1" applyBorder="1" applyAlignment="1">
      <alignment horizontal="center" vertical="center"/>
    </xf>
    <xf numFmtId="0" fontId="177" fillId="127" borderId="328" xfId="0" applyFont="1" applyFill="1" applyBorder="1" applyAlignment="1">
      <alignment horizontal="center" vertical="center"/>
    </xf>
    <xf numFmtId="0" fontId="178" fillId="127" borderId="327" xfId="0" applyFont="1" applyFill="1" applyBorder="1" applyAlignment="1">
      <alignment horizontal="center" vertical="center"/>
    </xf>
    <xf numFmtId="0" fontId="51" fillId="0" borderId="0" xfId="0" applyFont="1" applyFill="1" applyBorder="1">
      <alignment vertical="center"/>
    </xf>
    <xf numFmtId="0" fontId="178" fillId="127" borderId="478" xfId="0" applyFont="1" applyFill="1" applyBorder="1" applyAlignment="1">
      <alignment horizontal="center" vertical="center" wrapText="1"/>
    </xf>
    <xf numFmtId="0" fontId="166" fillId="16" borderId="478" xfId="0" applyFont="1" applyFill="1" applyBorder="1" applyAlignment="1">
      <alignment horizontal="center" vertical="center" wrapText="1"/>
    </xf>
    <xf numFmtId="0" fontId="166" fillId="0" borderId="478" xfId="0" applyFont="1" applyBorder="1" applyAlignment="1">
      <alignment horizontal="center" vertical="center" wrapText="1"/>
    </xf>
    <xf numFmtId="185" fontId="166" fillId="0" borderId="478" xfId="0" applyNumberFormat="1" applyFont="1" applyBorder="1" applyAlignment="1">
      <alignment horizontal="center" vertical="center" wrapText="1"/>
    </xf>
    <xf numFmtId="38" fontId="29" fillId="0" borderId="478" xfId="0" applyNumberFormat="1" applyFont="1" applyBorder="1" applyAlignment="1">
      <alignment horizontal="center" vertical="center"/>
    </xf>
    <xf numFmtId="0" fontId="29" fillId="0" borderId="478" xfId="0" applyFont="1" applyBorder="1" applyAlignment="1">
      <alignment horizontal="center" vertical="center"/>
    </xf>
    <xf numFmtId="0" fontId="29" fillId="0" borderId="478" xfId="0" applyFont="1" applyBorder="1" applyAlignment="1">
      <alignment horizontal="left" vertical="center" wrapText="1"/>
    </xf>
    <xf numFmtId="0" fontId="177" fillId="127" borderId="200" xfId="0" applyFont="1" applyFill="1" applyBorder="1" applyAlignment="1">
      <alignment horizontal="center" vertical="center"/>
    </xf>
    <xf numFmtId="0" fontId="177" fillId="127" borderId="135" xfId="0" applyFont="1" applyFill="1" applyBorder="1" applyAlignment="1">
      <alignment horizontal="center" vertical="center"/>
    </xf>
    <xf numFmtId="0" fontId="177" fillId="127" borderId="327" xfId="0" applyFont="1" applyFill="1" applyBorder="1" applyAlignment="1">
      <alignment horizontal="center" vertical="center"/>
    </xf>
    <xf numFmtId="183" fontId="29" fillId="0" borderId="462" xfId="0" applyNumberFormat="1" applyFont="1" applyBorder="1" applyAlignment="1">
      <alignment horizontal="center" vertical="center" wrapText="1"/>
    </xf>
    <xf numFmtId="185" fontId="166" fillId="0" borderId="480" xfId="0" applyNumberFormat="1" applyFont="1" applyBorder="1" applyAlignment="1">
      <alignment horizontal="center" vertical="center" wrapText="1"/>
    </xf>
    <xf numFmtId="187" fontId="29" fillId="0" borderId="219" xfId="2" applyNumberFormat="1" applyFont="1" applyFill="1" applyBorder="1" applyAlignment="1">
      <alignment horizontal="center" vertical="center"/>
    </xf>
    <xf numFmtId="226" fontId="58" fillId="0" borderId="456" xfId="2" applyNumberFormat="1" applyFont="1" applyBorder="1" applyAlignment="1">
      <alignment horizontal="center" vertical="center"/>
    </xf>
    <xf numFmtId="226" fontId="58" fillId="0" borderId="457" xfId="2" applyNumberFormat="1" applyFont="1" applyBorder="1" applyAlignment="1">
      <alignment horizontal="center" vertical="center"/>
    </xf>
    <xf numFmtId="0" fontId="178" fillId="126" borderId="366" xfId="0" applyFont="1" applyFill="1" applyBorder="1" applyAlignment="1">
      <alignment horizontal="center" vertical="center"/>
    </xf>
    <xf numFmtId="223" fontId="58" fillId="15" borderId="332" xfId="2" quotePrefix="1" applyNumberFormat="1" applyFont="1" applyFill="1" applyBorder="1" applyAlignment="1">
      <alignment horizontal="center" vertical="center"/>
    </xf>
    <xf numFmtId="223" fontId="58" fillId="15" borderId="45" xfId="2" applyNumberFormat="1" applyFont="1" applyFill="1" applyBorder="1" applyAlignment="1">
      <alignment horizontal="center" vertical="center"/>
    </xf>
    <xf numFmtId="9" fontId="58" fillId="15" borderId="45" xfId="1" applyFont="1" applyFill="1" applyBorder="1" applyAlignment="1">
      <alignment horizontal="center" vertical="center"/>
    </xf>
    <xf numFmtId="9" fontId="58" fillId="0" borderId="461" xfId="1" applyFont="1" applyBorder="1" applyAlignment="1">
      <alignment horizontal="center" vertical="center"/>
    </xf>
    <xf numFmtId="223" fontId="58" fillId="15" borderId="463" xfId="2" quotePrefix="1" applyNumberFormat="1" applyFont="1" applyFill="1" applyBorder="1" applyAlignment="1">
      <alignment horizontal="center" vertical="center"/>
    </xf>
    <xf numFmtId="223" fontId="58" fillId="15" borderId="461" xfId="2" applyNumberFormat="1" applyFont="1" applyFill="1" applyBorder="1" applyAlignment="1">
      <alignment horizontal="center" vertical="center"/>
    </xf>
    <xf numFmtId="9" fontId="58" fillId="15" borderId="461" xfId="1" applyFont="1" applyFill="1" applyBorder="1" applyAlignment="1">
      <alignment horizontal="center" vertical="center"/>
    </xf>
    <xf numFmtId="0" fontId="177" fillId="127" borderId="444" xfId="0" applyFont="1" applyFill="1" applyBorder="1" applyAlignment="1">
      <alignment horizontal="center" vertical="center"/>
    </xf>
    <xf numFmtId="0" fontId="178" fillId="126" borderId="481" xfId="0" applyFont="1" applyFill="1" applyBorder="1" applyAlignment="1">
      <alignment horizontal="center" vertical="center"/>
    </xf>
    <xf numFmtId="0" fontId="177" fillId="125" borderId="456" xfId="0" applyFont="1" applyFill="1" applyBorder="1" applyAlignment="1">
      <alignment horizontal="center" vertical="center"/>
    </xf>
    <xf numFmtId="0" fontId="177" fillId="125" borderId="457" xfId="0" applyFont="1" applyFill="1" applyBorder="1" applyAlignment="1">
      <alignment horizontal="center" vertical="center"/>
    </xf>
    <xf numFmtId="0" fontId="177" fillId="125" borderId="447" xfId="0" applyFont="1" applyFill="1" applyBorder="1" applyAlignment="1">
      <alignment horizontal="center" vertical="center"/>
    </xf>
    <xf numFmtId="226" fontId="58" fillId="0" borderId="308" xfId="2" applyNumberFormat="1" applyFont="1" applyBorder="1" applyAlignment="1">
      <alignment horizontal="center" vertical="center"/>
    </xf>
    <xf numFmtId="226" fontId="58" fillId="0" borderId="25" xfId="2" applyNumberFormat="1" applyFont="1" applyBorder="1" applyAlignment="1">
      <alignment horizontal="center" vertical="center"/>
    </xf>
    <xf numFmtId="226" fontId="58" fillId="0" borderId="26" xfId="2" applyNumberFormat="1" applyFont="1" applyBorder="1" applyAlignment="1">
      <alignment horizontal="center" vertical="center"/>
    </xf>
    <xf numFmtId="226" fontId="58" fillId="0" borderId="38" xfId="2" applyNumberFormat="1" applyFont="1" applyBorder="1" applyAlignment="1">
      <alignment horizontal="center" vertical="center"/>
    </xf>
    <xf numFmtId="226" fontId="58" fillId="0" borderId="35" xfId="2" applyNumberFormat="1" applyFont="1" applyBorder="1" applyAlignment="1">
      <alignment horizontal="center" vertical="center"/>
    </xf>
    <xf numFmtId="38" fontId="58" fillId="0" borderId="38" xfId="2" applyNumberFormat="1" applyFont="1" applyBorder="1" applyAlignment="1">
      <alignment horizontal="center" vertical="center"/>
    </xf>
    <xf numFmtId="9" fontId="58" fillId="0" borderId="38" xfId="1" applyFont="1" applyBorder="1" applyAlignment="1">
      <alignment horizontal="center" vertical="center"/>
    </xf>
    <xf numFmtId="41" fontId="178" fillId="126" borderId="62" xfId="2" applyFont="1" applyFill="1" applyBorder="1" applyAlignment="1">
      <alignment horizontal="center" vertical="center"/>
    </xf>
    <xf numFmtId="187" fontId="58" fillId="0" borderId="320" xfId="2" applyNumberFormat="1" applyFont="1" applyBorder="1" applyAlignment="1">
      <alignment horizontal="center" vertical="center"/>
    </xf>
    <xf numFmtId="187" fontId="58" fillId="0" borderId="321" xfId="2" applyNumberFormat="1" applyFont="1" applyBorder="1" applyAlignment="1">
      <alignment horizontal="center" vertical="center"/>
    </xf>
    <xf numFmtId="187" fontId="58" fillId="0" borderId="322" xfId="2" applyNumberFormat="1" applyFont="1" applyBorder="1" applyAlignment="1">
      <alignment horizontal="center" vertical="center"/>
    </xf>
    <xf numFmtId="187" fontId="58" fillId="0" borderId="46" xfId="2" applyNumberFormat="1" applyFont="1" applyBorder="1" applyAlignment="1">
      <alignment horizontal="center" vertical="center"/>
    </xf>
    <xf numFmtId="38" fontId="58" fillId="15" borderId="45" xfId="2" applyNumberFormat="1" applyFont="1" applyFill="1" applyBorder="1" applyAlignment="1">
      <alignment horizontal="center" vertical="center"/>
    </xf>
    <xf numFmtId="0" fontId="58" fillId="15" borderId="121" xfId="0" applyFont="1" applyFill="1" applyBorder="1" applyAlignment="1">
      <alignment horizontal="center" vertical="center"/>
    </xf>
    <xf numFmtId="0" fontId="177" fillId="127" borderId="445" xfId="0" applyFont="1" applyFill="1" applyBorder="1" applyAlignment="1">
      <alignment horizontal="center" vertical="center"/>
    </xf>
    <xf numFmtId="226" fontId="58" fillId="0" borderId="483" xfId="0" applyNumberFormat="1" applyFont="1" applyBorder="1" applyAlignment="1">
      <alignment horizontal="center" vertical="center"/>
    </xf>
    <xf numFmtId="226" fontId="58" fillId="0" borderId="472" xfId="0" applyNumberFormat="1" applyFont="1" applyBorder="1" applyAlignment="1">
      <alignment horizontal="center" vertical="center"/>
    </xf>
    <xf numFmtId="226" fontId="58" fillId="0" borderId="472" xfId="2" applyNumberFormat="1" applyFont="1" applyBorder="1" applyAlignment="1">
      <alignment horizontal="center" vertical="center"/>
    </xf>
    <xf numFmtId="0" fontId="0" fillId="0" borderId="472" xfId="0" applyNumberFormat="1" applyBorder="1" applyAlignment="1" applyProtection="1">
      <alignment horizontal="center" vertical="center"/>
      <protection locked="0"/>
    </xf>
    <xf numFmtId="183" fontId="29" fillId="0" borderId="463" xfId="2" applyNumberFormat="1" applyFont="1" applyFill="1" applyBorder="1" applyAlignment="1">
      <alignment horizontal="center" vertical="center"/>
    </xf>
    <xf numFmtId="9" fontId="58" fillId="15" borderId="6" xfId="1" applyFont="1" applyFill="1" applyBorder="1" applyAlignment="1">
      <alignment horizontal="center" vertical="center"/>
    </xf>
    <xf numFmtId="0" fontId="58" fillId="0" borderId="200" xfId="0" applyFont="1" applyFill="1" applyBorder="1" applyAlignment="1">
      <alignment horizontal="center" vertical="center" wrapText="1"/>
    </xf>
    <xf numFmtId="0" fontId="178" fillId="126" borderId="484" xfId="0" applyFont="1" applyFill="1" applyBorder="1" applyAlignment="1">
      <alignment horizontal="center" vertical="center"/>
    </xf>
    <xf numFmtId="226" fontId="58" fillId="7" borderId="329" xfId="2" applyNumberFormat="1" applyFont="1" applyFill="1" applyBorder="1" applyAlignment="1">
      <alignment horizontal="center" vertical="center"/>
    </xf>
    <xf numFmtId="226" fontId="58" fillId="7" borderId="330" xfId="2" applyNumberFormat="1" applyFont="1" applyFill="1" applyBorder="1" applyAlignment="1">
      <alignment horizontal="center" vertical="center"/>
    </xf>
    <xf numFmtId="226" fontId="58" fillId="7" borderId="331" xfId="2" applyNumberFormat="1" applyFont="1" applyFill="1" applyBorder="1" applyAlignment="1">
      <alignment horizontal="center" vertical="center"/>
    </xf>
    <xf numFmtId="226" fontId="58" fillId="7" borderId="45" xfId="2" applyNumberFormat="1" applyFont="1" applyFill="1" applyBorder="1" applyAlignment="1">
      <alignment horizontal="center" vertical="center"/>
    </xf>
    <xf numFmtId="226" fontId="58" fillId="7" borderId="46" xfId="2" applyNumberFormat="1" applyFont="1" applyFill="1" applyBorder="1" applyAlignment="1">
      <alignment horizontal="center" vertical="center"/>
    </xf>
    <xf numFmtId="0" fontId="58" fillId="7" borderId="121" xfId="0" applyFont="1" applyFill="1" applyBorder="1" applyAlignment="1">
      <alignment horizontal="center" vertical="center"/>
    </xf>
    <xf numFmtId="0" fontId="178" fillId="126" borderId="485" xfId="0" applyFont="1" applyFill="1" applyBorder="1" applyAlignment="1">
      <alignment horizontal="center" vertical="center"/>
    </xf>
    <xf numFmtId="187" fontId="58" fillId="7" borderId="353" xfId="2" applyNumberFormat="1" applyFont="1" applyFill="1" applyBorder="1" applyAlignment="1">
      <alignment horizontal="center" vertical="center"/>
    </xf>
    <xf numFmtId="187" fontId="58" fillId="7" borderId="354" xfId="2" applyNumberFormat="1" applyFont="1" applyFill="1" applyBorder="1" applyAlignment="1">
      <alignment horizontal="center" vertical="center"/>
    </xf>
    <xf numFmtId="187" fontId="58" fillId="7" borderId="449" xfId="2" applyNumberFormat="1" applyFont="1" applyFill="1" applyBorder="1" applyAlignment="1">
      <alignment horizontal="center" vertical="center"/>
    </xf>
    <xf numFmtId="0" fontId="58" fillId="7" borderId="355" xfId="0" applyFont="1" applyFill="1" applyBorder="1" applyAlignment="1">
      <alignment horizontal="center" vertical="center"/>
    </xf>
    <xf numFmtId="187" fontId="58" fillId="0" borderId="457" xfId="2" applyNumberFormat="1" applyFont="1" applyFill="1" applyBorder="1" applyAlignment="1">
      <alignment horizontal="center" vertical="center"/>
    </xf>
    <xf numFmtId="3" fontId="58" fillId="15" borderId="464" xfId="2" quotePrefix="1" applyNumberFormat="1" applyFont="1" applyFill="1" applyBorder="1" applyAlignment="1">
      <alignment horizontal="center" vertical="center"/>
    </xf>
    <xf numFmtId="3" fontId="58" fillId="15" borderId="464" xfId="0" applyNumberFormat="1" applyFont="1" applyFill="1" applyBorder="1" applyAlignment="1">
      <alignment horizontal="center" vertical="center"/>
    </xf>
    <xf numFmtId="9" fontId="58" fillId="15" borderId="464" xfId="1" applyFont="1" applyFill="1" applyBorder="1" applyAlignment="1">
      <alignment horizontal="center" vertical="center"/>
    </xf>
    <xf numFmtId="183" fontId="29" fillId="0" borderId="45" xfId="2" applyNumberFormat="1" applyFont="1" applyFill="1" applyBorder="1" applyAlignment="1">
      <alignment horizontal="center" vertical="center"/>
    </xf>
    <xf numFmtId="187" fontId="58" fillId="0" borderId="483" xfId="2" applyNumberFormat="1" applyFont="1" applyBorder="1" applyAlignment="1">
      <alignment horizontal="center" vertical="center"/>
    </xf>
    <xf numFmtId="187" fontId="58" fillId="0" borderId="472" xfId="2" applyNumberFormat="1" applyFont="1" applyBorder="1" applyAlignment="1">
      <alignment horizontal="center" vertical="center"/>
    </xf>
    <xf numFmtId="187" fontId="58" fillId="0" borderId="486" xfId="2" applyNumberFormat="1" applyFont="1" applyFill="1" applyBorder="1" applyAlignment="1">
      <alignment horizontal="center" vertical="center"/>
    </xf>
    <xf numFmtId="187" fontId="58" fillId="15" borderId="29" xfId="2" applyNumberFormat="1" applyFont="1" applyFill="1" applyBorder="1" applyAlignment="1">
      <alignment horizontal="center" vertical="center"/>
    </xf>
    <xf numFmtId="187" fontId="58" fillId="15" borderId="487" xfId="2" applyNumberFormat="1" applyFont="1" applyFill="1" applyBorder="1" applyAlignment="1">
      <alignment horizontal="center" vertical="center"/>
    </xf>
    <xf numFmtId="3" fontId="58" fillId="15" borderId="465" xfId="2" quotePrefix="1" applyNumberFormat="1" applyFont="1" applyFill="1" applyBorder="1" applyAlignment="1">
      <alignment horizontal="center" vertical="center"/>
    </xf>
    <xf numFmtId="3" fontId="58" fillId="15" borderId="465" xfId="0" applyNumberFormat="1" applyFont="1" applyFill="1" applyBorder="1" applyAlignment="1">
      <alignment horizontal="center" vertical="center"/>
    </xf>
    <xf numFmtId="187" fontId="58" fillId="0" borderId="39" xfId="2" applyNumberFormat="1" applyFont="1" applyFill="1" applyBorder="1" applyAlignment="1">
      <alignment horizontal="center" vertical="center"/>
    </xf>
    <xf numFmtId="187" fontId="58" fillId="0" borderId="471" xfId="2" applyNumberFormat="1" applyFont="1" applyFill="1" applyBorder="1" applyAlignment="1">
      <alignment horizontal="center" vertical="center"/>
    </xf>
    <xf numFmtId="187" fontId="58" fillId="0" borderId="488" xfId="2" applyNumberFormat="1" applyFont="1" applyFill="1" applyBorder="1" applyAlignment="1">
      <alignment horizontal="center" vertical="center"/>
    </xf>
    <xf numFmtId="187" fontId="58" fillId="0" borderId="489" xfId="2" applyNumberFormat="1" applyFont="1" applyFill="1" applyBorder="1" applyAlignment="1">
      <alignment horizontal="center" vertical="center"/>
    </xf>
    <xf numFmtId="0" fontId="178" fillId="126" borderId="462" xfId="0" applyFont="1" applyFill="1" applyBorder="1" applyAlignment="1">
      <alignment horizontal="center" vertical="center"/>
    </xf>
    <xf numFmtId="0" fontId="178" fillId="126" borderId="95" xfId="0" applyFont="1" applyFill="1" applyBorder="1" applyAlignment="1">
      <alignment horizontal="center" vertical="center"/>
    </xf>
    <xf numFmtId="0" fontId="178" fillId="126" borderId="482" xfId="0" applyFont="1" applyFill="1" applyBorder="1" applyAlignment="1">
      <alignment horizontal="center" vertical="center"/>
    </xf>
    <xf numFmtId="230" fontId="29" fillId="7" borderId="465" xfId="0" applyNumberFormat="1" applyFont="1" applyFill="1" applyBorder="1">
      <alignment vertical="center"/>
    </xf>
    <xf numFmtId="0" fontId="45" fillId="0" borderId="6" xfId="0" applyFont="1" applyBorder="1" applyAlignment="1">
      <alignment vertical="center" wrapText="1"/>
    </xf>
    <xf numFmtId="183" fontId="177" fillId="125" borderId="476" xfId="2" applyNumberFormat="1" applyFont="1" applyFill="1" applyBorder="1" applyAlignment="1">
      <alignment horizontal="center" vertical="center"/>
    </xf>
    <xf numFmtId="2" fontId="58" fillId="0" borderId="328" xfId="0" applyNumberFormat="1" applyFont="1" applyBorder="1" applyAlignment="1">
      <alignment horizontal="center" vertical="center"/>
    </xf>
    <xf numFmtId="2" fontId="58" fillId="0" borderId="332" xfId="0" applyNumberFormat="1" applyFont="1" applyBorder="1" applyAlignment="1">
      <alignment horizontal="center" vertical="center"/>
    </xf>
    <xf numFmtId="177" fontId="58" fillId="0" borderId="226" xfId="0" applyNumberFormat="1" applyFont="1" applyBorder="1" applyAlignment="1">
      <alignment horizontal="center" vertical="center"/>
    </xf>
    <xf numFmtId="177" fontId="58" fillId="0" borderId="328" xfId="0" applyNumberFormat="1" applyFont="1" applyBorder="1" applyAlignment="1">
      <alignment horizontal="center" vertical="center"/>
    </xf>
    <xf numFmtId="0" fontId="180" fillId="119" borderId="311" xfId="0" applyFont="1" applyFill="1" applyBorder="1" applyAlignment="1">
      <alignment horizontal="center" vertical="center" wrapText="1"/>
    </xf>
    <xf numFmtId="0" fontId="29" fillId="93" borderId="465" xfId="0" applyFont="1" applyFill="1" applyBorder="1" applyAlignment="1">
      <alignment horizontal="center" vertical="center"/>
    </xf>
    <xf numFmtId="2" fontId="27" fillId="16" borderId="55" xfId="0" applyNumberFormat="1" applyFont="1" applyFill="1" applyBorder="1" applyAlignment="1">
      <alignment horizontal="center" vertical="center" wrapText="1"/>
    </xf>
    <xf numFmtId="2" fontId="29" fillId="7" borderId="465" xfId="0" applyNumberFormat="1" applyFont="1" applyFill="1" applyBorder="1" applyAlignment="1">
      <alignment horizontal="center" vertical="center"/>
    </xf>
    <xf numFmtId="0" fontId="177" fillId="125" borderId="450" xfId="0" applyFont="1" applyFill="1" applyBorder="1" applyAlignment="1">
      <alignment horizontal="center" vertical="center"/>
    </xf>
    <xf numFmtId="0" fontId="177" fillId="125" borderId="467" xfId="0" applyFont="1" applyFill="1" applyBorder="1" applyAlignment="1">
      <alignment horizontal="center" vertical="center"/>
    </xf>
    <xf numFmtId="0" fontId="177" fillId="125" borderId="434" xfId="0" applyFont="1" applyFill="1" applyBorder="1" applyAlignment="1">
      <alignment horizontal="center" vertical="center"/>
    </xf>
    <xf numFmtId="0" fontId="172" fillId="7" borderId="465" xfId="0" applyFont="1" applyFill="1" applyBorder="1" applyAlignment="1">
      <alignment horizontal="center" vertical="center"/>
    </xf>
    <xf numFmtId="187" fontId="46" fillId="15" borderId="461" xfId="0" applyNumberFormat="1" applyFont="1" applyFill="1" applyBorder="1" applyAlignment="1">
      <alignment horizontal="center" vertical="center"/>
    </xf>
    <xf numFmtId="183" fontId="58" fillId="0" borderId="448" xfId="2" applyNumberFormat="1" applyFont="1" applyFill="1" applyBorder="1" applyAlignment="1">
      <alignment horizontal="center" vertical="center"/>
    </xf>
    <xf numFmtId="1" fontId="58" fillId="0" borderId="322" xfId="0" applyNumberFormat="1" applyFont="1" applyFill="1" applyBorder="1" applyAlignment="1">
      <alignment horizontal="center" vertical="center"/>
    </xf>
    <xf numFmtId="1" fontId="58" fillId="0" borderId="446" xfId="0" applyNumberFormat="1" applyFont="1" applyFill="1" applyBorder="1" applyAlignment="1">
      <alignment horizontal="center" vertical="center"/>
    </xf>
    <xf numFmtId="187" fontId="46" fillId="15" borderId="322" xfId="0" applyNumberFormat="1" applyFont="1" applyFill="1" applyBorder="1" applyAlignment="1">
      <alignment horizontal="center" vertical="center"/>
    </xf>
    <xf numFmtId="187" fontId="46" fillId="15" borderId="446" xfId="0" applyNumberFormat="1" applyFont="1" applyFill="1" applyBorder="1" applyAlignment="1">
      <alignment horizontal="center" vertical="center"/>
    </xf>
    <xf numFmtId="187" fontId="206" fillId="3" borderId="322" xfId="0" applyNumberFormat="1" applyFont="1" applyFill="1" applyBorder="1" applyAlignment="1">
      <alignment horizontal="center" vertical="center"/>
    </xf>
    <xf numFmtId="0" fontId="178" fillId="126" borderId="327" xfId="0" applyFont="1" applyFill="1" applyBorder="1" applyAlignment="1">
      <alignment horizontal="center" vertical="center"/>
    </xf>
    <xf numFmtId="183" fontId="58" fillId="0" borderId="470" xfId="2" applyNumberFormat="1" applyFont="1" applyFill="1" applyBorder="1" applyAlignment="1">
      <alignment horizontal="center" vertical="center" wrapText="1"/>
    </xf>
    <xf numFmtId="178" fontId="58" fillId="0" borderId="470" xfId="2" applyNumberFormat="1" applyFont="1" applyFill="1" applyBorder="1" applyAlignment="1">
      <alignment horizontal="center" vertical="center" wrapText="1"/>
    </xf>
    <xf numFmtId="176" fontId="58" fillId="0" borderId="470" xfId="0" applyNumberFormat="1" applyFont="1" applyFill="1" applyBorder="1" applyAlignment="1">
      <alignment horizontal="center" vertical="center"/>
    </xf>
    <xf numFmtId="185" fontId="58" fillId="0" borderId="470" xfId="0" applyNumberFormat="1" applyFont="1" applyFill="1" applyBorder="1" applyAlignment="1">
      <alignment horizontal="center" vertical="center"/>
    </xf>
    <xf numFmtId="1" fontId="58" fillId="0" borderId="47" xfId="0" applyNumberFormat="1" applyFont="1" applyFill="1" applyBorder="1" applyAlignment="1">
      <alignment horizontal="center" vertical="center"/>
    </xf>
    <xf numFmtId="1" fontId="58" fillId="0" borderId="470" xfId="0" applyNumberFormat="1" applyFont="1" applyFill="1" applyBorder="1" applyAlignment="1">
      <alignment horizontal="center" vertical="center"/>
    </xf>
    <xf numFmtId="178" fontId="58" fillId="0" borderId="47" xfId="0" applyNumberFormat="1" applyFont="1" applyFill="1" applyBorder="1" applyAlignment="1">
      <alignment horizontal="center" vertical="center"/>
    </xf>
    <xf numFmtId="183" fontId="58" fillId="0" borderId="470" xfId="0" applyNumberFormat="1" applyFont="1" applyFill="1" applyBorder="1" applyAlignment="1">
      <alignment horizontal="center" vertical="center"/>
    </xf>
    <xf numFmtId="178" fontId="58" fillId="0" borderId="470" xfId="0" applyNumberFormat="1" applyFont="1" applyFill="1" applyBorder="1" applyAlignment="1">
      <alignment horizontal="center" vertical="center"/>
    </xf>
    <xf numFmtId="183" fontId="58" fillId="0" borderId="291" xfId="0" applyNumberFormat="1" applyFont="1" applyFill="1" applyBorder="1" applyAlignment="1">
      <alignment horizontal="center" vertical="center"/>
    </xf>
    <xf numFmtId="183" fontId="58" fillId="0" borderId="477" xfId="0" applyNumberFormat="1" applyFont="1" applyFill="1" applyBorder="1" applyAlignment="1">
      <alignment horizontal="center" vertical="center"/>
    </xf>
    <xf numFmtId="183" fontId="46" fillId="15" borderId="470" xfId="0" applyNumberFormat="1" applyFont="1" applyFill="1" applyBorder="1" applyAlignment="1">
      <alignment horizontal="center" vertical="center"/>
    </xf>
    <xf numFmtId="187" fontId="46" fillId="15" borderId="470" xfId="0" applyNumberFormat="1" applyFont="1" applyFill="1" applyBorder="1" applyAlignment="1">
      <alignment horizontal="center" vertical="center"/>
    </xf>
    <xf numFmtId="183" fontId="206" fillId="3" borderId="477" xfId="0" applyNumberFormat="1" applyFont="1" applyFill="1" applyBorder="1" applyAlignment="1">
      <alignment horizontal="center" vertical="center"/>
    </xf>
    <xf numFmtId="178" fontId="58" fillId="0" borderId="119" xfId="2" applyNumberFormat="1" applyFont="1" applyFill="1" applyBorder="1" applyAlignment="1">
      <alignment horizontal="center" vertical="center" wrapText="1"/>
    </xf>
    <xf numFmtId="183" fontId="58" fillId="0" borderId="462" xfId="2" applyNumberFormat="1" applyFont="1" applyFill="1" applyBorder="1" applyAlignment="1">
      <alignment horizontal="center" vertical="center" wrapText="1"/>
    </xf>
    <xf numFmtId="183" fontId="58" fillId="0" borderId="490" xfId="2" applyNumberFormat="1" applyFont="1" applyFill="1" applyBorder="1" applyAlignment="1">
      <alignment horizontal="center" vertical="center" wrapText="1"/>
    </xf>
    <xf numFmtId="178" fontId="58" fillId="0" borderId="462" xfId="2" applyNumberFormat="1" applyFont="1" applyFill="1" applyBorder="1" applyAlignment="1">
      <alignment horizontal="center" vertical="center" wrapText="1"/>
    </xf>
    <xf numFmtId="183" fontId="58" fillId="0" borderId="467" xfId="2" applyNumberFormat="1" applyFont="1" applyFill="1" applyBorder="1" applyAlignment="1">
      <alignment horizontal="center" vertical="center" wrapText="1"/>
    </xf>
    <xf numFmtId="183" fontId="58" fillId="0" borderId="263" xfId="2" applyNumberFormat="1" applyFont="1" applyFill="1" applyBorder="1" applyAlignment="1">
      <alignment horizontal="center" vertical="center" wrapText="1"/>
    </xf>
    <xf numFmtId="183" fontId="46" fillId="15" borderId="445" xfId="0" applyNumberFormat="1" applyFont="1" applyFill="1" applyBorder="1" applyAlignment="1">
      <alignment horizontal="center" vertical="center"/>
    </xf>
    <xf numFmtId="183" fontId="46" fillId="15" borderId="434" xfId="0" applyNumberFormat="1" applyFont="1" applyFill="1" applyBorder="1" applyAlignment="1">
      <alignment horizontal="center" vertical="center"/>
    </xf>
    <xf numFmtId="183" fontId="206" fillId="3" borderId="444" xfId="0" applyNumberFormat="1" applyFont="1" applyFill="1" applyBorder="1" applyAlignment="1">
      <alignment horizontal="center" vertical="center"/>
    </xf>
    <xf numFmtId="185" fontId="58" fillId="0" borderId="62" xfId="0" applyNumberFormat="1" applyFont="1" applyFill="1" applyBorder="1" applyAlignment="1">
      <alignment horizontal="center" vertical="center"/>
    </xf>
    <xf numFmtId="176" fontId="58" fillId="0" borderId="451" xfId="0" applyNumberFormat="1" applyFont="1" applyFill="1" applyBorder="1" applyAlignment="1">
      <alignment horizontal="center" vertical="center"/>
    </xf>
    <xf numFmtId="185" fontId="58" fillId="0" borderId="451" xfId="0" applyNumberFormat="1" applyFont="1" applyFill="1" applyBorder="1" applyAlignment="1">
      <alignment horizontal="center" vertical="center"/>
    </xf>
    <xf numFmtId="176" fontId="58" fillId="0" borderId="452" xfId="0" applyNumberFormat="1" applyFont="1" applyFill="1" applyBorder="1" applyAlignment="1">
      <alignment horizontal="center" vertical="center"/>
    </xf>
    <xf numFmtId="1" fontId="58" fillId="0" borderId="62" xfId="0" applyNumberFormat="1" applyFont="1" applyFill="1" applyBorder="1" applyAlignment="1">
      <alignment horizontal="center" vertical="center"/>
    </xf>
    <xf numFmtId="1" fontId="58" fillId="0" borderId="451" xfId="0" applyNumberFormat="1" applyFont="1" applyFill="1" applyBorder="1" applyAlignment="1">
      <alignment horizontal="center" vertical="center"/>
    </xf>
    <xf numFmtId="178" fontId="58" fillId="0" borderId="62" xfId="0" applyNumberFormat="1" applyFont="1" applyFill="1" applyBorder="1" applyAlignment="1">
      <alignment horizontal="center" vertical="center"/>
    </xf>
    <xf numFmtId="183" fontId="58" fillId="0" borderId="451" xfId="0" applyNumberFormat="1" applyFont="1" applyFill="1" applyBorder="1" applyAlignment="1">
      <alignment horizontal="center" vertical="center"/>
    </xf>
    <xf numFmtId="178" fontId="58" fillId="0" borderId="451" xfId="0" applyNumberFormat="1" applyFont="1" applyFill="1" applyBorder="1" applyAlignment="1">
      <alignment horizontal="center" vertical="center"/>
    </xf>
    <xf numFmtId="183" fontId="58" fillId="0" borderId="452" xfId="0" applyNumberFormat="1" applyFont="1" applyFill="1" applyBorder="1" applyAlignment="1">
      <alignment horizontal="center" vertical="center"/>
    </xf>
    <xf numFmtId="183" fontId="58" fillId="0" borderId="481" xfId="0" applyNumberFormat="1" applyFont="1" applyFill="1" applyBorder="1" applyAlignment="1">
      <alignment horizontal="center" vertical="center"/>
    </xf>
    <xf numFmtId="187" fontId="46" fillId="15" borderId="62" xfId="0" applyNumberFormat="1" applyFont="1" applyFill="1" applyBorder="1" applyAlignment="1">
      <alignment horizontal="center" vertical="center"/>
    </xf>
    <xf numFmtId="183" fontId="46" fillId="15" borderId="451" xfId="0" applyNumberFormat="1" applyFont="1" applyFill="1" applyBorder="1" applyAlignment="1">
      <alignment horizontal="center" vertical="center"/>
    </xf>
    <xf numFmtId="187" fontId="46" fillId="15" borderId="451" xfId="0" applyNumberFormat="1" applyFont="1" applyFill="1" applyBorder="1" applyAlignment="1">
      <alignment horizontal="center" vertical="center"/>
    </xf>
    <xf numFmtId="183" fontId="46" fillId="15" borderId="452" xfId="0" applyNumberFormat="1" applyFont="1" applyFill="1" applyBorder="1" applyAlignment="1">
      <alignment horizontal="center" vertical="center"/>
    </xf>
    <xf numFmtId="187" fontId="206" fillId="3" borderId="62" xfId="0" applyNumberFormat="1" applyFont="1" applyFill="1" applyBorder="1" applyAlignment="1">
      <alignment horizontal="center" vertical="center"/>
    </xf>
    <xf numFmtId="183" fontId="206" fillId="3" borderId="481" xfId="0" applyNumberFormat="1" applyFont="1" applyFill="1" applyBorder="1" applyAlignment="1">
      <alignment horizontal="center" vertical="center"/>
    </xf>
    <xf numFmtId="176" fontId="58" fillId="0" borderId="445" xfId="0" applyNumberFormat="1" applyFont="1" applyFill="1" applyBorder="1" applyAlignment="1">
      <alignment horizontal="center" vertical="center"/>
    </xf>
    <xf numFmtId="176" fontId="58" fillId="0" borderId="434" xfId="0" applyNumberFormat="1" applyFont="1" applyFill="1" applyBorder="1" applyAlignment="1">
      <alignment horizontal="center" vertical="center"/>
    </xf>
    <xf numFmtId="183" fontId="58" fillId="0" borderId="445" xfId="0" applyNumberFormat="1" applyFont="1" applyFill="1" applyBorder="1" applyAlignment="1">
      <alignment horizontal="center" vertical="center"/>
    </xf>
    <xf numFmtId="183" fontId="58" fillId="0" borderId="444" xfId="0" applyNumberFormat="1" applyFont="1" applyFill="1" applyBorder="1" applyAlignment="1">
      <alignment horizontal="center" vertical="center"/>
    </xf>
    <xf numFmtId="187" fontId="36" fillId="0" borderId="0" xfId="0" applyNumberFormat="1" applyFont="1" applyBorder="1">
      <alignment vertical="center"/>
    </xf>
    <xf numFmtId="177" fontId="37" fillId="3" borderId="0" xfId="0" applyNumberFormat="1" applyFont="1" applyFill="1" applyAlignment="1">
      <alignment horizontal="center" vertical="center"/>
    </xf>
    <xf numFmtId="0" fontId="29" fillId="7" borderId="465" xfId="0" applyFont="1" applyFill="1" applyBorder="1" applyAlignment="1">
      <alignment horizontal="center" vertical="center"/>
    </xf>
    <xf numFmtId="4" fontId="58" fillId="7" borderId="465" xfId="2" applyNumberFormat="1" applyFont="1" applyFill="1" applyBorder="1" applyAlignment="1">
      <alignment horizontal="center" vertical="center"/>
    </xf>
    <xf numFmtId="3" fontId="58" fillId="7" borderId="465" xfId="2" applyNumberFormat="1" applyFont="1" applyFill="1" applyBorder="1" applyAlignment="1">
      <alignment horizontal="center" vertical="center"/>
    </xf>
    <xf numFmtId="3" fontId="177" fillId="125" borderId="465" xfId="2" applyNumberFormat="1" applyFont="1" applyFill="1" applyBorder="1" applyAlignment="1">
      <alignment horizontal="center" vertical="center" wrapText="1"/>
    </xf>
    <xf numFmtId="3" fontId="177" fillId="125" borderId="435" xfId="2" applyNumberFormat="1" applyFont="1" applyFill="1" applyBorder="1" applyAlignment="1">
      <alignment horizontal="center" vertical="center" wrapText="1"/>
    </xf>
    <xf numFmtId="183" fontId="58" fillId="7" borderId="465" xfId="2" applyNumberFormat="1" applyFont="1" applyFill="1" applyBorder="1" applyAlignment="1">
      <alignment horizontal="center" vertical="center" wrapText="1"/>
    </xf>
    <xf numFmtId="0" fontId="177" fillId="127" borderId="6" xfId="0" applyFont="1" applyFill="1" applyBorder="1" applyAlignment="1">
      <alignment horizontal="center" vertical="center"/>
    </xf>
    <xf numFmtId="0" fontId="177" fillId="125" borderId="464" xfId="0" applyFont="1" applyFill="1" applyBorder="1" applyAlignment="1">
      <alignment horizontal="center" vertical="center"/>
    </xf>
    <xf numFmtId="0" fontId="177" fillId="127" borderId="120" xfId="0" applyFont="1" applyFill="1" applyBorder="1" applyAlignment="1">
      <alignment horizontal="center" vertical="center"/>
    </xf>
    <xf numFmtId="0" fontId="58" fillId="3" borderId="0" xfId="0" applyFont="1" applyFill="1" applyAlignment="1">
      <alignment horizontal="left" vertical="center"/>
    </xf>
    <xf numFmtId="2" fontId="172" fillId="8" borderId="119" xfId="0" applyNumberFormat="1" applyFont="1" applyFill="1" applyBorder="1" applyAlignment="1">
      <alignment horizontal="center" vertical="center"/>
    </xf>
    <xf numFmtId="3" fontId="58" fillId="7" borderId="119" xfId="2" applyNumberFormat="1" applyFont="1" applyFill="1" applyBorder="1" applyAlignment="1">
      <alignment horizontal="center" vertical="center"/>
    </xf>
    <xf numFmtId="183" fontId="58" fillId="7" borderId="119" xfId="2" applyNumberFormat="1" applyFont="1" applyFill="1" applyBorder="1" applyAlignment="1">
      <alignment horizontal="center" vertical="center" wrapText="1"/>
    </xf>
    <xf numFmtId="4" fontId="29" fillId="7" borderId="119" xfId="2" applyNumberFormat="1" applyFont="1" applyFill="1" applyBorder="1" applyAlignment="1">
      <alignment horizontal="center" vertical="center"/>
    </xf>
    <xf numFmtId="183" fontId="177" fillId="125" borderId="482" xfId="2" applyNumberFormat="1" applyFont="1" applyFill="1" applyBorder="1" applyAlignment="1">
      <alignment horizontal="center" vertical="center"/>
    </xf>
    <xf numFmtId="4" fontId="58" fillId="7" borderId="119" xfId="2" applyNumberFormat="1" applyFont="1" applyFill="1" applyBorder="1" applyAlignment="1">
      <alignment horizontal="center" vertical="center"/>
    </xf>
    <xf numFmtId="3" fontId="58" fillId="0" borderId="219" xfId="2" applyNumberFormat="1" applyFont="1" applyFill="1" applyBorder="1" applyAlignment="1">
      <alignment horizontal="center" vertical="center"/>
    </xf>
    <xf numFmtId="4" fontId="58" fillId="7" borderId="219" xfId="2" applyNumberFormat="1" applyFont="1" applyFill="1" applyBorder="1" applyAlignment="1">
      <alignment horizontal="center" vertical="center"/>
    </xf>
    <xf numFmtId="38" fontId="29" fillId="7" borderId="6" xfId="2" applyNumberFormat="1" applyFont="1" applyFill="1" applyBorder="1" applyAlignment="1">
      <alignment horizontal="center" vertical="center"/>
    </xf>
    <xf numFmtId="9" fontId="29" fillId="7" borderId="6" xfId="1" applyFont="1" applyFill="1" applyBorder="1" applyAlignment="1">
      <alignment horizontal="center" vertical="center"/>
    </xf>
    <xf numFmtId="0" fontId="177" fillId="125" borderId="435" xfId="0" quotePrefix="1" applyFont="1" applyFill="1" applyBorder="1" applyAlignment="1">
      <alignment horizontal="center" vertical="center"/>
    </xf>
    <xf numFmtId="0" fontId="177" fillId="125" borderId="209" xfId="0" applyFont="1" applyFill="1" applyBorder="1" applyAlignment="1">
      <alignment horizontal="center" vertical="center"/>
    </xf>
    <xf numFmtId="0" fontId="177" fillId="127" borderId="463" xfId="0" applyFont="1" applyFill="1" applyBorder="1" applyAlignment="1">
      <alignment horizontal="center" vertical="center"/>
    </xf>
    <xf numFmtId="0" fontId="178" fillId="127" borderId="434" xfId="0" applyFont="1" applyFill="1" applyBorder="1" applyAlignment="1">
      <alignment horizontal="center" vertical="center"/>
    </xf>
    <xf numFmtId="187" fontId="29" fillId="7" borderId="464" xfId="0" applyNumberFormat="1" applyFont="1" applyFill="1" applyBorder="1" applyAlignment="1">
      <alignment vertical="center"/>
    </xf>
    <xf numFmtId="177" fontId="29" fillId="15" borderId="464" xfId="0" applyNumberFormat="1" applyFont="1" applyFill="1" applyBorder="1">
      <alignment vertical="center"/>
    </xf>
    <xf numFmtId="0" fontId="29" fillId="7" borderId="464" xfId="0" applyFont="1" applyFill="1" applyBorder="1">
      <alignment vertical="center"/>
    </xf>
    <xf numFmtId="41" fontId="177" fillId="125" borderId="224" xfId="2" applyFont="1" applyFill="1" applyBorder="1" applyAlignment="1">
      <alignment horizontal="center" vertical="center"/>
    </xf>
    <xf numFmtId="187" fontId="177" fillId="125" borderId="224" xfId="2" applyNumberFormat="1" applyFont="1" applyFill="1" applyBorder="1" applyAlignment="1">
      <alignment horizontal="center" vertical="center"/>
    </xf>
    <xf numFmtId="183" fontId="177" fillId="125" borderId="224" xfId="2" applyNumberFormat="1" applyFont="1" applyFill="1" applyBorder="1" applyAlignment="1">
      <alignment horizontal="center" vertical="center"/>
    </xf>
    <xf numFmtId="183" fontId="177" fillId="125" borderId="226" xfId="2" applyNumberFormat="1" applyFont="1" applyFill="1" applyBorder="1" applyAlignment="1">
      <alignment horizontal="center" vertical="center"/>
    </xf>
    <xf numFmtId="183" fontId="177" fillId="125" borderId="223" xfId="2" applyNumberFormat="1" applyFont="1" applyFill="1" applyBorder="1" applyAlignment="1">
      <alignment horizontal="center" vertical="center"/>
    </xf>
    <xf numFmtId="183" fontId="177" fillId="125" borderId="286" xfId="2" applyNumberFormat="1" applyFont="1" applyFill="1" applyBorder="1" applyAlignment="1">
      <alignment horizontal="center" vertical="center"/>
    </xf>
    <xf numFmtId="38" fontId="177" fillId="125" borderId="224" xfId="2" applyNumberFormat="1" applyFont="1" applyFill="1" applyBorder="1" applyAlignment="1">
      <alignment horizontal="center" vertical="center"/>
    </xf>
    <xf numFmtId="9" fontId="177" fillId="125" borderId="227" xfId="1" applyFont="1" applyFill="1" applyBorder="1" applyAlignment="1">
      <alignment horizontal="center" vertical="center"/>
    </xf>
    <xf numFmtId="0" fontId="177" fillId="127" borderId="465" xfId="0" applyFont="1" applyFill="1" applyBorder="1" applyAlignment="1">
      <alignment horizontal="center" vertical="center"/>
    </xf>
    <xf numFmtId="41" fontId="178" fillId="127" borderId="465" xfId="2" applyFont="1" applyFill="1" applyBorder="1" applyAlignment="1">
      <alignment horizontal="center" vertical="center"/>
    </xf>
    <xf numFmtId="38" fontId="29" fillId="7" borderId="470" xfId="2" applyNumberFormat="1" applyFont="1" applyFill="1" applyBorder="1" applyAlignment="1">
      <alignment horizontal="center" vertical="center"/>
    </xf>
    <xf numFmtId="9" fontId="29" fillId="7" borderId="465" xfId="1" applyFont="1" applyFill="1" applyBorder="1" applyAlignment="1">
      <alignment horizontal="center" vertical="center"/>
    </xf>
    <xf numFmtId="9" fontId="29" fillId="0" borderId="445" xfId="1" applyFont="1" applyFill="1" applyBorder="1" applyAlignment="1">
      <alignment horizontal="center" vertical="center"/>
    </xf>
    <xf numFmtId="9" fontId="29" fillId="7" borderId="445" xfId="1" applyFont="1" applyFill="1" applyBorder="1" applyAlignment="1">
      <alignment horizontal="center" vertical="center"/>
    </xf>
    <xf numFmtId="0" fontId="177" fillId="125" borderId="435" xfId="0" applyFont="1" applyFill="1" applyBorder="1" applyAlignment="1">
      <alignment horizontal="center" vertical="center"/>
    </xf>
    <xf numFmtId="41" fontId="177" fillId="125" borderId="435" xfId="2" applyFont="1" applyFill="1" applyBorder="1" applyAlignment="1">
      <alignment horizontal="center" vertical="center"/>
    </xf>
    <xf numFmtId="226" fontId="172" fillId="6" borderId="435" xfId="2" applyNumberFormat="1" applyFont="1" applyFill="1" applyBorder="1" applyAlignment="1">
      <alignment horizontal="center" vertical="center"/>
    </xf>
    <xf numFmtId="38" fontId="177" fillId="125" borderId="477" xfId="2" applyNumberFormat="1" applyFont="1" applyFill="1" applyBorder="1" applyAlignment="1">
      <alignment horizontal="center" vertical="center"/>
    </xf>
    <xf numFmtId="38" fontId="177" fillId="125" borderId="435" xfId="2" applyNumberFormat="1" applyFont="1" applyFill="1" applyBorder="1" applyAlignment="1">
      <alignment horizontal="center" vertical="center"/>
    </xf>
    <xf numFmtId="9" fontId="177" fillId="125" borderId="435" xfId="1" applyFont="1" applyFill="1" applyBorder="1" applyAlignment="1">
      <alignment horizontal="center" vertical="center"/>
    </xf>
    <xf numFmtId="9" fontId="177" fillId="125" borderId="444" xfId="1" applyFont="1" applyFill="1" applyBorder="1" applyAlignment="1">
      <alignment horizontal="center" vertical="center"/>
    </xf>
    <xf numFmtId="38" fontId="29" fillId="0" borderId="465" xfId="2" applyNumberFormat="1" applyFont="1" applyFill="1" applyBorder="1" applyAlignment="1">
      <alignment horizontal="center" vertical="center"/>
    </xf>
    <xf numFmtId="41" fontId="177" fillId="125" borderId="465" xfId="2" applyFont="1" applyFill="1" applyBorder="1" applyAlignment="1">
      <alignment horizontal="center" vertical="center"/>
    </xf>
    <xf numFmtId="187" fontId="172" fillId="6" borderId="465" xfId="2" applyNumberFormat="1" applyFont="1" applyFill="1" applyBorder="1" applyAlignment="1">
      <alignment horizontal="center" vertical="center" wrapText="1"/>
    </xf>
    <xf numFmtId="177" fontId="177" fillId="125" borderId="465" xfId="2" applyNumberFormat="1" applyFont="1" applyFill="1" applyBorder="1" applyAlignment="1">
      <alignment horizontal="center" vertical="center" wrapText="1"/>
    </xf>
    <xf numFmtId="9" fontId="177" fillId="125" borderId="465" xfId="1" applyFont="1" applyFill="1" applyBorder="1" applyAlignment="1">
      <alignment horizontal="center" vertical="center"/>
    </xf>
    <xf numFmtId="9" fontId="177" fillId="125" borderId="445" xfId="1" applyFont="1" applyFill="1" applyBorder="1" applyAlignment="1">
      <alignment horizontal="center" vertical="center"/>
    </xf>
    <xf numFmtId="187" fontId="172" fillId="6" borderId="435" xfId="2" applyNumberFormat="1" applyFont="1" applyFill="1" applyBorder="1" applyAlignment="1">
      <alignment horizontal="center" vertical="center"/>
    </xf>
    <xf numFmtId="178" fontId="177" fillId="125" borderId="435" xfId="2" applyNumberFormat="1" applyFont="1" applyFill="1" applyBorder="1" applyAlignment="1">
      <alignment horizontal="center" vertical="center"/>
    </xf>
    <xf numFmtId="38" fontId="29" fillId="7" borderId="470" xfId="2" applyNumberFormat="1" applyFont="1" applyFill="1" applyBorder="1" applyAlignment="1">
      <alignment horizontal="center" vertical="center" wrapText="1"/>
    </xf>
    <xf numFmtId="38" fontId="29" fillId="7" borderId="465" xfId="2" applyNumberFormat="1" applyFont="1" applyFill="1" applyBorder="1" applyAlignment="1">
      <alignment horizontal="center" vertical="center" wrapText="1"/>
    </xf>
    <xf numFmtId="41" fontId="177" fillId="125" borderId="464" xfId="2" applyFont="1" applyFill="1" applyBorder="1" applyAlignment="1">
      <alignment horizontal="center" vertical="center"/>
    </xf>
    <xf numFmtId="179" fontId="172" fillId="6" borderId="464" xfId="2" applyNumberFormat="1" applyFont="1" applyFill="1" applyBorder="1" applyAlignment="1">
      <alignment horizontal="center" vertical="center"/>
    </xf>
    <xf numFmtId="38" fontId="177" fillId="125" borderId="491" xfId="2" applyNumberFormat="1" applyFont="1" applyFill="1" applyBorder="1" applyAlignment="1">
      <alignment horizontal="center" vertical="center"/>
    </xf>
    <xf numFmtId="38" fontId="177" fillId="125" borderId="464" xfId="2" applyNumberFormat="1" applyFont="1" applyFill="1" applyBorder="1" applyAlignment="1">
      <alignment horizontal="center" vertical="center"/>
    </xf>
    <xf numFmtId="9" fontId="177" fillId="125" borderId="464" xfId="1" applyFont="1" applyFill="1" applyBorder="1" applyAlignment="1">
      <alignment horizontal="center" vertical="center"/>
    </xf>
    <xf numFmtId="9" fontId="177" fillId="125" borderId="434" xfId="1" applyFont="1" applyFill="1" applyBorder="1" applyAlignment="1">
      <alignment horizontal="center" vertical="center"/>
    </xf>
    <xf numFmtId="176" fontId="29" fillId="0" borderId="445" xfId="1" applyNumberFormat="1" applyFont="1" applyFill="1" applyBorder="1" applyAlignment="1">
      <alignment horizontal="center" vertical="center"/>
    </xf>
    <xf numFmtId="181" fontId="177" fillId="125" borderId="435" xfId="2" applyNumberFormat="1" applyFont="1" applyFill="1" applyBorder="1" applyAlignment="1">
      <alignment horizontal="center" vertical="center"/>
    </xf>
    <xf numFmtId="38" fontId="177" fillId="125" borderId="476" xfId="2" applyNumberFormat="1" applyFont="1" applyFill="1" applyBorder="1" applyAlignment="1">
      <alignment horizontal="center" vertical="center"/>
    </xf>
    <xf numFmtId="38" fontId="177" fillId="125" borderId="463" xfId="2" applyNumberFormat="1" applyFont="1" applyFill="1" applyBorder="1" applyAlignment="1">
      <alignment horizontal="center" vertical="center"/>
    </xf>
    <xf numFmtId="179" fontId="177" fillId="125" borderId="435" xfId="2" applyNumberFormat="1" applyFont="1" applyFill="1" applyBorder="1" applyAlignment="1">
      <alignment horizontal="center" vertical="center"/>
    </xf>
    <xf numFmtId="3" fontId="58" fillId="0" borderId="465" xfId="2" applyNumberFormat="1" applyFont="1" applyFill="1" applyBorder="1" applyAlignment="1">
      <alignment horizontal="center" vertical="center"/>
    </xf>
    <xf numFmtId="187" fontId="29" fillId="0" borderId="445" xfId="2" applyNumberFormat="1" applyFont="1" applyFill="1" applyBorder="1" applyAlignment="1">
      <alignment horizontal="center" vertical="center"/>
    </xf>
    <xf numFmtId="9" fontId="29" fillId="0" borderId="445" xfId="1" applyFont="1" applyFill="1" applyBorder="1" applyAlignment="1">
      <alignment horizontal="right" vertical="center"/>
    </xf>
    <xf numFmtId="41" fontId="177" fillId="125" borderId="464" xfId="2" applyFont="1" applyFill="1" applyBorder="1" applyAlignment="1">
      <alignment horizontal="center" vertical="center" wrapText="1"/>
    </xf>
    <xf numFmtId="187" fontId="177" fillId="125" borderId="464" xfId="2" applyNumberFormat="1" applyFont="1" applyFill="1" applyBorder="1" applyAlignment="1">
      <alignment horizontal="center" vertical="center" wrapText="1"/>
    </xf>
    <xf numFmtId="0" fontId="27" fillId="16" borderId="311" xfId="0" applyFont="1" applyFill="1" applyBorder="1" applyAlignment="1">
      <alignment horizontal="center" vertical="center" wrapText="1"/>
    </xf>
    <xf numFmtId="2" fontId="27" fillId="16" borderId="390" xfId="0" applyNumberFormat="1" applyFont="1" applyFill="1" applyBorder="1" applyAlignment="1">
      <alignment horizontal="center" vertical="center" wrapText="1"/>
    </xf>
    <xf numFmtId="2" fontId="29" fillId="7" borderId="464" xfId="0" applyNumberFormat="1" applyFont="1" applyFill="1" applyBorder="1" applyAlignment="1">
      <alignment horizontal="center" vertical="center"/>
    </xf>
    <xf numFmtId="2" fontId="170" fillId="7" borderId="6" xfId="0" applyNumberFormat="1" applyFont="1" applyFill="1" applyBorder="1" applyAlignment="1" applyProtection="1">
      <alignment vertical="center"/>
      <protection locked="0"/>
    </xf>
    <xf numFmtId="0" fontId="170" fillId="7" borderId="6" xfId="0" applyFont="1" applyFill="1" applyBorder="1" applyAlignment="1" applyProtection="1">
      <alignment vertical="center"/>
      <protection locked="0"/>
    </xf>
    <xf numFmtId="0" fontId="29" fillId="5" borderId="465" xfId="0" applyFont="1" applyFill="1" applyBorder="1" applyAlignment="1">
      <alignment horizontal="center" vertical="center"/>
    </xf>
    <xf numFmtId="2" fontId="29" fillId="5" borderId="465" xfId="0" applyNumberFormat="1" applyFont="1" applyFill="1" applyBorder="1" applyAlignment="1">
      <alignment horizontal="center" vertical="center"/>
    </xf>
    <xf numFmtId="0" fontId="29" fillId="7" borderId="0" xfId="0" applyFont="1" applyFill="1" applyBorder="1" applyAlignment="1">
      <alignment horizontal="center" vertical="center"/>
    </xf>
    <xf numFmtId="0" fontId="29" fillId="0" borderId="0" xfId="0" applyFont="1" applyFill="1" applyBorder="1" applyAlignment="1">
      <alignment horizontal="center" vertical="center"/>
    </xf>
    <xf numFmtId="0" fontId="29" fillId="3" borderId="464" xfId="0" applyFont="1" applyFill="1" applyBorder="1" applyAlignment="1">
      <alignment horizontal="center" vertical="center"/>
    </xf>
    <xf numFmtId="0" fontId="29" fillId="7" borderId="6" xfId="0" applyFont="1" applyFill="1" applyBorder="1" applyAlignment="1">
      <alignment horizontal="center" vertical="center"/>
    </xf>
    <xf numFmtId="0" fontId="26" fillId="0" borderId="465" xfId="0" applyFont="1" applyBorder="1" applyAlignment="1">
      <alignment horizontal="center" vertical="center"/>
    </xf>
    <xf numFmtId="185" fontId="26" fillId="0" borderId="465" xfId="0" applyNumberFormat="1" applyFont="1" applyBorder="1" applyAlignment="1">
      <alignment horizontal="center" vertical="center"/>
    </xf>
    <xf numFmtId="0" fontId="29" fillId="7" borderId="0" xfId="0" applyFont="1" applyFill="1" applyBorder="1" applyAlignment="1">
      <alignment horizontal="center" vertical="center"/>
    </xf>
    <xf numFmtId="38" fontId="179" fillId="7" borderId="465" xfId="0" applyNumberFormat="1" applyFont="1" applyFill="1" applyBorder="1" applyAlignment="1">
      <alignment horizontal="center" vertical="center" wrapText="1" readingOrder="1"/>
    </xf>
    <xf numFmtId="38" fontId="29" fillId="7" borderId="465" xfId="0" applyNumberFormat="1" applyFont="1" applyFill="1" applyBorder="1" applyAlignment="1">
      <alignment horizontal="center" vertical="center"/>
    </xf>
    <xf numFmtId="177" fontId="29" fillId="7" borderId="435" xfId="0" applyNumberFormat="1" applyFont="1" applyFill="1" applyBorder="1" applyAlignment="1">
      <alignment horizontal="center" vertical="center"/>
    </xf>
    <xf numFmtId="0" fontId="45" fillId="0" borderId="280" xfId="0" applyFont="1" applyBorder="1" applyAlignment="1">
      <alignment vertical="center" wrapText="1"/>
    </xf>
    <xf numFmtId="0" fontId="45" fillId="0" borderId="280" xfId="0" applyFont="1" applyBorder="1">
      <alignment vertical="center"/>
    </xf>
    <xf numFmtId="0" fontId="29" fillId="6" borderId="269" xfId="0" applyFont="1" applyFill="1" applyBorder="1" applyAlignment="1">
      <alignment horizontal="center" vertical="center"/>
    </xf>
    <xf numFmtId="1" fontId="0" fillId="0" borderId="470" xfId="0" applyNumberFormat="1" applyBorder="1" applyAlignment="1">
      <alignment horizontal="center" vertical="center"/>
    </xf>
    <xf numFmtId="0" fontId="29" fillId="5" borderId="0" xfId="0" applyFont="1" applyFill="1" applyBorder="1" applyAlignment="1">
      <alignment horizontal="center" vertical="center"/>
    </xf>
    <xf numFmtId="2" fontId="29" fillId="5" borderId="0" xfId="0" applyNumberFormat="1" applyFont="1" applyFill="1" applyBorder="1" applyAlignment="1">
      <alignment horizontal="center" vertical="center"/>
    </xf>
    <xf numFmtId="2" fontId="29" fillId="5" borderId="6" xfId="0" applyNumberFormat="1" applyFont="1" applyFill="1" applyBorder="1" applyAlignment="1">
      <alignment horizontal="center" vertical="center"/>
    </xf>
    <xf numFmtId="2" fontId="29" fillId="5" borderId="5" xfId="0" applyNumberFormat="1" applyFont="1" applyFill="1" applyBorder="1" applyAlignment="1">
      <alignment horizontal="center" vertical="center"/>
    </xf>
    <xf numFmtId="2" fontId="170" fillId="7" borderId="0" xfId="0" applyNumberFormat="1" applyFont="1" applyFill="1" applyBorder="1" applyAlignment="1" applyProtection="1">
      <alignment vertical="center"/>
      <protection locked="0"/>
    </xf>
    <xf numFmtId="0" fontId="170" fillId="7" borderId="0" xfId="0" applyFont="1" applyFill="1" applyBorder="1" applyAlignment="1" applyProtection="1">
      <alignment vertical="center"/>
      <protection locked="0"/>
    </xf>
    <xf numFmtId="187" fontId="172" fillId="6" borderId="464" xfId="2" applyNumberFormat="1" applyFont="1" applyFill="1" applyBorder="1" applyAlignment="1">
      <alignment horizontal="center" vertical="center"/>
    </xf>
    <xf numFmtId="3" fontId="177" fillId="125" borderId="464" xfId="2" applyNumberFormat="1" applyFont="1" applyFill="1" applyBorder="1" applyAlignment="1">
      <alignment horizontal="center" vertical="center" wrapText="1"/>
    </xf>
    <xf numFmtId="3" fontId="177" fillId="125" borderId="463" xfId="2" applyNumberFormat="1" applyFont="1" applyFill="1" applyBorder="1" applyAlignment="1">
      <alignment horizontal="center" vertical="center" wrapText="1"/>
    </xf>
    <xf numFmtId="178" fontId="177" fillId="125" borderId="464" xfId="2" applyNumberFormat="1" applyFont="1" applyFill="1" applyBorder="1" applyAlignment="1">
      <alignment horizontal="center" vertical="center"/>
    </xf>
    <xf numFmtId="187" fontId="172" fillId="6" borderId="465" xfId="2" applyNumberFormat="1" applyFont="1" applyFill="1" applyBorder="1" applyAlignment="1">
      <alignment horizontal="center" vertical="center"/>
    </xf>
    <xf numFmtId="187" fontId="172" fillId="6" borderId="120" xfId="2" applyNumberFormat="1" applyFont="1" applyFill="1" applyBorder="1" applyAlignment="1">
      <alignment horizontal="center" vertical="center"/>
    </xf>
    <xf numFmtId="3" fontId="177" fillId="125" borderId="120" xfId="2" applyNumberFormat="1" applyFont="1" applyFill="1" applyBorder="1" applyAlignment="1">
      <alignment horizontal="center" vertical="center" wrapText="1"/>
    </xf>
    <xf numFmtId="183" fontId="29" fillId="0" borderId="120" xfId="2" applyNumberFormat="1" applyFont="1" applyFill="1" applyBorder="1" applyAlignment="1">
      <alignment horizontal="center" vertical="center"/>
    </xf>
    <xf numFmtId="183" fontId="29" fillId="0" borderId="465" xfId="2" applyNumberFormat="1" applyFont="1" applyFill="1" applyBorder="1" applyAlignment="1">
      <alignment horizontal="center" vertical="center"/>
    </xf>
    <xf numFmtId="0" fontId="177" fillId="125" borderId="435" xfId="0" applyFont="1" applyFill="1" applyBorder="1" applyAlignment="1">
      <alignment horizontal="center" vertical="center"/>
    </xf>
    <xf numFmtId="0" fontId="29" fillId="7" borderId="241" xfId="0" applyFont="1" applyFill="1" applyBorder="1" applyAlignment="1">
      <alignment horizontal="center" vertical="center" wrapText="1"/>
    </xf>
    <xf numFmtId="0" fontId="29" fillId="7" borderId="5" xfId="0" applyFont="1" applyFill="1" applyBorder="1" applyAlignment="1">
      <alignment horizontal="center" vertical="center"/>
    </xf>
    <xf numFmtId="0" fontId="177" fillId="125" borderId="482" xfId="0" applyFont="1" applyFill="1" applyBorder="1" applyAlignment="1">
      <alignment horizontal="center" vertical="center"/>
    </xf>
    <xf numFmtId="0" fontId="177" fillId="125" borderId="377" xfId="0" applyFont="1" applyFill="1" applyBorder="1" applyAlignment="1">
      <alignment horizontal="center" vertical="center"/>
    </xf>
    <xf numFmtId="0" fontId="177" fillId="127" borderId="120" xfId="0" applyFont="1" applyFill="1" applyBorder="1" applyAlignment="1">
      <alignment horizontal="center" vertical="center"/>
    </xf>
    <xf numFmtId="0" fontId="177" fillId="127" borderId="377" xfId="0" applyFont="1" applyFill="1" applyBorder="1" applyAlignment="1">
      <alignment horizontal="center" vertical="center"/>
    </xf>
    <xf numFmtId="0" fontId="172" fillId="7" borderId="0" xfId="0" applyFont="1" applyFill="1" applyBorder="1" applyAlignment="1">
      <alignment horizontal="center" vertical="center"/>
    </xf>
    <xf numFmtId="187" fontId="172" fillId="6" borderId="6" xfId="2" applyNumberFormat="1" applyFont="1" applyFill="1" applyBorder="1" applyAlignment="1">
      <alignment horizontal="center" vertical="center"/>
    </xf>
    <xf numFmtId="3" fontId="177" fillId="125" borderId="6" xfId="2" applyNumberFormat="1" applyFont="1" applyFill="1" applyBorder="1" applyAlignment="1">
      <alignment horizontal="center" vertical="center" wrapText="1"/>
    </xf>
    <xf numFmtId="187" fontId="172" fillId="0" borderId="464" xfId="2" applyNumberFormat="1" applyFont="1" applyFill="1" applyBorder="1" applyAlignment="1">
      <alignment horizontal="center" vertical="center"/>
    </xf>
    <xf numFmtId="3" fontId="177" fillId="0" borderId="464" xfId="2" applyNumberFormat="1" applyFont="1" applyFill="1" applyBorder="1" applyAlignment="1">
      <alignment horizontal="center" vertical="center" wrapText="1"/>
    </xf>
    <xf numFmtId="187" fontId="172" fillId="0" borderId="465" xfId="2" applyNumberFormat="1" applyFont="1" applyFill="1" applyBorder="1" applyAlignment="1">
      <alignment horizontal="center" vertical="center"/>
    </xf>
    <xf numFmtId="3" fontId="177" fillId="0" borderId="465" xfId="2" applyNumberFormat="1" applyFont="1" applyFill="1" applyBorder="1" applyAlignment="1">
      <alignment horizontal="center" vertical="center" wrapText="1"/>
    </xf>
    <xf numFmtId="2" fontId="35" fillId="8" borderId="46" xfId="0" quotePrefix="1" applyNumberFormat="1" applyFont="1" applyFill="1" applyBorder="1" applyAlignment="1">
      <alignment horizontal="center" vertical="center"/>
    </xf>
    <xf numFmtId="183" fontId="29" fillId="0" borderId="38" xfId="2" applyNumberFormat="1" applyFont="1" applyFill="1" applyBorder="1" applyAlignment="1">
      <alignment horizontal="center" vertical="center"/>
    </xf>
    <xf numFmtId="183" fontId="177" fillId="125" borderId="470" xfId="2" applyNumberFormat="1" applyFont="1" applyFill="1" applyBorder="1" applyAlignment="1">
      <alignment horizontal="center" vertical="center"/>
    </xf>
    <xf numFmtId="183" fontId="29" fillId="0" borderId="464" xfId="2" applyNumberFormat="1" applyFont="1" applyFill="1" applyBorder="1" applyAlignment="1">
      <alignment horizontal="center" vertical="center"/>
    </xf>
    <xf numFmtId="178" fontId="29" fillId="0" borderId="464" xfId="2" applyNumberFormat="1" applyFont="1" applyFill="1" applyBorder="1" applyAlignment="1">
      <alignment horizontal="center" vertical="center"/>
    </xf>
    <xf numFmtId="187" fontId="172" fillId="0" borderId="228" xfId="2" applyNumberFormat="1" applyFont="1" applyFill="1" applyBorder="1" applyAlignment="1">
      <alignment horizontal="center" vertical="center"/>
    </xf>
    <xf numFmtId="183" fontId="29" fillId="0" borderId="62" xfId="2" applyNumberFormat="1" applyFont="1" applyFill="1" applyBorder="1" applyAlignment="1">
      <alignment horizontal="center" vertical="center"/>
    </xf>
    <xf numFmtId="4" fontId="58" fillId="7" borderId="0" xfId="2" applyNumberFormat="1" applyFont="1" applyFill="1" applyBorder="1" applyAlignment="1">
      <alignment horizontal="center" vertical="center"/>
    </xf>
    <xf numFmtId="2" fontId="29" fillId="7" borderId="0" xfId="0" applyNumberFormat="1" applyFont="1" applyFill="1" applyBorder="1" applyAlignment="1">
      <alignment horizontal="center" vertical="center"/>
    </xf>
    <xf numFmtId="0" fontId="26" fillId="0" borderId="82" xfId="0" applyFont="1" applyBorder="1" applyAlignment="1">
      <alignment horizontal="left" vertical="center" wrapText="1"/>
    </xf>
    <xf numFmtId="183" fontId="29" fillId="0" borderId="46" xfId="2" applyNumberFormat="1" applyFont="1" applyFill="1" applyBorder="1" applyAlignment="1">
      <alignment horizontal="center" vertical="center"/>
    </xf>
    <xf numFmtId="0" fontId="26" fillId="0" borderId="253" xfId="0" applyFont="1" applyBorder="1" applyAlignment="1">
      <alignment horizontal="left" vertical="center" wrapText="1"/>
    </xf>
    <xf numFmtId="185" fontId="26" fillId="0" borderId="324" xfId="0" applyNumberFormat="1" applyFont="1" applyBorder="1" applyAlignment="1">
      <alignment horizontal="center" vertical="center"/>
    </xf>
    <xf numFmtId="9" fontId="168" fillId="128" borderId="54" xfId="1" applyNumberFormat="1" applyFont="1" applyFill="1" applyBorder="1" applyAlignment="1">
      <alignment horizontal="center" vertical="center"/>
    </xf>
    <xf numFmtId="9" fontId="29" fillId="0" borderId="258" xfId="1" applyFont="1" applyBorder="1" applyAlignment="1">
      <alignment horizontal="center" vertical="center" wrapText="1"/>
    </xf>
    <xf numFmtId="38" fontId="172" fillId="0" borderId="108" xfId="2" applyNumberFormat="1" applyFont="1" applyBorder="1" applyAlignment="1">
      <alignment horizontal="center" vertical="center"/>
    </xf>
    <xf numFmtId="0" fontId="177" fillId="127" borderId="434" xfId="0" applyFont="1" applyFill="1" applyBorder="1" applyAlignment="1">
      <alignment horizontal="center" vertical="center"/>
    </xf>
    <xf numFmtId="2" fontId="58" fillId="0" borderId="467" xfId="0" applyNumberFormat="1" applyFont="1" applyBorder="1" applyAlignment="1">
      <alignment horizontal="center" vertical="center"/>
    </xf>
    <xf numFmtId="0" fontId="178" fillId="127" borderId="444" xfId="0" applyFont="1" applyFill="1" applyBorder="1" applyAlignment="1">
      <alignment horizontal="center" vertical="center" wrapText="1"/>
    </xf>
    <xf numFmtId="183" fontId="58" fillId="0" borderId="457" xfId="0" applyNumberFormat="1" applyFont="1" applyBorder="1" applyAlignment="1">
      <alignment horizontal="center" vertical="center"/>
    </xf>
    <xf numFmtId="3" fontId="58" fillId="0" borderId="463" xfId="2" applyNumberFormat="1" applyFont="1" applyBorder="1" applyAlignment="1">
      <alignment horizontal="center" vertical="center"/>
    </xf>
    <xf numFmtId="3" fontId="58" fillId="15" borderId="328" xfId="2" applyNumberFormat="1" applyFont="1" applyFill="1" applyBorder="1" applyAlignment="1">
      <alignment horizontal="center" vertical="center"/>
    </xf>
    <xf numFmtId="183" fontId="58" fillId="0" borderId="344" xfId="0" applyNumberFormat="1" applyFont="1" applyBorder="1" applyAlignment="1">
      <alignment horizontal="center" vertical="center"/>
    </xf>
    <xf numFmtId="183" fontId="58" fillId="0" borderId="492" xfId="0" applyNumberFormat="1" applyFont="1" applyBorder="1" applyAlignment="1">
      <alignment horizontal="center" vertical="center"/>
    </xf>
    <xf numFmtId="183" fontId="29" fillId="0" borderId="35" xfId="2" applyNumberFormat="1" applyFont="1" applyFill="1" applyBorder="1" applyAlignment="1">
      <alignment horizontal="center" vertical="center"/>
    </xf>
    <xf numFmtId="226" fontId="58" fillId="0" borderId="347" xfId="2" applyNumberFormat="1" applyFont="1" applyFill="1" applyBorder="1" applyAlignment="1">
      <alignment horizontal="center" vertical="center"/>
    </xf>
    <xf numFmtId="226" fontId="58" fillId="0" borderId="348" xfId="2" applyNumberFormat="1" applyFont="1" applyFill="1" applyBorder="1" applyAlignment="1">
      <alignment horizontal="center" vertical="center"/>
    </xf>
    <xf numFmtId="178" fontId="58" fillId="0" borderId="348" xfId="2" applyNumberFormat="1" applyFont="1" applyFill="1" applyBorder="1" applyAlignment="1">
      <alignment horizontal="center" vertical="center"/>
    </xf>
    <xf numFmtId="185" fontId="58" fillId="0" borderId="45" xfId="0" applyNumberFormat="1" applyFont="1" applyFill="1" applyBorder="1" applyAlignment="1">
      <alignment horizontal="center" vertical="center"/>
    </xf>
    <xf numFmtId="223" fontId="58" fillId="15" borderId="332" xfId="2" applyNumberFormat="1" applyFont="1" applyFill="1" applyBorder="1" applyAlignment="1">
      <alignment horizontal="center" vertical="center"/>
    </xf>
    <xf numFmtId="226" fontId="58" fillId="0" borderId="483" xfId="2" applyNumberFormat="1" applyFont="1" applyFill="1" applyBorder="1" applyAlignment="1">
      <alignment horizontal="center" vertical="center"/>
    </xf>
    <xf numFmtId="226" fontId="58" fillId="0" borderId="472" xfId="2" applyNumberFormat="1" applyFont="1" applyFill="1" applyBorder="1" applyAlignment="1">
      <alignment horizontal="center" vertical="center"/>
    </xf>
    <xf numFmtId="228" fontId="58" fillId="0" borderId="200" xfId="2" applyNumberFormat="1" applyFont="1" applyFill="1" applyBorder="1" applyAlignment="1">
      <alignment horizontal="center" vertical="center"/>
    </xf>
    <xf numFmtId="3" fontId="58" fillId="7" borderId="121" xfId="2" applyNumberFormat="1" applyFont="1" applyFill="1" applyBorder="1" applyAlignment="1">
      <alignment horizontal="center" vertical="center"/>
    </xf>
    <xf numFmtId="183" fontId="177" fillId="125" borderId="434" xfId="2" applyNumberFormat="1" applyFont="1" applyFill="1" applyBorder="1" applyAlignment="1">
      <alignment horizontal="center" vertical="center"/>
    </xf>
    <xf numFmtId="0" fontId="58" fillId="0" borderId="327" xfId="0" applyFont="1" applyBorder="1" applyAlignment="1">
      <alignment horizontal="center" vertical="center"/>
    </xf>
    <xf numFmtId="226" fontId="58" fillId="0" borderId="25" xfId="2" applyNumberFormat="1" applyFont="1" applyFill="1" applyBorder="1" applyAlignment="1">
      <alignment horizontal="center" vertical="center"/>
    </xf>
    <xf numFmtId="226" fontId="58" fillId="0" borderId="26" xfId="2" applyNumberFormat="1" applyFont="1" applyFill="1" applyBorder="1" applyAlignment="1">
      <alignment horizontal="center" vertical="center"/>
    </xf>
    <xf numFmtId="187" fontId="58" fillId="7" borderId="455" xfId="2" applyNumberFormat="1" applyFont="1" applyFill="1" applyBorder="1" applyAlignment="1">
      <alignment horizontal="center" vertical="center"/>
    </xf>
    <xf numFmtId="187" fontId="58" fillId="7" borderId="493" xfId="2" applyNumberFormat="1" applyFont="1" applyFill="1" applyBorder="1" applyAlignment="1">
      <alignment horizontal="center" vertical="center"/>
    </xf>
    <xf numFmtId="187" fontId="58" fillId="7" borderId="497" xfId="2" applyNumberFormat="1" applyFont="1" applyFill="1" applyBorder="1" applyAlignment="1">
      <alignment horizontal="center" vertical="center"/>
    </xf>
    <xf numFmtId="38" fontId="177" fillId="128" borderId="54" xfId="0" applyNumberFormat="1" applyFont="1" applyFill="1" applyBorder="1" applyAlignment="1">
      <alignment horizontal="center" vertical="center" wrapText="1"/>
    </xf>
    <xf numFmtId="223" fontId="166" fillId="0" borderId="82" xfId="0" applyNumberFormat="1" applyFont="1" applyBorder="1" applyAlignment="1">
      <alignment horizontal="center" vertical="center" wrapText="1"/>
    </xf>
    <xf numFmtId="223" fontId="166" fillId="0" borderId="253" xfId="0" applyNumberFormat="1" applyFont="1" applyBorder="1" applyAlignment="1">
      <alignment horizontal="center" vertical="center" wrapText="1"/>
    </xf>
    <xf numFmtId="223" fontId="29" fillId="0" borderId="253" xfId="0" applyNumberFormat="1" applyFont="1" applyBorder="1" applyAlignment="1">
      <alignment horizontal="center" vertical="center"/>
    </xf>
    <xf numFmtId="223" fontId="29" fillId="0" borderId="478" xfId="0" applyNumberFormat="1" applyFont="1" applyBorder="1" applyAlignment="1">
      <alignment horizontal="center" vertical="center"/>
    </xf>
    <xf numFmtId="0" fontId="58" fillId="0" borderId="0" xfId="0" applyFont="1" applyAlignment="1">
      <alignment horizontal="left" vertical="center"/>
    </xf>
    <xf numFmtId="187" fontId="58" fillId="0" borderId="497" xfId="0" applyNumberFormat="1" applyFont="1" applyBorder="1" applyAlignment="1">
      <alignment horizontal="center" vertical="center"/>
    </xf>
    <xf numFmtId="187" fontId="58" fillId="15" borderId="495" xfId="0" applyNumberFormat="1" applyFont="1" applyFill="1" applyBorder="1" applyAlignment="1">
      <alignment horizontal="center" vertical="center"/>
    </xf>
    <xf numFmtId="183" fontId="58" fillId="7" borderId="455" xfId="2" applyNumberFormat="1" applyFont="1" applyFill="1" applyBorder="1" applyAlignment="1">
      <alignment horizontal="center" vertical="center"/>
    </xf>
    <xf numFmtId="187" fontId="58" fillId="7" borderId="457" xfId="2" applyNumberFormat="1" applyFont="1" applyFill="1" applyBorder="1" applyAlignment="1">
      <alignment horizontal="center" vertical="center"/>
    </xf>
    <xf numFmtId="178" fontId="58" fillId="7" borderId="472" xfId="2" applyNumberFormat="1" applyFont="1" applyFill="1" applyBorder="1" applyAlignment="1">
      <alignment horizontal="center" vertical="center"/>
    </xf>
    <xf numFmtId="187" fontId="58" fillId="7" borderId="348" xfId="2" applyNumberFormat="1" applyFont="1" applyFill="1" applyBorder="1" applyAlignment="1">
      <alignment horizontal="center" vertical="center" wrapText="1"/>
    </xf>
    <xf numFmtId="183" fontId="58" fillId="0" borderId="457" xfId="2" applyNumberFormat="1" applyFont="1" applyFill="1" applyBorder="1" applyAlignment="1">
      <alignment horizontal="center" vertical="center"/>
    </xf>
    <xf numFmtId="183" fontId="58" fillId="0" borderId="472" xfId="2" applyNumberFormat="1" applyFont="1" applyFill="1" applyBorder="1" applyAlignment="1">
      <alignment horizontal="center" vertical="center"/>
    </xf>
    <xf numFmtId="187" fontId="58" fillId="7" borderId="505" xfId="2" applyNumberFormat="1" applyFont="1" applyFill="1" applyBorder="1" applyAlignment="1">
      <alignment horizontal="center" vertical="center"/>
    </xf>
    <xf numFmtId="183" fontId="58" fillId="7" borderId="459" xfId="0" applyNumberFormat="1" applyFont="1" applyFill="1" applyBorder="1" applyAlignment="1">
      <alignment horizontal="center" vertical="center"/>
    </xf>
    <xf numFmtId="187" fontId="58" fillId="7" borderId="348" xfId="0" applyNumberFormat="1" applyFont="1" applyFill="1" applyBorder="1" applyAlignment="1">
      <alignment horizontal="center" vertical="center"/>
    </xf>
    <xf numFmtId="226" fontId="29" fillId="7" borderId="459" xfId="2" applyNumberFormat="1" applyFont="1" applyFill="1" applyBorder="1" applyAlignment="1">
      <alignment horizontal="center" vertical="center"/>
    </xf>
    <xf numFmtId="226" fontId="29" fillId="0" borderId="457" xfId="2" applyNumberFormat="1" applyFont="1" applyFill="1" applyBorder="1" applyAlignment="1">
      <alignment horizontal="center" vertical="center"/>
    </xf>
    <xf numFmtId="187" fontId="58" fillId="0" borderId="472" xfId="2" applyNumberFormat="1" applyFont="1" applyFill="1" applyBorder="1" applyAlignment="1">
      <alignment horizontal="center" vertical="center"/>
    </xf>
    <xf numFmtId="187" fontId="58" fillId="7" borderId="472" xfId="2" applyNumberFormat="1" applyFont="1" applyFill="1" applyBorder="1" applyAlignment="1">
      <alignment horizontal="center" vertical="center"/>
    </xf>
    <xf numFmtId="187" fontId="172" fillId="7" borderId="300" xfId="0" applyNumberFormat="1" applyFont="1" applyFill="1" applyBorder="1" applyAlignment="1">
      <alignment horizontal="center" vertical="center"/>
    </xf>
    <xf numFmtId="187" fontId="172" fillId="7" borderId="225" xfId="0" applyNumberFormat="1" applyFont="1" applyFill="1" applyBorder="1" applyAlignment="1">
      <alignment horizontal="center" vertical="center"/>
    </xf>
    <xf numFmtId="1" fontId="58" fillId="0" borderId="38" xfId="0" applyNumberFormat="1" applyFont="1" applyFill="1" applyBorder="1" applyAlignment="1">
      <alignment horizontal="center" vertical="center"/>
    </xf>
    <xf numFmtId="3" fontId="58" fillId="0" borderId="495" xfId="0" applyNumberFormat="1" applyFont="1" applyBorder="1" applyAlignment="1">
      <alignment horizontal="center" vertical="center"/>
    </xf>
    <xf numFmtId="2" fontId="29" fillId="0" borderId="495" xfId="0" applyNumberFormat="1" applyFont="1" applyBorder="1" applyAlignment="1">
      <alignment horizontal="center" vertical="center"/>
    </xf>
    <xf numFmtId="1" fontId="58" fillId="0" borderId="495" xfId="0" applyNumberFormat="1" applyFont="1" applyFill="1" applyBorder="1" applyAlignment="1">
      <alignment horizontal="center" vertical="center"/>
    </xf>
    <xf numFmtId="177" fontId="58" fillId="0" borderId="506" xfId="0" applyNumberFormat="1" applyFont="1" applyBorder="1" applyAlignment="1">
      <alignment horizontal="center" vertical="center"/>
    </xf>
    <xf numFmtId="2" fontId="166" fillId="0" borderId="507" xfId="0" applyNumberFormat="1" applyFont="1" applyBorder="1" applyAlignment="1">
      <alignment horizontal="center" vertical="center" wrapText="1" readingOrder="1"/>
    </xf>
    <xf numFmtId="187" fontId="58" fillId="0" borderId="495" xfId="2" applyNumberFormat="1" applyFont="1" applyFill="1" applyBorder="1" applyAlignment="1">
      <alignment horizontal="center" vertical="center"/>
    </xf>
    <xf numFmtId="3" fontId="58" fillId="0" borderId="463" xfId="2" applyNumberFormat="1" applyFont="1" applyFill="1" applyBorder="1" applyAlignment="1">
      <alignment horizontal="center" vertical="center"/>
    </xf>
    <xf numFmtId="226" fontId="58" fillId="7" borderId="332" xfId="2" applyNumberFormat="1" applyFont="1" applyFill="1" applyBorder="1" applyAlignment="1">
      <alignment horizontal="center" vertical="center"/>
    </xf>
    <xf numFmtId="226" fontId="58" fillId="7" borderId="266" xfId="2" applyNumberFormat="1" applyFont="1" applyFill="1" applyBorder="1" applyAlignment="1">
      <alignment horizontal="center" vertical="center"/>
    </xf>
    <xf numFmtId="226" fontId="58" fillId="7" borderId="348" xfId="2" applyNumberFormat="1" applyFont="1" applyFill="1" applyBorder="1" applyAlignment="1">
      <alignment horizontal="center" vertical="center"/>
    </xf>
    <xf numFmtId="187" fontId="58" fillId="7" borderId="508" xfId="2" applyNumberFormat="1" applyFont="1" applyFill="1" applyBorder="1" applyAlignment="1">
      <alignment horizontal="center" vertical="center"/>
    </xf>
    <xf numFmtId="3" fontId="58" fillId="7" borderId="497" xfId="2" applyNumberFormat="1" applyFont="1" applyFill="1" applyBorder="1" applyAlignment="1">
      <alignment horizontal="center" vertical="center"/>
    </xf>
    <xf numFmtId="183" fontId="177" fillId="125" borderId="497" xfId="2" applyNumberFormat="1" applyFont="1" applyFill="1" applyBorder="1" applyAlignment="1">
      <alignment horizontal="center" vertical="center"/>
    </xf>
    <xf numFmtId="0" fontId="29" fillId="7" borderId="497" xfId="0" applyFont="1" applyFill="1" applyBorder="1" applyAlignment="1">
      <alignment horizontal="center" vertical="center"/>
    </xf>
    <xf numFmtId="38" fontId="29" fillId="117" borderId="465" xfId="2" applyNumberFormat="1" applyFont="1" applyFill="1" applyBorder="1" applyAlignment="1">
      <alignment horizontal="center" vertical="center"/>
    </xf>
    <xf numFmtId="9" fontId="29" fillId="117" borderId="465" xfId="1" applyFont="1" applyFill="1" applyBorder="1" applyAlignment="1">
      <alignment horizontal="center" vertical="center"/>
    </xf>
    <xf numFmtId="40" fontId="29" fillId="117" borderId="465" xfId="2" applyNumberFormat="1" applyFont="1" applyFill="1" applyBorder="1" applyAlignment="1">
      <alignment horizontal="center" vertical="center"/>
    </xf>
    <xf numFmtId="38" fontId="29" fillId="117" borderId="470" xfId="2" applyNumberFormat="1" applyFont="1" applyFill="1" applyBorder="1" applyAlignment="1">
      <alignment horizontal="center" vertical="center"/>
    </xf>
    <xf numFmtId="40" fontId="29" fillId="117" borderId="470" xfId="2" applyNumberFormat="1" applyFont="1" applyFill="1" applyBorder="1" applyAlignment="1">
      <alignment horizontal="center" vertical="center"/>
    </xf>
    <xf numFmtId="178" fontId="29" fillId="117" borderId="120" xfId="2" applyNumberFormat="1" applyFont="1" applyFill="1" applyBorder="1" applyAlignment="1">
      <alignment horizontal="center" vertical="center"/>
    </xf>
    <xf numFmtId="38" fontId="29" fillId="117" borderId="120" xfId="2" applyNumberFormat="1" applyFont="1" applyFill="1" applyBorder="1" applyAlignment="1">
      <alignment horizontal="center" vertical="center"/>
    </xf>
    <xf numFmtId="9" fontId="29" fillId="117" borderId="120" xfId="1" applyFont="1" applyFill="1" applyBorder="1" applyAlignment="1">
      <alignment horizontal="center" vertical="center"/>
    </xf>
    <xf numFmtId="178" fontId="29" fillId="117" borderId="465" xfId="2" applyNumberFormat="1" applyFont="1" applyFill="1" applyBorder="1" applyAlignment="1">
      <alignment horizontal="center" vertical="center"/>
    </xf>
    <xf numFmtId="178" fontId="29" fillId="117" borderId="464" xfId="2" applyNumberFormat="1" applyFont="1" applyFill="1" applyBorder="1" applyAlignment="1">
      <alignment horizontal="center" vertical="center"/>
    </xf>
    <xf numFmtId="38" fontId="29" fillId="117" borderId="464" xfId="2" applyNumberFormat="1" applyFont="1" applyFill="1" applyBorder="1" applyAlignment="1">
      <alignment horizontal="center" vertical="center"/>
    </xf>
    <xf numFmtId="9" fontId="29" fillId="117" borderId="464" xfId="1" applyFont="1" applyFill="1" applyBorder="1" applyAlignment="1">
      <alignment horizontal="center" vertical="center"/>
    </xf>
    <xf numFmtId="178" fontId="29" fillId="117" borderId="6" xfId="2" applyNumberFormat="1" applyFont="1" applyFill="1" applyBorder="1" applyAlignment="1">
      <alignment horizontal="center" vertical="center"/>
    </xf>
    <xf numFmtId="38" fontId="29" fillId="117" borderId="6" xfId="2" applyNumberFormat="1" applyFont="1" applyFill="1" applyBorder="1" applyAlignment="1">
      <alignment horizontal="center" vertical="center"/>
    </xf>
    <xf numFmtId="9" fontId="29" fillId="117" borderId="6" xfId="1" applyFont="1" applyFill="1" applyBorder="1" applyAlignment="1">
      <alignment horizontal="center" vertical="center"/>
    </xf>
    <xf numFmtId="187" fontId="58" fillId="7" borderId="509" xfId="2" applyNumberFormat="1" applyFont="1" applyFill="1" applyBorder="1" applyAlignment="1">
      <alignment horizontal="center" vertical="center"/>
    </xf>
    <xf numFmtId="3" fontId="58" fillId="0" borderId="495" xfId="2" applyNumberFormat="1" applyFont="1" applyBorder="1" applyAlignment="1">
      <alignment horizontal="center" vertical="center"/>
    </xf>
    <xf numFmtId="183" fontId="58" fillId="7" borderId="495" xfId="2" applyNumberFormat="1" applyFont="1" applyFill="1" applyBorder="1" applyAlignment="1">
      <alignment horizontal="center" vertical="center"/>
    </xf>
    <xf numFmtId="187" fontId="58" fillId="0" borderId="509" xfId="2" applyNumberFormat="1" applyFont="1" applyFill="1" applyBorder="1" applyAlignment="1">
      <alignment horizontal="center" vertical="center"/>
    </xf>
    <xf numFmtId="226" fontId="58" fillId="0" borderId="509" xfId="2" applyNumberFormat="1" applyFont="1" applyBorder="1" applyAlignment="1">
      <alignment horizontal="center" vertical="center"/>
    </xf>
    <xf numFmtId="187" fontId="58" fillId="0" borderId="509" xfId="2" applyNumberFormat="1" applyFont="1" applyBorder="1" applyAlignment="1">
      <alignment horizontal="center" vertical="center"/>
    </xf>
    <xf numFmtId="0" fontId="166" fillId="0" borderId="495" xfId="0" applyFont="1" applyBorder="1" applyAlignment="1">
      <alignment horizontal="center" vertical="center" wrapText="1"/>
    </xf>
    <xf numFmtId="0" fontId="177" fillId="125" borderId="495" xfId="0" applyFont="1" applyFill="1" applyBorder="1" applyAlignment="1">
      <alignment horizontal="center" vertical="center"/>
    </xf>
    <xf numFmtId="0" fontId="166" fillId="0" borderId="463" xfId="0" applyFont="1" applyBorder="1" applyAlignment="1">
      <alignment horizontal="center" vertical="center" wrapText="1"/>
    </xf>
    <xf numFmtId="183" fontId="177" fillId="125" borderId="509" xfId="2" applyNumberFormat="1" applyFont="1" applyFill="1" applyBorder="1" applyAlignment="1">
      <alignment horizontal="center" vertical="center"/>
    </xf>
    <xf numFmtId="183" fontId="29" fillId="0" borderId="495" xfId="2" applyNumberFormat="1" applyFont="1" applyFill="1" applyBorder="1" applyAlignment="1">
      <alignment horizontal="center" vertical="center"/>
    </xf>
    <xf numFmtId="3" fontId="58" fillId="7" borderId="495" xfId="2" applyNumberFormat="1" applyFont="1" applyFill="1" applyBorder="1" applyAlignment="1">
      <alignment horizontal="center" vertical="center"/>
    </xf>
    <xf numFmtId="3" fontId="177" fillId="125" borderId="495" xfId="2" applyNumberFormat="1" applyFont="1" applyFill="1" applyBorder="1" applyAlignment="1">
      <alignment horizontal="center" vertical="center" wrapText="1"/>
    </xf>
    <xf numFmtId="183" fontId="177" fillId="125" borderId="45" xfId="2" applyNumberFormat="1" applyFont="1" applyFill="1" applyBorder="1" applyAlignment="1">
      <alignment horizontal="center" vertical="center"/>
    </xf>
    <xf numFmtId="178" fontId="29" fillId="0" borderId="495" xfId="0" applyNumberFormat="1" applyFont="1" applyBorder="1" applyAlignment="1">
      <alignment horizontal="center" vertical="center"/>
    </xf>
    <xf numFmtId="178" fontId="29" fillId="0" borderId="470" xfId="0" applyNumberFormat="1" applyFont="1" applyBorder="1" applyAlignment="1">
      <alignment horizontal="center" vertical="center"/>
    </xf>
    <xf numFmtId="185" fontId="29" fillId="7" borderId="497" xfId="0" applyNumberFormat="1" applyFont="1" applyFill="1" applyBorder="1" applyAlignment="1">
      <alignment horizontal="center" vertical="center"/>
    </xf>
    <xf numFmtId="0" fontId="29" fillId="7" borderId="497" xfId="0" applyFont="1" applyFill="1" applyBorder="1">
      <alignment vertical="center"/>
    </xf>
    <xf numFmtId="0" fontId="29" fillId="3" borderId="236" xfId="0" applyFont="1" applyFill="1" applyBorder="1" applyAlignment="1">
      <alignment horizontal="center" vertical="center"/>
    </xf>
    <xf numFmtId="0" fontId="29" fillId="3" borderId="269" xfId="0" applyFont="1" applyFill="1" applyBorder="1" applyAlignment="1">
      <alignment horizontal="center" vertical="center"/>
    </xf>
    <xf numFmtId="0" fontId="58" fillId="3" borderId="236" xfId="0" applyFont="1" applyFill="1" applyBorder="1" applyAlignment="1">
      <alignment horizontal="center" vertical="center"/>
    </xf>
    <xf numFmtId="0" fontId="58" fillId="3" borderId="412" xfId="0" applyFont="1" applyFill="1" applyBorder="1" applyAlignment="1">
      <alignment horizontal="center" vertical="center"/>
    </xf>
    <xf numFmtId="38" fontId="29" fillId="3" borderId="269" xfId="2" applyNumberFormat="1" applyFont="1" applyFill="1" applyBorder="1" applyAlignment="1">
      <alignment horizontal="center" vertical="center"/>
    </xf>
    <xf numFmtId="0" fontId="172" fillId="7" borderId="0" xfId="0" applyFont="1" applyFill="1" applyBorder="1" applyAlignment="1">
      <alignment horizontal="center" vertical="center"/>
    </xf>
    <xf numFmtId="0" fontId="177" fillId="125" borderId="210" xfId="0" applyFont="1" applyFill="1" applyBorder="1" applyAlignment="1">
      <alignment horizontal="center" vertical="center"/>
    </xf>
    <xf numFmtId="3" fontId="29" fillId="117" borderId="6" xfId="2" applyNumberFormat="1" applyFont="1" applyFill="1" applyBorder="1" applyAlignment="1">
      <alignment horizontal="center" vertical="center" wrapText="1"/>
    </xf>
    <xf numFmtId="3" fontId="29" fillId="117" borderId="38" xfId="2" applyNumberFormat="1" applyFont="1" applyFill="1" applyBorder="1" applyAlignment="1">
      <alignment horizontal="center" vertical="center" wrapText="1"/>
    </xf>
    <xf numFmtId="3" fontId="29" fillId="117" borderId="465" xfId="2" applyNumberFormat="1" applyFont="1" applyFill="1" applyBorder="1" applyAlignment="1">
      <alignment horizontal="center" vertical="center" wrapText="1"/>
    </xf>
    <xf numFmtId="3" fontId="29" fillId="117" borderId="120" xfId="2" applyNumberFormat="1" applyFont="1" applyFill="1" applyBorder="1" applyAlignment="1">
      <alignment horizontal="center" vertical="center" wrapText="1"/>
    </xf>
    <xf numFmtId="3" fontId="29" fillId="117" borderId="45" xfId="2" applyNumberFormat="1" applyFont="1" applyFill="1" applyBorder="1" applyAlignment="1">
      <alignment horizontal="center" vertical="center" wrapText="1"/>
    </xf>
    <xf numFmtId="0" fontId="177" fillId="127" borderId="6" xfId="0" applyFont="1" applyFill="1" applyBorder="1" applyAlignment="1">
      <alignment horizontal="center" vertical="center"/>
    </xf>
    <xf numFmtId="0" fontId="0" fillId="0" borderId="0" xfId="0" applyFill="1" applyBorder="1" applyAlignment="1">
      <alignment vertical="center"/>
    </xf>
    <xf numFmtId="0" fontId="110" fillId="7" borderId="0" xfId="0" applyFont="1" applyFill="1" applyAlignment="1" applyProtection="1">
      <alignment horizontal="center" vertical="center" wrapText="1"/>
      <protection locked="0"/>
    </xf>
    <xf numFmtId="0" fontId="110" fillId="7" borderId="0" xfId="0" applyFont="1" applyFill="1" applyAlignment="1" applyProtection="1">
      <alignment horizontal="right" vertical="center"/>
    </xf>
    <xf numFmtId="0" fontId="110" fillId="7" borderId="0" xfId="0" applyFont="1" applyFill="1" applyAlignment="1" applyProtection="1">
      <alignment horizontal="center" vertical="center"/>
    </xf>
    <xf numFmtId="189" fontId="110" fillId="7" borderId="0" xfId="0" applyNumberFormat="1" applyFont="1" applyFill="1" applyAlignment="1" applyProtection="1">
      <alignment horizontal="right" vertical="center"/>
    </xf>
    <xf numFmtId="189" fontId="110" fillId="7" borderId="0" xfId="0" applyNumberFormat="1" applyFont="1" applyFill="1" applyAlignment="1" applyProtection="1">
      <alignment vertical="center"/>
    </xf>
    <xf numFmtId="0" fontId="38" fillId="7" borderId="0" xfId="0" applyFont="1" applyFill="1" applyBorder="1" applyAlignment="1" applyProtection="1">
      <alignment horizontal="right" vertical="center"/>
    </xf>
    <xf numFmtId="0" fontId="38" fillId="7" borderId="0" xfId="0" applyFont="1" applyFill="1" applyBorder="1" applyAlignment="1" applyProtection="1">
      <alignment horizontal="center" vertical="center"/>
    </xf>
    <xf numFmtId="184" fontId="38" fillId="7" borderId="0" xfId="0" applyNumberFormat="1" applyFont="1" applyFill="1" applyBorder="1" applyAlignment="1" applyProtection="1">
      <alignment horizontal="right" vertical="center"/>
    </xf>
    <xf numFmtId="184" fontId="38" fillId="7" borderId="0" xfId="0" applyNumberFormat="1" applyFont="1" applyFill="1" applyBorder="1" applyAlignment="1" applyProtection="1">
      <alignment vertical="center"/>
    </xf>
    <xf numFmtId="184" fontId="38" fillId="7" borderId="116" xfId="0" applyNumberFormat="1" applyFont="1" applyFill="1" applyBorder="1" applyAlignment="1" applyProtection="1">
      <alignment horizontal="right" vertical="center"/>
    </xf>
    <xf numFmtId="41" fontId="38" fillId="7" borderId="116" xfId="2" applyFont="1" applyFill="1" applyBorder="1" applyAlignment="1" applyProtection="1">
      <alignment horizontal="right" vertical="center"/>
    </xf>
    <xf numFmtId="0" fontId="38" fillId="7" borderId="116" xfId="0" applyFont="1" applyFill="1" applyBorder="1" applyAlignment="1" applyProtection="1">
      <alignment horizontal="right" vertical="center"/>
    </xf>
    <xf numFmtId="4" fontId="58" fillId="7" borderId="495" xfId="2" applyNumberFormat="1" applyFont="1" applyFill="1" applyBorder="1" applyAlignment="1">
      <alignment horizontal="center" vertical="center"/>
    </xf>
    <xf numFmtId="226" fontId="58" fillId="0" borderId="35" xfId="2" applyNumberFormat="1" applyFont="1" applyFill="1" applyBorder="1" applyAlignment="1">
      <alignment horizontal="center" vertical="center"/>
    </xf>
    <xf numFmtId="178" fontId="58" fillId="0" borderId="46" xfId="0" applyNumberFormat="1" applyFont="1" applyFill="1" applyBorder="1" applyAlignment="1">
      <alignment horizontal="center" vertical="center"/>
    </xf>
    <xf numFmtId="38" fontId="166" fillId="0" borderId="510" xfId="1" applyNumberFormat="1" applyFont="1" applyBorder="1" applyAlignment="1">
      <alignment horizontal="center" vertical="center" wrapText="1"/>
    </xf>
    <xf numFmtId="38" fontId="166" fillId="0" borderId="511" xfId="1" applyNumberFormat="1" applyFont="1" applyBorder="1" applyAlignment="1">
      <alignment horizontal="center" vertical="center" wrapText="1"/>
    </xf>
    <xf numFmtId="187" fontId="29" fillId="7" borderId="214" xfId="0" applyNumberFormat="1" applyFont="1" applyFill="1" applyBorder="1" applyAlignment="1">
      <alignment horizontal="center" vertical="center" readingOrder="1"/>
    </xf>
    <xf numFmtId="183" fontId="29" fillId="0" borderId="497" xfId="2" applyNumberFormat="1" applyFont="1" applyFill="1" applyBorder="1" applyAlignment="1">
      <alignment horizontal="center" vertical="center"/>
    </xf>
    <xf numFmtId="178" fontId="58" fillId="0" borderId="509" xfId="2" applyNumberFormat="1" applyFont="1" applyBorder="1" applyAlignment="1">
      <alignment horizontal="center" vertical="center"/>
    </xf>
    <xf numFmtId="183" fontId="58" fillId="7" borderId="108" xfId="2" applyNumberFormat="1" applyFont="1" applyFill="1" applyBorder="1" applyAlignment="1">
      <alignment horizontal="center" vertical="center" wrapText="1"/>
    </xf>
    <xf numFmtId="178" fontId="58" fillId="0" borderId="0" xfId="2" applyNumberFormat="1" applyFont="1" applyFill="1" applyBorder="1" applyAlignment="1">
      <alignment horizontal="center" vertical="center" wrapText="1"/>
    </xf>
    <xf numFmtId="183" fontId="58" fillId="7" borderId="266" xfId="2" applyNumberFormat="1" applyFont="1" applyFill="1" applyBorder="1" applyAlignment="1">
      <alignment horizontal="center" vertical="center"/>
    </xf>
    <xf numFmtId="187" fontId="58" fillId="7" borderId="35" xfId="2" applyNumberFormat="1" applyFont="1" applyFill="1" applyBorder="1" applyAlignment="1">
      <alignment horizontal="center" vertical="center"/>
    </xf>
    <xf numFmtId="0" fontId="177" fillId="127" borderId="497" xfId="0" applyFont="1" applyFill="1" applyBorder="1" applyAlignment="1">
      <alignment horizontal="center" vertical="center"/>
    </xf>
    <xf numFmtId="41" fontId="178" fillId="127" borderId="497" xfId="2" applyFont="1" applyFill="1" applyBorder="1" applyAlignment="1">
      <alignment horizontal="center" vertical="center"/>
    </xf>
    <xf numFmtId="187" fontId="172" fillId="6" borderId="497" xfId="2" applyNumberFormat="1" applyFont="1" applyFill="1" applyBorder="1" applyAlignment="1">
      <alignment horizontal="center" vertical="center"/>
    </xf>
    <xf numFmtId="3" fontId="177" fillId="125" borderId="497" xfId="2" applyNumberFormat="1" applyFont="1" applyFill="1" applyBorder="1" applyAlignment="1">
      <alignment horizontal="center" vertical="center" wrapText="1"/>
    </xf>
    <xf numFmtId="3" fontId="29" fillId="117" borderId="497" xfId="2" applyNumberFormat="1" applyFont="1" applyFill="1" applyBorder="1" applyAlignment="1">
      <alignment horizontal="center" vertical="center" wrapText="1"/>
    </xf>
    <xf numFmtId="3" fontId="29" fillId="117" borderId="495" xfId="2" applyNumberFormat="1" applyFont="1" applyFill="1" applyBorder="1" applyAlignment="1">
      <alignment horizontal="center" vertical="center" wrapText="1"/>
    </xf>
    <xf numFmtId="178" fontId="29" fillId="117" borderId="497" xfId="2" applyNumberFormat="1" applyFont="1" applyFill="1" applyBorder="1" applyAlignment="1">
      <alignment horizontal="center" vertical="center"/>
    </xf>
    <xf numFmtId="38" fontId="29" fillId="117" borderId="497" xfId="2" applyNumberFormat="1" applyFont="1" applyFill="1" applyBorder="1" applyAlignment="1">
      <alignment horizontal="center" vertical="center"/>
    </xf>
    <xf numFmtId="9" fontId="29" fillId="117" borderId="497" xfId="1" applyFont="1" applyFill="1" applyBorder="1" applyAlignment="1">
      <alignment horizontal="center" vertical="center"/>
    </xf>
    <xf numFmtId="4" fontId="29" fillId="7" borderId="497" xfId="0" applyNumberFormat="1" applyFont="1" applyFill="1" applyBorder="1">
      <alignment vertical="center"/>
    </xf>
    <xf numFmtId="0" fontId="29" fillId="0" borderId="495" xfId="0" applyFont="1" applyBorder="1" applyAlignment="1">
      <alignment horizontal="center" vertical="center"/>
    </xf>
    <xf numFmtId="183" fontId="177" fillId="125" borderId="476" xfId="0" applyNumberFormat="1" applyFont="1" applyFill="1" applyBorder="1" applyAlignment="1">
      <alignment horizontal="center" vertical="center"/>
    </xf>
    <xf numFmtId="0" fontId="58" fillId="116" borderId="0" xfId="0" applyFont="1" applyFill="1">
      <alignment vertical="center"/>
    </xf>
    <xf numFmtId="2" fontId="58" fillId="0" borderId="513" xfId="0" applyNumberFormat="1" applyFont="1" applyBorder="1" applyAlignment="1">
      <alignment horizontal="center" vertical="center"/>
    </xf>
    <xf numFmtId="2" fontId="58" fillId="0" borderId="514" xfId="0" applyNumberFormat="1" applyFont="1" applyBorder="1" applyAlignment="1">
      <alignment horizontal="center" vertical="center"/>
    </xf>
    <xf numFmtId="226" fontId="58" fillId="0" borderId="514" xfId="2" applyNumberFormat="1" applyFont="1" applyBorder="1" applyAlignment="1">
      <alignment horizontal="center" vertical="center"/>
    </xf>
    <xf numFmtId="187" fontId="58" fillId="0" borderId="514" xfId="2" applyNumberFormat="1" applyFont="1" applyFill="1" applyBorder="1" applyAlignment="1">
      <alignment horizontal="center" vertical="center"/>
    </xf>
    <xf numFmtId="187" fontId="58" fillId="0" borderId="514" xfId="2" applyNumberFormat="1" applyFont="1" applyBorder="1" applyAlignment="1">
      <alignment horizontal="center" vertical="center"/>
    </xf>
    <xf numFmtId="223" fontId="58" fillId="0" borderId="38" xfId="0" applyNumberFormat="1" applyFont="1" applyBorder="1" applyAlignment="1">
      <alignment horizontal="center" vertical="center"/>
    </xf>
    <xf numFmtId="223" fontId="58" fillId="0" borderId="463" xfId="0" applyNumberFormat="1" applyFont="1" applyBorder="1" applyAlignment="1">
      <alignment horizontal="center" vertical="center"/>
    </xf>
    <xf numFmtId="223" fontId="58" fillId="15" borderId="328" xfId="0" applyNumberFormat="1" applyFont="1" applyFill="1" applyBorder="1" applyAlignment="1">
      <alignment horizontal="center" vertical="center"/>
    </xf>
    <xf numFmtId="223" fontId="58" fillId="0" borderId="463" xfId="0" applyNumberFormat="1" applyFont="1" applyFill="1" applyBorder="1" applyAlignment="1">
      <alignment horizontal="center" vertical="center"/>
    </xf>
    <xf numFmtId="223" fontId="58" fillId="15" borderId="5" xfId="0" applyNumberFormat="1" applyFont="1" applyFill="1" applyBorder="1" applyAlignment="1">
      <alignment horizontal="center" vertical="center"/>
    </xf>
    <xf numFmtId="223" fontId="177" fillId="125" borderId="253" xfId="0" applyNumberFormat="1" applyFont="1" applyFill="1" applyBorder="1" applyAlignment="1">
      <alignment horizontal="center" vertical="center" wrapText="1"/>
    </xf>
    <xf numFmtId="223" fontId="177" fillId="128" borderId="54" xfId="0" applyNumberFormat="1" applyFont="1" applyFill="1" applyBorder="1" applyAlignment="1">
      <alignment horizontal="center" vertical="center" wrapText="1"/>
    </xf>
    <xf numFmtId="226" fontId="58" fillId="7" borderId="497" xfId="2" applyNumberFormat="1" applyFont="1" applyFill="1" applyBorder="1" applyAlignment="1">
      <alignment horizontal="center" vertical="center"/>
    </xf>
    <xf numFmtId="4" fontId="58" fillId="7" borderId="497" xfId="2" applyNumberFormat="1" applyFont="1" applyFill="1" applyBorder="1" applyAlignment="1">
      <alignment horizontal="center" vertical="center"/>
    </xf>
    <xf numFmtId="38" fontId="29" fillId="7" borderId="497" xfId="2" applyNumberFormat="1" applyFont="1" applyFill="1" applyBorder="1" applyAlignment="1">
      <alignment horizontal="center" vertical="center"/>
    </xf>
    <xf numFmtId="9" fontId="29" fillId="7" borderId="497" xfId="1" applyFont="1" applyFill="1" applyBorder="1" applyAlignment="1">
      <alignment horizontal="center" vertical="center"/>
    </xf>
    <xf numFmtId="0" fontId="29" fillId="7" borderId="118" xfId="0" applyFont="1" applyFill="1" applyBorder="1">
      <alignment vertical="center"/>
    </xf>
    <xf numFmtId="183" fontId="58" fillId="7" borderId="497" xfId="2" applyNumberFormat="1" applyFont="1" applyFill="1" applyBorder="1" applyAlignment="1">
      <alignment horizontal="center" vertical="center"/>
    </xf>
    <xf numFmtId="0" fontId="177" fillId="125" borderId="513" xfId="0" applyFont="1" applyFill="1" applyBorder="1" applyAlignment="1">
      <alignment horizontal="center" vertical="center"/>
    </xf>
    <xf numFmtId="41" fontId="177" fillId="125" borderId="513" xfId="2" applyFont="1" applyFill="1" applyBorder="1" applyAlignment="1">
      <alignment horizontal="center" vertical="center"/>
    </xf>
    <xf numFmtId="226" fontId="177" fillId="125" borderId="513" xfId="2" applyNumberFormat="1" applyFont="1" applyFill="1" applyBorder="1" applyAlignment="1">
      <alignment horizontal="center" vertical="center"/>
    </xf>
    <xf numFmtId="183" fontId="177" fillId="125" borderId="513" xfId="2" applyNumberFormat="1" applyFont="1" applyFill="1" applyBorder="1" applyAlignment="1">
      <alignment horizontal="center" vertical="center"/>
    </xf>
    <xf numFmtId="183" fontId="177" fillId="125" borderId="514" xfId="2" applyNumberFormat="1" applyFont="1" applyFill="1" applyBorder="1" applyAlignment="1">
      <alignment horizontal="center" vertical="center"/>
    </xf>
    <xf numFmtId="183" fontId="177" fillId="125" borderId="515" xfId="2" applyNumberFormat="1" applyFont="1" applyFill="1" applyBorder="1" applyAlignment="1">
      <alignment horizontal="center" vertical="center"/>
    </xf>
    <xf numFmtId="38" fontId="177" fillId="125" borderId="516" xfId="2" applyNumberFormat="1" applyFont="1" applyFill="1" applyBorder="1" applyAlignment="1">
      <alignment horizontal="center" vertical="center"/>
    </xf>
    <xf numFmtId="38" fontId="177" fillId="125" borderId="513" xfId="2" applyNumberFormat="1" applyFont="1" applyFill="1" applyBorder="1" applyAlignment="1">
      <alignment horizontal="center" vertical="center"/>
    </xf>
    <xf numFmtId="38" fontId="177" fillId="125" borderId="514" xfId="2" applyNumberFormat="1" applyFont="1" applyFill="1" applyBorder="1" applyAlignment="1">
      <alignment horizontal="center" vertical="center"/>
    </xf>
    <xf numFmtId="9" fontId="177" fillId="125" borderId="515" xfId="1" applyFont="1" applyFill="1" applyBorder="1" applyAlignment="1">
      <alignment horizontal="center" vertical="center"/>
    </xf>
    <xf numFmtId="176" fontId="29" fillId="7" borderId="497" xfId="0" applyNumberFormat="1" applyFont="1" applyFill="1" applyBorder="1" applyAlignment="1">
      <alignment horizontal="center" vertical="center"/>
    </xf>
    <xf numFmtId="183" fontId="29" fillId="7" borderId="497" xfId="0" applyNumberFormat="1" applyFont="1" applyFill="1" applyBorder="1" applyAlignment="1">
      <alignment horizontal="center" vertical="center"/>
    </xf>
    <xf numFmtId="176" fontId="29" fillId="7" borderId="513" xfId="0" applyNumberFormat="1" applyFont="1" applyFill="1" applyBorder="1" applyAlignment="1">
      <alignment horizontal="center" vertical="center"/>
    </xf>
    <xf numFmtId="0" fontId="29" fillId="7" borderId="513" xfId="0" applyFont="1" applyFill="1" applyBorder="1" applyAlignment="1">
      <alignment horizontal="center" vertical="center"/>
    </xf>
    <xf numFmtId="183" fontId="29" fillId="7" borderId="513" xfId="0" applyNumberFormat="1" applyFont="1" applyFill="1" applyBorder="1" applyAlignment="1">
      <alignment horizontal="center" vertical="center"/>
    </xf>
    <xf numFmtId="0" fontId="29" fillId="7" borderId="512" xfId="0" applyFont="1" applyFill="1" applyBorder="1" applyAlignment="1">
      <alignment horizontal="center" vertical="center"/>
    </xf>
    <xf numFmtId="0" fontId="29" fillId="7" borderId="219" xfId="0" applyFont="1" applyFill="1" applyBorder="1" applyAlignment="1">
      <alignment horizontal="center" vertical="center"/>
    </xf>
    <xf numFmtId="176" fontId="29" fillId="7" borderId="6" xfId="0" applyNumberFormat="1" applyFont="1" applyFill="1" applyBorder="1" applyAlignment="1">
      <alignment horizontal="center" vertical="center"/>
    </xf>
    <xf numFmtId="183" fontId="29" fillId="7" borderId="6" xfId="0" applyNumberFormat="1" applyFont="1" applyFill="1" applyBorder="1" applyAlignment="1">
      <alignment horizontal="center" vertical="center"/>
    </xf>
    <xf numFmtId="0" fontId="35" fillId="7" borderId="223" xfId="0" applyFont="1" applyFill="1" applyBorder="1" applyAlignment="1">
      <alignment horizontal="center" vertical="center"/>
    </xf>
    <xf numFmtId="0" fontId="35" fillId="7" borderId="224" xfId="0" applyFont="1" applyFill="1" applyBorder="1" applyAlignment="1">
      <alignment horizontal="center" vertical="center"/>
    </xf>
    <xf numFmtId="0" fontId="172" fillId="7" borderId="497" xfId="0" applyFont="1" applyFill="1" applyBorder="1" applyAlignment="1">
      <alignment horizontal="center" vertical="center"/>
    </xf>
    <xf numFmtId="0" fontId="177" fillId="125" borderId="497" xfId="0" applyFont="1" applyFill="1" applyBorder="1" applyAlignment="1">
      <alignment horizontal="center" vertical="center"/>
    </xf>
    <xf numFmtId="41" fontId="177" fillId="125" borderId="497" xfId="2" applyFont="1" applyFill="1" applyBorder="1" applyAlignment="1">
      <alignment horizontal="center" vertical="center"/>
    </xf>
    <xf numFmtId="177" fontId="29" fillId="7" borderId="497" xfId="0" applyNumberFormat="1" applyFont="1" applyFill="1" applyBorder="1" applyAlignment="1">
      <alignment horizontal="center" vertical="center"/>
    </xf>
    <xf numFmtId="41" fontId="178" fillId="125" borderId="435" xfId="2" applyFont="1" applyFill="1" applyBorder="1" applyAlignment="1">
      <alignment horizontal="center" vertical="center"/>
    </xf>
    <xf numFmtId="0" fontId="177" fillId="0" borderId="0" xfId="0" applyFont="1" applyFill="1" applyBorder="1" applyAlignment="1">
      <alignment vertical="center"/>
    </xf>
    <xf numFmtId="0" fontId="177" fillId="0" borderId="0" xfId="0" applyFont="1" applyFill="1" applyBorder="1" applyAlignment="1">
      <alignment horizontal="center" vertical="center"/>
    </xf>
    <xf numFmtId="41" fontId="177" fillId="0" borderId="0" xfId="2" applyFont="1" applyFill="1" applyBorder="1" applyAlignment="1">
      <alignment horizontal="center" vertical="center"/>
    </xf>
    <xf numFmtId="0" fontId="29" fillId="0" borderId="0" xfId="0" applyFont="1" applyFill="1" applyBorder="1">
      <alignment vertical="center"/>
    </xf>
    <xf numFmtId="38" fontId="28" fillId="7" borderId="497" xfId="3" applyNumberFormat="1" applyFont="1" applyFill="1" applyBorder="1" applyAlignment="1">
      <alignment horizontal="center" vertical="center"/>
    </xf>
    <xf numFmtId="38" fontId="28" fillId="7" borderId="497" xfId="2" quotePrefix="1" applyNumberFormat="1" applyFont="1" applyFill="1" applyBorder="1" applyAlignment="1">
      <alignment horizontal="center" vertical="center"/>
    </xf>
    <xf numFmtId="38" fontId="29" fillId="0" borderId="470" xfId="2" applyNumberFormat="1" applyFont="1" applyFill="1" applyBorder="1" applyAlignment="1">
      <alignment horizontal="center" vertical="center"/>
    </xf>
    <xf numFmtId="38" fontId="29" fillId="0" borderId="461" xfId="2" applyNumberFormat="1" applyFont="1" applyFill="1" applyBorder="1" applyAlignment="1">
      <alignment horizontal="center" vertical="center"/>
    </xf>
    <xf numFmtId="38" fontId="28" fillId="7" borderId="497" xfId="3" quotePrefix="1" applyNumberFormat="1" applyFont="1" applyFill="1" applyBorder="1" applyAlignment="1">
      <alignment horizontal="center" vertical="center"/>
    </xf>
    <xf numFmtId="10" fontId="28" fillId="6" borderId="497" xfId="1" applyNumberFormat="1" applyFont="1" applyFill="1" applyBorder="1" applyAlignment="1">
      <alignment horizontal="center" vertical="center"/>
    </xf>
    <xf numFmtId="0" fontId="31" fillId="7" borderId="14" xfId="0" applyFont="1" applyFill="1" applyBorder="1" applyAlignment="1">
      <alignment horizontal="center" vertical="center"/>
    </xf>
    <xf numFmtId="0" fontId="31" fillId="7" borderId="43" xfId="0" applyFont="1" applyFill="1" applyBorder="1" applyAlignment="1">
      <alignment horizontal="center" vertical="center"/>
    </xf>
    <xf numFmtId="3" fontId="40" fillId="0" borderId="339" xfId="0" applyNumberFormat="1" applyFont="1" applyBorder="1" applyAlignment="1">
      <alignment horizontal="center" vertical="center" wrapText="1"/>
    </xf>
    <xf numFmtId="10" fontId="28" fillId="0" borderId="497" xfId="1" applyNumberFormat="1" applyFont="1" applyFill="1" applyBorder="1" applyAlignment="1">
      <alignment horizontal="center" vertical="center"/>
    </xf>
    <xf numFmtId="183" fontId="177" fillId="125" borderId="6" xfId="2" applyNumberFormat="1" applyFont="1" applyFill="1" applyBorder="1" applyAlignment="1">
      <alignment horizontal="center" vertical="center"/>
    </xf>
    <xf numFmtId="9" fontId="29" fillId="0" borderId="497" xfId="2" applyNumberFormat="1" applyFont="1" applyFill="1" applyBorder="1" applyAlignment="1">
      <alignment horizontal="center" vertical="center"/>
    </xf>
    <xf numFmtId="38" fontId="29" fillId="0" borderId="6" xfId="2" applyNumberFormat="1" applyFont="1" applyFill="1" applyBorder="1" applyAlignment="1">
      <alignment horizontal="center" vertical="center"/>
    </xf>
    <xf numFmtId="223" fontId="29" fillId="0" borderId="23" xfId="2" applyNumberFormat="1" applyFont="1" applyFill="1" applyBorder="1" applyAlignment="1">
      <alignment horizontal="center" vertical="center"/>
    </xf>
    <xf numFmtId="223" fontId="177" fillId="125" borderId="464" xfId="2" applyNumberFormat="1" applyFont="1" applyFill="1" applyBorder="1" applyAlignment="1">
      <alignment horizontal="center" vertical="center"/>
    </xf>
    <xf numFmtId="0" fontId="212" fillId="0" borderId="0" xfId="0" applyFont="1" applyAlignment="1">
      <alignment horizontal="center" vertical="center"/>
    </xf>
    <xf numFmtId="0" fontId="28" fillId="7" borderId="497" xfId="0" applyFont="1" applyFill="1" applyBorder="1" applyAlignment="1">
      <alignment horizontal="center" vertical="center"/>
    </xf>
    <xf numFmtId="177" fontId="37" fillId="7" borderId="497" xfId="0" applyNumberFormat="1" applyFont="1" applyFill="1" applyBorder="1" applyAlignment="1">
      <alignment horizontal="center" vertical="center"/>
    </xf>
    <xf numFmtId="179" fontId="37" fillId="117" borderId="0" xfId="0" applyNumberFormat="1" applyFont="1" applyFill="1" applyAlignment="1">
      <alignment horizontal="center" vertical="center"/>
    </xf>
    <xf numFmtId="0" fontId="37" fillId="117" borderId="0" xfId="0" applyFont="1" applyFill="1" applyAlignment="1">
      <alignment horizontal="center" vertical="center"/>
    </xf>
    <xf numFmtId="4" fontId="29" fillId="15" borderId="45" xfId="2" applyNumberFormat="1" applyFont="1" applyFill="1" applyBorder="1" applyAlignment="1">
      <alignment horizontal="center" vertical="center"/>
    </xf>
    <xf numFmtId="4" fontId="29" fillId="15" borderId="6" xfId="2" applyNumberFormat="1" applyFont="1" applyFill="1" applyBorder="1" applyAlignment="1">
      <alignment horizontal="center" vertical="center"/>
    </xf>
    <xf numFmtId="4" fontId="29" fillId="15" borderId="120" xfId="2" applyNumberFormat="1" applyFont="1" applyFill="1" applyBorder="1" applyAlignment="1">
      <alignment horizontal="center" vertical="center"/>
    </xf>
    <xf numFmtId="183" fontId="29" fillId="15" borderId="465" xfId="2" applyNumberFormat="1" applyFont="1" applyFill="1" applyBorder="1" applyAlignment="1">
      <alignment horizontal="center" vertical="center"/>
    </xf>
    <xf numFmtId="4" fontId="29" fillId="15" borderId="465" xfId="2" applyNumberFormat="1" applyFont="1" applyFill="1" applyBorder="1" applyAlignment="1">
      <alignment horizontal="center" vertical="center"/>
    </xf>
    <xf numFmtId="4" fontId="29" fillId="15" borderId="497" xfId="2" applyNumberFormat="1" applyFont="1" applyFill="1" applyBorder="1" applyAlignment="1">
      <alignment horizontal="center" vertical="center"/>
    </xf>
    <xf numFmtId="183" fontId="29" fillId="15" borderId="497" xfId="2" applyNumberFormat="1" applyFont="1" applyFill="1" applyBorder="1" applyAlignment="1">
      <alignment horizontal="center" vertical="center"/>
    </xf>
    <xf numFmtId="4" fontId="58" fillId="15" borderId="465" xfId="2" applyNumberFormat="1" applyFont="1" applyFill="1" applyBorder="1" applyAlignment="1">
      <alignment horizontal="center" vertical="center"/>
    </xf>
    <xf numFmtId="183" fontId="29" fillId="15" borderId="120" xfId="2" applyNumberFormat="1" applyFont="1" applyFill="1" applyBorder="1" applyAlignment="1">
      <alignment horizontal="center" vertical="center"/>
    </xf>
    <xf numFmtId="183" fontId="29" fillId="15" borderId="464" xfId="2" applyNumberFormat="1" applyFont="1" applyFill="1" applyBorder="1" applyAlignment="1">
      <alignment horizontal="center" vertical="center"/>
    </xf>
    <xf numFmtId="183" fontId="29" fillId="15" borderId="38" xfId="2" applyNumberFormat="1" applyFont="1" applyFill="1" applyBorder="1" applyAlignment="1">
      <alignment horizontal="center" vertical="center"/>
    </xf>
    <xf numFmtId="183" fontId="29" fillId="15" borderId="461" xfId="2" applyNumberFormat="1" applyFont="1" applyFill="1" applyBorder="1" applyAlignment="1">
      <alignment horizontal="center" vertical="center"/>
    </xf>
    <xf numFmtId="183" fontId="29" fillId="15" borderId="45" xfId="2" applyNumberFormat="1" applyFont="1" applyFill="1" applyBorder="1" applyAlignment="1">
      <alignment horizontal="center" vertical="center"/>
    </xf>
    <xf numFmtId="183" fontId="29" fillId="15" borderId="495" xfId="2" applyNumberFormat="1" applyFont="1" applyFill="1" applyBorder="1" applyAlignment="1">
      <alignment horizontal="center" vertical="center"/>
    </xf>
    <xf numFmtId="3" fontId="58" fillId="15" borderId="120" xfId="2" applyNumberFormat="1" applyFont="1" applyFill="1" applyBorder="1" applyAlignment="1">
      <alignment horizontal="center" vertical="center"/>
    </xf>
    <xf numFmtId="3" fontId="58" fillId="15" borderId="497" xfId="2" applyNumberFormat="1" applyFont="1" applyFill="1" applyBorder="1" applyAlignment="1">
      <alignment horizontal="center" vertical="center"/>
    </xf>
    <xf numFmtId="183" fontId="29" fillId="15" borderId="465" xfId="2" applyNumberFormat="1" applyFont="1" applyFill="1" applyBorder="1" applyAlignment="1">
      <alignment horizontal="center" vertical="center" wrapText="1"/>
    </xf>
    <xf numFmtId="183" fontId="29" fillId="15" borderId="120" xfId="2" applyNumberFormat="1" applyFont="1" applyFill="1" applyBorder="1" applyAlignment="1">
      <alignment horizontal="center" vertical="center" wrapText="1"/>
    </xf>
    <xf numFmtId="38" fontId="29" fillId="7" borderId="497" xfId="0" applyNumberFormat="1" applyFont="1" applyFill="1" applyBorder="1" applyAlignment="1">
      <alignment horizontal="center" vertical="center"/>
    </xf>
    <xf numFmtId="41" fontId="0" fillId="0" borderId="0" xfId="0" applyNumberFormat="1">
      <alignment vertical="center"/>
    </xf>
    <xf numFmtId="43" fontId="0" fillId="0" borderId="0" xfId="0" applyNumberFormat="1">
      <alignment vertical="center"/>
    </xf>
    <xf numFmtId="0" fontId="213" fillId="3" borderId="0" xfId="0" applyFont="1" applyFill="1">
      <alignment vertical="center"/>
    </xf>
    <xf numFmtId="43" fontId="213" fillId="3" borderId="0" xfId="0" applyNumberFormat="1" applyFont="1" applyFill="1">
      <alignment vertical="center"/>
    </xf>
    <xf numFmtId="41" fontId="46" fillId="3" borderId="0" xfId="0" applyNumberFormat="1" applyFont="1" applyFill="1" applyAlignment="1">
      <alignment horizontal="center" vertical="center"/>
    </xf>
    <xf numFmtId="181" fontId="46" fillId="3" borderId="0" xfId="0" applyNumberFormat="1" applyFont="1" applyFill="1" applyAlignment="1">
      <alignment horizontal="center" vertical="center"/>
    </xf>
    <xf numFmtId="43" fontId="46" fillId="3" borderId="0" xfId="0" applyNumberFormat="1" applyFont="1" applyFill="1" applyAlignment="1">
      <alignment horizontal="center" vertical="center"/>
    </xf>
    <xf numFmtId="176" fontId="46" fillId="3" borderId="0" xfId="0" applyNumberFormat="1" applyFont="1" applyFill="1" applyAlignment="1">
      <alignment horizontal="center" vertical="center"/>
    </xf>
    <xf numFmtId="179" fontId="0" fillId="0" borderId="0" xfId="0" applyNumberFormat="1">
      <alignment vertical="center"/>
    </xf>
    <xf numFmtId="1" fontId="0" fillId="0" borderId="0" xfId="0" applyNumberFormat="1" applyFill="1" applyBorder="1" applyAlignment="1">
      <alignment horizontal="center" vertical="center"/>
    </xf>
    <xf numFmtId="178" fontId="0" fillId="0" borderId="0" xfId="0" applyNumberFormat="1">
      <alignment vertical="center"/>
    </xf>
    <xf numFmtId="1" fontId="0" fillId="0" borderId="0" xfId="0" applyNumberFormat="1">
      <alignment vertical="center"/>
    </xf>
    <xf numFmtId="9" fontId="168" fillId="125" borderId="464" xfId="1" applyFont="1" applyFill="1" applyBorder="1" applyAlignment="1">
      <alignment horizontal="center" vertical="center"/>
    </xf>
    <xf numFmtId="38" fontId="29" fillId="117" borderId="377" xfId="2" applyNumberFormat="1" applyFont="1" applyFill="1" applyBorder="1" applyAlignment="1">
      <alignment horizontal="center" vertical="center"/>
    </xf>
    <xf numFmtId="40" fontId="29" fillId="117" borderId="377" xfId="2" applyNumberFormat="1" applyFont="1" applyFill="1" applyBorder="1" applyAlignment="1">
      <alignment horizontal="center" vertical="center"/>
    </xf>
    <xf numFmtId="40" fontId="29" fillId="117" borderId="377" xfId="2" quotePrefix="1" applyNumberFormat="1" applyFont="1" applyFill="1" applyBorder="1" applyAlignment="1">
      <alignment horizontal="center" vertical="center"/>
    </xf>
    <xf numFmtId="38" fontId="29" fillId="117" borderId="377" xfId="2" quotePrefix="1" applyNumberFormat="1" applyFont="1" applyFill="1" applyBorder="1" applyAlignment="1">
      <alignment horizontal="center" vertical="center"/>
    </xf>
    <xf numFmtId="9" fontId="29" fillId="117" borderId="377" xfId="1" applyFont="1" applyFill="1" applyBorder="1" applyAlignment="1">
      <alignment horizontal="center" vertical="center"/>
    </xf>
    <xf numFmtId="38" fontId="29" fillId="117" borderId="38" xfId="2" applyNumberFormat="1" applyFont="1" applyFill="1" applyBorder="1" applyAlignment="1">
      <alignment horizontal="center" vertical="center"/>
    </xf>
    <xf numFmtId="227" fontId="29" fillId="15" borderId="465" xfId="2" applyNumberFormat="1" applyFont="1" applyFill="1" applyBorder="1" applyAlignment="1">
      <alignment horizontal="center" vertical="center"/>
    </xf>
    <xf numFmtId="227" fontId="29" fillId="15" borderId="495" xfId="2" applyNumberFormat="1" applyFont="1" applyFill="1" applyBorder="1" applyAlignment="1">
      <alignment horizontal="center" vertical="center"/>
    </xf>
    <xf numFmtId="2" fontId="27" fillId="16" borderId="103" xfId="0" applyNumberFormat="1" applyFont="1" applyFill="1" applyBorder="1" applyAlignment="1">
      <alignment horizontal="center" vertical="center" wrapText="1"/>
    </xf>
    <xf numFmtId="230" fontId="58" fillId="0" borderId="0" xfId="0" applyNumberFormat="1" applyFont="1" applyAlignment="1">
      <alignment horizontal="center" vertical="center"/>
    </xf>
    <xf numFmtId="183" fontId="58" fillId="0" borderId="514" xfId="2" applyNumberFormat="1" applyFont="1" applyBorder="1" applyAlignment="1">
      <alignment horizontal="center" vertical="center"/>
    </xf>
    <xf numFmtId="187" fontId="58" fillId="7" borderId="514" xfId="2" applyNumberFormat="1" applyFont="1" applyFill="1" applyBorder="1" applyAlignment="1">
      <alignment horizontal="center" vertical="center"/>
    </xf>
    <xf numFmtId="183" fontId="58" fillId="7" borderId="514" xfId="2" applyNumberFormat="1" applyFont="1" applyFill="1" applyBorder="1" applyAlignment="1">
      <alignment horizontal="center" vertical="center"/>
    </xf>
    <xf numFmtId="2" fontId="29" fillId="0" borderId="514" xfId="0" applyNumberFormat="1" applyFont="1" applyFill="1" applyBorder="1" applyAlignment="1">
      <alignment horizontal="center" vertical="center"/>
    </xf>
    <xf numFmtId="4" fontId="58" fillId="0" borderId="514" xfId="0" applyNumberFormat="1" applyFont="1" applyBorder="1" applyAlignment="1">
      <alignment horizontal="center" vertical="center"/>
    </xf>
    <xf numFmtId="176" fontId="58" fillId="0" borderId="514" xfId="0" applyNumberFormat="1" applyFont="1" applyFill="1" applyBorder="1" applyAlignment="1">
      <alignment horizontal="center" vertical="center"/>
    </xf>
    <xf numFmtId="3" fontId="58" fillId="0" borderId="514" xfId="0" applyNumberFormat="1" applyFont="1" applyBorder="1" applyAlignment="1">
      <alignment horizontal="center" vertical="center"/>
    </xf>
    <xf numFmtId="2" fontId="58" fillId="0" borderId="514" xfId="0" applyNumberFormat="1" applyFont="1" applyFill="1" applyBorder="1" applyAlignment="1">
      <alignment horizontal="center" vertical="center"/>
    </xf>
    <xf numFmtId="0" fontId="177" fillId="125" borderId="514" xfId="0" quotePrefix="1" applyFont="1" applyFill="1" applyBorder="1" applyAlignment="1">
      <alignment horizontal="center" vertical="center"/>
    </xf>
    <xf numFmtId="3" fontId="177" fillId="125" borderId="514" xfId="2" applyNumberFormat="1" applyFont="1" applyFill="1" applyBorder="1" applyAlignment="1">
      <alignment horizontal="center" vertical="center" wrapText="1"/>
    </xf>
    <xf numFmtId="178" fontId="29" fillId="0" borderId="497" xfId="0" applyNumberFormat="1" applyFont="1" applyBorder="1" applyAlignment="1">
      <alignment horizontal="center" vertical="center"/>
    </xf>
    <xf numFmtId="2" fontId="29" fillId="0" borderId="497" xfId="0" applyNumberFormat="1" applyFont="1" applyBorder="1" applyAlignment="1">
      <alignment horizontal="center" vertical="center"/>
    </xf>
    <xf numFmtId="187" fontId="0" fillId="0" borderId="0" xfId="0" applyNumberFormat="1" applyAlignment="1">
      <alignment horizontal="center" vertical="center"/>
    </xf>
    <xf numFmtId="3" fontId="58" fillId="15" borderId="463" xfId="2" applyNumberFormat="1" applyFont="1" applyFill="1" applyBorder="1" applyAlignment="1">
      <alignment horizontal="center" vertical="center"/>
    </xf>
    <xf numFmtId="223" fontId="58" fillId="15" borderId="463" xfId="0" applyNumberFormat="1" applyFont="1" applyFill="1" applyBorder="1" applyAlignment="1">
      <alignment horizontal="center" vertical="center"/>
    </xf>
    <xf numFmtId="0" fontId="29" fillId="5" borderId="496" xfId="0" applyFont="1" applyFill="1" applyBorder="1" applyAlignment="1">
      <alignment horizontal="center" vertical="center" wrapText="1"/>
    </xf>
    <xf numFmtId="178" fontId="29" fillId="0" borderId="496" xfId="0" applyNumberFormat="1" applyFont="1" applyBorder="1" applyAlignment="1">
      <alignment horizontal="center" vertical="center"/>
    </xf>
    <xf numFmtId="0" fontId="29" fillId="7" borderId="0" xfId="0" applyFont="1" applyFill="1" applyBorder="1" applyAlignment="1">
      <alignment horizontal="center" vertical="center"/>
    </xf>
    <xf numFmtId="0" fontId="201" fillId="0" borderId="497" xfId="0" applyFont="1" applyBorder="1" applyAlignment="1">
      <alignment horizontal="center" vertical="center" wrapText="1" readingOrder="1"/>
    </xf>
    <xf numFmtId="177" fontId="28" fillId="7" borderId="0" xfId="0" applyNumberFormat="1" applyFont="1" applyFill="1" applyAlignment="1">
      <alignment horizontal="center" vertical="center"/>
    </xf>
    <xf numFmtId="0" fontId="35" fillId="7" borderId="226" xfId="0" applyFont="1" applyFill="1" applyBorder="1" applyAlignment="1">
      <alignment horizontal="center" vertical="center"/>
    </xf>
    <xf numFmtId="0" fontId="29" fillId="7" borderId="38" xfId="0" applyFont="1" applyFill="1" applyBorder="1" applyAlignment="1">
      <alignment horizontal="center" vertical="center"/>
    </xf>
    <xf numFmtId="183" fontId="29" fillId="7" borderId="514" xfId="0" applyNumberFormat="1" applyFont="1" applyFill="1" applyBorder="1" applyAlignment="1">
      <alignment horizontal="center" vertical="center"/>
    </xf>
    <xf numFmtId="223" fontId="172" fillId="15" borderId="224" xfId="0" applyNumberFormat="1" applyFont="1" applyFill="1" applyBorder="1" applyAlignment="1">
      <alignment horizontal="center" vertical="center"/>
    </xf>
    <xf numFmtId="0" fontId="177" fillId="127" borderId="120" xfId="0" applyFont="1" applyFill="1" applyBorder="1" applyAlignment="1">
      <alignment horizontal="center" vertical="center"/>
    </xf>
    <xf numFmtId="223" fontId="177" fillId="125" borderId="83" xfId="0" applyNumberFormat="1" applyFont="1" applyFill="1" applyBorder="1" applyAlignment="1">
      <alignment horizontal="center" vertical="center" wrapText="1" readingOrder="1"/>
    </xf>
    <xf numFmtId="9" fontId="29" fillId="0" borderId="6" xfId="2" applyNumberFormat="1" applyFont="1" applyFill="1" applyBorder="1" applyAlignment="1">
      <alignment horizontal="center" vertical="center"/>
    </xf>
    <xf numFmtId="0" fontId="178" fillId="126" borderId="445" xfId="0" applyFont="1" applyFill="1" applyBorder="1" applyAlignment="1">
      <alignment horizontal="center" vertical="center"/>
    </xf>
    <xf numFmtId="187" fontId="46" fillId="15" borderId="495" xfId="0" applyNumberFormat="1" applyFont="1" applyFill="1" applyBorder="1" applyAlignment="1">
      <alignment horizontal="center" vertical="center"/>
    </xf>
    <xf numFmtId="0" fontId="177" fillId="127" borderId="515" xfId="0" applyFont="1" applyFill="1" applyBorder="1" applyAlignment="1">
      <alignment horizontal="center" vertical="center"/>
    </xf>
    <xf numFmtId="3" fontId="177" fillId="125" borderId="513" xfId="2" applyNumberFormat="1" applyFont="1" applyFill="1" applyBorder="1" applyAlignment="1">
      <alignment horizontal="center" vertical="center" wrapText="1"/>
    </xf>
    <xf numFmtId="223" fontId="177" fillId="125" borderId="491" xfId="2" applyNumberFormat="1" applyFont="1" applyFill="1" applyBorder="1" applyAlignment="1">
      <alignment horizontal="center" vertical="center"/>
    </xf>
    <xf numFmtId="0" fontId="177" fillId="125" borderId="512" xfId="0" applyFont="1" applyFill="1" applyBorder="1" applyAlignment="1">
      <alignment horizontal="center" vertical="center"/>
    </xf>
    <xf numFmtId="183" fontId="58" fillId="7" borderId="495" xfId="2" applyNumberFormat="1" applyFont="1" applyFill="1" applyBorder="1" applyAlignment="1">
      <alignment horizontal="center" vertical="center" wrapText="1"/>
    </xf>
    <xf numFmtId="179" fontId="172" fillId="6" borderId="513" xfId="2" applyNumberFormat="1" applyFont="1" applyFill="1" applyBorder="1" applyAlignment="1">
      <alignment horizontal="center" vertical="center"/>
    </xf>
    <xf numFmtId="0" fontId="177" fillId="125" borderId="223" xfId="0" applyFont="1" applyFill="1" applyBorder="1" applyAlignment="1">
      <alignment horizontal="center" vertical="center"/>
    </xf>
    <xf numFmtId="0" fontId="177" fillId="125" borderId="224" xfId="0" applyFont="1" applyFill="1" applyBorder="1" applyAlignment="1">
      <alignment horizontal="center" vertical="center"/>
    </xf>
    <xf numFmtId="3" fontId="58" fillId="15" borderId="495" xfId="2" applyNumberFormat="1" applyFont="1" applyFill="1" applyBorder="1" applyAlignment="1">
      <alignment horizontal="center" vertical="center"/>
    </xf>
    <xf numFmtId="3" fontId="177" fillId="0" borderId="0" xfId="2" applyNumberFormat="1" applyFont="1" applyFill="1" applyBorder="1" applyAlignment="1">
      <alignment horizontal="center" vertical="center" wrapText="1"/>
    </xf>
    <xf numFmtId="4" fontId="29" fillId="15" borderId="445" xfId="2" applyNumberFormat="1" applyFont="1" applyFill="1" applyBorder="1" applyAlignment="1">
      <alignment horizontal="center" vertical="center"/>
    </xf>
    <xf numFmtId="1" fontId="58" fillId="0" borderId="514" xfId="0" applyNumberFormat="1" applyFont="1" applyFill="1" applyBorder="1" applyAlignment="1">
      <alignment horizontal="center" vertical="center"/>
    </xf>
    <xf numFmtId="3" fontId="58" fillId="0" borderId="120" xfId="2" applyNumberFormat="1" applyFont="1" applyFill="1" applyBorder="1" applyAlignment="1">
      <alignment horizontal="center" vertical="center"/>
    </xf>
    <xf numFmtId="3" fontId="58" fillId="0" borderId="45" xfId="2" applyNumberFormat="1" applyFont="1" applyFill="1" applyBorder="1" applyAlignment="1">
      <alignment horizontal="center" vertical="center"/>
    </xf>
    <xf numFmtId="3" fontId="58" fillId="0" borderId="119" xfId="2" applyNumberFormat="1" applyFont="1" applyFill="1" applyBorder="1" applyAlignment="1">
      <alignment horizontal="center" vertical="center"/>
    </xf>
    <xf numFmtId="228" fontId="58" fillId="0" borderId="121" xfId="2" applyNumberFormat="1" applyFont="1" applyFill="1" applyBorder="1" applyAlignment="1">
      <alignment horizontal="center" vertical="center"/>
    </xf>
    <xf numFmtId="38" fontId="177" fillId="125" borderId="83" xfId="0" applyNumberFormat="1" applyFont="1" applyFill="1" applyBorder="1" applyAlignment="1">
      <alignment horizontal="center" vertical="center" wrapText="1" readingOrder="1"/>
    </xf>
    <xf numFmtId="183" fontId="0" fillId="0" borderId="0" xfId="0" applyNumberFormat="1">
      <alignment vertical="center"/>
    </xf>
    <xf numFmtId="176" fontId="0" fillId="0" borderId="0" xfId="0" applyNumberFormat="1" applyAlignment="1">
      <alignment horizontal="center" vertical="center"/>
    </xf>
    <xf numFmtId="177" fontId="29" fillId="7" borderId="38" xfId="0" applyNumberFormat="1" applyFont="1" applyFill="1" applyBorder="1" applyAlignment="1">
      <alignment horizontal="center" vertical="center"/>
    </xf>
    <xf numFmtId="41" fontId="0" fillId="6" borderId="0" xfId="0" applyNumberFormat="1" applyFill="1" applyAlignment="1">
      <alignment horizontal="center" vertical="center"/>
    </xf>
    <xf numFmtId="0" fontId="29" fillId="7" borderId="224" xfId="0" applyFont="1" applyFill="1" applyBorder="1" applyAlignment="1">
      <alignment horizontal="center" vertical="center"/>
    </xf>
    <xf numFmtId="0" fontId="29" fillId="7" borderId="227" xfId="0" applyFont="1" applyFill="1" applyBorder="1" applyAlignment="1">
      <alignment horizontal="center" vertical="center"/>
    </xf>
    <xf numFmtId="4" fontId="29" fillId="7" borderId="497" xfId="0" applyNumberFormat="1" applyFont="1" applyFill="1" applyBorder="1" applyAlignment="1">
      <alignment horizontal="center" vertical="center"/>
    </xf>
    <xf numFmtId="0" fontId="168" fillId="7" borderId="0" xfId="0" applyFont="1" applyFill="1" applyAlignment="1">
      <alignment horizontal="center" vertical="center"/>
    </xf>
    <xf numFmtId="177" fontId="170" fillId="7" borderId="0" xfId="0" applyNumberFormat="1" applyFont="1" applyFill="1" applyAlignment="1">
      <alignment horizontal="center" vertical="center"/>
    </xf>
    <xf numFmtId="0" fontId="26" fillId="0" borderId="253" xfId="0" quotePrefix="1" applyFont="1" applyBorder="1" applyAlignment="1">
      <alignment vertical="center" wrapText="1"/>
    </xf>
    <xf numFmtId="0" fontId="26" fillId="0" borderId="253" xfId="0" quotePrefix="1" applyFont="1" applyBorder="1" applyAlignment="1">
      <alignment horizontal="left" vertical="center" wrapText="1"/>
    </xf>
    <xf numFmtId="0" fontId="41" fillId="0" borderId="253" xfId="0" applyFont="1" applyBorder="1" applyAlignment="1">
      <alignment vertical="center" wrapText="1"/>
    </xf>
    <xf numFmtId="185" fontId="218" fillId="3" borderId="377" xfId="0" applyNumberFormat="1" applyFont="1" applyFill="1" applyBorder="1" applyAlignment="1">
      <alignment horizontal="center" vertical="center"/>
    </xf>
    <xf numFmtId="0" fontId="35" fillId="0" borderId="236" xfId="0" applyFont="1" applyFill="1" applyBorder="1" applyAlignment="1">
      <alignment horizontal="center" vertical="center"/>
    </xf>
    <xf numFmtId="0" fontId="29" fillId="7" borderId="200" xfId="0" applyFont="1" applyFill="1" applyBorder="1" applyAlignment="1">
      <alignment horizontal="center" vertical="center"/>
    </xf>
    <xf numFmtId="0" fontId="29" fillId="7" borderId="445" xfId="0" applyFont="1" applyFill="1" applyBorder="1" applyAlignment="1">
      <alignment horizontal="center" vertical="center"/>
    </xf>
    <xf numFmtId="176" fontId="29" fillId="7" borderId="515" xfId="0" applyNumberFormat="1" applyFont="1" applyFill="1" applyBorder="1" applyAlignment="1">
      <alignment horizontal="center" vertical="center"/>
    </xf>
    <xf numFmtId="38" fontId="166" fillId="0" borderId="82" xfId="0" applyNumberFormat="1" applyFont="1" applyBorder="1" applyAlignment="1">
      <alignment horizontal="center" vertical="center" wrapText="1"/>
    </xf>
    <xf numFmtId="38" fontId="166" fillId="0" borderId="253" xfId="0" applyNumberFormat="1" applyFont="1" applyBorder="1" applyAlignment="1">
      <alignment horizontal="center" vertical="center" wrapText="1"/>
    </xf>
    <xf numFmtId="3" fontId="168" fillId="125" borderId="253" xfId="0" applyNumberFormat="1" applyFont="1" applyFill="1" applyBorder="1" applyAlignment="1">
      <alignment horizontal="center" vertical="center" wrapText="1"/>
    </xf>
    <xf numFmtId="3" fontId="29" fillId="7" borderId="45" xfId="2" applyNumberFormat="1" applyFont="1" applyFill="1" applyBorder="1" applyAlignment="1">
      <alignment horizontal="center" vertical="center"/>
    </xf>
    <xf numFmtId="228" fontId="58" fillId="0" borderId="57" xfId="2" applyNumberFormat="1" applyFont="1" applyFill="1" applyBorder="1" applyAlignment="1">
      <alignment horizontal="center" vertical="center" wrapText="1"/>
    </xf>
    <xf numFmtId="228" fontId="58" fillId="0" borderId="490" xfId="2" applyNumberFormat="1" applyFont="1" applyFill="1" applyBorder="1" applyAlignment="1">
      <alignment horizontal="center" vertical="center" wrapText="1"/>
    </xf>
    <xf numFmtId="228" fontId="58" fillId="0" borderId="121" xfId="0" applyNumberFormat="1" applyFont="1" applyFill="1" applyBorder="1" applyAlignment="1">
      <alignment horizontal="center" vertical="center"/>
    </xf>
    <xf numFmtId="228" fontId="58" fillId="0" borderId="445" xfId="0" applyNumberFormat="1" applyFont="1" applyFill="1" applyBorder="1" applyAlignment="1">
      <alignment horizontal="center" vertical="center"/>
    </xf>
    <xf numFmtId="231" fontId="46" fillId="15" borderId="121" xfId="0" applyNumberFormat="1" applyFont="1" applyFill="1" applyBorder="1" applyAlignment="1">
      <alignment horizontal="center" vertical="center"/>
    </xf>
    <xf numFmtId="231" fontId="46" fillId="15" borderId="445" xfId="0" applyNumberFormat="1" applyFont="1" applyFill="1" applyBorder="1" applyAlignment="1">
      <alignment horizontal="center" vertical="center"/>
    </xf>
    <xf numFmtId="0" fontId="0" fillId="3" borderId="0" xfId="0" applyFill="1" applyAlignment="1" applyProtection="1">
      <protection locked="0"/>
    </xf>
    <xf numFmtId="183" fontId="58" fillId="0" borderId="35" xfId="0" applyNumberFormat="1" applyFont="1" applyBorder="1" applyAlignment="1">
      <alignment horizontal="center" vertical="center"/>
    </xf>
    <xf numFmtId="183" fontId="58" fillId="0" borderId="38" xfId="0" applyNumberFormat="1" applyFont="1" applyBorder="1" applyAlignment="1">
      <alignment horizontal="center" vertical="center"/>
    </xf>
    <xf numFmtId="0" fontId="177" fillId="125" borderId="135" xfId="0" applyFont="1" applyFill="1" applyBorder="1" applyAlignment="1">
      <alignment horizontal="center" vertical="center"/>
    </xf>
    <xf numFmtId="0" fontId="177" fillId="127" borderId="464" xfId="0" applyFont="1" applyFill="1" applyBorder="1" applyAlignment="1">
      <alignment horizontal="center" vertical="center"/>
    </xf>
    <xf numFmtId="0" fontId="177" fillId="127" borderId="228" xfId="0" applyFont="1" applyFill="1" applyBorder="1" applyAlignment="1">
      <alignment horizontal="center" vertical="center"/>
    </xf>
    <xf numFmtId="0" fontId="177" fillId="125" borderId="228" xfId="0" applyFont="1" applyFill="1" applyBorder="1" applyAlignment="1">
      <alignment horizontal="center" vertical="center"/>
    </xf>
    <xf numFmtId="0" fontId="177" fillId="125" borderId="261" xfId="0" applyFont="1" applyFill="1" applyBorder="1" applyAlignment="1">
      <alignment horizontal="center" vertical="center"/>
    </xf>
    <xf numFmtId="0" fontId="177" fillId="125" borderId="464" xfId="0" applyFont="1" applyFill="1" applyBorder="1" applyAlignment="1">
      <alignment horizontal="center" vertical="center"/>
    </xf>
    <xf numFmtId="0" fontId="177" fillId="127" borderId="494" xfId="0" applyFont="1" applyFill="1" applyBorder="1" applyAlignment="1">
      <alignment horizontal="center" vertical="center"/>
    </xf>
    <xf numFmtId="0" fontId="177" fillId="127" borderId="223" xfId="0" applyFont="1" applyFill="1" applyBorder="1" applyAlignment="1">
      <alignment horizontal="center" vertical="center"/>
    </xf>
    <xf numFmtId="0" fontId="177" fillId="125" borderId="377" xfId="0" applyFont="1" applyFill="1" applyBorder="1" applyAlignment="1">
      <alignment horizontal="center" vertical="center"/>
    </xf>
    <xf numFmtId="187" fontId="177" fillId="125" borderId="497" xfId="2" applyNumberFormat="1" applyFont="1" applyFill="1" applyBorder="1" applyAlignment="1">
      <alignment horizontal="center" vertical="center" wrapText="1"/>
    </xf>
    <xf numFmtId="0" fontId="178" fillId="126" borderId="518" xfId="0" applyFont="1" applyFill="1" applyBorder="1" applyAlignment="1">
      <alignment horizontal="center" vertical="center"/>
    </xf>
    <xf numFmtId="0" fontId="178" fillId="126" borderId="307" xfId="0" applyFont="1" applyFill="1" applyBorder="1" applyAlignment="1">
      <alignment horizontal="center" vertical="center"/>
    </xf>
    <xf numFmtId="0" fontId="178" fillId="126" borderId="434" xfId="0" applyFont="1" applyFill="1" applyBorder="1" applyAlignment="1">
      <alignment horizontal="center" vertical="center"/>
    </xf>
    <xf numFmtId="0" fontId="178" fillId="126" borderId="515" xfId="0" applyFont="1" applyFill="1" applyBorder="1" applyAlignment="1">
      <alignment horizontal="center" vertical="center"/>
    </xf>
    <xf numFmtId="177" fontId="168" fillId="3" borderId="497" xfId="0" applyNumberFormat="1" applyFont="1" applyFill="1" applyBorder="1" applyAlignment="1">
      <alignment horizontal="center" vertical="center"/>
    </xf>
    <xf numFmtId="177" fontId="35" fillId="3" borderId="497" xfId="0" applyNumberFormat="1" applyFont="1" applyFill="1" applyBorder="1" applyAlignment="1">
      <alignment horizontal="center" vertical="center"/>
    </xf>
    <xf numFmtId="227" fontId="29" fillId="15" borderId="121" xfId="2" applyNumberFormat="1" applyFont="1" applyFill="1" applyBorder="1" applyAlignment="1">
      <alignment horizontal="center" vertical="center"/>
    </xf>
    <xf numFmtId="4" fontId="58" fillId="15" borderId="445" xfId="2" applyNumberFormat="1" applyFont="1" applyFill="1" applyBorder="1" applyAlignment="1">
      <alignment horizontal="center" vertical="center"/>
    </xf>
    <xf numFmtId="227" fontId="29" fillId="15" borderId="445" xfId="2" applyNumberFormat="1" applyFont="1" applyFill="1" applyBorder="1" applyAlignment="1">
      <alignment horizontal="center" vertical="center"/>
    </xf>
    <xf numFmtId="183" fontId="29" fillId="15" borderId="121" xfId="2" applyNumberFormat="1" applyFont="1" applyFill="1" applyBorder="1" applyAlignment="1">
      <alignment horizontal="center" vertical="center"/>
    </xf>
    <xf numFmtId="183" fontId="29" fillId="15" borderId="445" xfId="2" applyNumberFormat="1" applyFont="1" applyFill="1" applyBorder="1" applyAlignment="1">
      <alignment horizontal="center" vertical="center"/>
    </xf>
    <xf numFmtId="183" fontId="29" fillId="15" borderId="434" xfId="2" applyNumberFormat="1" applyFont="1" applyFill="1" applyBorder="1" applyAlignment="1">
      <alignment horizontal="center" vertical="center"/>
    </xf>
    <xf numFmtId="0" fontId="219" fillId="125" borderId="120" xfId="0" applyFont="1" applyFill="1" applyBorder="1" applyAlignment="1">
      <alignment horizontal="center" vertical="center"/>
    </xf>
    <xf numFmtId="3" fontId="219" fillId="125" borderId="120" xfId="0" applyNumberFormat="1" applyFont="1" applyFill="1" applyBorder="1" applyAlignment="1">
      <alignment horizontal="center" vertical="center"/>
    </xf>
    <xf numFmtId="3" fontId="219" fillId="125" borderId="121" xfId="0" applyNumberFormat="1" applyFont="1" applyFill="1" applyBorder="1" applyAlignment="1">
      <alignment horizontal="center" vertical="center"/>
    </xf>
    <xf numFmtId="0" fontId="219" fillId="125" borderId="513" xfId="0" applyFont="1" applyFill="1" applyBorder="1" applyAlignment="1">
      <alignment horizontal="center" vertical="center"/>
    </xf>
    <xf numFmtId="3" fontId="219" fillId="125" borderId="513" xfId="0" applyNumberFormat="1" applyFont="1" applyFill="1" applyBorder="1" applyAlignment="1">
      <alignment horizontal="center" vertical="center"/>
    </xf>
    <xf numFmtId="3" fontId="219" fillId="125" borderId="515" xfId="0" applyNumberFormat="1" applyFont="1" applyFill="1" applyBorder="1" applyAlignment="1">
      <alignment horizontal="center" vertical="center"/>
    </xf>
    <xf numFmtId="0" fontId="0" fillId="93" borderId="497" xfId="0" applyFill="1" applyBorder="1" applyAlignment="1">
      <alignment horizontal="center" vertical="center"/>
    </xf>
    <xf numFmtId="41" fontId="177" fillId="125" borderId="120" xfId="2" applyFont="1" applyFill="1" applyBorder="1" applyAlignment="1">
      <alignment horizontal="center" vertical="center"/>
    </xf>
    <xf numFmtId="176" fontId="0" fillId="93" borderId="497" xfId="0" applyNumberFormat="1" applyFill="1" applyBorder="1" applyAlignment="1">
      <alignment horizontal="center" vertical="center"/>
    </xf>
    <xf numFmtId="185" fontId="0" fillId="93" borderId="497" xfId="0" applyNumberFormat="1" applyFill="1" applyBorder="1" applyAlignment="1">
      <alignment horizontal="center" vertical="center"/>
    </xf>
    <xf numFmtId="176" fontId="0" fillId="93" borderId="445" xfId="0" applyNumberFormat="1" applyFill="1" applyBorder="1" applyAlignment="1">
      <alignment horizontal="center" vertical="center"/>
    </xf>
    <xf numFmtId="185" fontId="0" fillId="93" borderId="445" xfId="0" applyNumberFormat="1" applyFill="1" applyBorder="1" applyAlignment="1">
      <alignment horizontal="center" vertical="center"/>
    </xf>
    <xf numFmtId="0" fontId="0" fillId="93" borderId="445" xfId="0" applyFill="1" applyBorder="1" applyAlignment="1">
      <alignment horizontal="center" vertical="center"/>
    </xf>
    <xf numFmtId="176" fontId="0" fillId="93" borderId="513" xfId="0" applyNumberFormat="1" applyFill="1" applyBorder="1" applyAlignment="1">
      <alignment horizontal="center" vertical="center"/>
    </xf>
    <xf numFmtId="176" fontId="0" fillId="93" borderId="515" xfId="0" applyNumberFormat="1" applyFill="1" applyBorder="1" applyAlignment="1">
      <alignment horizontal="center" vertical="center"/>
    </xf>
    <xf numFmtId="228" fontId="58" fillId="0" borderId="497" xfId="2" applyNumberFormat="1" applyFont="1" applyFill="1" applyBorder="1" applyAlignment="1">
      <alignment horizontal="center" vertical="center"/>
    </xf>
    <xf numFmtId="228" fontId="29" fillId="15" borderId="497" xfId="2" applyNumberFormat="1" applyFont="1" applyFill="1" applyBorder="1" applyAlignment="1">
      <alignment horizontal="center" vertical="center"/>
    </xf>
    <xf numFmtId="228" fontId="58" fillId="0" borderId="119" xfId="2" applyNumberFormat="1" applyFont="1" applyFill="1" applyBorder="1" applyAlignment="1">
      <alignment horizontal="center" vertical="center"/>
    </xf>
    <xf numFmtId="228" fontId="58" fillId="0" borderId="120" xfId="2" applyNumberFormat="1" applyFont="1" applyFill="1" applyBorder="1" applyAlignment="1">
      <alignment horizontal="center" vertical="center"/>
    </xf>
    <xf numFmtId="228" fontId="58" fillId="0" borderId="494" xfId="2" applyNumberFormat="1" applyFont="1" applyFill="1" applyBorder="1" applyAlignment="1">
      <alignment horizontal="center" vertical="center"/>
    </xf>
    <xf numFmtId="228" fontId="58" fillId="0" borderId="434" xfId="2" applyNumberFormat="1" applyFont="1" applyFill="1" applyBorder="1" applyAlignment="1">
      <alignment horizontal="center" vertical="center"/>
    </xf>
    <xf numFmtId="228" fontId="58" fillId="0" borderId="445" xfId="2" applyNumberFormat="1" applyFont="1" applyFill="1" applyBorder="1" applyAlignment="1">
      <alignment horizontal="center" vertical="center"/>
    </xf>
    <xf numFmtId="228" fontId="58" fillId="0" borderId="512" xfId="2" applyNumberFormat="1" applyFont="1" applyFill="1" applyBorder="1" applyAlignment="1">
      <alignment horizontal="center" vertical="center"/>
    </xf>
    <xf numFmtId="228" fontId="58" fillId="0" borderId="513" xfId="2" applyNumberFormat="1" applyFont="1" applyFill="1" applyBorder="1" applyAlignment="1">
      <alignment horizontal="center" vertical="center"/>
    </xf>
    <xf numFmtId="228" fontId="58" fillId="0" borderId="515" xfId="2" applyNumberFormat="1" applyFont="1" applyFill="1" applyBorder="1" applyAlignment="1">
      <alignment horizontal="center" vertical="center"/>
    </xf>
    <xf numFmtId="228" fontId="58" fillId="0" borderId="219" xfId="2" applyNumberFormat="1" applyFont="1" applyFill="1" applyBorder="1" applyAlignment="1">
      <alignment horizontal="center" vertical="center"/>
    </xf>
    <xf numFmtId="228" fontId="58" fillId="0" borderId="6" xfId="2" applyNumberFormat="1" applyFont="1" applyFill="1" applyBorder="1" applyAlignment="1">
      <alignment horizontal="center" vertical="center"/>
    </xf>
    <xf numFmtId="228" fontId="58" fillId="0" borderId="467" xfId="2" applyNumberFormat="1" applyFont="1" applyFill="1" applyBorder="1" applyAlignment="1">
      <alignment horizontal="center" vertical="center"/>
    </xf>
    <xf numFmtId="228" fontId="58" fillId="0" borderId="464" xfId="2" applyNumberFormat="1" applyFont="1" applyFill="1" applyBorder="1" applyAlignment="1">
      <alignment horizontal="center" vertical="center"/>
    </xf>
    <xf numFmtId="228" fontId="46" fillId="15" borderId="322" xfId="0" applyNumberFormat="1" applyFont="1" applyFill="1" applyBorder="1" applyAlignment="1">
      <alignment horizontal="center" vertical="center"/>
    </xf>
    <xf numFmtId="228" fontId="46" fillId="15" borderId="501" xfId="0" applyNumberFormat="1" applyFont="1" applyFill="1" applyBorder="1" applyAlignment="1">
      <alignment horizontal="center" vertical="center"/>
    </xf>
    <xf numFmtId="228" fontId="46" fillId="15" borderId="493" xfId="0" applyNumberFormat="1" applyFont="1" applyFill="1" applyBorder="1" applyAlignment="1">
      <alignment horizontal="center" vertical="center"/>
    </xf>
    <xf numFmtId="228" fontId="46" fillId="15" borderId="499" xfId="0" applyNumberFormat="1" applyFont="1" applyFill="1" applyBorder="1" applyAlignment="1">
      <alignment horizontal="center" vertical="center"/>
    </xf>
    <xf numFmtId="228" fontId="46" fillId="15" borderId="447" xfId="0" applyNumberFormat="1" applyFont="1" applyFill="1" applyBorder="1" applyAlignment="1">
      <alignment horizontal="center" vertical="center"/>
    </xf>
    <xf numFmtId="228" fontId="46" fillId="15" borderId="502" xfId="0" applyNumberFormat="1" applyFont="1" applyFill="1" applyBorder="1" applyAlignment="1">
      <alignment horizontal="center" vertical="center"/>
    </xf>
    <xf numFmtId="228" fontId="206" fillId="3" borderId="322" xfId="0" applyNumberFormat="1" applyFont="1" applyFill="1" applyBorder="1" applyAlignment="1">
      <alignment horizontal="center" vertical="center"/>
    </xf>
    <xf numFmtId="228" fontId="206" fillId="3" borderId="501" xfId="0" applyNumberFormat="1" applyFont="1" applyFill="1" applyBorder="1" applyAlignment="1">
      <alignment horizontal="center" vertical="center"/>
    </xf>
    <xf numFmtId="228" fontId="206" fillId="3" borderId="448" xfId="0" applyNumberFormat="1" applyFont="1" applyFill="1" applyBorder="1" applyAlignment="1">
      <alignment horizontal="center" vertical="center"/>
    </xf>
    <xf numFmtId="228" fontId="206" fillId="3" borderId="498" xfId="0" applyNumberFormat="1" applyFont="1" applyFill="1" applyBorder="1" applyAlignment="1">
      <alignment horizontal="center" vertical="center"/>
    </xf>
    <xf numFmtId="0" fontId="177" fillId="0" borderId="0" xfId="0" applyFont="1" applyFill="1" applyBorder="1" applyAlignment="1">
      <alignment vertical="center" wrapText="1"/>
    </xf>
    <xf numFmtId="41" fontId="178" fillId="127" borderId="45" xfId="2" applyFont="1" applyFill="1" applyBorder="1" applyAlignment="1">
      <alignment horizontal="center" vertical="center"/>
    </xf>
    <xf numFmtId="41" fontId="178" fillId="127" borderId="495" xfId="2" applyFont="1" applyFill="1" applyBorder="1" applyAlignment="1">
      <alignment horizontal="center" vertical="center"/>
    </xf>
    <xf numFmtId="41" fontId="178" fillId="127" borderId="463" xfId="2" applyFont="1" applyFill="1" applyBorder="1" applyAlignment="1">
      <alignment horizontal="center" vertical="center"/>
    </xf>
    <xf numFmtId="3" fontId="177" fillId="125" borderId="224" xfId="2" applyNumberFormat="1" applyFont="1" applyFill="1" applyBorder="1" applyAlignment="1">
      <alignment horizontal="center" vertical="center" wrapText="1"/>
    </xf>
    <xf numFmtId="228" fontId="29" fillId="0" borderId="120" xfId="2" applyNumberFormat="1" applyFont="1" applyFill="1" applyBorder="1" applyAlignment="1">
      <alignment horizontal="center" vertical="center"/>
    </xf>
    <xf numFmtId="228" fontId="29" fillId="0" borderId="497" xfId="2" applyNumberFormat="1" applyFont="1" applyFill="1" applyBorder="1" applyAlignment="1">
      <alignment horizontal="center" vertical="center"/>
    </xf>
    <xf numFmtId="228" fontId="29" fillId="0" borderId="464" xfId="2" applyNumberFormat="1" applyFont="1" applyFill="1" applyBorder="1" applyAlignment="1">
      <alignment horizontal="center" vertical="center"/>
    </xf>
    <xf numFmtId="0" fontId="0" fillId="0" borderId="120" xfId="0" applyFill="1" applyBorder="1" applyAlignment="1">
      <alignment horizontal="center" vertical="center"/>
    </xf>
    <xf numFmtId="0" fontId="0" fillId="0" borderId="121" xfId="0" applyFill="1" applyBorder="1" applyAlignment="1">
      <alignment horizontal="center" vertical="center"/>
    </xf>
    <xf numFmtId="0" fontId="0" fillId="0" borderId="464" xfId="0" applyFill="1" applyBorder="1" applyAlignment="1">
      <alignment horizontal="center" vertical="center"/>
    </xf>
    <xf numFmtId="0" fontId="0" fillId="0" borderId="434" xfId="0" applyFill="1" applyBorder="1" applyAlignment="1">
      <alignment horizontal="center" vertical="center"/>
    </xf>
    <xf numFmtId="177" fontId="0" fillId="15" borderId="120" xfId="0" applyNumberFormat="1" applyFill="1" applyBorder="1" applyAlignment="1">
      <alignment horizontal="center" vertical="center"/>
    </xf>
    <xf numFmtId="177" fontId="0" fillId="15" borderId="121" xfId="0" applyNumberFormat="1" applyFill="1" applyBorder="1" applyAlignment="1">
      <alignment horizontal="center" vertical="center"/>
    </xf>
    <xf numFmtId="179" fontId="0" fillId="15" borderId="513" xfId="0" applyNumberFormat="1" applyFill="1" applyBorder="1" applyAlignment="1">
      <alignment horizontal="center" vertical="center"/>
    </xf>
    <xf numFmtId="41" fontId="178" fillId="127" borderId="224" xfId="2" applyFont="1" applyFill="1" applyBorder="1" applyAlignment="1">
      <alignment horizontal="center" vertical="center"/>
    </xf>
    <xf numFmtId="176" fontId="29" fillId="7" borderId="465" xfId="0" applyNumberFormat="1" applyFont="1" applyFill="1" applyBorder="1" applyAlignment="1">
      <alignment horizontal="center" vertical="center"/>
    </xf>
    <xf numFmtId="176" fontId="29" fillId="7" borderId="377" xfId="0" applyNumberFormat="1" applyFont="1" applyFill="1" applyBorder="1">
      <alignment vertical="center"/>
    </xf>
    <xf numFmtId="230" fontId="0" fillId="0" borderId="120" xfId="0" applyNumberFormat="1" applyBorder="1" applyAlignment="1">
      <alignment horizontal="center" vertical="center"/>
    </xf>
    <xf numFmtId="230" fontId="0" fillId="0" borderId="121" xfId="0" applyNumberFormat="1" applyBorder="1" applyAlignment="1">
      <alignment horizontal="center" vertical="center"/>
    </xf>
    <xf numFmtId="230" fontId="0" fillId="0" borderId="497" xfId="0" applyNumberFormat="1" applyBorder="1" applyAlignment="1">
      <alignment horizontal="center" vertical="center"/>
    </xf>
    <xf numFmtId="230" fontId="0" fillId="0" borderId="445" xfId="0" applyNumberFormat="1" applyBorder="1" applyAlignment="1">
      <alignment horizontal="center" vertical="center"/>
    </xf>
    <xf numFmtId="230" fontId="0" fillId="0" borderId="464" xfId="0" applyNumberFormat="1" applyBorder="1" applyAlignment="1">
      <alignment horizontal="center" vertical="center"/>
    </xf>
    <xf numFmtId="230" fontId="0" fillId="0" borderId="434" xfId="0" applyNumberFormat="1" applyBorder="1" applyAlignment="1">
      <alignment horizontal="center" vertical="center"/>
    </xf>
    <xf numFmtId="230" fontId="0" fillId="0" borderId="224" xfId="0" applyNumberFormat="1" applyBorder="1" applyAlignment="1">
      <alignment horizontal="center" vertical="center"/>
    </xf>
    <xf numFmtId="230" fontId="0" fillId="0" borderId="227" xfId="0" applyNumberFormat="1" applyBorder="1" applyAlignment="1">
      <alignment horizontal="center" vertical="center"/>
    </xf>
    <xf numFmtId="228" fontId="0" fillId="0" borderId="120" xfId="0" applyNumberFormat="1" applyBorder="1" applyAlignment="1">
      <alignment horizontal="center" vertical="center"/>
    </xf>
    <xf numFmtId="228" fontId="0" fillId="0" borderId="121" xfId="0" applyNumberFormat="1" applyBorder="1" applyAlignment="1">
      <alignment horizontal="center" vertical="center"/>
    </xf>
    <xf numFmtId="228" fontId="0" fillId="0" borderId="497" xfId="0" applyNumberFormat="1" applyBorder="1" applyAlignment="1">
      <alignment horizontal="center" vertical="center"/>
    </xf>
    <xf numFmtId="228" fontId="0" fillId="0" borderId="445" xfId="0" applyNumberFormat="1" applyBorder="1" applyAlignment="1">
      <alignment horizontal="center" vertical="center"/>
    </xf>
    <xf numFmtId="228" fontId="0" fillId="0" borderId="464" xfId="0" applyNumberFormat="1" applyBorder="1" applyAlignment="1">
      <alignment horizontal="center" vertical="center"/>
    </xf>
    <xf numFmtId="228" fontId="0" fillId="0" borderId="434" xfId="0" applyNumberFormat="1" applyBorder="1" applyAlignment="1">
      <alignment horizontal="center" vertical="center"/>
    </xf>
    <xf numFmtId="228" fontId="0" fillId="0" borderId="224" xfId="0" applyNumberFormat="1" applyBorder="1" applyAlignment="1">
      <alignment horizontal="center" vertical="center"/>
    </xf>
    <xf numFmtId="38" fontId="177" fillId="128" borderId="380" xfId="0" applyNumberFormat="1" applyFont="1" applyFill="1" applyBorder="1" applyAlignment="1">
      <alignment horizontal="center" vertical="center" wrapText="1"/>
    </xf>
    <xf numFmtId="187" fontId="175" fillId="0" borderId="520" xfId="0" applyNumberFormat="1" applyFont="1" applyBorder="1" applyAlignment="1">
      <alignment horizontal="center" vertical="center" wrapText="1" readingOrder="1"/>
    </xf>
    <xf numFmtId="187" fontId="175" fillId="0" borderId="522" xfId="0" applyNumberFormat="1" applyFont="1" applyBorder="1" applyAlignment="1">
      <alignment horizontal="center" vertical="center" wrapText="1" readingOrder="1"/>
    </xf>
    <xf numFmtId="231" fontId="175" fillId="0" borderId="522" xfId="0" applyNumberFormat="1" applyFont="1" applyBorder="1" applyAlignment="1">
      <alignment horizontal="center" vertical="center" wrapText="1" readingOrder="1"/>
    </xf>
    <xf numFmtId="228" fontId="175" fillId="0" borderId="520" xfId="0" applyNumberFormat="1" applyFont="1" applyBorder="1" applyAlignment="1">
      <alignment horizontal="center" vertical="center" wrapText="1" readingOrder="1"/>
    </xf>
    <xf numFmtId="228" fontId="175" fillId="0" borderId="522" xfId="0" applyNumberFormat="1" applyFont="1" applyBorder="1" applyAlignment="1">
      <alignment horizontal="center" vertical="center" wrapText="1" readingOrder="1"/>
    </xf>
    <xf numFmtId="178" fontId="175" fillId="0" borderId="522" xfId="0" applyNumberFormat="1" applyFont="1" applyBorder="1" applyAlignment="1">
      <alignment horizontal="center" vertical="center" wrapText="1" readingOrder="1"/>
    </xf>
    <xf numFmtId="0" fontId="202" fillId="133" borderId="519" xfId="0" applyFont="1" applyFill="1" applyBorder="1" applyAlignment="1">
      <alignment horizontal="center" vertical="center" wrapText="1" readingOrder="1"/>
    </xf>
    <xf numFmtId="0" fontId="177" fillId="127" borderId="517" xfId="0" applyFont="1" applyFill="1" applyBorder="1" applyAlignment="1">
      <alignment horizontal="center" vertical="center" wrapText="1"/>
    </xf>
    <xf numFmtId="0" fontId="177" fillId="125" borderId="119" xfId="0" applyFont="1" applyFill="1" applyBorder="1" applyAlignment="1">
      <alignment horizontal="center" vertical="center"/>
    </xf>
    <xf numFmtId="0" fontId="177" fillId="127" borderId="464" xfId="0" applyFont="1" applyFill="1" applyBorder="1" applyAlignment="1">
      <alignment horizontal="center" vertical="center"/>
    </xf>
    <xf numFmtId="0" fontId="177" fillId="127" borderId="6" xfId="0" applyFont="1" applyFill="1" applyBorder="1" applyAlignment="1">
      <alignment horizontal="center" vertical="center"/>
    </xf>
    <xf numFmtId="0" fontId="177" fillId="125" borderId="228" xfId="0" applyFont="1" applyFill="1" applyBorder="1" applyAlignment="1">
      <alignment horizontal="center" vertical="center" wrapText="1"/>
    </xf>
    <xf numFmtId="0" fontId="177" fillId="125" borderId="332" xfId="0" applyFont="1" applyFill="1" applyBorder="1" applyAlignment="1">
      <alignment horizontal="center" vertical="center" wrapText="1"/>
    </xf>
    <xf numFmtId="0" fontId="177" fillId="125" borderId="47" xfId="0" applyFont="1" applyFill="1" applyBorder="1" applyAlignment="1">
      <alignment horizontal="center" vertical="center"/>
    </xf>
    <xf numFmtId="0" fontId="177" fillId="125" borderId="470" xfId="0" applyFont="1" applyFill="1" applyBorder="1" applyAlignment="1">
      <alignment horizontal="center" vertical="center"/>
    </xf>
    <xf numFmtId="0" fontId="35" fillId="116" borderId="525" xfId="0" applyFont="1" applyFill="1" applyBorder="1" applyAlignment="1">
      <alignment horizontal="center" vertical="center"/>
    </xf>
    <xf numFmtId="187" fontId="175" fillId="0" borderId="528" xfId="0" applyNumberFormat="1" applyFont="1" applyBorder="1" applyAlignment="1">
      <alignment horizontal="center" vertical="center" wrapText="1" readingOrder="1"/>
    </xf>
    <xf numFmtId="0" fontId="177" fillId="127" borderId="470" xfId="0" applyFont="1" applyFill="1" applyBorder="1" applyAlignment="1">
      <alignment horizontal="center" vertical="center"/>
    </xf>
    <xf numFmtId="0" fontId="177" fillId="127" borderId="516" xfId="0" applyFont="1" applyFill="1" applyBorder="1" applyAlignment="1">
      <alignment horizontal="center" vertical="center"/>
    </xf>
    <xf numFmtId="0" fontId="177" fillId="127" borderId="350" xfId="0" applyFont="1" applyFill="1" applyBorder="1" applyAlignment="1">
      <alignment horizontal="center" vertical="center" wrapText="1"/>
    </xf>
    <xf numFmtId="0" fontId="177" fillId="127" borderId="84" xfId="0" applyFont="1" applyFill="1" applyBorder="1" applyAlignment="1">
      <alignment horizontal="center" vertical="center" wrapText="1"/>
    </xf>
    <xf numFmtId="231" fontId="29" fillId="0" borderId="350" xfId="0" applyNumberFormat="1" applyFont="1" applyBorder="1" applyAlignment="1">
      <alignment horizontal="center" vertical="center"/>
    </xf>
    <xf numFmtId="0" fontId="220" fillId="132" borderId="533" xfId="0" applyFont="1" applyFill="1" applyBorder="1" applyAlignment="1">
      <alignment horizontal="center" vertical="center" wrapText="1" readingOrder="1"/>
    </xf>
    <xf numFmtId="0" fontId="202" fillId="133" borderId="535" xfId="0" applyFont="1" applyFill="1" applyBorder="1" applyAlignment="1">
      <alignment horizontal="center" vertical="center" wrapText="1" readingOrder="1"/>
    </xf>
    <xf numFmtId="187" fontId="175" fillId="0" borderId="545" xfId="0" applyNumberFormat="1" applyFont="1" applyBorder="1" applyAlignment="1">
      <alignment horizontal="center" vertical="center" wrapText="1" readingOrder="1"/>
    </xf>
    <xf numFmtId="0" fontId="202" fillId="133" borderId="541" xfId="0" applyFont="1" applyFill="1" applyBorder="1" applyAlignment="1">
      <alignment horizontal="center" vertical="center" wrapText="1" readingOrder="1"/>
    </xf>
    <xf numFmtId="187" fontId="175" fillId="0" borderId="546" xfId="0" applyNumberFormat="1" applyFont="1" applyBorder="1" applyAlignment="1">
      <alignment horizontal="center" vertical="center" wrapText="1" readingOrder="1"/>
    </xf>
    <xf numFmtId="187" fontId="35" fillId="0" borderId="549" xfId="0" applyNumberFormat="1" applyFont="1" applyFill="1" applyBorder="1" applyAlignment="1">
      <alignment horizontal="center" vertical="center"/>
    </xf>
    <xf numFmtId="186" fontId="29" fillId="117" borderId="47" xfId="0" applyNumberFormat="1" applyFont="1" applyFill="1" applyBorder="1" applyAlignment="1">
      <alignment horizontal="center" vertical="center"/>
    </xf>
    <xf numFmtId="186" fontId="29" fillId="117" borderId="470" xfId="0" applyNumberFormat="1" applyFont="1" applyFill="1" applyBorder="1" applyAlignment="1">
      <alignment horizontal="center" vertical="center"/>
    </xf>
    <xf numFmtId="187" fontId="29" fillId="0" borderId="23" xfId="0" applyNumberFormat="1" applyFont="1" applyFill="1" applyBorder="1" applyAlignment="1">
      <alignment horizontal="center" vertical="center"/>
    </xf>
    <xf numFmtId="0" fontId="220" fillId="132" borderId="550" xfId="0" applyFont="1" applyFill="1" applyBorder="1" applyAlignment="1">
      <alignment horizontal="center" vertical="center" wrapText="1" readingOrder="1"/>
    </xf>
    <xf numFmtId="187" fontId="224" fillId="0" borderId="552" xfId="0" applyNumberFormat="1" applyFont="1" applyBorder="1" applyAlignment="1">
      <alignment horizontal="center" vertical="center" wrapText="1" readingOrder="1"/>
    </xf>
    <xf numFmtId="228" fontId="221" fillId="0" borderId="552" xfId="0" applyNumberFormat="1" applyFont="1" applyBorder="1" applyAlignment="1">
      <alignment horizontal="center" vertical="center" wrapText="1" readingOrder="1"/>
    </xf>
    <xf numFmtId="231" fontId="211" fillId="0" borderId="538" xfId="0" applyNumberFormat="1" applyFont="1" applyBorder="1" applyAlignment="1">
      <alignment horizontal="center" vertical="center"/>
    </xf>
    <xf numFmtId="186" fontId="35" fillId="0" borderId="548" xfId="0" applyNumberFormat="1" applyFont="1" applyBorder="1" applyAlignment="1">
      <alignment horizontal="center" vertical="center"/>
    </xf>
    <xf numFmtId="186" fontId="35" fillId="0" borderId="539" xfId="0" applyNumberFormat="1" applyFont="1" applyBorder="1" applyAlignment="1">
      <alignment horizontal="center" vertical="center"/>
    </xf>
    <xf numFmtId="187" fontId="221" fillId="0" borderId="554" xfId="0" applyNumberFormat="1" applyFont="1" applyBorder="1" applyAlignment="1">
      <alignment horizontal="center" vertical="center" wrapText="1" readingOrder="1"/>
    </xf>
    <xf numFmtId="228" fontId="221" fillId="0" borderId="554" xfId="0" applyNumberFormat="1" applyFont="1" applyBorder="1" applyAlignment="1">
      <alignment horizontal="center" vertical="center" wrapText="1" readingOrder="1"/>
    </xf>
    <xf numFmtId="187" fontId="222" fillId="0" borderId="554" xfId="0" applyNumberFormat="1" applyFont="1" applyBorder="1" applyAlignment="1">
      <alignment horizontal="center" vertical="center" wrapText="1" readingOrder="1"/>
    </xf>
    <xf numFmtId="228" fontId="222" fillId="0" borderId="554" xfId="0" applyNumberFormat="1" applyFont="1" applyBorder="1" applyAlignment="1">
      <alignment horizontal="center" vertical="center" wrapText="1" readingOrder="1"/>
    </xf>
    <xf numFmtId="187" fontId="222" fillId="0" borderId="555" xfId="0" applyNumberFormat="1" applyFont="1" applyBorder="1" applyAlignment="1">
      <alignment horizontal="center" vertical="center" wrapText="1" readingOrder="1"/>
    </xf>
    <xf numFmtId="0" fontId="220" fillId="132" borderId="556" xfId="0" applyFont="1" applyFill="1" applyBorder="1" applyAlignment="1">
      <alignment horizontal="center" vertical="center" wrapText="1" readingOrder="1"/>
    </xf>
    <xf numFmtId="187" fontId="221" fillId="3" borderId="540" xfId="0" applyNumberFormat="1" applyFont="1" applyFill="1" applyBorder="1" applyAlignment="1">
      <alignment horizontal="center" vertical="center" wrapText="1" readingOrder="1"/>
    </xf>
    <xf numFmtId="187" fontId="222" fillId="3" borderId="557" xfId="0" applyNumberFormat="1" applyFont="1" applyFill="1" applyBorder="1" applyAlignment="1">
      <alignment horizontal="center" vertical="center" wrapText="1" readingOrder="1"/>
    </xf>
    <xf numFmtId="228" fontId="221" fillId="3" borderId="558" xfId="0" applyNumberFormat="1" applyFont="1" applyFill="1" applyBorder="1" applyAlignment="1">
      <alignment horizontal="center" vertical="center" wrapText="1" readingOrder="1"/>
    </xf>
    <xf numFmtId="228" fontId="221" fillId="3" borderId="557" xfId="0" applyNumberFormat="1" applyFont="1" applyFill="1" applyBorder="1" applyAlignment="1">
      <alignment horizontal="center" vertical="center" wrapText="1" readingOrder="1"/>
    </xf>
    <xf numFmtId="228" fontId="222" fillId="3" borderId="557" xfId="0" applyNumberFormat="1" applyFont="1" applyFill="1" applyBorder="1" applyAlignment="1">
      <alignment horizontal="center" vertical="center" wrapText="1" readingOrder="1"/>
    </xf>
    <xf numFmtId="231" fontId="168" fillId="0" borderId="559" xfId="0" applyNumberFormat="1" applyFont="1" applyBorder="1" applyAlignment="1">
      <alignment horizontal="center" vertical="center"/>
    </xf>
    <xf numFmtId="186" fontId="168" fillId="0" borderId="560" xfId="0" applyNumberFormat="1" applyFont="1" applyBorder="1" applyAlignment="1">
      <alignment horizontal="center" vertical="center"/>
    </xf>
    <xf numFmtId="186" fontId="168" fillId="0" borderId="561" xfId="0" applyNumberFormat="1" applyFont="1" applyBorder="1" applyAlignment="1">
      <alignment horizontal="center" vertical="center"/>
    </xf>
    <xf numFmtId="186" fontId="35" fillId="0" borderId="562" xfId="0" applyNumberFormat="1" applyFont="1" applyBorder="1" applyAlignment="1">
      <alignment horizontal="center" vertical="center"/>
    </xf>
    <xf numFmtId="187" fontId="35" fillId="0" borderId="563" xfId="0" applyNumberFormat="1" applyFont="1" applyFill="1" applyBorder="1" applyAlignment="1">
      <alignment horizontal="center" vertical="center"/>
    </xf>
    <xf numFmtId="187" fontId="221" fillId="3" borderId="564" xfId="0" applyNumberFormat="1" applyFont="1" applyFill="1" applyBorder="1" applyAlignment="1">
      <alignment horizontal="center" vertical="center" wrapText="1" readingOrder="1"/>
    </xf>
    <xf numFmtId="228" fontId="222" fillId="3" borderId="564" xfId="0" applyNumberFormat="1" applyFont="1" applyFill="1" applyBorder="1" applyAlignment="1">
      <alignment horizontal="center" vertical="center" wrapText="1" readingOrder="1"/>
    </xf>
    <xf numFmtId="187" fontId="222" fillId="3" borderId="564" xfId="0" applyNumberFormat="1" applyFont="1" applyFill="1" applyBorder="1" applyAlignment="1">
      <alignment horizontal="center" vertical="center" wrapText="1" readingOrder="1"/>
    </xf>
    <xf numFmtId="187" fontId="222" fillId="3" borderId="565" xfId="0" applyNumberFormat="1" applyFont="1" applyFill="1" applyBorder="1" applyAlignment="1">
      <alignment horizontal="center" vertical="center" wrapText="1" readingOrder="1"/>
    </xf>
    <xf numFmtId="187" fontId="223" fillId="0" borderId="551" xfId="0" applyNumberFormat="1" applyFont="1" applyBorder="1" applyAlignment="1">
      <alignment horizontal="center" vertical="center" wrapText="1"/>
    </xf>
    <xf numFmtId="228" fontId="222" fillId="0" borderId="553" xfId="0" applyNumberFormat="1" applyFont="1" applyBorder="1" applyAlignment="1">
      <alignment horizontal="center" vertical="center" wrapText="1" readingOrder="1"/>
    </xf>
    <xf numFmtId="186" fontId="35" fillId="0" borderId="566" xfId="0" applyNumberFormat="1" applyFont="1" applyBorder="1" applyAlignment="1">
      <alignment horizontal="center" vertical="center"/>
    </xf>
    <xf numFmtId="186" fontId="29" fillId="117" borderId="477" xfId="0" applyNumberFormat="1" applyFont="1" applyFill="1" applyBorder="1">
      <alignment vertical="center"/>
    </xf>
    <xf numFmtId="0" fontId="220" fillId="132" borderId="568" xfId="0" applyFont="1" applyFill="1" applyBorder="1" applyAlignment="1">
      <alignment horizontal="center" vertical="center" wrapText="1" readingOrder="1"/>
    </xf>
    <xf numFmtId="0" fontId="220" fillId="132" borderId="569" xfId="0" applyFont="1" applyFill="1" applyBorder="1" applyAlignment="1">
      <alignment horizontal="center" vertical="center" wrapText="1" readingOrder="1"/>
    </xf>
    <xf numFmtId="0" fontId="220" fillId="132" borderId="570" xfId="0" applyFont="1" applyFill="1" applyBorder="1" applyAlignment="1">
      <alignment horizontal="center" vertical="center" wrapText="1" readingOrder="1"/>
    </xf>
    <xf numFmtId="0" fontId="175" fillId="0" borderId="571" xfId="0" applyFont="1" applyFill="1" applyBorder="1" applyAlignment="1">
      <alignment horizontal="center" vertical="center" wrapText="1" readingOrder="1"/>
    </xf>
    <xf numFmtId="0" fontId="175" fillId="0" borderId="287" xfId="0" applyFont="1" applyFill="1" applyBorder="1" applyAlignment="1">
      <alignment horizontal="center" vertical="center" wrapText="1" readingOrder="1"/>
    </xf>
    <xf numFmtId="187" fontId="175" fillId="0" borderId="287" xfId="0" applyNumberFormat="1" applyFont="1" applyBorder="1" applyAlignment="1">
      <alignment horizontal="center" vertical="center" wrapText="1" readingOrder="1"/>
    </xf>
    <xf numFmtId="187" fontId="222" fillId="0" borderId="572" xfId="0" applyNumberFormat="1" applyFont="1" applyBorder="1" applyAlignment="1">
      <alignment horizontal="center" vertical="center" wrapText="1" readingOrder="1"/>
    </xf>
    <xf numFmtId="187" fontId="224" fillId="0" borderId="572" xfId="0" applyNumberFormat="1" applyFont="1" applyBorder="1" applyAlignment="1">
      <alignment horizontal="center" vertical="center" wrapText="1" readingOrder="1"/>
    </xf>
    <xf numFmtId="187" fontId="29" fillId="0" borderId="571" xfId="2" applyNumberFormat="1" applyFont="1" applyFill="1" applyBorder="1" applyAlignment="1">
      <alignment horizontal="center" vertical="center" wrapText="1"/>
    </xf>
    <xf numFmtId="187" fontId="29" fillId="0" borderId="287" xfId="2" applyNumberFormat="1" applyFont="1" applyFill="1" applyBorder="1" applyAlignment="1">
      <alignment horizontal="center" vertical="center" wrapText="1"/>
    </xf>
    <xf numFmtId="186" fontId="175" fillId="0" borderId="571" xfId="0" applyNumberFormat="1" applyFont="1" applyFill="1" applyBorder="1" applyAlignment="1">
      <alignment horizontal="center" vertical="center" wrapText="1" readingOrder="1"/>
    </xf>
    <xf numFmtId="186" fontId="175" fillId="0" borderId="287" xfId="0" applyNumberFormat="1" applyFont="1" applyFill="1" applyBorder="1" applyAlignment="1">
      <alignment horizontal="center" vertical="center" wrapText="1" readingOrder="1"/>
    </xf>
    <xf numFmtId="228" fontId="221" fillId="0" borderId="572" xfId="0" applyNumberFormat="1" applyFont="1" applyBorder="1" applyAlignment="1">
      <alignment horizontal="center" vertical="center" wrapText="1" readingOrder="1"/>
    </xf>
    <xf numFmtId="231" fontId="221" fillId="0" borderId="572" xfId="0" applyNumberFormat="1" applyFont="1" applyBorder="1" applyAlignment="1">
      <alignment horizontal="center" vertical="center" wrapText="1" readingOrder="1"/>
    </xf>
    <xf numFmtId="186" fontId="29" fillId="0" borderId="571" xfId="0" applyNumberFormat="1" applyFont="1" applyFill="1" applyBorder="1" applyAlignment="1">
      <alignment horizontal="center" vertical="center"/>
    </xf>
    <xf numFmtId="186" fontId="29" fillId="0" borderId="287" xfId="0" applyNumberFormat="1" applyFont="1" applyFill="1" applyBorder="1" applyAlignment="1">
      <alignment horizontal="center" vertical="center"/>
    </xf>
    <xf numFmtId="231" fontId="29" fillId="0" borderId="287" xfId="0" applyNumberFormat="1" applyFont="1" applyBorder="1" applyAlignment="1">
      <alignment horizontal="center" vertical="center"/>
    </xf>
    <xf numFmtId="231" fontId="211" fillId="0" borderId="572" xfId="0" applyNumberFormat="1" applyFont="1" applyBorder="1" applyAlignment="1">
      <alignment horizontal="center" vertical="center"/>
    </xf>
    <xf numFmtId="0" fontId="29" fillId="117" borderId="571" xfId="0" applyFont="1" applyFill="1" applyBorder="1" applyAlignment="1">
      <alignment horizontal="center" vertical="center"/>
    </xf>
    <xf numFmtId="0" fontId="29" fillId="117" borderId="287" xfId="0" applyFont="1" applyFill="1" applyBorder="1" applyAlignment="1">
      <alignment horizontal="center" vertical="center"/>
    </xf>
    <xf numFmtId="0" fontId="29" fillId="117" borderId="287" xfId="0" applyFont="1" applyFill="1" applyBorder="1">
      <alignment vertical="center"/>
    </xf>
    <xf numFmtId="186" fontId="35" fillId="0" borderId="572" xfId="0" applyNumberFormat="1" applyFont="1" applyBorder="1" applyAlignment="1">
      <alignment horizontal="center" vertical="center"/>
    </xf>
    <xf numFmtId="0" fontId="0" fillId="117" borderId="571" xfId="0" applyFill="1" applyBorder="1">
      <alignment vertical="center"/>
    </xf>
    <xf numFmtId="0" fontId="0" fillId="117" borderId="287" xfId="0" applyFill="1" applyBorder="1">
      <alignment vertical="center"/>
    </xf>
    <xf numFmtId="187" fontId="29" fillId="0" borderId="571" xfId="0" applyNumberFormat="1" applyFont="1" applyFill="1" applyBorder="1" applyAlignment="1">
      <alignment horizontal="center" vertical="center"/>
    </xf>
    <xf numFmtId="187" fontId="29" fillId="0" borderId="287" xfId="0" applyNumberFormat="1" applyFont="1" applyFill="1" applyBorder="1" applyAlignment="1">
      <alignment horizontal="center" vertical="center"/>
    </xf>
    <xf numFmtId="187" fontId="35" fillId="0" borderId="572" xfId="0" applyNumberFormat="1" applyFont="1" applyFill="1" applyBorder="1" applyAlignment="1">
      <alignment horizontal="center" vertical="center"/>
    </xf>
    <xf numFmtId="187" fontId="175" fillId="0" borderId="571" xfId="0" applyNumberFormat="1" applyFont="1" applyFill="1" applyBorder="1" applyAlignment="1">
      <alignment horizontal="center" vertical="center" wrapText="1" readingOrder="1"/>
    </xf>
    <xf numFmtId="187" fontId="175" fillId="0" borderId="287" xfId="0" applyNumberFormat="1" applyFont="1" applyFill="1" applyBorder="1" applyAlignment="1">
      <alignment horizontal="center" vertical="center" wrapText="1" readingOrder="1"/>
    </xf>
    <xf numFmtId="187" fontId="221" fillId="0" borderId="572" xfId="0" applyNumberFormat="1" applyFont="1" applyBorder="1" applyAlignment="1">
      <alignment horizontal="center" vertical="center" wrapText="1" readingOrder="1"/>
    </xf>
    <xf numFmtId="228" fontId="175" fillId="0" borderId="287" xfId="0" applyNumberFormat="1" applyFont="1" applyBorder="1" applyAlignment="1">
      <alignment horizontal="center" vertical="center" wrapText="1" readingOrder="1"/>
    </xf>
    <xf numFmtId="177" fontId="175" fillId="0" borderId="287" xfId="0" applyNumberFormat="1" applyFont="1" applyFill="1" applyBorder="1" applyAlignment="1">
      <alignment horizontal="center" vertical="center" wrapText="1" readingOrder="1"/>
    </xf>
    <xf numFmtId="228" fontId="222" fillId="0" borderId="572" xfId="0" applyNumberFormat="1" applyFont="1" applyBorder="1" applyAlignment="1">
      <alignment horizontal="center" vertical="center" wrapText="1" readingOrder="1"/>
    </xf>
    <xf numFmtId="187" fontId="175" fillId="0" borderId="574" xfId="0" applyNumberFormat="1" applyFont="1" applyBorder="1" applyAlignment="1">
      <alignment horizontal="center" vertical="center" wrapText="1" readingOrder="1"/>
    </xf>
    <xf numFmtId="187" fontId="222" fillId="0" borderId="575" xfId="0" applyNumberFormat="1" applyFont="1" applyBorder="1" applyAlignment="1">
      <alignment horizontal="center" vertical="center" wrapText="1" readingOrder="1"/>
    </xf>
    <xf numFmtId="0" fontId="175" fillId="117" borderId="571" xfId="0" applyFont="1" applyFill="1" applyBorder="1" applyAlignment="1">
      <alignment horizontal="center" vertical="center" wrapText="1" readingOrder="1"/>
    </xf>
    <xf numFmtId="0" fontId="175" fillId="117" borderId="287" xfId="0" applyFont="1" applyFill="1" applyBorder="1" applyAlignment="1">
      <alignment horizontal="center" vertical="center" wrapText="1" readingOrder="1"/>
    </xf>
    <xf numFmtId="0" fontId="175" fillId="117" borderId="573" xfId="0" applyFont="1" applyFill="1" applyBorder="1" applyAlignment="1">
      <alignment horizontal="center" vertical="center" wrapText="1" readingOrder="1"/>
    </xf>
    <xf numFmtId="0" fontId="175" fillId="117" borderId="574" xfId="0" applyFont="1" applyFill="1" applyBorder="1" applyAlignment="1">
      <alignment horizontal="center" vertical="center" wrapText="1" readingOrder="1"/>
    </xf>
    <xf numFmtId="0" fontId="35" fillId="116" borderId="572" xfId="0" applyFont="1" applyFill="1" applyBorder="1" applyAlignment="1">
      <alignment horizontal="center" vertical="center"/>
    </xf>
    <xf numFmtId="0" fontId="177" fillId="127" borderId="567" xfId="0" applyFont="1" applyFill="1" applyBorder="1" applyAlignment="1">
      <alignment horizontal="center" vertical="center"/>
    </xf>
    <xf numFmtId="41" fontId="178" fillId="127" borderId="567" xfId="2" applyFont="1" applyFill="1" applyBorder="1" applyAlignment="1">
      <alignment horizontal="center" vertical="center"/>
    </xf>
    <xf numFmtId="187" fontId="29" fillId="0" borderId="567" xfId="2" applyNumberFormat="1" applyFont="1" applyFill="1" applyBorder="1" applyAlignment="1">
      <alignment horizontal="center" vertical="center"/>
    </xf>
    <xf numFmtId="231" fontId="29" fillId="0" borderId="567" xfId="2" applyNumberFormat="1" applyFont="1" applyFill="1" applyBorder="1" applyAlignment="1">
      <alignment horizontal="center" vertical="center"/>
    </xf>
    <xf numFmtId="3" fontId="177" fillId="125" borderId="567" xfId="2" applyNumberFormat="1" applyFont="1" applyFill="1" applyBorder="1" applyAlignment="1">
      <alignment horizontal="center" vertical="center" wrapText="1"/>
    </xf>
    <xf numFmtId="3" fontId="58" fillId="0" borderId="567" xfId="2" applyNumberFormat="1" applyFont="1" applyFill="1" applyBorder="1" applyAlignment="1">
      <alignment horizontal="center" vertical="center"/>
    </xf>
    <xf numFmtId="3" fontId="58" fillId="7" borderId="567" xfId="2" applyNumberFormat="1" applyFont="1" applyFill="1" applyBorder="1" applyAlignment="1">
      <alignment horizontal="center" vertical="center"/>
    </xf>
    <xf numFmtId="187" fontId="58" fillId="7" borderId="567" xfId="2" applyNumberFormat="1" applyFont="1" applyFill="1" applyBorder="1" applyAlignment="1">
      <alignment horizontal="center" vertical="center"/>
    </xf>
    <xf numFmtId="3" fontId="29" fillId="117" borderId="567" xfId="2" applyNumberFormat="1" applyFont="1" applyFill="1" applyBorder="1" applyAlignment="1">
      <alignment horizontal="center" vertical="center" wrapText="1"/>
    </xf>
    <xf numFmtId="231" fontId="29" fillId="0" borderId="464" xfId="2" applyNumberFormat="1" applyFont="1" applyFill="1" applyBorder="1" applyAlignment="1">
      <alignment horizontal="center" vertical="center"/>
    </xf>
    <xf numFmtId="187" fontId="177" fillId="125" borderId="121" xfId="2" applyNumberFormat="1" applyFont="1" applyFill="1" applyBorder="1" applyAlignment="1">
      <alignment horizontal="center" vertical="center"/>
    </xf>
    <xf numFmtId="3" fontId="29" fillId="117" borderId="464" xfId="2" applyNumberFormat="1" applyFont="1" applyFill="1" applyBorder="1" applyAlignment="1">
      <alignment horizontal="center" vertical="center" wrapText="1"/>
    </xf>
    <xf numFmtId="3" fontId="58" fillId="7" borderId="464" xfId="2" applyNumberFormat="1" applyFont="1" applyFill="1" applyBorder="1" applyAlignment="1">
      <alignment horizontal="center" vertical="center"/>
    </xf>
    <xf numFmtId="3" fontId="58" fillId="0" borderId="464" xfId="2" applyNumberFormat="1" applyFont="1" applyFill="1" applyBorder="1" applyAlignment="1">
      <alignment horizontal="center" vertical="center"/>
    </xf>
    <xf numFmtId="187" fontId="29" fillId="0" borderId="6" xfId="2" applyNumberFormat="1" applyFont="1" applyFill="1" applyBorder="1" applyAlignment="1">
      <alignment horizontal="center" vertical="center"/>
    </xf>
    <xf numFmtId="187" fontId="177" fillId="125" borderId="120" xfId="2" applyNumberFormat="1" applyFont="1" applyFill="1" applyBorder="1" applyAlignment="1">
      <alignment horizontal="center" vertical="center" wrapText="1"/>
    </xf>
    <xf numFmtId="0" fontId="177" fillId="125" borderId="224" xfId="0" applyFont="1" applyFill="1" applyBorder="1" applyAlignment="1">
      <alignment horizontal="center" vertical="center" wrapText="1"/>
    </xf>
    <xf numFmtId="41" fontId="178" fillId="125" borderId="120" xfId="2" applyFont="1" applyFill="1" applyBorder="1" applyAlignment="1">
      <alignment horizontal="center" vertical="center"/>
    </xf>
    <xf numFmtId="41" fontId="178" fillId="125" borderId="567" xfId="2" applyFont="1" applyFill="1" applyBorder="1" applyAlignment="1">
      <alignment horizontal="center" vertical="center"/>
    </xf>
    <xf numFmtId="179" fontId="0" fillId="15" borderId="464" xfId="0" applyNumberFormat="1" applyFill="1" applyBorder="1" applyAlignment="1">
      <alignment horizontal="center" vertical="center"/>
    </xf>
    <xf numFmtId="0" fontId="177" fillId="125" borderId="261" xfId="0" applyFont="1" applyFill="1" applyBorder="1" applyAlignment="1">
      <alignment horizontal="center" vertical="center" wrapText="1"/>
    </xf>
    <xf numFmtId="2" fontId="29" fillId="0" borderId="470" xfId="0" applyNumberFormat="1" applyFont="1" applyBorder="1" applyAlignment="1">
      <alignment horizontal="center" vertical="center"/>
    </xf>
    <xf numFmtId="0" fontId="177" fillId="125" borderId="491" xfId="0" quotePrefix="1" applyFont="1" applyFill="1" applyBorder="1" applyAlignment="1">
      <alignment horizontal="center" vertical="center"/>
    </xf>
    <xf numFmtId="183" fontId="177" fillId="125" borderId="470" xfId="0" applyNumberFormat="1" applyFont="1" applyFill="1" applyBorder="1" applyAlignment="1">
      <alignment horizontal="center" vertical="center"/>
    </xf>
    <xf numFmtId="0" fontId="177" fillId="125" borderId="516" xfId="0" quotePrefix="1" applyFont="1" applyFill="1" applyBorder="1" applyAlignment="1">
      <alignment horizontal="center" vertical="center"/>
    </xf>
    <xf numFmtId="177" fontId="29" fillId="7" borderId="470" xfId="0" applyNumberFormat="1" applyFont="1" applyFill="1" applyBorder="1" applyAlignment="1">
      <alignment horizontal="center" vertical="center"/>
    </xf>
    <xf numFmtId="177" fontId="29" fillId="7" borderId="491" xfId="0" applyNumberFormat="1" applyFont="1" applyFill="1" applyBorder="1" applyAlignment="1">
      <alignment horizontal="center" vertical="center"/>
    </xf>
    <xf numFmtId="0" fontId="29" fillId="5" borderId="470" xfId="0" applyFont="1" applyFill="1" applyBorder="1" applyAlignment="1">
      <alignment horizontal="center" vertical="center" wrapText="1"/>
    </xf>
    <xf numFmtId="1" fontId="0" fillId="0" borderId="567" xfId="0" applyNumberFormat="1" applyBorder="1" applyAlignment="1">
      <alignment horizontal="center" vertical="center"/>
    </xf>
    <xf numFmtId="178" fontId="58" fillId="3" borderId="236" xfId="0" applyNumberFormat="1" applyFont="1" applyFill="1" applyBorder="1" applyAlignment="1">
      <alignment horizontal="center" vertical="center"/>
    </xf>
    <xf numFmtId="223" fontId="58" fillId="0" borderId="108" xfId="0" applyNumberFormat="1" applyFont="1" applyBorder="1" applyAlignment="1">
      <alignment horizontal="center" vertical="center"/>
    </xf>
    <xf numFmtId="38" fontId="177" fillId="125" borderId="253" xfId="0" applyNumberFormat="1" applyFont="1" applyFill="1" applyBorder="1" applyAlignment="1">
      <alignment horizontal="center" vertical="center" wrapText="1"/>
    </xf>
    <xf numFmtId="0" fontId="29" fillId="0" borderId="0" xfId="0" applyFont="1" applyAlignment="1">
      <alignment horizontal="center" vertical="center"/>
    </xf>
    <xf numFmtId="0" fontId="179" fillId="15" borderId="567" xfId="0" applyFont="1" applyFill="1" applyBorder="1" applyAlignment="1">
      <alignment horizontal="center" vertical="center" wrapText="1"/>
    </xf>
    <xf numFmtId="0" fontId="166" fillId="0" borderId="567" xfId="0" applyFont="1" applyBorder="1" applyAlignment="1">
      <alignment horizontal="center" vertical="center" wrapText="1"/>
    </xf>
    <xf numFmtId="0" fontId="177" fillId="125" borderId="434" xfId="0" applyFont="1" applyFill="1" applyBorder="1" applyAlignment="1">
      <alignment horizontal="center" vertical="center"/>
    </xf>
    <xf numFmtId="0" fontId="28" fillId="3" borderId="214" xfId="0" applyFont="1" applyFill="1" applyBorder="1" applyAlignment="1" applyProtection="1">
      <alignment horizontal="center" vertical="center"/>
      <protection locked="0"/>
    </xf>
    <xf numFmtId="0" fontId="29" fillId="0" borderId="0" xfId="0" applyFont="1" applyAlignment="1">
      <alignment horizontal="center" vertical="center"/>
    </xf>
    <xf numFmtId="0" fontId="29" fillId="7" borderId="0" xfId="0" applyFont="1" applyFill="1" applyBorder="1" applyAlignment="1">
      <alignment horizontal="center" vertical="center"/>
    </xf>
    <xf numFmtId="0" fontId="58" fillId="0" borderId="0" xfId="0" applyFont="1" applyFill="1" applyBorder="1" applyAlignment="1">
      <alignment horizontal="center" vertical="center"/>
    </xf>
    <xf numFmtId="232" fontId="28" fillId="7" borderId="214" xfId="0" applyNumberFormat="1" applyFont="1" applyFill="1" applyBorder="1" applyAlignment="1">
      <alignment horizontal="center" vertical="center"/>
    </xf>
    <xf numFmtId="177" fontId="29" fillId="7" borderId="567" xfId="0" applyNumberFormat="1" applyFont="1" applyFill="1" applyBorder="1" applyAlignment="1">
      <alignment horizontal="center" vertical="center"/>
    </xf>
    <xf numFmtId="0" fontId="29" fillId="7" borderId="567" xfId="0" applyFont="1" applyFill="1" applyBorder="1" applyAlignment="1">
      <alignment horizontal="center" vertical="center"/>
    </xf>
    <xf numFmtId="239" fontId="38" fillId="0" borderId="116" xfId="0" applyNumberFormat="1" applyFont="1" applyBorder="1" applyAlignment="1" applyProtection="1">
      <alignment horizontal="right" vertical="center"/>
    </xf>
    <xf numFmtId="187" fontId="58" fillId="0" borderId="493" xfId="2" applyNumberFormat="1" applyFont="1" applyFill="1" applyBorder="1" applyAlignment="1">
      <alignment horizontal="center" vertical="center"/>
    </xf>
    <xf numFmtId="183" fontId="58" fillId="7" borderId="493" xfId="2" applyNumberFormat="1" applyFont="1" applyFill="1" applyBorder="1" applyAlignment="1">
      <alignment horizontal="center" vertical="center"/>
    </xf>
    <xf numFmtId="187" fontId="58" fillId="7" borderId="447" xfId="2" applyNumberFormat="1" applyFont="1" applyFill="1" applyBorder="1" applyAlignment="1">
      <alignment horizontal="center" vertical="center"/>
    </xf>
    <xf numFmtId="183" fontId="58" fillId="7" borderId="322" xfId="2" applyNumberFormat="1" applyFont="1" applyFill="1" applyBorder="1" applyAlignment="1">
      <alignment horizontal="center" vertical="center"/>
    </xf>
    <xf numFmtId="178" fontId="58" fillId="7" borderId="448" xfId="2" applyNumberFormat="1" applyFont="1" applyFill="1" applyBorder="1" applyAlignment="1">
      <alignment horizontal="center" vertical="center"/>
    </xf>
    <xf numFmtId="187" fontId="58" fillId="7" borderId="349" xfId="2" applyNumberFormat="1" applyFont="1" applyFill="1" applyBorder="1" applyAlignment="1">
      <alignment horizontal="center" vertical="center" wrapText="1"/>
    </xf>
    <xf numFmtId="183" fontId="58" fillId="7" borderId="294" xfId="2" applyNumberFormat="1" applyFont="1" applyFill="1" applyBorder="1" applyAlignment="1">
      <alignment horizontal="center" vertical="center"/>
    </xf>
    <xf numFmtId="183" fontId="58" fillId="7" borderId="447" xfId="0" applyNumberFormat="1" applyFont="1" applyFill="1" applyBorder="1" applyAlignment="1">
      <alignment horizontal="center" vertical="center"/>
    </xf>
    <xf numFmtId="178" fontId="58" fillId="7" borderId="43" xfId="0" applyNumberFormat="1" applyFont="1" applyFill="1" applyBorder="1" applyAlignment="1">
      <alignment horizontal="center" vertical="center"/>
    </xf>
    <xf numFmtId="187" fontId="58" fillId="7" borderId="349" xfId="0" applyNumberFormat="1" applyFont="1" applyFill="1" applyBorder="1" applyAlignment="1">
      <alignment horizontal="center" vertical="center"/>
    </xf>
    <xf numFmtId="226" fontId="29" fillId="7" borderId="447" xfId="2" applyNumberFormat="1" applyFont="1" applyFill="1" applyBorder="1" applyAlignment="1">
      <alignment horizontal="center" vertical="center"/>
    </xf>
    <xf numFmtId="226" fontId="29" fillId="0" borderId="447" xfId="2" applyNumberFormat="1" applyFont="1" applyFill="1" applyBorder="1" applyAlignment="1">
      <alignment horizontal="center" vertical="center"/>
    </xf>
    <xf numFmtId="187" fontId="58" fillId="7" borderId="349" xfId="2" applyNumberFormat="1" applyFont="1" applyFill="1" applyBorder="1" applyAlignment="1">
      <alignment horizontal="center" vertical="center"/>
    </xf>
    <xf numFmtId="187" fontId="172" fillId="7" borderId="268" xfId="0" applyNumberFormat="1" applyFont="1" applyFill="1" applyBorder="1" applyAlignment="1">
      <alignment horizontal="center" vertical="center"/>
    </xf>
    <xf numFmtId="187" fontId="58" fillId="0" borderId="26" xfId="2" applyNumberFormat="1" applyFont="1" applyBorder="1" applyAlignment="1">
      <alignment horizontal="center" vertical="center"/>
    </xf>
    <xf numFmtId="176" fontId="58" fillId="0" borderId="493" xfId="0" applyNumberFormat="1" applyFont="1" applyBorder="1" applyAlignment="1">
      <alignment horizontal="center" vertical="center"/>
    </xf>
    <xf numFmtId="176" fontId="58" fillId="0" borderId="493" xfId="0" applyNumberFormat="1" applyFont="1" applyFill="1" applyBorder="1" applyAlignment="1">
      <alignment horizontal="center" vertical="center"/>
    </xf>
    <xf numFmtId="187" fontId="58" fillId="0" borderId="332" xfId="2" applyNumberFormat="1" applyFont="1" applyFill="1" applyBorder="1" applyAlignment="1">
      <alignment horizontal="center" vertical="center"/>
    </xf>
    <xf numFmtId="178" fontId="58" fillId="0" borderId="463" xfId="2" applyNumberFormat="1" applyFont="1" applyFill="1" applyBorder="1" applyAlignment="1">
      <alignment horizontal="center" vertical="center"/>
    </xf>
    <xf numFmtId="183" fontId="58" fillId="0" borderId="514" xfId="2" applyNumberFormat="1" applyFont="1" applyFill="1" applyBorder="1" applyAlignment="1">
      <alignment horizontal="center" vertical="center"/>
    </xf>
    <xf numFmtId="226" fontId="58" fillId="0" borderId="514" xfId="2" applyNumberFormat="1" applyFont="1" applyFill="1" applyBorder="1" applyAlignment="1">
      <alignment horizontal="center" vertical="center"/>
    </xf>
    <xf numFmtId="187" fontId="58" fillId="0" borderId="135" xfId="2" applyNumberFormat="1" applyFont="1" applyFill="1" applyBorder="1" applyAlignment="1">
      <alignment horizontal="center" vertical="center"/>
    </xf>
    <xf numFmtId="187" fontId="46" fillId="15" borderId="121" xfId="0" applyNumberFormat="1" applyFont="1" applyFill="1" applyBorder="1" applyAlignment="1">
      <alignment horizontal="center" vertical="center"/>
    </xf>
    <xf numFmtId="183" fontId="166" fillId="0" borderId="567" xfId="0" applyNumberFormat="1" applyFont="1" applyBorder="1" applyAlignment="1">
      <alignment horizontal="center" vertical="center" wrapText="1"/>
    </xf>
    <xf numFmtId="0" fontId="166" fillId="0" borderId="576" xfId="0" applyFont="1" applyBorder="1" applyAlignment="1">
      <alignment horizontal="center" vertical="center" wrapText="1"/>
    </xf>
    <xf numFmtId="0" fontId="35" fillId="15" borderId="470" xfId="0" applyFont="1" applyFill="1" applyBorder="1" applyAlignment="1">
      <alignment horizontal="center" vertical="center" wrapText="1"/>
    </xf>
    <xf numFmtId="226" fontId="28" fillId="5" borderId="214" xfId="0" applyNumberFormat="1" applyFont="1" applyFill="1" applyBorder="1" applyAlignment="1">
      <alignment horizontal="center" vertical="center"/>
    </xf>
    <xf numFmtId="0" fontId="31" fillId="6" borderId="214" xfId="0" applyNumberFormat="1" applyFont="1" applyFill="1" applyBorder="1" applyAlignment="1">
      <alignment horizontal="center" vertical="center"/>
    </xf>
    <xf numFmtId="0" fontId="28" fillId="7" borderId="0" xfId="0" applyFont="1" applyFill="1" applyBorder="1" applyAlignment="1">
      <alignment horizontal="left" vertical="center"/>
    </xf>
    <xf numFmtId="0" fontId="177" fillId="125" borderId="467" xfId="0" applyFont="1" applyFill="1" applyBorder="1" applyAlignment="1">
      <alignment horizontal="center" vertical="center"/>
    </xf>
    <xf numFmtId="0" fontId="177" fillId="125" borderId="434" xfId="0" applyFont="1" applyFill="1" applyBorder="1" applyAlignment="1">
      <alignment horizontal="center" vertical="center"/>
    </xf>
    <xf numFmtId="0" fontId="177" fillId="125" borderId="119" xfId="0" applyFont="1" applyFill="1" applyBorder="1" applyAlignment="1">
      <alignment horizontal="center" vertical="center"/>
    </xf>
    <xf numFmtId="38" fontId="29" fillId="117" borderId="497" xfId="0" applyNumberFormat="1" applyFont="1" applyFill="1" applyBorder="1" applyAlignment="1">
      <alignment horizontal="center" vertical="center"/>
    </xf>
    <xf numFmtId="0" fontId="177" fillId="125" borderId="119" xfId="0" applyFont="1" applyFill="1" applyBorder="1" applyAlignment="1">
      <alignment horizontal="center" vertical="center"/>
    </xf>
    <xf numFmtId="0" fontId="177" fillId="125" borderId="121" xfId="0" applyFont="1" applyFill="1" applyBorder="1" applyAlignment="1">
      <alignment horizontal="center" vertical="center"/>
    </xf>
    <xf numFmtId="0" fontId="177" fillId="125" borderId="464" xfId="0" applyFont="1" applyFill="1" applyBorder="1" applyAlignment="1">
      <alignment horizontal="center" vertical="center"/>
    </xf>
    <xf numFmtId="187" fontId="228" fillId="0" borderId="567" xfId="0" applyNumberFormat="1" applyFont="1" applyBorder="1">
      <alignment vertical="center"/>
    </xf>
    <xf numFmtId="42" fontId="229" fillId="116" borderId="567" xfId="3" quotePrefix="1" applyFont="1" applyFill="1" applyBorder="1" applyAlignment="1">
      <alignment horizontal="center" vertical="center"/>
    </xf>
    <xf numFmtId="41" fontId="228" fillId="116" borderId="567" xfId="2" applyFont="1" applyFill="1" applyBorder="1" applyAlignment="1">
      <alignment horizontal="center" vertical="center"/>
    </xf>
    <xf numFmtId="3" fontId="177" fillId="125" borderId="45" xfId="2" applyNumberFormat="1" applyFont="1" applyFill="1" applyBorder="1" applyAlignment="1">
      <alignment horizontal="center" vertical="center" wrapText="1"/>
    </xf>
    <xf numFmtId="0" fontId="219" fillId="125" borderId="226" xfId="0" applyFont="1" applyFill="1" applyBorder="1" applyAlignment="1">
      <alignment horizontal="center" vertical="center" wrapText="1"/>
    </xf>
    <xf numFmtId="187" fontId="177" fillId="125" borderId="45" xfId="2" applyNumberFormat="1" applyFont="1" applyFill="1" applyBorder="1" applyAlignment="1">
      <alignment horizontal="center" vertical="center"/>
    </xf>
    <xf numFmtId="187" fontId="29" fillId="0" borderId="38" xfId="2" applyNumberFormat="1" applyFont="1" applyFill="1" applyBorder="1" applyAlignment="1">
      <alignment horizontal="center" vertical="center"/>
    </xf>
    <xf numFmtId="187" fontId="29" fillId="0" borderId="495" xfId="2" applyNumberFormat="1" applyFont="1" applyFill="1" applyBorder="1" applyAlignment="1">
      <alignment horizontal="center" vertical="center"/>
    </xf>
    <xf numFmtId="187" fontId="29" fillId="0" borderId="45" xfId="2" applyNumberFormat="1" applyFont="1" applyFill="1" applyBorder="1" applyAlignment="1">
      <alignment horizontal="center" vertical="center"/>
    </xf>
    <xf numFmtId="0" fontId="37" fillId="7" borderId="567" xfId="0" applyFont="1" applyFill="1" applyBorder="1" applyAlignment="1">
      <alignment horizontal="center" vertical="center"/>
    </xf>
    <xf numFmtId="0" fontId="28" fillId="7" borderId="567" xfId="0" applyFont="1" applyFill="1" applyBorder="1" applyAlignment="1">
      <alignment horizontal="center" vertical="center"/>
    </xf>
    <xf numFmtId="187" fontId="228" fillId="3" borderId="567" xfId="0" applyNumberFormat="1" applyFont="1" applyFill="1" applyBorder="1" applyAlignment="1">
      <alignment horizontal="center" vertical="center"/>
    </xf>
    <xf numFmtId="177" fontId="37" fillId="3" borderId="497" xfId="0" applyNumberFormat="1" applyFont="1" applyFill="1" applyBorder="1" applyAlignment="1">
      <alignment horizontal="center" vertical="center"/>
    </xf>
    <xf numFmtId="0" fontId="35" fillId="6" borderId="512" xfId="0" applyFont="1" applyFill="1" applyBorder="1" applyAlignment="1">
      <alignment horizontal="center" vertical="center"/>
    </xf>
    <xf numFmtId="185" fontId="29" fillId="0" borderId="576" xfId="0" applyNumberFormat="1" applyFont="1" applyBorder="1" applyAlignment="1">
      <alignment horizontal="center" vertical="center" wrapText="1"/>
    </xf>
    <xf numFmtId="185" fontId="177" fillId="125" borderId="512" xfId="0" applyNumberFormat="1" applyFont="1" applyFill="1" applyBorder="1" applyAlignment="1">
      <alignment horizontal="center" vertical="center"/>
    </xf>
    <xf numFmtId="0" fontId="29" fillId="0" borderId="567" xfId="0" applyFont="1" applyBorder="1" applyAlignment="1">
      <alignment horizontal="center" vertical="center"/>
    </xf>
    <xf numFmtId="183" fontId="177" fillId="125" borderId="567" xfId="0" applyNumberFormat="1" applyFont="1" applyFill="1" applyBorder="1" applyAlignment="1">
      <alignment horizontal="center" vertical="center"/>
    </xf>
    <xf numFmtId="0" fontId="166" fillId="0" borderId="6" xfId="0" applyFont="1" applyBorder="1" applyAlignment="1">
      <alignment horizontal="center" vertical="center" wrapText="1"/>
    </xf>
    <xf numFmtId="0" fontId="166" fillId="0" borderId="38" xfId="0" applyFont="1" applyBorder="1" applyAlignment="1">
      <alignment horizontal="center" vertical="center" wrapText="1"/>
    </xf>
    <xf numFmtId="0" fontId="166" fillId="0" borderId="219" xfId="0" applyFont="1" applyBorder="1" applyAlignment="1">
      <alignment horizontal="center" vertical="center" wrapText="1"/>
    </xf>
    <xf numFmtId="0" fontId="166" fillId="0" borderId="464" xfId="0" applyFont="1" applyBorder="1" applyAlignment="1">
      <alignment horizontal="center" vertical="center" wrapText="1"/>
    </xf>
    <xf numFmtId="0" fontId="231" fillId="0" borderId="567" xfId="0" applyFont="1" applyBorder="1" applyAlignment="1">
      <alignment horizontal="center" vertical="center"/>
    </xf>
    <xf numFmtId="177" fontId="231" fillId="135" borderId="567" xfId="0" applyNumberFormat="1" applyFont="1" applyFill="1" applyBorder="1" applyAlignment="1">
      <alignment horizontal="center" vertical="center"/>
    </xf>
    <xf numFmtId="0" fontId="196" fillId="0" borderId="567" xfId="0" applyFont="1" applyBorder="1" applyAlignment="1"/>
    <xf numFmtId="0" fontId="232" fillId="0" borderId="567" xfId="0" applyFont="1" applyBorder="1" applyAlignment="1">
      <alignment horizontal="left" vertical="center"/>
    </xf>
    <xf numFmtId="177" fontId="232" fillId="134" borderId="567" xfId="0" applyNumberFormat="1" applyFont="1" applyFill="1" applyBorder="1" applyAlignment="1">
      <alignment horizontal="center" vertical="center"/>
    </xf>
    <xf numFmtId="177" fontId="233" fillId="3" borderId="567" xfId="0" applyNumberFormat="1" applyFont="1" applyFill="1" applyBorder="1" applyAlignment="1">
      <alignment horizontal="center" vertical="center"/>
    </xf>
    <xf numFmtId="177" fontId="234" fillId="0" borderId="567" xfId="0" applyNumberFormat="1" applyFont="1" applyBorder="1" applyAlignment="1">
      <alignment horizontal="center" vertical="center"/>
    </xf>
    <xf numFmtId="177" fontId="234" fillId="0" borderId="567" xfId="0" applyNumberFormat="1" applyFont="1" applyBorder="1" applyAlignment="1">
      <alignment horizontal="center"/>
    </xf>
    <xf numFmtId="0" fontId="231" fillId="0" borderId="567" xfId="0" applyFont="1" applyFill="1" applyBorder="1" applyAlignment="1">
      <alignment horizontal="center" vertical="center"/>
    </xf>
    <xf numFmtId="177" fontId="196" fillId="0" borderId="567" xfId="0" applyNumberFormat="1" applyFont="1" applyBorder="1" applyAlignment="1">
      <alignment horizontal="center"/>
    </xf>
    <xf numFmtId="0" fontId="232" fillId="0" borderId="567" xfId="0" applyFont="1" applyFill="1" applyBorder="1" applyAlignment="1">
      <alignment horizontal="left" vertical="center"/>
    </xf>
    <xf numFmtId="0" fontId="196" fillId="0" borderId="0" xfId="0" applyFont="1" applyAlignment="1">
      <alignment horizontal="center" vertical="center"/>
    </xf>
    <xf numFmtId="3" fontId="177" fillId="125" borderId="328" xfId="2" applyNumberFormat="1" applyFont="1" applyFill="1" applyBorder="1" applyAlignment="1">
      <alignment horizontal="center" vertical="center" wrapText="1"/>
    </xf>
    <xf numFmtId="0" fontId="219" fillId="125" borderId="285" xfId="0" applyFont="1" applyFill="1" applyBorder="1" applyAlignment="1">
      <alignment horizontal="center" vertical="center" wrapText="1"/>
    </xf>
    <xf numFmtId="187" fontId="177" fillId="125" borderId="514" xfId="2" applyNumberFormat="1" applyFont="1" applyFill="1" applyBorder="1" applyAlignment="1">
      <alignment horizontal="center" vertical="center"/>
    </xf>
    <xf numFmtId="179" fontId="0" fillId="15" borderId="434" xfId="0" applyNumberFormat="1" applyFill="1" applyBorder="1" applyAlignment="1">
      <alignment horizontal="center" vertical="center"/>
    </xf>
    <xf numFmtId="0" fontId="225" fillId="127" borderId="463" xfId="0" applyFont="1" applyFill="1" applyBorder="1" applyAlignment="1">
      <alignment horizontal="center" vertical="center"/>
    </xf>
    <xf numFmtId="0" fontId="225" fillId="127" borderId="514" xfId="0" applyFont="1" applyFill="1" applyBorder="1" applyAlignment="1">
      <alignment horizontal="center" vertical="center"/>
    </xf>
    <xf numFmtId="3" fontId="197" fillId="117" borderId="512" xfId="0" applyNumberFormat="1" applyFont="1" applyFill="1" applyBorder="1" applyAlignment="1">
      <alignment horizontal="center" vertical="center"/>
    </xf>
    <xf numFmtId="3" fontId="197" fillId="117" borderId="513" xfId="0" applyNumberFormat="1" applyFont="1" applyFill="1" applyBorder="1" applyAlignment="1">
      <alignment horizontal="center" vertical="center"/>
    </xf>
    <xf numFmtId="3" fontId="197" fillId="117" borderId="514" xfId="0" applyNumberFormat="1" applyFont="1" applyFill="1" applyBorder="1" applyAlignment="1">
      <alignment horizontal="center" vertical="center"/>
    </xf>
    <xf numFmtId="0" fontId="177" fillId="125" borderId="45" xfId="0" quotePrefix="1" applyFont="1" applyFill="1" applyBorder="1" applyAlignment="1">
      <alignment horizontal="center" vertical="center"/>
    </xf>
    <xf numFmtId="0" fontId="177" fillId="125" borderId="47" xfId="0" quotePrefix="1" applyFont="1" applyFill="1" applyBorder="1" applyAlignment="1">
      <alignment horizontal="center" vertical="center"/>
    </xf>
    <xf numFmtId="3" fontId="29" fillId="7" borderId="46" xfId="2" applyNumberFormat="1" applyFont="1" applyFill="1" applyBorder="1" applyAlignment="1">
      <alignment horizontal="center" vertical="center"/>
    </xf>
    <xf numFmtId="3" fontId="29" fillId="7" borderId="495" xfId="2" applyNumberFormat="1" applyFont="1" applyFill="1" applyBorder="1" applyAlignment="1">
      <alignment horizontal="center" vertical="center"/>
    </xf>
    <xf numFmtId="187" fontId="235" fillId="3" borderId="567" xfId="0" applyNumberFormat="1" applyFont="1" applyFill="1" applyBorder="1" applyAlignment="1">
      <alignment horizontal="center" vertical="center"/>
    </xf>
    <xf numFmtId="0" fontId="37" fillId="15" borderId="497" xfId="0" applyFont="1" applyFill="1" applyBorder="1" applyAlignment="1">
      <alignment horizontal="center" vertical="center"/>
    </xf>
    <xf numFmtId="0" fontId="28" fillId="15" borderId="497" xfId="0" applyFont="1" applyFill="1" applyBorder="1" applyAlignment="1">
      <alignment horizontal="center" vertical="center"/>
    </xf>
    <xf numFmtId="0" fontId="37" fillId="15" borderId="567" xfId="0" applyFont="1" applyFill="1" applyBorder="1" applyAlignment="1">
      <alignment horizontal="center" vertical="center"/>
    </xf>
    <xf numFmtId="0" fontId="177" fillId="127" borderId="6" xfId="0" applyFont="1" applyFill="1" applyBorder="1" applyAlignment="1">
      <alignment horizontal="center" vertical="center"/>
    </xf>
    <xf numFmtId="0" fontId="177" fillId="127" borderId="567" xfId="0" applyFont="1" applyFill="1" applyBorder="1" applyAlignment="1">
      <alignment horizontal="center" vertical="center"/>
    </xf>
    <xf numFmtId="9" fontId="29" fillId="0" borderId="200" xfId="1" applyFont="1" applyFill="1" applyBorder="1" applyAlignment="1">
      <alignment horizontal="center" vertical="center"/>
    </xf>
    <xf numFmtId="0" fontId="177" fillId="125" borderId="513" xfId="0" applyFont="1" applyFill="1" applyBorder="1" applyAlignment="1">
      <alignment horizontal="center" vertical="center"/>
    </xf>
    <xf numFmtId="0" fontId="225" fillId="127" borderId="513" xfId="0" applyFont="1" applyFill="1" applyBorder="1" applyAlignment="1">
      <alignment horizontal="center" vertical="center"/>
    </xf>
    <xf numFmtId="3" fontId="177" fillId="125" borderId="226" xfId="2" applyNumberFormat="1" applyFont="1" applyFill="1" applyBorder="1" applyAlignment="1">
      <alignment horizontal="center" vertical="center" wrapText="1"/>
    </xf>
    <xf numFmtId="0" fontId="177" fillId="127" borderId="47" xfId="0" applyFont="1" applyFill="1" applyBorder="1" applyAlignment="1">
      <alignment horizontal="center" vertical="center"/>
    </xf>
    <xf numFmtId="183" fontId="58" fillId="7" borderId="567" xfId="2" applyNumberFormat="1" applyFont="1" applyFill="1" applyBorder="1" applyAlignment="1">
      <alignment horizontal="center" vertical="center"/>
    </xf>
    <xf numFmtId="183" fontId="58" fillId="7" borderId="513" xfId="2" applyNumberFormat="1" applyFont="1" applyFill="1" applyBorder="1" applyAlignment="1">
      <alignment horizontal="center" vertical="center"/>
    </xf>
    <xf numFmtId="183" fontId="58" fillId="0" borderId="567" xfId="2" applyNumberFormat="1" applyFont="1" applyBorder="1" applyAlignment="1">
      <alignment horizontal="center" vertical="center"/>
    </xf>
    <xf numFmtId="2" fontId="29" fillId="0" borderId="513" xfId="0" applyNumberFormat="1" applyFont="1" applyFill="1" applyBorder="1" applyAlignment="1">
      <alignment horizontal="center" vertical="center"/>
    </xf>
    <xf numFmtId="183" fontId="58" fillId="7" borderId="5" xfId="2" applyNumberFormat="1" applyFont="1" applyFill="1" applyBorder="1" applyAlignment="1">
      <alignment horizontal="center" vertical="center"/>
    </xf>
    <xf numFmtId="183" fontId="58" fillId="7" borderId="279" xfId="2" applyNumberFormat="1" applyFont="1" applyFill="1" applyBorder="1" applyAlignment="1">
      <alignment horizontal="center" vertical="center"/>
    </xf>
    <xf numFmtId="178" fontId="58" fillId="7" borderId="580" xfId="0" applyNumberFormat="1" applyFont="1" applyFill="1" applyBorder="1" applyAlignment="1">
      <alignment horizontal="center" vertical="center"/>
    </xf>
    <xf numFmtId="187" fontId="58" fillId="7" borderId="228" xfId="0" applyNumberFormat="1" applyFont="1" applyFill="1" applyBorder="1" applyAlignment="1">
      <alignment horizontal="center" vertical="center"/>
    </xf>
    <xf numFmtId="226" fontId="58" fillId="7" borderId="279" xfId="2" applyNumberFormat="1" applyFont="1" applyFill="1" applyBorder="1" applyAlignment="1">
      <alignment horizontal="center" vertical="center"/>
    </xf>
    <xf numFmtId="187" fontId="58" fillId="0" borderId="513" xfId="2" applyNumberFormat="1" applyFont="1" applyFill="1" applyBorder="1" applyAlignment="1">
      <alignment horizontal="center" vertical="center"/>
    </xf>
    <xf numFmtId="187" fontId="58" fillId="7" borderId="513" xfId="2" applyNumberFormat="1" applyFont="1" applyFill="1" applyBorder="1" applyAlignment="1">
      <alignment horizontal="center" vertical="center"/>
    </xf>
    <xf numFmtId="2" fontId="58" fillId="0" borderId="567" xfId="0" applyNumberFormat="1" applyFont="1" applyBorder="1" applyAlignment="1">
      <alignment horizontal="center" vertical="center"/>
    </xf>
    <xf numFmtId="4" fontId="58" fillId="0" borderId="513" xfId="0" applyNumberFormat="1" applyFont="1" applyBorder="1" applyAlignment="1">
      <alignment horizontal="center" vertical="center"/>
    </xf>
    <xf numFmtId="2" fontId="29" fillId="0" borderId="567" xfId="0" applyNumberFormat="1" applyFont="1" applyBorder="1" applyAlignment="1">
      <alignment horizontal="center" vertical="center"/>
    </xf>
    <xf numFmtId="1" fontId="58" fillId="0" borderId="6" xfId="0" applyNumberFormat="1" applyFont="1" applyFill="1" applyBorder="1" applyAlignment="1">
      <alignment horizontal="center" vertical="center"/>
    </xf>
    <xf numFmtId="2" fontId="58" fillId="0" borderId="567" xfId="0" applyNumberFormat="1" applyFont="1" applyFill="1" applyBorder="1" applyAlignment="1">
      <alignment horizontal="center" vertical="center"/>
    </xf>
    <xf numFmtId="176" fontId="58" fillId="0" borderId="513" xfId="0" applyNumberFormat="1" applyFont="1" applyFill="1" applyBorder="1" applyAlignment="1">
      <alignment horizontal="center" vertical="center"/>
    </xf>
    <xf numFmtId="2" fontId="58" fillId="0" borderId="5" xfId="0" applyNumberFormat="1" applyFont="1" applyFill="1" applyBorder="1" applyAlignment="1">
      <alignment horizontal="center" vertical="center"/>
    </xf>
    <xf numFmtId="3" fontId="58" fillId="0" borderId="513" xfId="0" applyNumberFormat="1" applyFont="1" applyBorder="1" applyAlignment="1">
      <alignment horizontal="center" vertical="center"/>
    </xf>
    <xf numFmtId="0" fontId="177" fillId="125" borderId="567" xfId="0" quotePrefix="1" applyFont="1" applyFill="1" applyBorder="1" applyAlignment="1">
      <alignment horizontal="center" vertical="center"/>
    </xf>
    <xf numFmtId="187" fontId="58" fillId="0" borderId="567" xfId="2" applyNumberFormat="1" applyFont="1" applyBorder="1" applyAlignment="1">
      <alignment horizontal="center" vertical="center"/>
    </xf>
    <xf numFmtId="226" fontId="58" fillId="0" borderId="567" xfId="2" applyNumberFormat="1" applyFont="1" applyBorder="1" applyAlignment="1">
      <alignment horizontal="center" vertical="center"/>
    </xf>
    <xf numFmtId="226" fontId="58" fillId="0" borderId="513" xfId="2" applyNumberFormat="1" applyFont="1" applyBorder="1" applyAlignment="1">
      <alignment horizontal="center" vertical="center"/>
    </xf>
    <xf numFmtId="226" fontId="58" fillId="7" borderId="567" xfId="2" applyNumberFormat="1" applyFont="1" applyFill="1" applyBorder="1" applyAlignment="1">
      <alignment horizontal="center" vertical="center"/>
    </xf>
    <xf numFmtId="226" fontId="58" fillId="7" borderId="228" xfId="2" applyNumberFormat="1" applyFont="1" applyFill="1" applyBorder="1" applyAlignment="1">
      <alignment horizontal="center" vertical="center"/>
    </xf>
    <xf numFmtId="187" fontId="58" fillId="0" borderId="567" xfId="2" applyNumberFormat="1" applyFont="1" applyFill="1" applyBorder="1" applyAlignment="1">
      <alignment horizontal="center" vertical="center"/>
    </xf>
    <xf numFmtId="226" fontId="58" fillId="0" borderId="133" xfId="2" applyNumberFormat="1" applyFont="1" applyBorder="1" applyAlignment="1">
      <alignment horizontal="center" vertical="center"/>
    </xf>
    <xf numFmtId="226" fontId="58" fillId="0" borderId="279" xfId="2" applyNumberFormat="1" applyFont="1" applyBorder="1" applyAlignment="1">
      <alignment horizontal="center" vertical="center"/>
    </xf>
    <xf numFmtId="187" fontId="58" fillId="0" borderId="513" xfId="2" applyNumberFormat="1" applyFont="1" applyBorder="1" applyAlignment="1">
      <alignment horizontal="center" vertical="center"/>
    </xf>
    <xf numFmtId="185" fontId="58" fillId="0" borderId="120" xfId="0" applyNumberFormat="1" applyFont="1" applyFill="1" applyBorder="1" applyAlignment="1">
      <alignment horizontal="center" vertical="center"/>
    </xf>
    <xf numFmtId="185" fontId="58" fillId="0" borderId="567" xfId="0" applyNumberFormat="1" applyFont="1" applyFill="1" applyBorder="1" applyAlignment="1">
      <alignment horizontal="center" vertical="center"/>
    </xf>
    <xf numFmtId="2" fontId="58" fillId="0" borderId="513" xfId="0" applyNumberFormat="1" applyFont="1" applyFill="1" applyBorder="1" applyAlignment="1">
      <alignment horizontal="center" vertical="center"/>
    </xf>
    <xf numFmtId="226" fontId="58" fillId="7" borderId="120" xfId="2" applyNumberFormat="1" applyFont="1" applyFill="1" applyBorder="1" applyAlignment="1">
      <alignment horizontal="center" vertical="center"/>
    </xf>
    <xf numFmtId="0" fontId="177" fillId="125" borderId="567" xfId="0" applyFont="1" applyFill="1" applyBorder="1" applyAlignment="1">
      <alignment horizontal="center" vertical="center" wrapText="1"/>
    </xf>
    <xf numFmtId="10" fontId="166" fillId="0" borderId="567" xfId="0" applyNumberFormat="1" applyFont="1" applyBorder="1" applyAlignment="1">
      <alignment horizontal="center" vertical="center" wrapText="1"/>
    </xf>
    <xf numFmtId="0" fontId="177" fillId="125" borderId="567" xfId="0" applyFont="1" applyFill="1" applyBorder="1" applyAlignment="1">
      <alignment horizontal="center" vertical="center"/>
    </xf>
    <xf numFmtId="183" fontId="29" fillId="0" borderId="567" xfId="0" applyNumberFormat="1" applyFont="1" applyBorder="1" applyAlignment="1">
      <alignment horizontal="center" vertical="center"/>
    </xf>
    <xf numFmtId="183" fontId="58" fillId="0" borderId="513" xfId="2" applyNumberFormat="1" applyFont="1" applyBorder="1" applyAlignment="1">
      <alignment horizontal="center" vertical="center"/>
    </xf>
    <xf numFmtId="183" fontId="58" fillId="7" borderId="224" xfId="2" applyNumberFormat="1" applyFont="1" applyFill="1" applyBorder="1" applyAlignment="1">
      <alignment horizontal="center" vertical="center"/>
    </xf>
    <xf numFmtId="178" fontId="58" fillId="0" borderId="6" xfId="2" applyNumberFormat="1" applyFont="1" applyFill="1" applyBorder="1" applyAlignment="1">
      <alignment horizontal="center" vertical="center"/>
    </xf>
    <xf numFmtId="178" fontId="58" fillId="7" borderId="224" xfId="2" applyNumberFormat="1" applyFont="1" applyFill="1" applyBorder="1" applyAlignment="1">
      <alignment horizontal="center" vertical="center"/>
    </xf>
    <xf numFmtId="183" fontId="58" fillId="7" borderId="332" xfId="2" applyNumberFormat="1" applyFont="1" applyFill="1" applyBorder="1" applyAlignment="1">
      <alignment horizontal="center" vertical="center"/>
    </xf>
    <xf numFmtId="183" fontId="58" fillId="7" borderId="228" xfId="2" applyNumberFormat="1" applyFont="1" applyFill="1" applyBorder="1" applyAlignment="1">
      <alignment horizontal="center" vertical="center"/>
    </xf>
    <xf numFmtId="177" fontId="29" fillId="7" borderId="515" xfId="0" applyNumberFormat="1" applyFont="1" applyFill="1" applyBorder="1" applyAlignment="1">
      <alignment horizontal="center" vertical="center"/>
    </xf>
    <xf numFmtId="0" fontId="0" fillId="11" borderId="578" xfId="0" applyFill="1" applyBorder="1" applyAlignment="1" applyProtection="1">
      <protection locked="0"/>
    </xf>
    <xf numFmtId="0" fontId="0" fillId="12" borderId="578" xfId="0" applyFill="1" applyBorder="1" applyAlignment="1" applyProtection="1">
      <protection locked="0"/>
    </xf>
    <xf numFmtId="0" fontId="29" fillId="7" borderId="518" xfId="0" applyFont="1" applyFill="1" applyBorder="1" applyAlignment="1">
      <alignment horizontal="center" vertical="center"/>
    </xf>
    <xf numFmtId="187" fontId="0" fillId="11" borderId="495" xfId="0" applyNumberFormat="1" applyFill="1" applyBorder="1" applyAlignment="1" applyProtection="1">
      <alignment horizontal="center" vertical="center"/>
      <protection locked="0"/>
    </xf>
    <xf numFmtId="187" fontId="0" fillId="12" borderId="495" xfId="0" applyNumberFormat="1" applyFill="1" applyBorder="1" applyAlignment="1" applyProtection="1">
      <alignment horizontal="center" vertical="center"/>
      <protection locked="0"/>
    </xf>
    <xf numFmtId="177" fontId="29" fillId="7" borderId="514" xfId="0" applyNumberFormat="1" applyFont="1" applyFill="1" applyBorder="1" applyAlignment="1">
      <alignment horizontal="center" vertical="center"/>
    </xf>
    <xf numFmtId="187" fontId="29" fillId="7" borderId="495" xfId="0" applyNumberFormat="1" applyFont="1" applyFill="1" applyBorder="1" applyAlignment="1">
      <alignment horizontal="center" vertical="center"/>
    </xf>
    <xf numFmtId="187" fontId="0" fillId="11" borderId="470" xfId="0" applyNumberFormat="1" applyFill="1" applyBorder="1" applyAlignment="1" applyProtection="1">
      <alignment horizontal="center" vertical="center"/>
      <protection locked="0"/>
    </xf>
    <xf numFmtId="187" fontId="0" fillId="12" borderId="470" xfId="0" applyNumberFormat="1" applyFill="1" applyBorder="1" applyAlignment="1" applyProtection="1">
      <alignment horizontal="center" vertical="center"/>
      <protection locked="0"/>
    </xf>
    <xf numFmtId="177" fontId="29" fillId="7" borderId="516" xfId="0" applyNumberFormat="1" applyFont="1" applyFill="1" applyBorder="1" applyAlignment="1">
      <alignment horizontal="center" vertical="center"/>
    </xf>
    <xf numFmtId="187" fontId="29" fillId="7" borderId="470" xfId="0" applyNumberFormat="1" applyFont="1" applyFill="1" applyBorder="1" applyAlignment="1">
      <alignment horizontal="center" vertical="center"/>
    </xf>
    <xf numFmtId="187" fontId="0" fillId="11" borderId="576" xfId="0" applyNumberFormat="1" applyFill="1" applyBorder="1" applyAlignment="1" applyProtection="1">
      <alignment horizontal="center" vertical="center"/>
      <protection locked="0"/>
    </xf>
    <xf numFmtId="187" fontId="0" fillId="11" borderId="577" xfId="0" applyNumberFormat="1" applyFill="1" applyBorder="1" applyAlignment="1" applyProtection="1">
      <alignment horizontal="center" vertical="center"/>
      <protection locked="0"/>
    </xf>
    <xf numFmtId="187" fontId="0" fillId="12" borderId="576" xfId="0" applyNumberFormat="1" applyFill="1" applyBorder="1" applyAlignment="1" applyProtection="1">
      <alignment horizontal="center" vertical="center"/>
      <protection locked="0"/>
    </xf>
    <xf numFmtId="187" fontId="0" fillId="12" borderId="577" xfId="0" applyNumberFormat="1" applyFill="1" applyBorder="1" applyAlignment="1" applyProtection="1">
      <alignment horizontal="center" vertical="center"/>
      <protection locked="0"/>
    </xf>
    <xf numFmtId="177" fontId="29" fillId="7" borderId="512" xfId="0" applyNumberFormat="1" applyFont="1" applyFill="1" applyBorder="1" applyAlignment="1">
      <alignment horizontal="center" vertical="center"/>
    </xf>
    <xf numFmtId="187" fontId="29" fillId="7" borderId="576" xfId="0" applyNumberFormat="1" applyFont="1" applyFill="1" applyBorder="1" applyAlignment="1">
      <alignment horizontal="center" vertical="center"/>
    </xf>
    <xf numFmtId="187" fontId="29" fillId="7" borderId="577" xfId="0" applyNumberFormat="1" applyFont="1" applyFill="1" applyBorder="1" applyAlignment="1">
      <alignment horizontal="center" vertical="center"/>
    </xf>
    <xf numFmtId="0" fontId="0" fillId="11" borderId="403" xfId="0" applyFill="1" applyBorder="1" applyAlignment="1" applyProtection="1">
      <protection locked="0"/>
    </xf>
    <xf numFmtId="187" fontId="0" fillId="11" borderId="219" xfId="0" applyNumberFormat="1" applyFill="1" applyBorder="1" applyAlignment="1" applyProtection="1">
      <alignment horizontal="center" vertical="center"/>
      <protection locked="0"/>
    </xf>
    <xf numFmtId="187" fontId="0" fillId="11" borderId="200" xfId="0" applyNumberFormat="1" applyFill="1" applyBorder="1" applyAlignment="1" applyProtection="1">
      <alignment horizontal="center" vertical="center"/>
      <protection locked="0"/>
    </xf>
    <xf numFmtId="187" fontId="0" fillId="11" borderId="23" xfId="0" applyNumberFormat="1" applyFill="1" applyBorder="1" applyAlignment="1" applyProtection="1">
      <alignment horizontal="center" vertical="center"/>
      <protection locked="0"/>
    </xf>
    <xf numFmtId="187" fontId="0" fillId="11" borderId="38" xfId="0" applyNumberFormat="1" applyFill="1" applyBorder="1" applyAlignment="1" applyProtection="1">
      <alignment horizontal="center" vertical="center"/>
      <protection locked="0"/>
    </xf>
    <xf numFmtId="187" fontId="29" fillId="7" borderId="23" xfId="0" applyNumberFormat="1" applyFont="1" applyFill="1" applyBorder="1" applyAlignment="1">
      <alignment horizontal="center" vertical="center"/>
    </xf>
    <xf numFmtId="187" fontId="29" fillId="7" borderId="38" xfId="0" applyNumberFormat="1" applyFont="1" applyFill="1" applyBorder="1" applyAlignment="1">
      <alignment horizontal="center" vertical="center"/>
    </xf>
    <xf numFmtId="187" fontId="29" fillId="7" borderId="219" xfId="0" applyNumberFormat="1" applyFont="1" applyFill="1" applyBorder="1" applyAlignment="1">
      <alignment horizontal="center" vertical="center"/>
    </xf>
    <xf numFmtId="187" fontId="29" fillId="7" borderId="200" xfId="0" applyNumberFormat="1" applyFont="1" applyFill="1" applyBorder="1" applyAlignment="1">
      <alignment horizontal="center" vertical="center"/>
    </xf>
    <xf numFmtId="177" fontId="29" fillId="7" borderId="219" xfId="0" applyNumberFormat="1" applyFont="1" applyFill="1" applyBorder="1" applyAlignment="1">
      <alignment horizontal="center" vertical="center"/>
    </xf>
    <xf numFmtId="177" fontId="29" fillId="7" borderId="200" xfId="0" applyNumberFormat="1" applyFont="1" applyFill="1" applyBorder="1" applyAlignment="1">
      <alignment horizontal="center" vertical="center"/>
    </xf>
    <xf numFmtId="0" fontId="29" fillId="7" borderId="285" xfId="0" applyFont="1" applyFill="1" applyBorder="1">
      <alignment vertical="center"/>
    </xf>
    <xf numFmtId="0" fontId="29" fillId="7" borderId="223" xfId="0" applyFont="1" applyFill="1" applyBorder="1">
      <alignment vertical="center"/>
    </xf>
    <xf numFmtId="0" fontId="29" fillId="7" borderId="227" xfId="0" applyFont="1" applyFill="1" applyBorder="1">
      <alignment vertical="center"/>
    </xf>
    <xf numFmtId="0" fontId="29" fillId="7" borderId="286" xfId="0" applyFont="1" applyFill="1" applyBorder="1">
      <alignment vertical="center"/>
    </xf>
    <xf numFmtId="0" fontId="29" fillId="7" borderId="226" xfId="0" applyFont="1" applyFill="1" applyBorder="1">
      <alignment vertical="center"/>
    </xf>
    <xf numFmtId="0" fontId="29" fillId="3" borderId="286" xfId="0" applyFont="1" applyFill="1" applyBorder="1" applyAlignment="1">
      <alignment horizontal="center" vertical="center"/>
    </xf>
    <xf numFmtId="0" fontId="29" fillId="3" borderId="226" xfId="0" applyFont="1" applyFill="1" applyBorder="1" applyAlignment="1">
      <alignment horizontal="center" vertical="center"/>
    </xf>
    <xf numFmtId="0" fontId="29" fillId="3" borderId="223" xfId="0" applyFont="1" applyFill="1" applyBorder="1" applyAlignment="1">
      <alignment horizontal="center" vertical="center"/>
    </xf>
    <xf numFmtId="0" fontId="29" fillId="3" borderId="227" xfId="0" applyFont="1" applyFill="1" applyBorder="1" applyAlignment="1">
      <alignment horizontal="center" vertical="center"/>
    </xf>
    <xf numFmtId="4" fontId="29" fillId="15" borderId="567" xfId="2" applyNumberFormat="1" applyFont="1" applyFill="1" applyBorder="1" applyAlignment="1">
      <alignment horizontal="center" vertical="center"/>
    </xf>
    <xf numFmtId="183" fontId="29" fillId="117" borderId="464" xfId="2" applyNumberFormat="1" applyFont="1" applyFill="1" applyBorder="1" applyAlignment="1">
      <alignment horizontal="center" vertical="center"/>
    </xf>
    <xf numFmtId="230" fontId="29" fillId="7" borderId="465" xfId="0" applyNumberFormat="1" applyFont="1" applyFill="1" applyBorder="1" applyAlignment="1">
      <alignment horizontal="center" vertical="center"/>
    </xf>
    <xf numFmtId="230" fontId="29" fillId="7" borderId="464" xfId="0" applyNumberFormat="1" applyFont="1" applyFill="1" applyBorder="1" applyAlignment="1">
      <alignment horizontal="center" vertical="center"/>
    </xf>
    <xf numFmtId="226" fontId="58" fillId="0" borderId="461" xfId="0" applyNumberFormat="1" applyFont="1" applyFill="1" applyBorder="1" applyAlignment="1">
      <alignment horizontal="center" vertical="center"/>
    </xf>
    <xf numFmtId="226" fontId="58" fillId="0" borderId="446" xfId="0" applyNumberFormat="1" applyFont="1" applyFill="1" applyBorder="1" applyAlignment="1">
      <alignment horizontal="center" vertical="center"/>
    </xf>
    <xf numFmtId="226" fontId="58" fillId="0" borderId="495" xfId="0" applyNumberFormat="1" applyFont="1" applyFill="1" applyBorder="1" applyAlignment="1">
      <alignment horizontal="center" vertical="center"/>
    </xf>
    <xf numFmtId="226" fontId="58" fillId="0" borderId="476" xfId="0" applyNumberFormat="1" applyFont="1" applyFill="1" applyBorder="1" applyAlignment="1">
      <alignment horizontal="center" vertical="center"/>
    </xf>
    <xf numFmtId="226" fontId="58" fillId="0" borderId="448" xfId="0" applyNumberFormat="1" applyFont="1" applyFill="1" applyBorder="1" applyAlignment="1">
      <alignment horizontal="center" vertical="center"/>
    </xf>
    <xf numFmtId="226" fontId="58" fillId="0" borderId="514" xfId="0" applyNumberFormat="1" applyFont="1" applyFill="1" applyBorder="1" applyAlignment="1">
      <alignment horizontal="center" vertical="center"/>
    </xf>
    <xf numFmtId="226" fontId="46" fillId="15" borderId="461" xfId="0" applyNumberFormat="1" applyFont="1" applyFill="1" applyBorder="1" applyAlignment="1">
      <alignment horizontal="center" vertical="center"/>
    </xf>
    <xf numFmtId="226" fontId="46" fillId="15" borderId="446" xfId="0" applyNumberFormat="1" applyFont="1" applyFill="1" applyBorder="1" applyAlignment="1">
      <alignment horizontal="center" vertical="center"/>
    </xf>
    <xf numFmtId="226" fontId="46" fillId="15" borderId="495" xfId="0" applyNumberFormat="1" applyFont="1" applyFill="1" applyBorder="1" applyAlignment="1">
      <alignment horizontal="center" vertical="center"/>
    </xf>
    <xf numFmtId="226" fontId="46" fillId="15" borderId="463" xfId="0" applyNumberFormat="1" applyFont="1" applyFill="1" applyBorder="1" applyAlignment="1">
      <alignment horizontal="center" vertical="center"/>
    </xf>
    <xf numFmtId="226" fontId="46" fillId="15" borderId="447" xfId="0" applyNumberFormat="1" applyFont="1" applyFill="1" applyBorder="1" applyAlignment="1">
      <alignment horizontal="center" vertical="center"/>
    </xf>
    <xf numFmtId="226" fontId="206" fillId="3" borderId="476" xfId="0" applyNumberFormat="1" applyFont="1" applyFill="1" applyBorder="1" applyAlignment="1">
      <alignment horizontal="center" vertical="center"/>
    </xf>
    <xf numFmtId="226" fontId="206" fillId="3" borderId="448" xfId="0" applyNumberFormat="1" applyFont="1" applyFill="1" applyBorder="1" applyAlignment="1">
      <alignment horizontal="center" vertical="center"/>
    </xf>
    <xf numFmtId="226" fontId="206" fillId="3" borderId="514" xfId="0" applyNumberFormat="1" applyFont="1" applyFill="1" applyBorder="1" applyAlignment="1">
      <alignment horizontal="center" vertical="center"/>
    </xf>
    <xf numFmtId="226" fontId="206" fillId="3" borderId="515" xfId="0" applyNumberFormat="1" applyFont="1" applyFill="1" applyBorder="1" applyAlignment="1">
      <alignment horizontal="center" vertical="center"/>
    </xf>
    <xf numFmtId="176" fontId="29" fillId="0" borderId="121" xfId="1" applyNumberFormat="1" applyFont="1" applyFill="1" applyBorder="1" applyAlignment="1">
      <alignment horizontal="center" vertical="center"/>
    </xf>
    <xf numFmtId="179" fontId="58" fillId="7" borderId="567" xfId="2" applyNumberFormat="1" applyFont="1" applyFill="1" applyBorder="1" applyAlignment="1">
      <alignment horizontal="center" vertical="center"/>
    </xf>
    <xf numFmtId="4" fontId="58" fillId="7" borderId="567" xfId="2" applyNumberFormat="1" applyFont="1" applyFill="1" applyBorder="1" applyAlignment="1">
      <alignment horizontal="center" vertical="center"/>
    </xf>
    <xf numFmtId="38" fontId="29" fillId="7" borderId="567" xfId="2" applyNumberFormat="1" applyFont="1" applyFill="1" applyBorder="1" applyAlignment="1">
      <alignment horizontal="center" vertical="center"/>
    </xf>
    <xf numFmtId="9" fontId="29" fillId="7" borderId="567" xfId="1" applyFont="1" applyFill="1" applyBorder="1" applyAlignment="1">
      <alignment horizontal="center" vertical="center"/>
    </xf>
    <xf numFmtId="176" fontId="29" fillId="0" borderId="577" xfId="1" applyNumberFormat="1" applyFont="1" applyFill="1" applyBorder="1" applyAlignment="1">
      <alignment horizontal="center" vertical="center"/>
    </xf>
    <xf numFmtId="183" fontId="29" fillId="15" borderId="567" xfId="2" applyNumberFormat="1" applyFont="1" applyFill="1" applyBorder="1" applyAlignment="1">
      <alignment horizontal="center" vertical="center"/>
    </xf>
    <xf numFmtId="179" fontId="177" fillId="125" borderId="513" xfId="2" applyNumberFormat="1" applyFont="1" applyFill="1" applyBorder="1" applyAlignment="1">
      <alignment horizontal="center" vertical="center"/>
    </xf>
    <xf numFmtId="187" fontId="177" fillId="125" borderId="516" xfId="2" applyNumberFormat="1" applyFont="1" applyFill="1" applyBorder="1" applyAlignment="1">
      <alignment horizontal="center" vertical="center"/>
    </xf>
    <xf numFmtId="10" fontId="172" fillId="7" borderId="0" xfId="1" applyNumberFormat="1" applyFont="1" applyFill="1" applyBorder="1" applyAlignment="1">
      <alignment horizontal="center" vertical="center"/>
    </xf>
    <xf numFmtId="10" fontId="29" fillId="7" borderId="0" xfId="1" applyNumberFormat="1" applyFont="1" applyFill="1">
      <alignment vertical="center"/>
    </xf>
    <xf numFmtId="4" fontId="29" fillId="7" borderId="567" xfId="2" applyNumberFormat="1" applyFont="1" applyFill="1" applyBorder="1" applyAlignment="1">
      <alignment horizontal="center" vertical="center"/>
    </xf>
    <xf numFmtId="183" fontId="29" fillId="7" borderId="567" xfId="2" applyNumberFormat="1" applyFont="1" applyFill="1" applyBorder="1" applyAlignment="1">
      <alignment horizontal="center" vertical="center"/>
    </xf>
    <xf numFmtId="183" fontId="177" fillId="125" borderId="567" xfId="2" applyNumberFormat="1" applyFont="1" applyFill="1" applyBorder="1" applyAlignment="1">
      <alignment horizontal="center" vertical="center"/>
    </xf>
    <xf numFmtId="2" fontId="35" fillId="8" borderId="120" xfId="0" quotePrefix="1" applyNumberFormat="1" applyFont="1" applyFill="1" applyBorder="1" applyAlignment="1">
      <alignment horizontal="center" vertical="center"/>
    </xf>
    <xf numFmtId="227" fontId="29" fillId="7" borderId="567" xfId="2" applyNumberFormat="1" applyFont="1" applyFill="1" applyBorder="1" applyAlignment="1">
      <alignment horizontal="center" vertical="center"/>
    </xf>
    <xf numFmtId="183" fontId="29" fillId="0" borderId="567" xfId="2" applyNumberFormat="1" applyFont="1" applyFill="1" applyBorder="1" applyAlignment="1">
      <alignment horizontal="center" vertical="center"/>
    </xf>
    <xf numFmtId="183" fontId="29" fillId="0" borderId="6" xfId="2" applyNumberFormat="1" applyFont="1" applyFill="1" applyBorder="1" applyAlignment="1">
      <alignment horizontal="center" vertical="center"/>
    </xf>
    <xf numFmtId="3" fontId="29" fillId="7" borderId="120" xfId="2" applyNumberFormat="1" applyFont="1" applyFill="1" applyBorder="1" applyAlignment="1">
      <alignment horizontal="center" vertical="center"/>
    </xf>
    <xf numFmtId="3" fontId="29" fillId="7" borderId="567" xfId="2" applyNumberFormat="1" applyFont="1" applyFill="1" applyBorder="1" applyAlignment="1">
      <alignment horizontal="center" vertical="center"/>
    </xf>
    <xf numFmtId="183" fontId="29" fillId="7" borderId="567" xfId="2" applyNumberFormat="1" applyFont="1" applyFill="1" applyBorder="1" applyAlignment="1">
      <alignment horizontal="center" vertical="center" wrapText="1"/>
    </xf>
    <xf numFmtId="0" fontId="177" fillId="127" borderId="464" xfId="0" applyFont="1" applyFill="1" applyBorder="1" applyAlignment="1">
      <alignment horizontal="center" vertical="center"/>
    </xf>
    <xf numFmtId="0" fontId="177" fillId="127" borderId="6" xfId="0" applyFont="1" applyFill="1" applyBorder="1" applyAlignment="1">
      <alignment horizontal="center" vertical="center"/>
    </xf>
    <xf numFmtId="0" fontId="177" fillId="127" borderId="567" xfId="0" applyFont="1" applyFill="1" applyBorder="1" applyAlignment="1">
      <alignment horizontal="center" vertical="center"/>
    </xf>
    <xf numFmtId="0" fontId="177" fillId="127" borderId="120" xfId="0" applyFont="1" applyFill="1" applyBorder="1" applyAlignment="1">
      <alignment horizontal="center" vertical="center"/>
    </xf>
    <xf numFmtId="0" fontId="177" fillId="127" borderId="261" xfId="0" applyFont="1" applyFill="1" applyBorder="1" applyAlignment="1">
      <alignment horizontal="center" vertical="center"/>
    </xf>
    <xf numFmtId="0" fontId="177" fillId="127" borderId="497" xfId="0" applyFont="1" applyFill="1" applyBorder="1" applyAlignment="1">
      <alignment horizontal="center" vertical="center"/>
    </xf>
    <xf numFmtId="0" fontId="177" fillId="125" borderId="465" xfId="0" applyFont="1" applyFill="1" applyBorder="1" applyAlignment="1">
      <alignment horizontal="center" vertical="center"/>
    </xf>
    <xf numFmtId="0" fontId="177" fillId="127" borderId="228" xfId="0" applyFont="1" applyFill="1" applyBorder="1" applyAlignment="1">
      <alignment horizontal="center" vertical="center"/>
    </xf>
    <xf numFmtId="0" fontId="177" fillId="125" borderId="464" xfId="0" applyFont="1" applyFill="1" applyBorder="1" applyAlignment="1">
      <alignment horizontal="center" vertical="center"/>
    </xf>
    <xf numFmtId="0" fontId="172" fillId="7" borderId="0" xfId="0" applyFont="1" applyFill="1" applyBorder="1" applyAlignment="1">
      <alignment horizontal="center" vertical="center"/>
    </xf>
    <xf numFmtId="0" fontId="177" fillId="125" borderId="46" xfId="0" applyFont="1" applyFill="1" applyBorder="1" applyAlignment="1">
      <alignment horizontal="center" vertical="center"/>
    </xf>
    <xf numFmtId="0" fontId="177" fillId="125" borderId="47" xfId="0" applyFont="1" applyFill="1" applyBorder="1" applyAlignment="1">
      <alignment horizontal="center" vertical="center"/>
    </xf>
    <xf numFmtId="0" fontId="58" fillId="0" borderId="0" xfId="0" applyFont="1" applyFill="1" applyBorder="1" applyAlignment="1">
      <alignment horizontal="center" vertical="center"/>
    </xf>
    <xf numFmtId="0" fontId="177" fillId="125" borderId="512" xfId="0" applyFont="1" applyFill="1" applyBorder="1" applyAlignment="1">
      <alignment horizontal="center" vertical="center"/>
    </xf>
    <xf numFmtId="0" fontId="177" fillId="125" borderId="5" xfId="0" applyFont="1" applyFill="1" applyBorder="1" applyAlignment="1">
      <alignment horizontal="center" vertical="center"/>
    </xf>
    <xf numFmtId="0" fontId="177" fillId="127" borderId="576" xfId="0" applyFont="1" applyFill="1" applyBorder="1" applyAlignment="1">
      <alignment horizontal="center" vertical="center"/>
    </xf>
    <xf numFmtId="0" fontId="177" fillId="125" borderId="228" xfId="0" applyFont="1" applyFill="1" applyBorder="1" applyAlignment="1">
      <alignment horizontal="center" vertical="center"/>
    </xf>
    <xf numFmtId="3" fontId="29" fillId="15" borderId="45" xfId="2" applyNumberFormat="1" applyFont="1" applyFill="1" applyBorder="1" applyAlignment="1">
      <alignment horizontal="center" vertical="center"/>
    </xf>
    <xf numFmtId="3" fontId="29" fillId="15" borderId="495" xfId="2" applyNumberFormat="1" applyFont="1" applyFill="1" applyBorder="1" applyAlignment="1">
      <alignment horizontal="center" vertical="center"/>
    </xf>
    <xf numFmtId="38" fontId="177" fillId="125" borderId="567" xfId="2" applyNumberFormat="1" applyFont="1" applyFill="1" applyBorder="1" applyAlignment="1">
      <alignment horizontal="center" vertical="center"/>
    </xf>
    <xf numFmtId="178" fontId="29" fillId="0" borderId="567" xfId="0" applyNumberFormat="1" applyFont="1" applyBorder="1" applyAlignment="1">
      <alignment horizontal="center" vertical="center"/>
    </xf>
    <xf numFmtId="187" fontId="172" fillId="6" borderId="224" xfId="2" applyNumberFormat="1" applyFont="1" applyFill="1" applyBorder="1" applyAlignment="1">
      <alignment horizontal="center" vertical="center"/>
    </xf>
    <xf numFmtId="178" fontId="177" fillId="125" borderId="224" xfId="2" applyNumberFormat="1" applyFont="1" applyFill="1" applyBorder="1" applyAlignment="1">
      <alignment horizontal="center" vertical="center"/>
    </xf>
    <xf numFmtId="9" fontId="177" fillId="125" borderId="224" xfId="1" applyFont="1" applyFill="1" applyBorder="1" applyAlignment="1">
      <alignment horizontal="center" vertical="center"/>
    </xf>
    <xf numFmtId="41" fontId="58" fillId="0" borderId="0" xfId="0" applyNumberFormat="1" applyFont="1" applyFill="1" applyBorder="1" applyAlignment="1">
      <alignment horizontal="center" vertical="center"/>
    </xf>
    <xf numFmtId="3" fontId="29" fillId="0" borderId="119" xfId="2" applyNumberFormat="1" applyFont="1" applyFill="1" applyBorder="1" applyAlignment="1">
      <alignment horizontal="center" vertical="center" wrapText="1"/>
    </xf>
    <xf numFmtId="3" fontId="177" fillId="125" borderId="108" xfId="2" applyNumberFormat="1" applyFont="1" applyFill="1" applyBorder="1" applyAlignment="1">
      <alignment horizontal="center" vertical="center" wrapText="1"/>
    </xf>
    <xf numFmtId="178" fontId="177" fillId="125" borderId="286" xfId="2" applyNumberFormat="1" applyFont="1" applyFill="1" applyBorder="1" applyAlignment="1">
      <alignment horizontal="center" vertical="center"/>
    </xf>
    <xf numFmtId="38" fontId="177" fillId="125" borderId="226" xfId="2" applyNumberFormat="1" applyFont="1" applyFill="1" applyBorder="1" applyAlignment="1">
      <alignment horizontal="center" vertical="center"/>
    </xf>
    <xf numFmtId="178" fontId="177" fillId="125" borderId="512" xfId="0" applyNumberFormat="1" applyFont="1" applyFill="1" applyBorder="1" applyAlignment="1">
      <alignment horizontal="center" vertical="center"/>
    </xf>
    <xf numFmtId="10" fontId="29" fillId="0" borderId="576" xfId="0" applyNumberFormat="1" applyFont="1" applyBorder="1" applyAlignment="1">
      <alignment horizontal="center" vertical="center" wrapText="1"/>
    </xf>
    <xf numFmtId="183" fontId="29" fillId="0" borderId="576" xfId="0" applyNumberFormat="1" applyFont="1" applyBorder="1" applyAlignment="1">
      <alignment horizontal="center" vertical="center"/>
    </xf>
    <xf numFmtId="183" fontId="177" fillId="125" borderId="512" xfId="0" applyNumberFormat="1" applyFont="1" applyFill="1" applyBorder="1" applyAlignment="1">
      <alignment horizontal="center" vertical="center"/>
    </xf>
    <xf numFmtId="0" fontId="177" fillId="125" borderId="350" xfId="0" applyFont="1" applyFill="1" applyBorder="1" applyAlignment="1">
      <alignment horizontal="center" vertical="center"/>
    </xf>
    <xf numFmtId="0" fontId="219" fillId="125" borderId="228" xfId="0" applyFont="1" applyFill="1" applyBorder="1" applyAlignment="1">
      <alignment horizontal="center" vertical="center" wrapText="1"/>
    </xf>
    <xf numFmtId="0" fontId="177" fillId="125" borderId="332" xfId="0" applyFont="1" applyFill="1" applyBorder="1" applyAlignment="1">
      <alignment horizontal="center" vertical="center"/>
    </xf>
    <xf numFmtId="183" fontId="177" fillId="125" borderId="224" xfId="2" applyNumberFormat="1" applyFont="1" applyFill="1" applyBorder="1" applyAlignment="1">
      <alignment horizontal="center" vertical="center" wrapText="1"/>
    </xf>
    <xf numFmtId="183" fontId="177" fillId="125" borderId="226" xfId="2" applyNumberFormat="1" applyFont="1" applyFill="1" applyBorder="1" applyAlignment="1">
      <alignment horizontal="center" vertical="center" wrapText="1"/>
    </xf>
    <xf numFmtId="41" fontId="177" fillId="125" borderId="228" xfId="2" applyFont="1" applyFill="1" applyBorder="1" applyAlignment="1">
      <alignment horizontal="center" vertical="center"/>
    </xf>
    <xf numFmtId="3" fontId="177" fillId="125" borderId="228" xfId="2" applyNumberFormat="1" applyFont="1" applyFill="1" applyBorder="1" applyAlignment="1">
      <alignment horizontal="center" vertical="center" wrapText="1"/>
    </xf>
    <xf numFmtId="3" fontId="177" fillId="125" borderId="332" xfId="2" applyNumberFormat="1" applyFont="1" applyFill="1" applyBorder="1" applyAlignment="1">
      <alignment horizontal="center" vertical="center" wrapText="1"/>
    </xf>
    <xf numFmtId="0" fontId="177" fillId="127" borderId="467" xfId="0" applyFont="1" applyFill="1" applyBorder="1" applyAlignment="1">
      <alignment horizontal="center" vertical="center"/>
    </xf>
    <xf numFmtId="223" fontId="58" fillId="15" borderId="6" xfId="2" applyNumberFormat="1" applyFont="1" applyFill="1" applyBorder="1" applyAlignment="1">
      <alignment horizontal="center" vertical="center"/>
    </xf>
    <xf numFmtId="179" fontId="29" fillId="0" borderId="120" xfId="2" applyNumberFormat="1" applyFont="1" applyFill="1" applyBorder="1" applyAlignment="1">
      <alignment horizontal="center" vertical="center" wrapText="1"/>
    </xf>
    <xf numFmtId="179" fontId="29" fillId="0" borderId="567" xfId="2" applyNumberFormat="1" applyFont="1" applyFill="1" applyBorder="1" applyAlignment="1">
      <alignment horizontal="center" vertical="center" wrapText="1"/>
    </xf>
    <xf numFmtId="0" fontId="225" fillId="127" borderId="464" xfId="0" applyFont="1" applyFill="1" applyBorder="1" applyAlignment="1">
      <alignment horizontal="center" vertical="center"/>
    </xf>
    <xf numFmtId="179" fontId="197" fillId="0" borderId="464" xfId="0" applyNumberFormat="1" applyFont="1" applyBorder="1" applyAlignment="1">
      <alignment horizontal="center" vertical="center"/>
    </xf>
    <xf numFmtId="179" fontId="197" fillId="0" borderId="491" xfId="0" applyNumberFormat="1" applyFont="1" applyBorder="1" applyAlignment="1">
      <alignment horizontal="center" vertical="center"/>
    </xf>
    <xf numFmtId="179" fontId="197" fillId="0" borderId="463" xfId="0" applyNumberFormat="1" applyFont="1" applyBorder="1" applyAlignment="1">
      <alignment horizontal="center" vertical="center"/>
    </xf>
    <xf numFmtId="179" fontId="197" fillId="0" borderId="450" xfId="0" applyNumberFormat="1" applyFont="1" applyBorder="1" applyAlignment="1">
      <alignment horizontal="center" vertical="center"/>
    </xf>
    <xf numFmtId="0" fontId="225" fillId="127" borderId="6" xfId="0" applyFont="1" applyFill="1" applyBorder="1" applyAlignment="1">
      <alignment horizontal="center" vertical="center"/>
    </xf>
    <xf numFmtId="179" fontId="230" fillId="0" borderId="491" xfId="0" applyNumberFormat="1" applyFont="1" applyBorder="1" applyAlignment="1">
      <alignment horizontal="center" vertical="center"/>
    </xf>
    <xf numFmtId="183" fontId="197" fillId="0" borderId="464" xfId="0" applyNumberFormat="1" applyFont="1" applyFill="1" applyBorder="1" applyAlignment="1">
      <alignment horizontal="center" vertical="center"/>
    </xf>
    <xf numFmtId="183" fontId="197" fillId="0" borderId="6" xfId="0" applyNumberFormat="1" applyFont="1" applyFill="1" applyBorder="1" applyAlignment="1">
      <alignment horizontal="center" vertical="center"/>
    </xf>
    <xf numFmtId="41" fontId="178" fillId="127" borderId="513" xfId="2" applyFont="1" applyFill="1" applyBorder="1" applyAlignment="1">
      <alignment horizontal="center" vertical="center"/>
    </xf>
    <xf numFmtId="183" fontId="197" fillId="0" borderId="463" xfId="0" applyNumberFormat="1" applyFont="1" applyFill="1" applyBorder="1" applyAlignment="1">
      <alignment horizontal="center" vertical="center"/>
    </xf>
    <xf numFmtId="183" fontId="230" fillId="0" borderId="491" xfId="0" applyNumberFormat="1" applyFont="1" applyFill="1" applyBorder="1" applyAlignment="1">
      <alignment horizontal="center" vertical="center"/>
    </xf>
    <xf numFmtId="3" fontId="202" fillId="3" borderId="377" xfId="0" applyNumberFormat="1" applyFont="1" applyFill="1" applyBorder="1" applyAlignment="1">
      <alignment horizontal="center" vertical="center"/>
    </xf>
    <xf numFmtId="2" fontId="179" fillId="3" borderId="214" xfId="0" applyNumberFormat="1" applyFont="1" applyFill="1" applyBorder="1" applyAlignment="1">
      <alignment horizontal="center" vertical="center" wrapText="1" readingOrder="1"/>
    </xf>
    <xf numFmtId="3" fontId="58" fillId="7" borderId="464" xfId="2" applyNumberFormat="1" applyFont="1" applyFill="1" applyBorder="1" applyAlignment="1">
      <alignment horizontal="center" vertical="center"/>
    </xf>
    <xf numFmtId="183" fontId="177" fillId="0" borderId="0" xfId="2" applyNumberFormat="1" applyFont="1" applyFill="1" applyBorder="1" applyAlignment="1">
      <alignment horizontal="center" vertical="center" wrapText="1"/>
    </xf>
    <xf numFmtId="41" fontId="177" fillId="127" borderId="464" xfId="2" applyFont="1" applyFill="1" applyBorder="1" applyAlignment="1">
      <alignment horizontal="center" vertical="center"/>
    </xf>
    <xf numFmtId="41" fontId="177" fillId="127" borderId="6" xfId="2" applyFont="1" applyFill="1" applyBorder="1" applyAlignment="1">
      <alignment horizontal="center" vertical="center"/>
    </xf>
    <xf numFmtId="183" fontId="35" fillId="117" borderId="6" xfId="2" applyNumberFormat="1" applyFont="1" applyFill="1" applyBorder="1" applyAlignment="1">
      <alignment horizontal="center" vertical="center" wrapText="1"/>
    </xf>
    <xf numFmtId="0" fontId="225" fillId="127" borderId="224" xfId="0" applyFont="1" applyFill="1" applyBorder="1" applyAlignment="1">
      <alignment horizontal="center" vertical="center"/>
    </xf>
    <xf numFmtId="187" fontId="37" fillId="7" borderId="497" xfId="0" applyNumberFormat="1" applyFont="1" applyFill="1" applyBorder="1" applyAlignment="1">
      <alignment horizontal="center" vertical="center"/>
    </xf>
    <xf numFmtId="3" fontId="177" fillId="125" borderId="38" xfId="2" applyNumberFormat="1" applyFont="1" applyFill="1" applyBorder="1" applyAlignment="1">
      <alignment horizontal="center" vertical="center" wrapText="1"/>
    </xf>
    <xf numFmtId="0" fontId="219" fillId="125" borderId="44" xfId="0" applyFont="1" applyFill="1" applyBorder="1" applyAlignment="1">
      <alignment horizontal="center" vertical="center" wrapText="1"/>
    </xf>
    <xf numFmtId="3" fontId="197" fillId="0" borderId="512" xfId="0" applyNumberFormat="1" applyFont="1" applyFill="1" applyBorder="1" applyAlignment="1">
      <alignment horizontal="center" vertical="center"/>
    </xf>
    <xf numFmtId="3" fontId="197" fillId="0" borderId="513" xfId="0" applyNumberFormat="1" applyFont="1" applyFill="1" applyBorder="1" applyAlignment="1">
      <alignment horizontal="center" vertical="center"/>
    </xf>
    <xf numFmtId="3" fontId="197" fillId="0" borderId="514" xfId="0" applyNumberFormat="1" applyFont="1" applyFill="1" applyBorder="1" applyAlignment="1">
      <alignment horizontal="center" vertical="center"/>
    </xf>
    <xf numFmtId="223" fontId="35" fillId="131" borderId="226" xfId="0" applyNumberFormat="1" applyFont="1" applyFill="1" applyBorder="1" applyAlignment="1">
      <alignment horizontal="center" vertical="center"/>
    </xf>
    <xf numFmtId="223" fontId="230" fillId="0" borderId="38" xfId="0" applyNumberFormat="1" applyFont="1" applyFill="1" applyBorder="1" applyAlignment="1">
      <alignment horizontal="center" vertical="center"/>
    </xf>
    <xf numFmtId="223" fontId="230" fillId="0" borderId="514" xfId="0" applyNumberFormat="1" applyFont="1" applyFill="1" applyBorder="1" applyAlignment="1">
      <alignment horizontal="center" vertical="center"/>
    </xf>
    <xf numFmtId="3" fontId="29" fillId="0" borderId="120" xfId="2" applyNumberFormat="1" applyFont="1" applyFill="1" applyBorder="1" applyAlignment="1">
      <alignment horizontal="center" vertical="center"/>
    </xf>
    <xf numFmtId="3" fontId="227" fillId="117" borderId="513" xfId="0" applyNumberFormat="1" applyFont="1" applyFill="1" applyBorder="1" applyAlignment="1">
      <alignment horizontal="center" vertical="center"/>
    </xf>
    <xf numFmtId="0" fontId="219" fillId="117" borderId="224" xfId="0" applyFont="1" applyFill="1" applyBorder="1" applyAlignment="1">
      <alignment horizontal="center" vertical="center"/>
    </xf>
    <xf numFmtId="187" fontId="58" fillId="7" borderId="448" xfId="2" applyNumberFormat="1" applyFont="1" applyFill="1" applyBorder="1" applyAlignment="1">
      <alignment horizontal="center" vertical="center" wrapText="1"/>
    </xf>
    <xf numFmtId="187" fontId="58" fillId="0" borderId="448" xfId="2" applyNumberFormat="1" applyFont="1" applyBorder="1" applyAlignment="1">
      <alignment horizontal="center" vertical="center" wrapText="1"/>
    </xf>
    <xf numFmtId="38" fontId="58" fillId="15" borderId="513" xfId="2" applyNumberFormat="1" applyFont="1" applyFill="1" applyBorder="1" applyAlignment="1">
      <alignment horizontal="center" vertical="center"/>
    </xf>
    <xf numFmtId="2" fontId="58" fillId="0" borderId="516" xfId="0" applyNumberFormat="1" applyFont="1" applyFill="1" applyBorder="1" applyAlignment="1">
      <alignment horizontal="center" vertical="center"/>
    </xf>
    <xf numFmtId="183" fontId="28" fillId="3" borderId="214" xfId="0" applyNumberFormat="1" applyFont="1" applyFill="1" applyBorder="1" applyAlignment="1">
      <alignment horizontal="center" vertical="center"/>
    </xf>
    <xf numFmtId="38" fontId="58" fillId="0" borderId="567" xfId="2" applyNumberFormat="1" applyFont="1" applyFill="1" applyBorder="1" applyAlignment="1">
      <alignment horizontal="center" vertical="center"/>
    </xf>
    <xf numFmtId="0" fontId="177" fillId="127" borderId="6" xfId="0" applyFont="1" applyFill="1" applyBorder="1" applyAlignment="1">
      <alignment horizontal="center" vertical="center"/>
    </xf>
    <xf numFmtId="0" fontId="177" fillId="125" borderId="119" xfId="0" applyFont="1" applyFill="1" applyBorder="1" applyAlignment="1">
      <alignment horizontal="center" vertical="center"/>
    </xf>
    <xf numFmtId="0" fontId="177" fillId="125" borderId="512" xfId="0" applyFont="1" applyFill="1" applyBorder="1" applyAlignment="1">
      <alignment horizontal="center" vertical="center"/>
    </xf>
    <xf numFmtId="0" fontId="58" fillId="5" borderId="567" xfId="0" applyFont="1" applyFill="1" applyBorder="1" applyAlignment="1">
      <alignment horizontal="center" vertical="center" wrapText="1"/>
    </xf>
    <xf numFmtId="1" fontId="29" fillId="0" borderId="567" xfId="0" applyNumberFormat="1" applyFont="1" applyBorder="1" applyAlignment="1">
      <alignment horizontal="center" vertical="center"/>
    </xf>
    <xf numFmtId="2" fontId="58" fillId="7" borderId="567" xfId="0" applyNumberFormat="1" applyFont="1" applyFill="1" applyBorder="1" applyAlignment="1">
      <alignment horizontal="center" vertical="center"/>
    </xf>
    <xf numFmtId="223" fontId="28" fillId="7" borderId="30" xfId="1" quotePrefix="1" applyNumberFormat="1" applyFont="1" applyFill="1" applyBorder="1" applyAlignment="1">
      <alignment horizontal="center" vertical="center"/>
    </xf>
    <xf numFmtId="223" fontId="28" fillId="7" borderId="31" xfId="3" applyNumberFormat="1" applyFont="1" applyFill="1" applyBorder="1" applyAlignment="1">
      <alignment horizontal="center" vertical="center"/>
    </xf>
    <xf numFmtId="223" fontId="28" fillId="7" borderId="32" xfId="3" quotePrefix="1" applyNumberFormat="1" applyFont="1" applyFill="1" applyBorder="1" applyAlignment="1">
      <alignment horizontal="center" vertical="center"/>
    </xf>
    <xf numFmtId="223" fontId="28" fillId="7" borderId="32" xfId="2" quotePrefix="1" applyNumberFormat="1" applyFont="1" applyFill="1" applyBorder="1" applyAlignment="1">
      <alignment horizontal="center" vertical="center"/>
    </xf>
    <xf numFmtId="223" fontId="28" fillId="7" borderId="32" xfId="3" applyNumberFormat="1" applyFont="1" applyFill="1" applyBorder="1" applyAlignment="1">
      <alignment horizontal="center" vertical="center"/>
    </xf>
    <xf numFmtId="223" fontId="28" fillId="7" borderId="32" xfId="1" quotePrefix="1" applyNumberFormat="1" applyFont="1" applyFill="1" applyBorder="1" applyAlignment="1">
      <alignment horizontal="center" vertical="center"/>
    </xf>
    <xf numFmtId="223" fontId="28" fillId="7" borderId="21" xfId="1" quotePrefix="1" applyNumberFormat="1" applyFont="1" applyFill="1" applyBorder="1" applyAlignment="1">
      <alignment horizontal="center" vertical="center"/>
    </xf>
    <xf numFmtId="177" fontId="58" fillId="7" borderId="465" xfId="0" applyNumberFormat="1" applyFont="1" applyFill="1" applyBorder="1" applyAlignment="1">
      <alignment horizontal="center" vertical="center"/>
    </xf>
    <xf numFmtId="1" fontId="29" fillId="117" borderId="465" xfId="0" applyNumberFormat="1" applyFont="1" applyFill="1" applyBorder="1" applyAlignment="1">
      <alignment horizontal="center" vertical="center"/>
    </xf>
    <xf numFmtId="1" fontId="29" fillId="117" borderId="567" xfId="0" applyNumberFormat="1" applyFont="1" applyFill="1" applyBorder="1" applyAlignment="1">
      <alignment horizontal="center" vertical="center"/>
    </xf>
    <xf numFmtId="223" fontId="28" fillId="116" borderId="214" xfId="2" applyNumberFormat="1" applyFont="1" applyFill="1" applyBorder="1" applyAlignment="1">
      <alignment horizontal="center" vertical="center"/>
    </xf>
    <xf numFmtId="0" fontId="228" fillId="7" borderId="434" xfId="0" applyFont="1" applyFill="1" applyBorder="1" applyAlignment="1">
      <alignment horizontal="center" vertical="center" wrapText="1"/>
    </xf>
    <xf numFmtId="231" fontId="29" fillId="0" borderId="200" xfId="2" applyNumberFormat="1" applyFont="1" applyFill="1" applyBorder="1" applyAlignment="1">
      <alignment horizontal="center" vertical="center"/>
    </xf>
    <xf numFmtId="178" fontId="29" fillId="0" borderId="495" xfId="2" applyNumberFormat="1" applyFont="1" applyFill="1" applyBorder="1" applyAlignment="1">
      <alignment horizontal="center" vertical="center"/>
    </xf>
    <xf numFmtId="178" fontId="29" fillId="0" borderId="514" xfId="2" applyNumberFormat="1" applyFont="1" applyFill="1" applyBorder="1" applyAlignment="1">
      <alignment horizontal="center" vertical="center"/>
    </xf>
    <xf numFmtId="223" fontId="58" fillId="0" borderId="448" xfId="2" applyNumberFormat="1" applyFont="1" applyBorder="1" applyAlignment="1">
      <alignment horizontal="center" vertical="center"/>
    </xf>
    <xf numFmtId="0" fontId="29" fillId="0" borderId="472" xfId="0" applyNumberFormat="1" applyFont="1" applyBorder="1" applyAlignment="1" applyProtection="1">
      <alignment horizontal="center" vertical="center"/>
      <protection locked="0"/>
    </xf>
    <xf numFmtId="0" fontId="29" fillId="0" borderId="448" xfId="0" applyNumberFormat="1" applyFont="1" applyBorder="1" applyAlignment="1" applyProtection="1">
      <alignment horizontal="center" vertical="center"/>
      <protection locked="0"/>
    </xf>
    <xf numFmtId="0" fontId="58" fillId="0" borderId="0" xfId="0" applyFont="1" applyFill="1" applyBorder="1" applyAlignment="1">
      <alignment horizontal="center" vertical="center"/>
    </xf>
    <xf numFmtId="10" fontId="29" fillId="0" borderId="495" xfId="0" applyNumberFormat="1" applyFont="1" applyBorder="1" applyAlignment="1">
      <alignment horizontal="center" vertical="center"/>
    </xf>
    <xf numFmtId="176" fontId="29" fillId="0" borderId="495" xfId="0" applyNumberFormat="1" applyFont="1" applyBorder="1" applyAlignment="1">
      <alignment horizontal="center" vertical="center"/>
    </xf>
    <xf numFmtId="187" fontId="33" fillId="0" borderId="6" xfId="2" applyNumberFormat="1" applyFont="1" applyFill="1" applyBorder="1" applyAlignment="1">
      <alignment horizontal="center" vertical="center" wrapText="1"/>
    </xf>
    <xf numFmtId="187" fontId="217" fillId="125" borderId="224" xfId="2" applyNumberFormat="1" applyFont="1" applyFill="1" applyBorder="1" applyAlignment="1">
      <alignment horizontal="center" vertical="center" wrapText="1"/>
    </xf>
    <xf numFmtId="177" fontId="0" fillId="0" borderId="0" xfId="0" applyNumberFormat="1" applyAlignment="1">
      <alignment horizontal="center" vertical="center"/>
    </xf>
    <xf numFmtId="187" fontId="236" fillId="0" borderId="224" xfId="0" applyNumberFormat="1" applyFont="1" applyFill="1" applyBorder="1" applyAlignment="1">
      <alignment horizontal="center" vertical="center"/>
    </xf>
    <xf numFmtId="187" fontId="236" fillId="4" borderId="224" xfId="0" applyNumberFormat="1" applyFont="1" applyFill="1" applyBorder="1" applyAlignment="1">
      <alignment horizontal="center" vertical="center"/>
    </xf>
    <xf numFmtId="179" fontId="29" fillId="7" borderId="513" xfId="0" applyNumberFormat="1" applyFont="1" applyFill="1" applyBorder="1" applyAlignment="1">
      <alignment horizontal="center" vertical="center"/>
    </xf>
    <xf numFmtId="179" fontId="29" fillId="7" borderId="6" xfId="0" applyNumberFormat="1" applyFont="1" applyFill="1" applyBorder="1" applyAlignment="1">
      <alignment horizontal="center" vertical="center"/>
    </xf>
    <xf numFmtId="187" fontId="170" fillId="7" borderId="0" xfId="0" applyNumberFormat="1" applyFont="1" applyFill="1" applyAlignment="1">
      <alignment horizontal="center" vertical="center"/>
    </xf>
    <xf numFmtId="223" fontId="237" fillId="0" borderId="0" xfId="0" applyNumberFormat="1" applyFont="1" applyBorder="1" applyAlignment="1">
      <alignment horizontal="center" vertical="center"/>
    </xf>
    <xf numFmtId="223" fontId="0" fillId="0" borderId="0" xfId="0" applyNumberFormat="1" applyAlignment="1">
      <alignment horizontal="center" vertical="center"/>
    </xf>
    <xf numFmtId="0" fontId="219" fillId="125" borderId="332" xfId="0" applyFont="1" applyFill="1" applyBorder="1" applyAlignment="1">
      <alignment horizontal="center" vertical="center" wrapText="1"/>
    </xf>
    <xf numFmtId="0" fontId="219" fillId="125" borderId="227" xfId="0" applyFont="1" applyFill="1" applyBorder="1" applyAlignment="1">
      <alignment horizontal="center" vertical="center" wrapText="1"/>
    </xf>
    <xf numFmtId="0" fontId="239" fillId="125" borderId="120" xfId="0" applyFont="1" applyFill="1" applyBorder="1">
      <alignment vertical="center"/>
    </xf>
    <xf numFmtId="0" fontId="239" fillId="125" borderId="121" xfId="0" applyFont="1" applyFill="1" applyBorder="1">
      <alignment vertical="center"/>
    </xf>
    <xf numFmtId="0" fontId="177" fillId="125" borderId="119" xfId="0" applyFont="1" applyFill="1" applyBorder="1" applyAlignment="1">
      <alignment horizontal="center" vertical="center"/>
    </xf>
    <xf numFmtId="0" fontId="177" fillId="125" borderId="121" xfId="0" applyFont="1" applyFill="1" applyBorder="1" applyAlignment="1">
      <alignment horizontal="center" vertical="center"/>
    </xf>
    <xf numFmtId="0" fontId="58" fillId="0" borderId="515" xfId="0" applyFont="1" applyBorder="1" applyAlignment="1">
      <alignment horizontal="center" vertical="center"/>
    </xf>
    <xf numFmtId="0" fontId="58" fillId="0" borderId="577" xfId="0" applyFont="1" applyBorder="1" applyAlignment="1">
      <alignment horizontal="center" vertical="center"/>
    </xf>
    <xf numFmtId="0" fontId="177" fillId="125" borderId="214" xfId="0" applyFont="1" applyFill="1" applyBorder="1" applyAlignment="1">
      <alignment horizontal="center" vertical="center" wrapText="1"/>
    </xf>
    <xf numFmtId="0" fontId="177" fillId="125" borderId="214" xfId="0" applyFont="1" applyFill="1" applyBorder="1" applyAlignment="1">
      <alignment horizontal="center" vertical="center"/>
    </xf>
    <xf numFmtId="0" fontId="179" fillId="15" borderId="214" xfId="0" applyFont="1" applyFill="1" applyBorder="1" applyAlignment="1">
      <alignment horizontal="center" vertical="center" wrapText="1"/>
    </xf>
    <xf numFmtId="0" fontId="177" fillId="125" borderId="512" xfId="0" applyFont="1" applyFill="1" applyBorder="1" applyAlignment="1">
      <alignment horizontal="center" vertical="center"/>
    </xf>
    <xf numFmtId="0" fontId="29" fillId="0" borderId="0" xfId="0" applyFont="1" applyAlignment="1">
      <alignment horizontal="center" vertical="center"/>
    </xf>
    <xf numFmtId="0" fontId="219" fillId="127" borderId="224" xfId="0" applyFont="1" applyFill="1" applyBorder="1" applyAlignment="1">
      <alignment horizontal="center" vertical="center"/>
    </xf>
    <xf numFmtId="0" fontId="177" fillId="127" borderId="120" xfId="0" applyFont="1" applyFill="1" applyBorder="1" applyAlignment="1">
      <alignment horizontal="center" vertical="center"/>
    </xf>
    <xf numFmtId="0" fontId="177" fillId="127" borderId="219" xfId="0" applyFont="1" applyFill="1" applyBorder="1" applyAlignment="1">
      <alignment horizontal="center" vertical="center"/>
    </xf>
    <xf numFmtId="0" fontId="219" fillId="127" borderId="464" xfId="0" applyFont="1" applyFill="1" applyBorder="1" applyAlignment="1">
      <alignment horizontal="center" vertical="center"/>
    </xf>
    <xf numFmtId="0" fontId="177" fillId="127" borderId="567" xfId="0" applyFont="1" applyFill="1" applyBorder="1" applyAlignment="1">
      <alignment horizontal="center" vertical="center"/>
    </xf>
    <xf numFmtId="0" fontId="177" fillId="127" borderId="464" xfId="0" applyFont="1" applyFill="1" applyBorder="1" applyAlignment="1">
      <alignment horizontal="center" vertical="center"/>
    </xf>
    <xf numFmtId="0" fontId="219" fillId="127" borderId="6" xfId="0" applyFont="1" applyFill="1" applyBorder="1" applyAlignment="1">
      <alignment horizontal="center" vertical="center"/>
    </xf>
    <xf numFmtId="0" fontId="177" fillId="127" borderId="491" xfId="0" applyFont="1" applyFill="1" applyBorder="1" applyAlignment="1">
      <alignment horizontal="center" vertical="center"/>
    </xf>
    <xf numFmtId="0" fontId="177" fillId="127" borderId="135" xfId="0" applyFont="1" applyFill="1" applyBorder="1" applyAlignment="1">
      <alignment horizontal="center" vertical="center"/>
    </xf>
    <xf numFmtId="0" fontId="177" fillId="127" borderId="200" xfId="0" applyFont="1" applyFill="1" applyBorder="1" applyAlignment="1">
      <alignment horizontal="center" vertical="center"/>
    </xf>
    <xf numFmtId="0" fontId="177" fillId="127" borderId="434" xfId="0" applyFont="1" applyFill="1" applyBorder="1" applyAlignment="1">
      <alignment horizontal="center" vertical="center"/>
    </xf>
    <xf numFmtId="0" fontId="177" fillId="127" borderId="327" xfId="0" applyFont="1" applyFill="1" applyBorder="1" applyAlignment="1">
      <alignment horizontal="center" vertical="center"/>
    </xf>
    <xf numFmtId="0" fontId="177" fillId="125" borderId="464" xfId="0" applyFont="1" applyFill="1" applyBorder="1" applyAlignment="1">
      <alignment horizontal="center" vertical="center"/>
    </xf>
    <xf numFmtId="0" fontId="177" fillId="125" borderId="261" xfId="0" applyFont="1" applyFill="1" applyBorder="1" applyAlignment="1">
      <alignment horizontal="center" vertical="center"/>
    </xf>
    <xf numFmtId="0" fontId="58" fillId="0" borderId="200" xfId="0" applyFont="1" applyFill="1" applyBorder="1" applyAlignment="1">
      <alignment horizontal="center" vertical="center"/>
    </xf>
    <xf numFmtId="0" fontId="177" fillId="125" borderId="513" xfId="0" applyFont="1" applyFill="1" applyBorder="1" applyAlignment="1">
      <alignment horizontal="center" vertical="center"/>
    </xf>
    <xf numFmtId="38" fontId="177" fillId="125" borderId="269" xfId="0" applyNumberFormat="1" applyFont="1" applyFill="1" applyBorder="1" applyAlignment="1">
      <alignment horizontal="center" vertical="center"/>
    </xf>
    <xf numFmtId="0" fontId="177" fillId="127" borderId="200" xfId="0" applyFont="1" applyFill="1" applyBorder="1" applyAlignment="1">
      <alignment horizontal="center" vertical="center"/>
    </xf>
    <xf numFmtId="0" fontId="177" fillId="127" borderId="327" xfId="0" applyFont="1" applyFill="1" applyBorder="1" applyAlignment="1">
      <alignment horizontal="center" vertical="center"/>
    </xf>
    <xf numFmtId="0" fontId="177" fillId="127" borderId="223" xfId="0" applyFont="1" applyFill="1" applyBorder="1" applyAlignment="1">
      <alignment horizontal="center" vertical="center"/>
    </xf>
    <xf numFmtId="0" fontId="177" fillId="127" borderId="227" xfId="0" applyFont="1" applyFill="1" applyBorder="1" applyAlignment="1">
      <alignment horizontal="center" vertical="center"/>
    </xf>
    <xf numFmtId="0" fontId="58" fillId="7" borderId="200" xfId="0" applyFont="1" applyFill="1" applyBorder="1" applyAlignment="1">
      <alignment horizontal="center" vertical="center"/>
    </xf>
    <xf numFmtId="0" fontId="58" fillId="7" borderId="327" xfId="0" applyFont="1" applyFill="1" applyBorder="1" applyAlignment="1">
      <alignment horizontal="center" vertical="center"/>
    </xf>
    <xf numFmtId="223" fontId="58" fillId="7" borderId="6" xfId="2" applyNumberFormat="1" applyFont="1" applyFill="1" applyBorder="1" applyAlignment="1">
      <alignment horizontal="center" vertical="center"/>
    </xf>
    <xf numFmtId="226" fontId="58" fillId="0" borderId="0" xfId="2" applyNumberFormat="1" applyFont="1" applyBorder="1" applyAlignment="1">
      <alignment horizontal="center" vertical="center"/>
    </xf>
    <xf numFmtId="2" fontId="58" fillId="0" borderId="498" xfId="0" applyNumberFormat="1" applyFont="1" applyFill="1" applyBorder="1" applyAlignment="1">
      <alignment horizontal="center" vertical="center"/>
    </xf>
    <xf numFmtId="187" fontId="177" fillId="125" borderId="226" xfId="2" applyNumberFormat="1" applyFont="1" applyFill="1" applyBorder="1" applyAlignment="1">
      <alignment horizontal="center" vertical="center" wrapText="1"/>
    </xf>
    <xf numFmtId="0" fontId="219" fillId="127" borderId="0" xfId="0" applyFont="1" applyFill="1" applyBorder="1" applyAlignment="1">
      <alignment horizontal="center" vertical="center"/>
    </xf>
    <xf numFmtId="183" fontId="172" fillId="7" borderId="23" xfId="2" applyNumberFormat="1" applyFont="1" applyFill="1" applyBorder="1" applyAlignment="1">
      <alignment horizontal="center" vertical="center"/>
    </xf>
    <xf numFmtId="3" fontId="177" fillId="125" borderId="5" xfId="2" applyNumberFormat="1" applyFont="1" applyFill="1" applyBorder="1" applyAlignment="1">
      <alignment horizontal="center" vertical="center" wrapText="1"/>
    </xf>
    <xf numFmtId="0" fontId="177" fillId="127" borderId="567" xfId="0" applyFont="1" applyFill="1" applyBorder="1" applyAlignment="1">
      <alignment horizontal="center" vertical="center" wrapText="1"/>
    </xf>
    <xf numFmtId="3" fontId="29" fillId="0" borderId="567" xfId="2" applyNumberFormat="1" applyFont="1" applyFill="1" applyBorder="1" applyAlignment="1">
      <alignment horizontal="center" vertical="center" wrapText="1"/>
    </xf>
    <xf numFmtId="0" fontId="177" fillId="127" borderId="120" xfId="0" applyFont="1" applyFill="1" applyBorder="1" applyAlignment="1">
      <alignment horizontal="center" vertical="center" wrapText="1"/>
    </xf>
    <xf numFmtId="3" fontId="29" fillId="0" borderId="120" xfId="2" applyNumberFormat="1" applyFont="1" applyFill="1" applyBorder="1" applyAlignment="1">
      <alignment horizontal="center" vertical="center" wrapText="1"/>
    </xf>
    <xf numFmtId="0" fontId="177" fillId="127" borderId="513" xfId="0" applyFont="1" applyFill="1" applyBorder="1" applyAlignment="1">
      <alignment horizontal="center" vertical="center" wrapText="1"/>
    </xf>
    <xf numFmtId="187" fontId="29" fillId="0" borderId="121" xfId="0" applyNumberFormat="1" applyFont="1" applyBorder="1" applyAlignment="1">
      <alignment horizontal="center" vertical="center"/>
    </xf>
    <xf numFmtId="41" fontId="177" fillId="127" borderId="120" xfId="2" applyFont="1" applyFill="1" applyBorder="1" applyAlignment="1">
      <alignment horizontal="center" vertical="center"/>
    </xf>
    <xf numFmtId="179" fontId="29" fillId="0" borderId="464" xfId="2" applyNumberFormat="1" applyFont="1" applyFill="1" applyBorder="1" applyAlignment="1">
      <alignment horizontal="center" vertical="center" wrapText="1"/>
    </xf>
    <xf numFmtId="179" fontId="177" fillId="125" borderId="224" xfId="2" applyNumberFormat="1" applyFont="1" applyFill="1" applyBorder="1" applyAlignment="1">
      <alignment horizontal="center" vertical="center" wrapText="1"/>
    </xf>
    <xf numFmtId="187" fontId="29" fillId="0" borderId="120" xfId="2" applyNumberFormat="1" applyFont="1" applyFill="1" applyBorder="1" applyAlignment="1">
      <alignment horizontal="center" vertical="center" wrapText="1"/>
    </xf>
    <xf numFmtId="187" fontId="177" fillId="125" borderId="224" xfId="2" applyNumberFormat="1" applyFont="1" applyFill="1" applyBorder="1" applyAlignment="1">
      <alignment horizontal="center" vertical="center" wrapText="1"/>
    </xf>
    <xf numFmtId="38" fontId="166" fillId="0" borderId="584" xfId="1" applyNumberFormat="1" applyFont="1" applyBorder="1" applyAlignment="1">
      <alignment horizontal="center" vertical="center" wrapText="1"/>
    </xf>
    <xf numFmtId="183" fontId="177" fillId="125" borderId="464" xfId="2" applyNumberFormat="1" applyFont="1" applyFill="1" applyBorder="1" applyAlignment="1">
      <alignment horizontal="center" vertical="center" wrapText="1"/>
    </xf>
    <xf numFmtId="183" fontId="58" fillId="7" borderId="567" xfId="2" applyNumberFormat="1" applyFont="1" applyFill="1" applyBorder="1" applyAlignment="1">
      <alignment horizontal="center" vertical="center" wrapText="1"/>
    </xf>
    <xf numFmtId="183" fontId="29" fillId="15" borderId="567" xfId="2" applyNumberFormat="1" applyFont="1" applyFill="1" applyBorder="1" applyAlignment="1">
      <alignment horizontal="center" vertical="center" wrapText="1"/>
    </xf>
    <xf numFmtId="38" fontId="29" fillId="7" borderId="567" xfId="2" applyNumberFormat="1" applyFont="1" applyFill="1" applyBorder="1" applyAlignment="1">
      <alignment horizontal="center" vertical="center" wrapText="1"/>
    </xf>
    <xf numFmtId="9" fontId="177" fillId="125" borderId="513" xfId="1" applyFont="1" applyFill="1" applyBorder="1" applyAlignment="1">
      <alignment horizontal="center" vertical="center"/>
    </xf>
    <xf numFmtId="3" fontId="177" fillId="0" borderId="332" xfId="2" applyNumberFormat="1" applyFont="1" applyFill="1" applyBorder="1" applyAlignment="1">
      <alignment horizontal="center" vertical="center" wrapText="1"/>
    </xf>
    <xf numFmtId="176" fontId="197" fillId="0" borderId="6" xfId="0" applyNumberFormat="1" applyFont="1" applyFill="1" applyBorder="1" applyAlignment="1">
      <alignment horizontal="center" vertical="center"/>
    </xf>
    <xf numFmtId="0" fontId="58" fillId="0" borderId="135" xfId="0" applyFont="1" applyFill="1" applyBorder="1" applyAlignment="1">
      <alignment horizontal="center" vertical="center"/>
    </xf>
    <xf numFmtId="187" fontId="58" fillId="7" borderId="508" xfId="2" applyNumberFormat="1" applyFont="1" applyFill="1" applyBorder="1" applyAlignment="1">
      <alignment horizontal="center" vertical="center" wrapText="1"/>
    </xf>
    <xf numFmtId="0" fontId="177" fillId="125" borderId="454" xfId="0" applyFont="1" applyFill="1" applyBorder="1" applyAlignment="1">
      <alignment horizontal="center" vertical="center"/>
    </xf>
    <xf numFmtId="0" fontId="177" fillId="125" borderId="508" xfId="0" applyFont="1" applyFill="1" applyBorder="1" applyAlignment="1">
      <alignment horizontal="center" vertical="center"/>
    </xf>
    <xf numFmtId="0" fontId="177" fillId="125" borderId="585" xfId="0" applyFont="1" applyFill="1" applyBorder="1" applyAlignment="1">
      <alignment horizontal="center" vertical="center"/>
    </xf>
    <xf numFmtId="0" fontId="177" fillId="127" borderId="577" xfId="0" applyFont="1" applyFill="1" applyBorder="1" applyAlignment="1">
      <alignment horizontal="center" vertical="center"/>
    </xf>
    <xf numFmtId="41" fontId="178" fillId="126" borderId="579" xfId="2" applyFont="1" applyFill="1" applyBorder="1" applyAlignment="1">
      <alignment horizontal="center" vertical="center"/>
    </xf>
    <xf numFmtId="187" fontId="58" fillId="0" borderId="454" xfId="2" applyNumberFormat="1" applyFont="1" applyBorder="1" applyAlignment="1">
      <alignment horizontal="center" vertical="center"/>
    </xf>
    <xf numFmtId="187" fontId="58" fillId="0" borderId="508" xfId="2" applyNumberFormat="1" applyFont="1" applyBorder="1" applyAlignment="1">
      <alignment horizontal="center" vertical="center"/>
    </xf>
    <xf numFmtId="187" fontId="58" fillId="15" borderId="567" xfId="2" applyNumberFormat="1" applyFont="1" applyFill="1" applyBorder="1" applyAlignment="1">
      <alignment horizontal="center" vertical="center"/>
    </xf>
    <xf numFmtId="0" fontId="58" fillId="15" borderId="577" xfId="0" applyFont="1" applyFill="1" applyBorder="1" applyAlignment="1">
      <alignment horizontal="center" vertical="center"/>
    </xf>
    <xf numFmtId="0" fontId="178" fillId="126" borderId="579" xfId="0" applyFont="1" applyFill="1" applyBorder="1" applyAlignment="1">
      <alignment horizontal="center" vertical="center"/>
    </xf>
    <xf numFmtId="183" fontId="58" fillId="0" borderId="508" xfId="0" applyNumberFormat="1" applyFont="1" applyBorder="1" applyAlignment="1">
      <alignment horizontal="center" vertical="center"/>
    </xf>
    <xf numFmtId="183" fontId="58" fillId="0" borderId="508" xfId="2" applyNumberFormat="1" applyFont="1" applyBorder="1" applyAlignment="1">
      <alignment horizontal="center" vertical="center"/>
    </xf>
    <xf numFmtId="38" fontId="58" fillId="0" borderId="567" xfId="2" applyNumberFormat="1" applyFont="1" applyBorder="1" applyAlignment="1">
      <alignment horizontal="center" vertical="center"/>
    </xf>
    <xf numFmtId="223" fontId="58" fillId="0" borderId="495" xfId="0" applyNumberFormat="1" applyFont="1" applyBorder="1" applyAlignment="1">
      <alignment horizontal="center" vertical="center"/>
    </xf>
    <xf numFmtId="9" fontId="58" fillId="0" borderId="495" xfId="1" applyFont="1" applyBorder="1" applyAlignment="1">
      <alignment horizontal="center" vertical="center"/>
    </xf>
    <xf numFmtId="226" fontId="58" fillId="0" borderId="508" xfId="0" applyNumberFormat="1" applyFont="1" applyBorder="1" applyAlignment="1">
      <alignment horizontal="center" vertical="center"/>
    </xf>
    <xf numFmtId="226" fontId="58" fillId="0" borderId="508" xfId="2" applyNumberFormat="1" applyFont="1" applyBorder="1" applyAlignment="1">
      <alignment horizontal="center" vertical="center"/>
    </xf>
    <xf numFmtId="0" fontId="0" fillId="0" borderId="586" xfId="0" applyNumberFormat="1" applyBorder="1" applyAlignment="1" applyProtection="1">
      <alignment horizontal="center" vertical="center"/>
      <protection locked="0"/>
    </xf>
    <xf numFmtId="223" fontId="58" fillId="0" borderId="513" xfId="0" applyNumberFormat="1" applyFont="1" applyBorder="1" applyAlignment="1">
      <alignment horizontal="center" vertical="center"/>
    </xf>
    <xf numFmtId="0" fontId="178" fillId="126" borderId="583" xfId="0" applyFont="1" applyFill="1" applyBorder="1" applyAlignment="1">
      <alignment horizontal="center" vertical="center"/>
    </xf>
    <xf numFmtId="226" fontId="58" fillId="15" borderId="516" xfId="2" applyNumberFormat="1" applyFont="1" applyFill="1" applyBorder="1" applyAlignment="1">
      <alignment horizontal="center" vertical="center"/>
    </xf>
    <xf numFmtId="3" fontId="58" fillId="15" borderId="514" xfId="2" applyNumberFormat="1" applyFont="1" applyFill="1" applyBorder="1" applyAlignment="1">
      <alignment horizontal="center" vertical="center"/>
    </xf>
    <xf numFmtId="223" fontId="58" fillId="15" borderId="514" xfId="0" applyNumberFormat="1" applyFont="1" applyFill="1" applyBorder="1" applyAlignment="1">
      <alignment horizontal="center" vertical="center"/>
    </xf>
    <xf numFmtId="9" fontId="58" fillId="15" borderId="514" xfId="1" applyFont="1" applyFill="1" applyBorder="1" applyAlignment="1">
      <alignment horizontal="center" vertical="center"/>
    </xf>
    <xf numFmtId="183" fontId="58" fillId="0" borderId="588" xfId="0" applyNumberFormat="1" applyFont="1" applyBorder="1" applyAlignment="1">
      <alignment horizontal="center" vertical="center"/>
    </xf>
    <xf numFmtId="183" fontId="58" fillId="0" borderId="508" xfId="0" applyNumberFormat="1" applyFont="1" applyBorder="1">
      <alignment vertical="center"/>
    </xf>
    <xf numFmtId="183" fontId="58" fillId="0" borderId="589" xfId="0" applyNumberFormat="1" applyFont="1" applyBorder="1">
      <alignment vertical="center"/>
    </xf>
    <xf numFmtId="178" fontId="58" fillId="0" borderId="588" xfId="0" applyNumberFormat="1" applyFont="1" applyBorder="1" applyAlignment="1">
      <alignment horizontal="center" vertical="center"/>
    </xf>
    <xf numFmtId="178" fontId="58" fillId="0" borderId="508" xfId="0" applyNumberFormat="1" applyFont="1" applyBorder="1" applyAlignment="1">
      <alignment horizontal="center" vertical="center" wrapText="1"/>
    </xf>
    <xf numFmtId="178" fontId="58" fillId="0" borderId="589" xfId="0" applyNumberFormat="1" applyFont="1" applyBorder="1" applyAlignment="1">
      <alignment horizontal="center" vertical="center"/>
    </xf>
    <xf numFmtId="178" fontId="58" fillId="0" borderId="508" xfId="0" applyNumberFormat="1" applyFont="1" applyBorder="1" applyAlignment="1">
      <alignment horizontal="center" vertical="center"/>
    </xf>
    <xf numFmtId="9" fontId="58" fillId="0" borderId="567" xfId="1" applyFont="1" applyBorder="1" applyAlignment="1">
      <alignment horizontal="center" vertical="center"/>
    </xf>
    <xf numFmtId="0" fontId="58" fillId="0" borderId="577" xfId="0" applyFont="1" applyFill="1" applyBorder="1" applyAlignment="1">
      <alignment horizontal="center" vertical="center" wrapText="1"/>
    </xf>
    <xf numFmtId="38" fontId="58" fillId="15" borderId="567" xfId="2" applyNumberFormat="1" applyFont="1" applyFill="1" applyBorder="1" applyAlignment="1">
      <alignment horizontal="center" vertical="center"/>
    </xf>
    <xf numFmtId="223" fontId="58" fillId="15" borderId="567" xfId="0" applyNumberFormat="1" applyFont="1" applyFill="1" applyBorder="1" applyAlignment="1">
      <alignment horizontal="center" vertical="center"/>
    </xf>
    <xf numFmtId="183" fontId="58" fillId="0" borderId="508" xfId="0" applyNumberFormat="1" applyFont="1" applyFill="1" applyBorder="1" applyAlignment="1">
      <alignment horizontal="center" vertical="center"/>
    </xf>
    <xf numFmtId="0" fontId="228" fillId="0" borderId="577" xfId="0" applyFont="1" applyFill="1" applyBorder="1" applyAlignment="1">
      <alignment horizontal="center" vertical="center" wrapText="1"/>
    </xf>
    <xf numFmtId="3" fontId="58" fillId="15" borderId="567" xfId="2" applyNumberFormat="1" applyFont="1" applyFill="1" applyBorder="1" applyAlignment="1">
      <alignment horizontal="center" vertical="center"/>
    </xf>
    <xf numFmtId="226" fontId="58" fillId="7" borderId="588" xfId="2" applyNumberFormat="1" applyFont="1" applyFill="1" applyBorder="1" applyAlignment="1">
      <alignment horizontal="center" vertical="center"/>
    </xf>
    <xf numFmtId="226" fontId="58" fillId="7" borderId="508" xfId="2" applyNumberFormat="1" applyFont="1" applyFill="1" applyBorder="1" applyAlignment="1">
      <alignment horizontal="center" vertical="center"/>
    </xf>
    <xf numFmtId="226" fontId="58" fillId="7" borderId="589" xfId="2" applyNumberFormat="1" applyFont="1" applyFill="1" applyBorder="1" applyAlignment="1">
      <alignment horizontal="center" vertical="center"/>
    </xf>
    <xf numFmtId="223" fontId="58" fillId="15" borderId="495" xfId="0" applyNumberFormat="1" applyFont="1" applyFill="1" applyBorder="1" applyAlignment="1">
      <alignment horizontal="center" vertical="center"/>
    </xf>
    <xf numFmtId="9" fontId="58" fillId="15" borderId="495" xfId="1" applyFont="1" applyFill="1" applyBorder="1" applyAlignment="1">
      <alignment horizontal="center" vertical="center"/>
    </xf>
    <xf numFmtId="0" fontId="177" fillId="127" borderId="515" xfId="0" applyFont="1" applyFill="1" applyBorder="1" applyAlignment="1">
      <alignment horizontal="center" vertical="center" wrapText="1"/>
    </xf>
    <xf numFmtId="0" fontId="178" fillId="126" borderId="590" xfId="0" applyFont="1" applyFill="1" applyBorder="1" applyAlignment="1">
      <alignment horizontal="center" vertical="center"/>
    </xf>
    <xf numFmtId="187" fontId="58" fillId="0" borderId="508" xfId="2" applyNumberFormat="1" applyFont="1" applyFill="1" applyBorder="1" applyAlignment="1">
      <alignment horizontal="center" vertical="center"/>
    </xf>
    <xf numFmtId="187" fontId="58" fillId="0" borderId="589" xfId="2" applyNumberFormat="1" applyFont="1" applyFill="1" applyBorder="1" applyAlignment="1">
      <alignment horizontal="center" vertical="center"/>
    </xf>
    <xf numFmtId="223" fontId="58" fillId="15" borderId="513" xfId="0" applyNumberFormat="1" applyFont="1" applyFill="1" applyBorder="1" applyAlignment="1">
      <alignment horizontal="center" vertical="center"/>
    </xf>
    <xf numFmtId="9" fontId="58" fillId="15" borderId="513" xfId="1" applyFont="1" applyFill="1" applyBorder="1" applyAlignment="1">
      <alignment horizontal="center" vertical="center"/>
    </xf>
    <xf numFmtId="187" fontId="58" fillId="0" borderId="456" xfId="2" applyNumberFormat="1" applyFont="1" applyFill="1" applyBorder="1" applyAlignment="1">
      <alignment horizontal="center" vertical="center"/>
    </xf>
    <xf numFmtId="187" fontId="58" fillId="15" borderId="457" xfId="2" applyNumberFormat="1" applyFont="1" applyFill="1" applyBorder="1" applyAlignment="1">
      <alignment horizontal="center" vertical="center"/>
    </xf>
    <xf numFmtId="38" fontId="58" fillId="0" borderId="516" xfId="2" applyNumberFormat="1" applyFont="1" applyFill="1" applyBorder="1" applyAlignment="1">
      <alignment horizontal="center" vertical="center"/>
    </xf>
    <xf numFmtId="3" fontId="58" fillId="0" borderId="513" xfId="2" quotePrefix="1" applyNumberFormat="1" applyFont="1" applyFill="1" applyBorder="1" applyAlignment="1">
      <alignment horizontal="center" vertical="center"/>
    </xf>
    <xf numFmtId="223" fontId="58" fillId="0" borderId="513" xfId="0" applyNumberFormat="1" applyFont="1" applyFill="1" applyBorder="1" applyAlignment="1">
      <alignment horizontal="center" vertical="center"/>
    </xf>
    <xf numFmtId="9" fontId="58" fillId="0" borderId="514" xfId="1" applyFont="1" applyBorder="1" applyAlignment="1">
      <alignment horizontal="center" vertical="center"/>
    </xf>
    <xf numFmtId="0" fontId="58" fillId="0" borderId="515" xfId="0" applyFont="1" applyFill="1" applyBorder="1" applyAlignment="1">
      <alignment horizontal="center" vertical="center"/>
    </xf>
    <xf numFmtId="226" fontId="58" fillId="0" borderId="458" xfId="2" applyNumberFormat="1" applyFont="1" applyBorder="1" applyAlignment="1">
      <alignment horizontal="center" vertical="center"/>
    </xf>
    <xf numFmtId="226" fontId="58" fillId="0" borderId="459" xfId="2" applyNumberFormat="1" applyFont="1" applyBorder="1" applyAlignment="1">
      <alignment horizontal="center" vertical="center"/>
    </xf>
    <xf numFmtId="226" fontId="58" fillId="0" borderId="460" xfId="2" applyNumberFormat="1" applyFont="1" applyBorder="1" applyAlignment="1">
      <alignment horizontal="center" vertical="center"/>
    </xf>
    <xf numFmtId="0" fontId="58" fillId="15" borderId="515" xfId="0" applyFont="1" applyFill="1" applyBorder="1" applyAlignment="1">
      <alignment horizontal="center" vertical="center"/>
    </xf>
    <xf numFmtId="178" fontId="58" fillId="0" borderId="591" xfId="2" applyNumberFormat="1" applyFont="1" applyBorder="1" applyAlignment="1">
      <alignment horizontal="center" vertical="center"/>
    </xf>
    <xf numFmtId="0" fontId="58" fillId="15" borderId="592" xfId="0" applyFont="1" applyFill="1" applyBorder="1" applyAlignment="1">
      <alignment horizontal="center" vertical="center"/>
    </xf>
    <xf numFmtId="38" fontId="58" fillId="0" borderId="591" xfId="2" applyNumberFormat="1" applyFont="1" applyBorder="1" applyAlignment="1">
      <alignment horizontal="center" vertical="center"/>
    </xf>
    <xf numFmtId="38" fontId="58" fillId="0" borderId="513" xfId="2" applyNumberFormat="1" applyFont="1" applyBorder="1" applyAlignment="1">
      <alignment horizontal="center" vertical="center"/>
    </xf>
    <xf numFmtId="0" fontId="219" fillId="127" borderId="591" xfId="0" applyFont="1" applyFill="1" applyBorder="1" applyAlignment="1">
      <alignment horizontal="center" vertical="center"/>
    </xf>
    <xf numFmtId="0" fontId="225" fillId="127" borderId="591" xfId="0" applyFont="1" applyFill="1" applyBorder="1" applyAlignment="1">
      <alignment horizontal="center" vertical="center"/>
    </xf>
    <xf numFmtId="176" fontId="197" fillId="0" borderId="38" xfId="0" applyNumberFormat="1" applyFont="1" applyFill="1" applyBorder="1" applyAlignment="1">
      <alignment horizontal="center" vertical="center"/>
    </xf>
    <xf numFmtId="176" fontId="230" fillId="0" borderId="23" xfId="0" applyNumberFormat="1" applyFont="1" applyFill="1" applyBorder="1" applyAlignment="1">
      <alignment horizontal="center" vertical="center"/>
    </xf>
    <xf numFmtId="177" fontId="197" fillId="0" borderId="591" xfId="0" applyNumberFormat="1" applyFont="1" applyBorder="1" applyAlignment="1">
      <alignment horizontal="center" vertical="center"/>
    </xf>
    <xf numFmtId="177" fontId="197" fillId="0" borderId="593" xfId="0" applyNumberFormat="1" applyFont="1" applyBorder="1" applyAlignment="1">
      <alignment horizontal="center" vertical="center"/>
    </xf>
    <xf numFmtId="177" fontId="197" fillId="0" borderId="594" xfId="0" applyNumberFormat="1" applyFont="1" applyBorder="1" applyAlignment="1">
      <alignment horizontal="center" vertical="center"/>
    </xf>
    <xf numFmtId="187" fontId="35" fillId="136" borderId="287" xfId="0" applyNumberFormat="1" applyFont="1" applyFill="1" applyBorder="1" applyAlignment="1">
      <alignment horizontal="center" vertical="center"/>
    </xf>
    <xf numFmtId="223" fontId="35" fillId="0" borderId="590" xfId="0" applyNumberFormat="1" applyFont="1" applyBorder="1" applyAlignment="1">
      <alignment horizontal="center" vertical="center"/>
    </xf>
    <xf numFmtId="223" fontId="230" fillId="0" borderId="306" xfId="0" applyNumberFormat="1" applyFont="1" applyFill="1" applyBorder="1" applyAlignment="1">
      <alignment horizontal="center" vertical="center"/>
    </xf>
    <xf numFmtId="223" fontId="230" fillId="0" borderId="595" xfId="0" applyNumberFormat="1" applyFont="1" applyFill="1" applyBorder="1" applyAlignment="1">
      <alignment horizontal="center" vertical="center"/>
    </xf>
    <xf numFmtId="223" fontId="230" fillId="0" borderId="583" xfId="0" applyNumberFormat="1" applyFont="1" applyFill="1" applyBorder="1" applyAlignment="1">
      <alignment horizontal="center" vertical="center"/>
    </xf>
    <xf numFmtId="223" fontId="35" fillId="131" borderId="287" xfId="0" applyNumberFormat="1" applyFont="1" applyFill="1" applyBorder="1" applyAlignment="1">
      <alignment horizontal="center" vertical="center"/>
    </xf>
    <xf numFmtId="187" fontId="197" fillId="0" borderId="464" xfId="0" applyNumberFormat="1" applyFont="1" applyFill="1" applyBorder="1" applyAlignment="1">
      <alignment horizontal="center" vertical="center"/>
    </xf>
    <xf numFmtId="0" fontId="177" fillId="127" borderId="591" xfId="0" applyFont="1" applyFill="1" applyBorder="1" applyAlignment="1">
      <alignment horizontal="center" vertical="center"/>
    </xf>
    <xf numFmtId="41" fontId="178" fillId="127" borderId="591" xfId="2" applyFont="1" applyFill="1" applyBorder="1" applyAlignment="1">
      <alignment horizontal="center" vertical="center"/>
    </xf>
    <xf numFmtId="187" fontId="197" fillId="0" borderId="591" xfId="0" applyNumberFormat="1" applyFont="1" applyFill="1" applyBorder="1" applyAlignment="1">
      <alignment horizontal="center" vertical="center"/>
    </xf>
    <xf numFmtId="187" fontId="197" fillId="117" borderId="464" xfId="0" applyNumberFormat="1" applyFont="1" applyFill="1" applyBorder="1" applyAlignment="1">
      <alignment horizontal="center" vertical="center"/>
    </xf>
    <xf numFmtId="183" fontId="197" fillId="0" borderId="591" xfId="0" applyNumberFormat="1" applyFont="1" applyFill="1" applyBorder="1" applyAlignment="1">
      <alignment horizontal="center" vertical="center"/>
    </xf>
    <xf numFmtId="223" fontId="197" fillId="0" borderId="464" xfId="0" applyNumberFormat="1" applyFont="1" applyFill="1" applyBorder="1" applyAlignment="1">
      <alignment horizontal="center" vertical="center"/>
    </xf>
    <xf numFmtId="223" fontId="197" fillId="0" borderId="513" xfId="0" applyNumberFormat="1" applyFont="1" applyFill="1" applyBorder="1" applyAlignment="1">
      <alignment horizontal="center" vertical="center"/>
    </xf>
    <xf numFmtId="3" fontId="29" fillId="0" borderId="591" xfId="0" applyNumberFormat="1" applyFont="1" applyBorder="1" applyAlignment="1">
      <alignment horizontal="center" vertical="center"/>
    </xf>
    <xf numFmtId="187" fontId="29" fillId="0" borderId="591" xfId="2" applyNumberFormat="1" applyFont="1" applyFill="1" applyBorder="1" applyAlignment="1">
      <alignment horizontal="center" vertical="center" wrapText="1"/>
    </xf>
    <xf numFmtId="3" fontId="197" fillId="117" borderId="591" xfId="0" applyNumberFormat="1" applyFont="1" applyFill="1" applyBorder="1" applyAlignment="1">
      <alignment horizontal="center" vertical="center"/>
    </xf>
    <xf numFmtId="3" fontId="197" fillId="0" borderId="591" xfId="0" applyNumberFormat="1" applyFont="1" applyBorder="1" applyAlignment="1">
      <alignment horizontal="center" vertical="center"/>
    </xf>
    <xf numFmtId="3" fontId="29" fillId="0" borderId="593" xfId="0" applyNumberFormat="1" applyFont="1" applyBorder="1" applyAlignment="1">
      <alignment horizontal="center" vertical="center"/>
    </xf>
    <xf numFmtId="41" fontId="178" fillId="127" borderId="593" xfId="2" applyFont="1" applyFill="1" applyBorder="1" applyAlignment="1">
      <alignment horizontal="center" vertical="center"/>
    </xf>
    <xf numFmtId="3" fontId="29" fillId="0" borderId="594" xfId="0" applyNumberFormat="1" applyFont="1" applyBorder="1" applyAlignment="1">
      <alignment horizontal="center" vertical="center"/>
    </xf>
    <xf numFmtId="179" fontId="197" fillId="0" borderId="464" xfId="0" applyNumberFormat="1" applyFont="1" applyFill="1" applyBorder="1" applyAlignment="1">
      <alignment horizontal="center" vertical="center"/>
    </xf>
    <xf numFmtId="179" fontId="197" fillId="0" borderId="591" xfId="0" applyNumberFormat="1" applyFont="1" applyFill="1" applyBorder="1" applyAlignment="1">
      <alignment horizontal="center" vertical="center"/>
    </xf>
    <xf numFmtId="179" fontId="197" fillId="0" borderId="463" xfId="0" applyNumberFormat="1" applyFont="1" applyFill="1" applyBorder="1" applyAlignment="1">
      <alignment horizontal="center" vertical="center"/>
    </xf>
    <xf numFmtId="179" fontId="230" fillId="0" borderId="491" xfId="0" applyNumberFormat="1" applyFont="1" applyFill="1" applyBorder="1" applyAlignment="1">
      <alignment horizontal="center" vertical="center"/>
    </xf>
    <xf numFmtId="183" fontId="197" fillId="0" borderId="38" xfId="0" applyNumberFormat="1" applyFont="1" applyFill="1" applyBorder="1" applyAlignment="1">
      <alignment horizontal="center" vertical="center"/>
    </xf>
    <xf numFmtId="183" fontId="230" fillId="0" borderId="23" xfId="0" applyNumberFormat="1" applyFont="1" applyFill="1" applyBorder="1" applyAlignment="1">
      <alignment horizontal="center" vertical="center"/>
    </xf>
    <xf numFmtId="3" fontId="35" fillId="0" borderId="594" xfId="0" applyNumberFormat="1" applyFont="1" applyBorder="1" applyAlignment="1">
      <alignment horizontal="center" vertical="center"/>
    </xf>
    <xf numFmtId="187" fontId="29" fillId="0" borderId="597" xfId="2" applyNumberFormat="1" applyFont="1" applyFill="1" applyBorder="1" applyAlignment="1">
      <alignment horizontal="center" vertical="center" wrapText="1"/>
    </xf>
    <xf numFmtId="183" fontId="58" fillId="7" borderId="591" xfId="2" applyNumberFormat="1" applyFont="1" applyFill="1" applyBorder="1" applyAlignment="1">
      <alignment horizontal="center" vertical="center"/>
    </xf>
    <xf numFmtId="187" fontId="58" fillId="7" borderId="597" xfId="2" applyNumberFormat="1" applyFont="1" applyFill="1" applyBorder="1" applyAlignment="1">
      <alignment horizontal="center" vertical="center"/>
    </xf>
    <xf numFmtId="0" fontId="225" fillId="127" borderId="593" xfId="0" applyFont="1" applyFill="1" applyBorder="1" applyAlignment="1">
      <alignment horizontal="center" vertical="center"/>
    </xf>
    <xf numFmtId="223" fontId="35" fillId="136" borderId="226" xfId="0" applyNumberFormat="1" applyFont="1" applyFill="1" applyBorder="1" applyAlignment="1">
      <alignment horizontal="center" vertical="center"/>
    </xf>
    <xf numFmtId="223" fontId="35" fillId="136" borderId="287" xfId="0" applyNumberFormat="1" applyFont="1" applyFill="1" applyBorder="1" applyAlignment="1">
      <alignment horizontal="center" vertical="center"/>
    </xf>
    <xf numFmtId="179" fontId="197" fillId="0" borderId="593" xfId="0" applyNumberFormat="1" applyFont="1" applyFill="1" applyBorder="1" applyAlignment="1">
      <alignment horizontal="center" vertical="center"/>
    </xf>
    <xf numFmtId="183" fontId="197" fillId="0" borderId="593" xfId="0" applyNumberFormat="1" applyFont="1" applyFill="1" applyBorder="1" applyAlignment="1">
      <alignment horizontal="center" vertical="center"/>
    </xf>
    <xf numFmtId="223" fontId="197" fillId="0" borderId="463" xfId="0" applyNumberFormat="1" applyFont="1" applyFill="1" applyBorder="1" applyAlignment="1">
      <alignment horizontal="center" vertical="center"/>
    </xf>
    <xf numFmtId="187" fontId="197" fillId="0" borderId="463" xfId="0" applyNumberFormat="1" applyFont="1" applyFill="1" applyBorder="1" applyAlignment="1">
      <alignment horizontal="center" vertical="center"/>
    </xf>
    <xf numFmtId="187" fontId="197" fillId="0" borderId="593" xfId="0" applyNumberFormat="1" applyFont="1" applyFill="1" applyBorder="1" applyAlignment="1">
      <alignment horizontal="center" vertical="center"/>
    </xf>
    <xf numFmtId="187" fontId="197" fillId="117" borderId="463" xfId="0" applyNumberFormat="1" applyFont="1" applyFill="1" applyBorder="1" applyAlignment="1">
      <alignment horizontal="center" vertical="center"/>
    </xf>
    <xf numFmtId="179" fontId="230" fillId="0" borderId="594" xfId="0" applyNumberFormat="1" applyFont="1" applyFill="1" applyBorder="1" applyAlignment="1">
      <alignment horizontal="center" vertical="center"/>
    </xf>
    <xf numFmtId="187" fontId="172" fillId="0" borderId="47" xfId="2" applyNumberFormat="1" applyFont="1" applyFill="1" applyBorder="1" applyAlignment="1">
      <alignment horizontal="center" vertical="center"/>
    </xf>
    <xf numFmtId="187" fontId="35" fillId="0" borderId="594" xfId="0" applyNumberFormat="1" applyFont="1" applyBorder="1" applyAlignment="1">
      <alignment horizontal="center" vertical="center"/>
    </xf>
    <xf numFmtId="187" fontId="35" fillId="0" borderId="516" xfId="0" applyNumberFormat="1" applyFont="1" applyBorder="1" applyAlignment="1">
      <alignment horizontal="center" vertical="center"/>
    </xf>
    <xf numFmtId="183" fontId="35" fillId="0" borderId="594" xfId="0" applyNumberFormat="1" applyFont="1" applyBorder="1" applyAlignment="1">
      <alignment horizontal="center" vertical="center"/>
    </xf>
    <xf numFmtId="183" fontId="35" fillId="0" borderId="491" xfId="0" applyNumberFormat="1" applyFont="1" applyBorder="1" applyAlignment="1">
      <alignment horizontal="center" vertical="center"/>
    </xf>
    <xf numFmtId="223" fontId="230" fillId="0" borderId="491" xfId="0" applyNumberFormat="1" applyFont="1" applyFill="1" applyBorder="1" applyAlignment="1">
      <alignment horizontal="center" vertical="center"/>
    </xf>
    <xf numFmtId="187" fontId="230" fillId="0" borderId="491" xfId="0" applyNumberFormat="1" applyFont="1" applyFill="1" applyBorder="1" applyAlignment="1">
      <alignment horizontal="center" vertical="center"/>
    </xf>
    <xf numFmtId="187" fontId="230" fillId="0" borderId="594" xfId="0" applyNumberFormat="1" applyFont="1" applyFill="1" applyBorder="1" applyAlignment="1">
      <alignment horizontal="center" vertical="center"/>
    </xf>
    <xf numFmtId="179" fontId="197" fillId="0" borderId="595" xfId="0" applyNumberFormat="1" applyFont="1" applyFill="1" applyBorder="1" applyAlignment="1">
      <alignment horizontal="center" vertical="center"/>
    </xf>
    <xf numFmtId="0" fontId="219" fillId="127" borderId="591" xfId="0" applyFont="1" applyFill="1" applyBorder="1" applyAlignment="1">
      <alignment vertical="center"/>
    </xf>
    <xf numFmtId="177" fontId="197" fillId="0" borderId="464" xfId="0" applyNumberFormat="1" applyFont="1" applyFill="1" applyBorder="1" applyAlignment="1">
      <alignment horizontal="center" vertical="center"/>
    </xf>
    <xf numFmtId="177" fontId="197" fillId="0" borderId="463" xfId="0" applyNumberFormat="1" applyFont="1" applyFill="1" applyBorder="1" applyAlignment="1">
      <alignment horizontal="center" vertical="center"/>
    </xf>
    <xf numFmtId="177" fontId="230" fillId="0" borderId="491" xfId="0" applyNumberFormat="1" applyFont="1" applyFill="1" applyBorder="1" applyAlignment="1">
      <alignment horizontal="center" vertical="center"/>
    </xf>
    <xf numFmtId="179" fontId="197" fillId="0" borderId="6" xfId="0" applyNumberFormat="1" applyFont="1" applyFill="1" applyBorder="1" applyAlignment="1">
      <alignment horizontal="center" vertical="center"/>
    </xf>
    <xf numFmtId="179" fontId="197" fillId="0" borderId="38" xfId="0" applyNumberFormat="1" applyFont="1" applyFill="1" applyBorder="1" applyAlignment="1">
      <alignment horizontal="center" vertical="center"/>
    </xf>
    <xf numFmtId="179" fontId="197" fillId="0" borderId="306" xfId="0" applyNumberFormat="1" applyFont="1" applyFill="1" applyBorder="1" applyAlignment="1">
      <alignment horizontal="center" vertical="center"/>
    </xf>
    <xf numFmtId="179" fontId="230" fillId="0" borderId="23" xfId="0" applyNumberFormat="1" applyFont="1" applyFill="1" applyBorder="1" applyAlignment="1">
      <alignment horizontal="center" vertical="center"/>
    </xf>
    <xf numFmtId="3" fontId="197" fillId="0" borderId="599" xfId="0" applyNumberFormat="1" applyFont="1" applyFill="1" applyBorder="1" applyAlignment="1">
      <alignment horizontal="center" vertical="center"/>
    </xf>
    <xf numFmtId="3" fontId="197" fillId="0" borderId="464" xfId="0" applyNumberFormat="1" applyFont="1" applyFill="1" applyBorder="1" applyAlignment="1">
      <alignment horizontal="center" vertical="center"/>
    </xf>
    <xf numFmtId="187" fontId="35" fillId="0" borderId="491" xfId="0" applyNumberFormat="1" applyFont="1" applyBorder="1" applyAlignment="1">
      <alignment horizontal="center" vertical="center"/>
    </xf>
    <xf numFmtId="223" fontId="172" fillId="0" borderId="45" xfId="2" applyNumberFormat="1" applyFont="1" applyFill="1" applyBorder="1" applyAlignment="1">
      <alignment horizontal="center" vertical="center"/>
    </xf>
    <xf numFmtId="223" fontId="172" fillId="0" borderId="122" xfId="2" applyNumberFormat="1" applyFont="1" applyFill="1" applyBorder="1" applyAlignment="1">
      <alignment horizontal="center" vertical="center"/>
    </xf>
    <xf numFmtId="3" fontId="197" fillId="0" borderId="591" xfId="0" applyNumberFormat="1" applyFont="1" applyFill="1" applyBorder="1" applyAlignment="1">
      <alignment horizontal="center" vertical="center"/>
    </xf>
    <xf numFmtId="187" fontId="29" fillId="0" borderId="587" xfId="2" applyNumberFormat="1" applyFont="1" applyFill="1" applyBorder="1" applyAlignment="1">
      <alignment horizontal="center" vertical="center" wrapText="1"/>
    </xf>
    <xf numFmtId="3" fontId="197" fillId="0" borderId="587" xfId="0" applyNumberFormat="1" applyFont="1" applyFill="1" applyBorder="1" applyAlignment="1">
      <alignment horizontal="center" vertical="center"/>
    </xf>
    <xf numFmtId="187" fontId="197" fillId="117" borderId="513" xfId="0" applyNumberFormat="1" applyFont="1" applyFill="1" applyBorder="1" applyAlignment="1">
      <alignment horizontal="center" vertical="center"/>
    </xf>
    <xf numFmtId="187" fontId="197" fillId="117" borderId="514" xfId="0" applyNumberFormat="1" applyFont="1" applyFill="1" applyBorder="1" applyAlignment="1">
      <alignment horizontal="center" vertical="center"/>
    </xf>
    <xf numFmtId="0" fontId="219" fillId="125" borderId="135" xfId="0" applyFont="1" applyFill="1" applyBorder="1" applyAlignment="1">
      <alignment horizontal="center" vertical="center" wrapText="1"/>
    </xf>
    <xf numFmtId="3" fontId="197" fillId="0" borderId="599" xfId="0" applyNumberFormat="1" applyFont="1" applyBorder="1" applyAlignment="1">
      <alignment horizontal="center" vertical="center"/>
    </xf>
    <xf numFmtId="176" fontId="197" fillId="0" borderId="5" xfId="0" applyNumberFormat="1" applyFont="1" applyFill="1" applyBorder="1" applyAlignment="1">
      <alignment horizontal="center" vertical="center"/>
    </xf>
    <xf numFmtId="0" fontId="58" fillId="0" borderId="0" xfId="0" applyFont="1" applyFill="1" applyBorder="1" applyAlignment="1">
      <alignment horizontal="center" vertical="center"/>
    </xf>
    <xf numFmtId="187" fontId="166" fillId="0" borderId="214" xfId="0" applyNumberFormat="1" applyFont="1" applyBorder="1" applyAlignment="1">
      <alignment horizontal="center" vertical="center" wrapText="1"/>
    </xf>
    <xf numFmtId="187" fontId="177" fillId="125" borderId="470" xfId="0" applyNumberFormat="1" applyFont="1" applyFill="1" applyBorder="1" applyAlignment="1">
      <alignment horizontal="center" vertical="center"/>
    </xf>
    <xf numFmtId="9" fontId="29" fillId="0" borderId="253" xfId="1" applyFont="1" applyBorder="1" applyAlignment="1">
      <alignment horizontal="center" vertical="center" wrapText="1"/>
    </xf>
    <xf numFmtId="0" fontId="225" fillId="127" borderId="601" xfId="0" applyFont="1" applyFill="1" applyBorder="1" applyAlignment="1">
      <alignment horizontal="center" vertical="center"/>
    </xf>
    <xf numFmtId="179" fontId="197" fillId="0" borderId="602" xfId="0" applyNumberFormat="1" applyFont="1" applyBorder="1" applyAlignment="1">
      <alignment horizontal="center" vertical="center"/>
    </xf>
    <xf numFmtId="41" fontId="178" fillId="127" borderId="600" xfId="2" applyFont="1" applyFill="1" applyBorder="1" applyAlignment="1">
      <alignment horizontal="center" vertical="center"/>
    </xf>
    <xf numFmtId="0" fontId="225" fillId="127" borderId="600" xfId="0" applyFont="1" applyFill="1" applyBorder="1" applyAlignment="1">
      <alignment horizontal="center" vertical="center"/>
    </xf>
    <xf numFmtId="0" fontId="177" fillId="125" borderId="588" xfId="0" applyFont="1" applyFill="1" applyBorder="1" applyAlignment="1">
      <alignment horizontal="center" vertical="center"/>
    </xf>
    <xf numFmtId="0" fontId="177" fillId="125" borderId="589" xfId="0" applyFont="1" applyFill="1" applyBorder="1" applyAlignment="1">
      <alignment horizontal="center" vertical="center"/>
    </xf>
    <xf numFmtId="0" fontId="177" fillId="125" borderId="591" xfId="0" applyFont="1" applyFill="1" applyBorder="1" applyAlignment="1">
      <alignment horizontal="center" vertical="center"/>
    </xf>
    <xf numFmtId="0" fontId="177" fillId="125" borderId="593" xfId="0" applyFont="1" applyFill="1" applyBorder="1" applyAlignment="1">
      <alignment horizontal="center" vertical="center"/>
    </xf>
    <xf numFmtId="0" fontId="177" fillId="125" borderId="591" xfId="0" quotePrefix="1" applyFont="1" applyFill="1" applyBorder="1" applyAlignment="1">
      <alignment horizontal="center" vertical="center"/>
    </xf>
    <xf numFmtId="0" fontId="177" fillId="127" borderId="596" xfId="0" applyFont="1" applyFill="1" applyBorder="1" applyAlignment="1">
      <alignment horizontal="center" vertical="center"/>
    </xf>
    <xf numFmtId="41" fontId="178" fillId="126" borderId="590" xfId="2" applyFont="1" applyFill="1" applyBorder="1" applyAlignment="1">
      <alignment horizontal="center" vertical="center"/>
    </xf>
    <xf numFmtId="3" fontId="58" fillId="0" borderId="588" xfId="2" applyNumberFormat="1" applyFont="1" applyBorder="1" applyAlignment="1">
      <alignment horizontal="center" vertical="center"/>
    </xf>
    <xf numFmtId="3" fontId="58" fillId="0" borderId="508" xfId="2" applyNumberFormat="1" applyFont="1" applyBorder="1" applyAlignment="1">
      <alignment horizontal="center" vertical="center"/>
    </xf>
    <xf numFmtId="3" fontId="58" fillId="0" borderId="589" xfId="2" applyNumberFormat="1" applyFont="1" applyBorder="1" applyAlignment="1">
      <alignment horizontal="center" vertical="center"/>
    </xf>
    <xf numFmtId="3" fontId="58" fillId="0" borderId="591" xfId="2" applyNumberFormat="1" applyFont="1" applyBorder="1" applyAlignment="1">
      <alignment horizontal="center" vertical="center"/>
    </xf>
    <xf numFmtId="3" fontId="58" fillId="15" borderId="593" xfId="2" applyNumberFormat="1" applyFont="1" applyFill="1" applyBorder="1" applyAlignment="1">
      <alignment horizontal="center" vertical="center"/>
    </xf>
    <xf numFmtId="3" fontId="58" fillId="15" borderId="591" xfId="2" applyNumberFormat="1" applyFont="1" applyFill="1" applyBorder="1" applyAlignment="1">
      <alignment horizontal="center" vertical="center"/>
    </xf>
    <xf numFmtId="187" fontId="58" fillId="15" borderId="593" xfId="2" applyNumberFormat="1" applyFont="1" applyFill="1" applyBorder="1" applyAlignment="1">
      <alignment horizontal="center" vertical="center"/>
    </xf>
    <xf numFmtId="0" fontId="58" fillId="15" borderId="596" xfId="0" applyFont="1" applyFill="1" applyBorder="1" applyAlignment="1">
      <alignment horizontal="center" vertical="center"/>
    </xf>
    <xf numFmtId="183" fontId="58" fillId="0" borderId="589" xfId="2" applyNumberFormat="1" applyFont="1" applyBorder="1" applyAlignment="1">
      <alignment horizontal="center" vertical="center"/>
    </xf>
    <xf numFmtId="183" fontId="58" fillId="0" borderId="591" xfId="2" applyNumberFormat="1" applyFont="1" applyBorder="1" applyAlignment="1">
      <alignment horizontal="center" vertical="center"/>
    </xf>
    <xf numFmtId="187" fontId="58" fillId="0" borderId="593" xfId="2" applyNumberFormat="1" applyFont="1" applyBorder="1" applyAlignment="1">
      <alignment horizontal="center" vertical="center"/>
    </xf>
    <xf numFmtId="223" fontId="58" fillId="0" borderId="593" xfId="2" applyNumberFormat="1" applyFont="1" applyBorder="1" applyAlignment="1">
      <alignment horizontal="center" vertical="center"/>
    </xf>
    <xf numFmtId="9" fontId="58" fillId="0" borderId="593" xfId="1" applyFont="1" applyBorder="1" applyAlignment="1">
      <alignment horizontal="center" vertical="center"/>
    </xf>
    <xf numFmtId="0" fontId="58" fillId="0" borderId="596" xfId="0" applyFont="1" applyBorder="1" applyAlignment="1">
      <alignment horizontal="center" vertical="center"/>
    </xf>
    <xf numFmtId="0" fontId="177" fillId="127" borderId="592" xfId="0" applyFont="1" applyFill="1" applyBorder="1" applyAlignment="1">
      <alignment horizontal="center" vertical="center"/>
    </xf>
    <xf numFmtId="0" fontId="178" fillId="126" borderId="595" xfId="0" applyFont="1" applyFill="1" applyBorder="1" applyAlignment="1">
      <alignment horizontal="center" vertical="center"/>
    </xf>
    <xf numFmtId="183" fontId="58" fillId="0" borderId="456" xfId="0" applyNumberFormat="1" applyFont="1" applyBorder="1" applyAlignment="1">
      <alignment horizontal="center" vertical="center"/>
    </xf>
    <xf numFmtId="183" fontId="58" fillId="0" borderId="604" xfId="2" applyNumberFormat="1" applyFont="1" applyBorder="1" applyAlignment="1">
      <alignment horizontal="center" vertical="center"/>
    </xf>
    <xf numFmtId="183" fontId="58" fillId="0" borderId="601" xfId="2" applyNumberFormat="1" applyFont="1" applyBorder="1" applyAlignment="1">
      <alignment horizontal="center" vertical="center"/>
    </xf>
    <xf numFmtId="183" fontId="58" fillId="0" borderId="600" xfId="2" applyNumberFormat="1" applyFont="1" applyBorder="1" applyAlignment="1">
      <alignment horizontal="center" vertical="center"/>
    </xf>
    <xf numFmtId="38" fontId="58" fillId="0" borderId="602" xfId="2" applyNumberFormat="1" applyFont="1" applyBorder="1" applyAlignment="1">
      <alignment horizontal="center" vertical="center"/>
    </xf>
    <xf numFmtId="38" fontId="58" fillId="0" borderId="600" xfId="2" applyNumberFormat="1" applyFont="1" applyBorder="1" applyAlignment="1">
      <alignment horizontal="center" vertical="center"/>
    </xf>
    <xf numFmtId="187" fontId="58" fillId="0" borderId="601" xfId="2" applyNumberFormat="1" applyFont="1" applyBorder="1" applyAlignment="1">
      <alignment horizontal="center" vertical="center"/>
    </xf>
    <xf numFmtId="223" fontId="58" fillId="0" borderId="600" xfId="2" applyNumberFormat="1" applyFont="1" applyBorder="1" applyAlignment="1">
      <alignment horizontal="center" vertical="center"/>
    </xf>
    <xf numFmtId="9" fontId="58" fillId="0" borderId="601" xfId="1" applyFont="1" applyBorder="1" applyAlignment="1">
      <alignment horizontal="center" vertical="center"/>
    </xf>
    <xf numFmtId="183" fontId="58" fillId="0" borderId="483" xfId="2" applyNumberFormat="1" applyFont="1" applyBorder="1" applyAlignment="1">
      <alignment horizontal="center" vertical="center"/>
    </xf>
    <xf numFmtId="183" fontId="58" fillId="0" borderId="472" xfId="2" applyNumberFormat="1" applyFont="1" applyBorder="1" applyAlignment="1">
      <alignment horizontal="center" vertical="center"/>
    </xf>
    <xf numFmtId="178" fontId="58" fillId="0" borderId="472" xfId="2" applyNumberFormat="1" applyFont="1" applyBorder="1" applyAlignment="1">
      <alignment horizontal="center" vertical="center"/>
    </xf>
    <xf numFmtId="183" fontId="58" fillId="15" borderId="514" xfId="2" applyNumberFormat="1" applyFont="1" applyFill="1" applyBorder="1" applyAlignment="1">
      <alignment horizontal="center" vertical="center"/>
    </xf>
    <xf numFmtId="183" fontId="58" fillId="15" borderId="513" xfId="2" applyNumberFormat="1" applyFont="1" applyFill="1" applyBorder="1" applyAlignment="1">
      <alignment horizontal="center" vertical="center"/>
    </xf>
    <xf numFmtId="187" fontId="58" fillId="15" borderId="514" xfId="2" applyNumberFormat="1" applyFont="1" applyFill="1" applyBorder="1" applyAlignment="1">
      <alignment horizontal="center" vertical="center"/>
    </xf>
    <xf numFmtId="223" fontId="58" fillId="15" borderId="514" xfId="2" applyNumberFormat="1" applyFont="1" applyFill="1" applyBorder="1" applyAlignment="1">
      <alignment horizontal="center" vertical="center"/>
    </xf>
    <xf numFmtId="0" fontId="58" fillId="0" borderId="596" xfId="0" applyFont="1" applyFill="1" applyBorder="1" applyAlignment="1">
      <alignment horizontal="center" vertical="center"/>
    </xf>
    <xf numFmtId="0" fontId="177" fillId="127" borderId="596" xfId="0" applyFont="1" applyFill="1" applyBorder="1" applyAlignment="1">
      <alignment horizontal="center"/>
    </xf>
    <xf numFmtId="183" fontId="58" fillId="0" borderId="588" xfId="2" applyNumberFormat="1" applyFont="1" applyBorder="1" applyAlignment="1">
      <alignment horizontal="center" vertical="center"/>
    </xf>
    <xf numFmtId="178" fontId="58" fillId="0" borderId="508" xfId="2" applyNumberFormat="1" applyFont="1" applyBorder="1" applyAlignment="1">
      <alignment horizontal="center" vertical="center"/>
    </xf>
    <xf numFmtId="178" fontId="58" fillId="0" borderId="589" xfId="2" applyNumberFormat="1" applyFont="1" applyBorder="1" applyAlignment="1">
      <alignment horizontal="center" vertical="center"/>
    </xf>
    <xf numFmtId="38" fontId="58" fillId="15" borderId="591" xfId="2" applyNumberFormat="1" applyFont="1" applyFill="1" applyBorder="1" applyAlignment="1">
      <alignment horizontal="center" vertical="center"/>
    </xf>
    <xf numFmtId="223" fontId="58" fillId="15" borderId="593" xfId="2" applyNumberFormat="1" applyFont="1" applyFill="1" applyBorder="1" applyAlignment="1">
      <alignment horizontal="center" vertical="center"/>
    </xf>
    <xf numFmtId="9" fontId="58" fillId="15" borderId="593" xfId="1" applyFont="1" applyFill="1" applyBorder="1" applyAlignment="1">
      <alignment horizontal="center" vertical="center"/>
    </xf>
    <xf numFmtId="178" fontId="58" fillId="15" borderId="508" xfId="2" applyNumberFormat="1" applyFont="1" applyFill="1" applyBorder="1" applyAlignment="1">
      <alignment horizontal="center" vertical="center"/>
    </xf>
    <xf numFmtId="0" fontId="177" fillId="127" borderId="592" xfId="0" applyFont="1" applyFill="1" applyBorder="1" applyAlignment="1">
      <alignment horizontal="center" vertical="center" wrapText="1"/>
    </xf>
    <xf numFmtId="183" fontId="58" fillId="15" borderId="601" xfId="2" applyNumberFormat="1" applyFont="1" applyFill="1" applyBorder="1" applyAlignment="1">
      <alignment horizontal="center" vertical="center"/>
    </xf>
    <xf numFmtId="183" fontId="58" fillId="15" borderId="600" xfId="2" applyNumberFormat="1" applyFont="1" applyFill="1" applyBorder="1" applyAlignment="1">
      <alignment horizontal="center" vertical="center"/>
    </xf>
    <xf numFmtId="38" fontId="58" fillId="15" borderId="600" xfId="2" applyNumberFormat="1" applyFont="1" applyFill="1" applyBorder="1" applyAlignment="1">
      <alignment horizontal="center" vertical="center"/>
    </xf>
    <xf numFmtId="187" fontId="58" fillId="15" borderId="601" xfId="2" applyNumberFormat="1" applyFont="1" applyFill="1" applyBorder="1" applyAlignment="1">
      <alignment horizontal="center" vertical="center"/>
    </xf>
    <xf numFmtId="223" fontId="58" fillId="15" borderId="601" xfId="2" applyNumberFormat="1" applyFont="1" applyFill="1" applyBorder="1" applyAlignment="1">
      <alignment horizontal="center" vertical="center"/>
    </xf>
    <xf numFmtId="9" fontId="58" fillId="15" borderId="601" xfId="1" applyFont="1" applyFill="1" applyBorder="1" applyAlignment="1">
      <alignment horizontal="center" vertical="center"/>
    </xf>
    <xf numFmtId="2" fontId="58" fillId="0" borderId="604" xfId="0" applyNumberFormat="1" applyFont="1" applyBorder="1" applyAlignment="1">
      <alignment horizontal="center" vertical="center"/>
    </xf>
    <xf numFmtId="2" fontId="58" fillId="0" borderId="601" xfId="0" applyNumberFormat="1" applyFont="1" applyBorder="1" applyAlignment="1">
      <alignment horizontal="center" vertical="center"/>
    </xf>
    <xf numFmtId="2" fontId="29" fillId="0" borderId="601" xfId="0" applyNumberFormat="1" applyFont="1" applyBorder="1" applyAlignment="1">
      <alignment horizontal="center" vertical="center"/>
    </xf>
    <xf numFmtId="223" fontId="58" fillId="0" borderId="601" xfId="2" applyNumberFormat="1" applyFont="1" applyBorder="1" applyAlignment="1">
      <alignment horizontal="center" vertical="center"/>
    </xf>
    <xf numFmtId="183" fontId="58" fillId="0" borderId="456" xfId="0" applyNumberFormat="1" applyFont="1" applyFill="1" applyBorder="1" applyAlignment="1">
      <alignment horizontal="center" vertical="center"/>
    </xf>
    <xf numFmtId="183" fontId="58" fillId="0" borderId="457" xfId="0" applyNumberFormat="1" applyFont="1" applyFill="1" applyBorder="1" applyAlignment="1">
      <alignment horizontal="center" vertical="center"/>
    </xf>
    <xf numFmtId="183" fontId="58" fillId="0" borderId="604" xfId="2" applyNumberFormat="1" applyFont="1" applyFill="1" applyBorder="1" applyAlignment="1">
      <alignment horizontal="center" vertical="center" wrapText="1"/>
    </xf>
    <xf numFmtId="183" fontId="58" fillId="0" borderId="601" xfId="2" applyNumberFormat="1" applyFont="1" applyFill="1" applyBorder="1" applyAlignment="1">
      <alignment horizontal="center" vertical="center"/>
    </xf>
    <xf numFmtId="183" fontId="58" fillId="0" borderId="600" xfId="2" applyNumberFormat="1" applyFont="1" applyFill="1" applyBorder="1" applyAlignment="1">
      <alignment horizontal="center" vertical="center"/>
    </xf>
    <xf numFmtId="38" fontId="58" fillId="0" borderId="602" xfId="2" applyNumberFormat="1" applyFont="1" applyFill="1" applyBorder="1" applyAlignment="1">
      <alignment horizontal="center" vertical="center"/>
    </xf>
    <xf numFmtId="187" fontId="58" fillId="0" borderId="601" xfId="2" applyNumberFormat="1" applyFont="1" applyFill="1" applyBorder="1" applyAlignment="1">
      <alignment horizontal="center" vertical="center"/>
    </xf>
    <xf numFmtId="223" fontId="58" fillId="0" borderId="593" xfId="2" applyNumberFormat="1" applyFont="1" applyFill="1" applyBorder="1" applyAlignment="1">
      <alignment horizontal="center" vertical="center"/>
    </xf>
    <xf numFmtId="0" fontId="58" fillId="0" borderId="592" xfId="0" applyFont="1" applyFill="1" applyBorder="1" applyAlignment="1">
      <alignment horizontal="center" vertical="center"/>
    </xf>
    <xf numFmtId="0" fontId="177" fillId="127" borderId="592" xfId="0" applyFont="1" applyFill="1" applyBorder="1" applyAlignment="1">
      <alignment horizontal="center" vertical="center"/>
    </xf>
    <xf numFmtId="178" fontId="58" fillId="0" borderId="604" xfId="2" applyNumberFormat="1" applyFont="1" applyFill="1" applyBorder="1" applyAlignment="1">
      <alignment horizontal="center" vertical="center" wrapText="1"/>
    </xf>
    <xf numFmtId="178" fontId="58" fillId="0" borderId="601" xfId="2" applyNumberFormat="1" applyFont="1" applyFill="1" applyBorder="1" applyAlignment="1">
      <alignment horizontal="center" vertical="center" wrapText="1"/>
    </xf>
    <xf numFmtId="0" fontId="58" fillId="15" borderId="600" xfId="2" applyNumberFormat="1" applyFont="1" applyFill="1" applyBorder="1" applyAlignment="1">
      <alignment vertical="center"/>
    </xf>
    <xf numFmtId="187" fontId="58" fillId="15" borderId="600" xfId="2" applyNumberFormat="1" applyFont="1" applyFill="1" applyBorder="1" applyAlignment="1">
      <alignment vertical="center"/>
    </xf>
    <xf numFmtId="223" fontId="58" fillId="15" borderId="600" xfId="2" applyNumberFormat="1" applyFont="1" applyFill="1" applyBorder="1" applyAlignment="1">
      <alignment vertical="center"/>
    </xf>
    <xf numFmtId="183" fontId="58" fillId="0" borderId="601" xfId="2" applyNumberFormat="1" applyFont="1" applyFill="1" applyBorder="1" applyAlignment="1">
      <alignment horizontal="center" vertical="center" wrapText="1"/>
    </xf>
    <xf numFmtId="183" fontId="58" fillId="0" borderId="600" xfId="2" applyNumberFormat="1" applyFont="1" applyFill="1" applyBorder="1" applyAlignment="1">
      <alignment horizontal="center" vertical="center" wrapText="1"/>
    </xf>
    <xf numFmtId="177" fontId="58" fillId="0" borderId="600" xfId="2" applyNumberFormat="1" applyFont="1" applyFill="1" applyBorder="1" applyAlignment="1">
      <alignment horizontal="center" vertical="center"/>
    </xf>
    <xf numFmtId="187" fontId="58" fillId="0" borderId="591" xfId="2" applyNumberFormat="1" applyFont="1" applyFill="1" applyBorder="1" applyAlignment="1">
      <alignment horizontal="center" vertical="center"/>
    </xf>
    <xf numFmtId="9" fontId="58" fillId="7" borderId="593" xfId="1" applyFont="1" applyFill="1" applyBorder="1" applyAlignment="1">
      <alignment horizontal="center" vertical="center"/>
    </xf>
    <xf numFmtId="178" fontId="58" fillId="0" borderId="600" xfId="2" applyNumberFormat="1" applyFont="1" applyFill="1" applyBorder="1" applyAlignment="1">
      <alignment horizontal="center" vertical="center" wrapText="1"/>
    </xf>
    <xf numFmtId="38" fontId="58" fillId="15" borderId="591" xfId="2" applyNumberFormat="1" applyFont="1" applyFill="1" applyBorder="1" applyAlignment="1">
      <alignment vertical="center"/>
    </xf>
    <xf numFmtId="226" fontId="58" fillId="0" borderId="592" xfId="2" applyNumberFormat="1" applyFont="1" applyFill="1" applyBorder="1" applyAlignment="1">
      <alignment horizontal="center" vertical="center"/>
    </xf>
    <xf numFmtId="223" fontId="58" fillId="0" borderId="601" xfId="2" applyNumberFormat="1" applyFont="1" applyFill="1" applyBorder="1" applyAlignment="1">
      <alignment horizontal="center" vertical="center"/>
    </xf>
    <xf numFmtId="9" fontId="58" fillId="7" borderId="601" xfId="1" applyFont="1" applyFill="1" applyBorder="1" applyAlignment="1">
      <alignment horizontal="center" vertical="center"/>
    </xf>
    <xf numFmtId="187" fontId="58" fillId="7" borderId="591" xfId="2" applyNumberFormat="1" applyFont="1" applyFill="1" applyBorder="1" applyAlignment="1">
      <alignment horizontal="center" vertical="center"/>
    </xf>
    <xf numFmtId="226" fontId="58" fillId="7" borderId="588" xfId="0" applyNumberFormat="1" applyFont="1" applyFill="1" applyBorder="1" applyAlignment="1">
      <alignment horizontal="center" vertical="center"/>
    </xf>
    <xf numFmtId="226" fontId="58" fillId="7" borderId="471" xfId="2" applyNumberFormat="1" applyFont="1" applyFill="1" applyBorder="1" applyAlignment="1">
      <alignment horizontal="center" vertical="center"/>
    </xf>
    <xf numFmtId="0" fontId="58" fillId="7" borderId="596" xfId="0" applyFont="1" applyFill="1" applyBorder="1" applyAlignment="1">
      <alignment horizontal="center" vertical="center"/>
    </xf>
    <xf numFmtId="226" fontId="58" fillId="7" borderId="483" xfId="0" applyNumberFormat="1" applyFont="1" applyFill="1" applyBorder="1" applyAlignment="1">
      <alignment horizontal="center" vertical="center"/>
    </xf>
    <xf numFmtId="226" fontId="58" fillId="7" borderId="492" xfId="2" applyNumberFormat="1" applyFont="1" applyFill="1" applyBorder="1" applyAlignment="1">
      <alignment horizontal="center" vertical="center"/>
    </xf>
    <xf numFmtId="226" fontId="58" fillId="7" borderId="472" xfId="2" applyNumberFormat="1" applyFont="1" applyFill="1" applyBorder="1" applyAlignment="1">
      <alignment horizontal="center" vertical="center"/>
    </xf>
    <xf numFmtId="187" fontId="58" fillId="15" borderId="513" xfId="2" applyNumberFormat="1" applyFont="1" applyFill="1" applyBorder="1" applyAlignment="1">
      <alignment horizontal="center" vertical="center"/>
    </xf>
    <xf numFmtId="187" fontId="58" fillId="7" borderId="588" xfId="2" applyNumberFormat="1" applyFont="1" applyFill="1" applyBorder="1" applyAlignment="1">
      <alignment horizontal="center" vertical="center"/>
    </xf>
    <xf numFmtId="178" fontId="58" fillId="7" borderId="588" xfId="2" applyNumberFormat="1" applyFont="1" applyFill="1" applyBorder="1" applyAlignment="1">
      <alignment horizontal="center" vertical="center"/>
    </xf>
    <xf numFmtId="178" fontId="58" fillId="7" borderId="508" xfId="2" applyNumberFormat="1" applyFont="1" applyFill="1" applyBorder="1" applyAlignment="1">
      <alignment horizontal="center" vertical="center"/>
    </xf>
    <xf numFmtId="231" fontId="58" fillId="7" borderId="589" xfId="2" applyNumberFormat="1" applyFont="1" applyFill="1" applyBorder="1" applyAlignment="1">
      <alignment horizontal="center" vertical="center"/>
    </xf>
    <xf numFmtId="178" fontId="58" fillId="7" borderId="591" xfId="2" applyNumberFormat="1" applyFont="1" applyFill="1" applyBorder="1" applyAlignment="1">
      <alignment horizontal="center" vertical="center"/>
    </xf>
    <xf numFmtId="223" fontId="58" fillId="15" borderId="591" xfId="2" applyNumberFormat="1" applyFont="1" applyFill="1" applyBorder="1" applyAlignment="1">
      <alignment horizontal="center" vertical="center"/>
    </xf>
    <xf numFmtId="9" fontId="58" fillId="15" borderId="593" xfId="1" applyNumberFormat="1" applyFont="1" applyFill="1" applyBorder="1" applyAlignment="1">
      <alignment horizontal="center" vertical="center"/>
    </xf>
    <xf numFmtId="178" fontId="58" fillId="0" borderId="588" xfId="2" applyNumberFormat="1" applyFont="1" applyFill="1" applyBorder="1" applyAlignment="1">
      <alignment horizontal="center" vertical="center"/>
    </xf>
    <xf numFmtId="178" fontId="58" fillId="0" borderId="508" xfId="2" applyNumberFormat="1" applyFont="1" applyFill="1" applyBorder="1" applyAlignment="1">
      <alignment horizontal="center" vertical="center"/>
    </xf>
    <xf numFmtId="231" fontId="58" fillId="0" borderId="589" xfId="2" applyNumberFormat="1" applyFont="1" applyFill="1" applyBorder="1" applyAlignment="1">
      <alignment horizontal="center" vertical="center"/>
    </xf>
    <xf numFmtId="38" fontId="58" fillId="7" borderId="602" xfId="2" applyNumberFormat="1" applyFont="1" applyFill="1" applyBorder="1" applyAlignment="1">
      <alignment horizontal="center" vertical="center"/>
    </xf>
    <xf numFmtId="223" fontId="58" fillId="7" borderId="591" xfId="2" applyNumberFormat="1" applyFont="1" applyFill="1" applyBorder="1" applyAlignment="1">
      <alignment horizontal="center" vertical="center"/>
    </xf>
    <xf numFmtId="0" fontId="29" fillId="0" borderId="596" xfId="0" applyFont="1" applyFill="1" applyBorder="1" applyAlignment="1">
      <alignment horizontal="center" vertical="center"/>
    </xf>
    <xf numFmtId="38" fontId="58" fillId="7" borderId="600" xfId="2" applyNumberFormat="1" applyFont="1" applyFill="1" applyBorder="1" applyAlignment="1">
      <alignment horizontal="center" vertical="center"/>
    </xf>
    <xf numFmtId="223" fontId="58" fillId="0" borderId="600" xfId="2" applyNumberFormat="1" applyFont="1" applyFill="1" applyBorder="1" applyAlignment="1">
      <alignment horizontal="center" vertical="center"/>
    </xf>
    <xf numFmtId="178" fontId="58" fillId="7" borderId="456" xfId="2" applyNumberFormat="1" applyFont="1" applyFill="1" applyBorder="1" applyAlignment="1">
      <alignment horizontal="center" vertical="center"/>
    </xf>
    <xf numFmtId="178" fontId="58" fillId="7" borderId="457" xfId="2" applyNumberFormat="1" applyFont="1" applyFill="1" applyBorder="1" applyAlignment="1">
      <alignment horizontal="center" vertical="center"/>
    </xf>
    <xf numFmtId="187" fontId="58" fillId="7" borderId="601" xfId="2" applyNumberFormat="1" applyFont="1" applyFill="1" applyBorder="1" applyAlignment="1">
      <alignment horizontal="center" vertical="center"/>
    </xf>
    <xf numFmtId="0" fontId="58" fillId="7" borderId="592" xfId="0" applyFont="1" applyFill="1" applyBorder="1" applyAlignment="1">
      <alignment horizontal="center" vertical="center"/>
    </xf>
    <xf numFmtId="178" fontId="58" fillId="7" borderId="483" xfId="2" applyNumberFormat="1" applyFont="1" applyFill="1" applyBorder="1" applyAlignment="1">
      <alignment horizontal="center" vertical="center"/>
    </xf>
    <xf numFmtId="38" fontId="58" fillId="7" borderId="601" xfId="2" applyNumberFormat="1" applyFont="1" applyFill="1" applyBorder="1" applyAlignment="1">
      <alignment horizontal="center" vertical="center"/>
    </xf>
    <xf numFmtId="0" fontId="29" fillId="7" borderId="307" xfId="0" applyFont="1" applyFill="1" applyBorder="1">
      <alignment vertical="center"/>
    </xf>
    <xf numFmtId="3" fontId="58" fillId="7" borderId="307" xfId="2" applyNumberFormat="1" applyFont="1" applyFill="1" applyBorder="1" applyAlignment="1">
      <alignment horizontal="center" vertical="center"/>
    </xf>
    <xf numFmtId="187" fontId="58" fillId="7" borderId="307" xfId="2" applyNumberFormat="1" applyFont="1" applyFill="1" applyBorder="1" applyAlignment="1">
      <alignment horizontal="center" vertical="center"/>
    </xf>
    <xf numFmtId="3" fontId="230" fillId="15" borderId="403" xfId="0" applyNumberFormat="1" applyFont="1" applyFill="1" applyBorder="1" applyAlignment="1">
      <alignment horizontal="center" vertical="center"/>
    </xf>
    <xf numFmtId="3" fontId="230" fillId="15" borderId="578" xfId="0" applyNumberFormat="1" applyFont="1" applyFill="1" applyBorder="1" applyAlignment="1">
      <alignment horizontal="center" vertical="center"/>
    </xf>
    <xf numFmtId="3" fontId="177" fillId="125" borderId="601" xfId="2" applyNumberFormat="1" applyFont="1" applyFill="1" applyBorder="1" applyAlignment="1">
      <alignment horizontal="center" vertical="center" wrapText="1"/>
    </xf>
    <xf numFmtId="3" fontId="29" fillId="0" borderId="45" xfId="2" applyNumberFormat="1" applyFont="1" applyFill="1" applyBorder="1" applyAlignment="1">
      <alignment horizontal="center" vertical="center" wrapText="1"/>
    </xf>
    <xf numFmtId="3" fontId="29" fillId="0" borderId="593" xfId="2" applyNumberFormat="1" applyFont="1" applyFill="1" applyBorder="1" applyAlignment="1">
      <alignment horizontal="center" vertical="center" wrapText="1"/>
    </xf>
    <xf numFmtId="3" fontId="29" fillId="117" borderId="593" xfId="2" applyNumberFormat="1" applyFont="1" applyFill="1" applyBorder="1" applyAlignment="1">
      <alignment horizontal="center" vertical="center" wrapText="1"/>
    </xf>
    <xf numFmtId="177" fontId="177" fillId="125" borderId="46" xfId="0" applyNumberFormat="1" applyFont="1" applyFill="1" applyBorder="1" applyAlignment="1">
      <alignment horizontal="center" vertical="center"/>
    </xf>
    <xf numFmtId="3" fontId="177" fillId="125" borderId="35" xfId="2" applyNumberFormat="1" applyFont="1" applyFill="1" applyBorder="1" applyAlignment="1">
      <alignment horizontal="center" vertical="center" wrapText="1"/>
    </xf>
    <xf numFmtId="3" fontId="177" fillId="125" borderId="604" xfId="2" applyNumberFormat="1" applyFont="1" applyFill="1" applyBorder="1" applyAlignment="1">
      <alignment horizontal="center" vertical="center" wrapText="1"/>
    </xf>
    <xf numFmtId="179" fontId="29" fillId="0" borderId="45" xfId="2" applyNumberFormat="1" applyFont="1" applyFill="1" applyBorder="1" applyAlignment="1">
      <alignment horizontal="center" vertical="center" wrapText="1"/>
    </xf>
    <xf numFmtId="179" fontId="29" fillId="0" borderId="601" xfId="2" applyNumberFormat="1" applyFont="1" applyFill="1" applyBorder="1" applyAlignment="1">
      <alignment horizontal="center" vertical="center" wrapText="1"/>
    </xf>
    <xf numFmtId="187" fontId="29" fillId="0" borderId="45" xfId="2" applyNumberFormat="1" applyFont="1" applyFill="1" applyBorder="1" applyAlignment="1">
      <alignment horizontal="center" vertical="center" wrapText="1"/>
    </xf>
    <xf numFmtId="187" fontId="29" fillId="0" borderId="601" xfId="2" applyNumberFormat="1" applyFont="1" applyFill="1" applyBorder="1" applyAlignment="1">
      <alignment horizontal="center" vertical="center" wrapText="1"/>
    </xf>
    <xf numFmtId="187" fontId="33" fillId="0" borderId="38" xfId="2" applyNumberFormat="1" applyFont="1" applyFill="1" applyBorder="1" applyAlignment="1">
      <alignment horizontal="center" vertical="center" wrapText="1"/>
    </xf>
    <xf numFmtId="187" fontId="33" fillId="0" borderId="601" xfId="2" applyNumberFormat="1" applyFont="1" applyFill="1" applyBorder="1" applyAlignment="1">
      <alignment horizontal="center" vertical="center" wrapText="1"/>
    </xf>
    <xf numFmtId="187" fontId="217" fillId="125" borderId="226" xfId="2" applyNumberFormat="1" applyFont="1" applyFill="1" applyBorder="1" applyAlignment="1">
      <alignment horizontal="center" vertical="center" wrapText="1"/>
    </xf>
    <xf numFmtId="38" fontId="29" fillId="0" borderId="266" xfId="2" applyNumberFormat="1" applyFont="1" applyFill="1" applyBorder="1" applyAlignment="1">
      <alignment horizontal="center" vertical="center" wrapText="1"/>
    </xf>
    <xf numFmtId="38" fontId="29" fillId="0" borderId="0" xfId="2" applyNumberFormat="1" applyFont="1" applyFill="1" applyBorder="1" applyAlignment="1">
      <alignment horizontal="center" vertical="center" wrapText="1"/>
    </xf>
    <xf numFmtId="2" fontId="58" fillId="0" borderId="600" xfId="0" applyNumberFormat="1" applyFont="1" applyBorder="1" applyAlignment="1">
      <alignment horizontal="center" vertical="center"/>
    </xf>
    <xf numFmtId="183" fontId="58" fillId="5" borderId="447" xfId="2" applyNumberFormat="1" applyFont="1" applyFill="1" applyBorder="1" applyAlignment="1">
      <alignment horizontal="center" vertical="center"/>
    </xf>
    <xf numFmtId="2" fontId="58" fillId="5" borderId="604" xfId="0" applyNumberFormat="1" applyFont="1" applyFill="1" applyBorder="1" applyAlignment="1">
      <alignment horizontal="center" vertical="center"/>
    </xf>
    <xf numFmtId="2" fontId="58" fillId="5" borderId="601" xfId="0" applyNumberFormat="1" applyFont="1" applyFill="1" applyBorder="1" applyAlignment="1">
      <alignment horizontal="center" vertical="center"/>
    </xf>
    <xf numFmtId="38" fontId="58" fillId="5" borderId="602" xfId="2" applyNumberFormat="1" applyFont="1" applyFill="1" applyBorder="1" applyAlignment="1">
      <alignment horizontal="center" vertical="center"/>
    </xf>
    <xf numFmtId="187" fontId="58" fillId="5" borderId="604" xfId="2" applyNumberFormat="1" applyFont="1" applyFill="1" applyBorder="1" applyAlignment="1">
      <alignment horizontal="center" vertical="center"/>
    </xf>
    <xf numFmtId="223" fontId="58" fillId="5" borderId="601" xfId="2" applyNumberFormat="1" applyFont="1" applyFill="1" applyBorder="1" applyAlignment="1">
      <alignment horizontal="center" vertical="center"/>
    </xf>
    <xf numFmtId="9" fontId="58" fillId="5" borderId="601" xfId="1" applyFont="1" applyFill="1" applyBorder="1" applyAlignment="1">
      <alignment horizontal="center" vertical="center"/>
    </xf>
    <xf numFmtId="0" fontId="177" fillId="125" borderId="605" xfId="0" quotePrefix="1" applyFont="1" applyFill="1" applyBorder="1" applyAlignment="1">
      <alignment horizontal="center" vertical="center"/>
    </xf>
    <xf numFmtId="3" fontId="58" fillId="0" borderId="605" xfId="2" applyNumberFormat="1" applyFont="1" applyBorder="1" applyAlignment="1">
      <alignment horizontal="center" vertical="center"/>
    </xf>
    <xf numFmtId="183" fontId="58" fillId="0" borderId="605" xfId="2" applyNumberFormat="1" applyFont="1" applyBorder="1" applyAlignment="1">
      <alignment horizontal="center" vertical="center"/>
    </xf>
    <xf numFmtId="178" fontId="58" fillId="0" borderId="605" xfId="2" applyNumberFormat="1" applyFont="1" applyBorder="1" applyAlignment="1">
      <alignment horizontal="center" vertical="center"/>
    </xf>
    <xf numFmtId="187" fontId="58" fillId="7" borderId="605" xfId="2" applyNumberFormat="1" applyFont="1" applyFill="1" applyBorder="1" applyAlignment="1">
      <alignment horizontal="center" vertical="center"/>
    </xf>
    <xf numFmtId="183" fontId="58" fillId="7" borderId="605" xfId="2" applyNumberFormat="1" applyFont="1" applyFill="1" applyBorder="1" applyAlignment="1">
      <alignment horizontal="center" vertical="center"/>
    </xf>
    <xf numFmtId="178" fontId="58" fillId="7" borderId="605" xfId="2" applyNumberFormat="1" applyFont="1" applyFill="1" applyBorder="1" applyAlignment="1">
      <alignment horizontal="center" vertical="center"/>
    </xf>
    <xf numFmtId="187" fontId="58" fillId="0" borderId="605" xfId="2" applyNumberFormat="1" applyFont="1" applyFill="1" applyBorder="1" applyAlignment="1">
      <alignment horizontal="center" vertical="center"/>
    </xf>
    <xf numFmtId="0" fontId="177" fillId="125" borderId="606" xfId="0" quotePrefix="1" applyFont="1" applyFill="1" applyBorder="1" applyAlignment="1">
      <alignment horizontal="center" vertical="center"/>
    </xf>
    <xf numFmtId="3" fontId="58" fillId="0" borderId="606" xfId="2" applyNumberFormat="1" applyFont="1" applyBorder="1" applyAlignment="1">
      <alignment horizontal="center" vertical="center"/>
    </xf>
    <xf numFmtId="183" fontId="58" fillId="0" borderId="606" xfId="2" applyNumberFormat="1" applyFont="1" applyBorder="1" applyAlignment="1">
      <alignment horizontal="center" vertical="center"/>
    </xf>
    <xf numFmtId="178" fontId="58" fillId="0" borderId="606" xfId="2" applyNumberFormat="1" applyFont="1" applyBorder="1" applyAlignment="1">
      <alignment horizontal="center" vertical="center"/>
    </xf>
    <xf numFmtId="187" fontId="58" fillId="7" borderId="606" xfId="2" applyNumberFormat="1" applyFont="1" applyFill="1" applyBorder="1" applyAlignment="1">
      <alignment horizontal="center" vertical="center"/>
    </xf>
    <xf numFmtId="183" fontId="58" fillId="7" borderId="606" xfId="2" applyNumberFormat="1" applyFont="1" applyFill="1" applyBorder="1" applyAlignment="1">
      <alignment horizontal="center" vertical="center"/>
    </xf>
    <xf numFmtId="187" fontId="58" fillId="7" borderId="607" xfId="2" applyNumberFormat="1" applyFont="1" applyFill="1" applyBorder="1" applyAlignment="1">
      <alignment horizontal="center" vertical="center"/>
    </xf>
    <xf numFmtId="187" fontId="58" fillId="0" borderId="606" xfId="0" applyNumberFormat="1" applyFont="1" applyBorder="1" applyAlignment="1">
      <alignment horizontal="center" vertical="center"/>
    </xf>
    <xf numFmtId="2" fontId="29" fillId="0" borderId="605" xfId="0" applyNumberFormat="1" applyFont="1" applyFill="1" applyBorder="1" applyAlignment="1">
      <alignment horizontal="center" vertical="center"/>
    </xf>
    <xf numFmtId="2" fontId="29" fillId="0" borderId="606" xfId="0" applyNumberFormat="1" applyFont="1" applyFill="1" applyBorder="1" applyAlignment="1">
      <alignment horizontal="center" vertical="center"/>
    </xf>
    <xf numFmtId="2" fontId="58" fillId="5" borderId="482" xfId="0" applyNumberFormat="1" applyFont="1" applyFill="1" applyBorder="1" applyAlignment="1">
      <alignment horizontal="center" vertical="center"/>
    </xf>
    <xf numFmtId="2" fontId="58" fillId="5" borderId="435" xfId="0" applyNumberFormat="1" applyFont="1" applyFill="1" applyBorder="1" applyAlignment="1">
      <alignment horizontal="center" vertical="center"/>
    </xf>
    <xf numFmtId="176" fontId="29" fillId="5" borderId="443" xfId="0" applyNumberFormat="1" applyFont="1" applyFill="1" applyBorder="1" applyAlignment="1">
      <alignment horizontal="center" vertical="center"/>
    </xf>
    <xf numFmtId="176" fontId="29" fillId="5" borderId="435" xfId="0" applyNumberFormat="1" applyFont="1" applyFill="1" applyBorder="1" applyAlignment="1">
      <alignment horizontal="center" vertical="center"/>
    </xf>
    <xf numFmtId="187" fontId="58" fillId="0" borderId="607" xfId="0" applyNumberFormat="1" applyFont="1" applyBorder="1" applyAlignment="1">
      <alignment horizontal="center" vertical="center"/>
    </xf>
    <xf numFmtId="3" fontId="58" fillId="0" borderId="605" xfId="0" applyNumberFormat="1" applyFont="1" applyBorder="1" applyAlignment="1">
      <alignment horizontal="center" vertical="center"/>
    </xf>
    <xf numFmtId="2" fontId="58" fillId="0" borderId="605" xfId="0" applyNumberFormat="1" applyFont="1" applyBorder="1" applyAlignment="1">
      <alignment horizontal="center" vertical="center"/>
    </xf>
    <xf numFmtId="2" fontId="29" fillId="0" borderId="605" xfId="0" applyNumberFormat="1" applyFont="1" applyBorder="1" applyAlignment="1">
      <alignment horizontal="center" vertical="center"/>
    </xf>
    <xf numFmtId="187" fontId="58" fillId="0" borderId="605" xfId="0" applyNumberFormat="1" applyFont="1" applyBorder="1" applyAlignment="1">
      <alignment horizontal="center" vertical="center"/>
    </xf>
    <xf numFmtId="2" fontId="58" fillId="0" borderId="605" xfId="0" applyNumberFormat="1" applyFont="1" applyFill="1" applyBorder="1" applyAlignment="1">
      <alignment horizontal="center" vertical="center"/>
    </xf>
    <xf numFmtId="1" fontId="58" fillId="0" borderId="605" xfId="0" applyNumberFormat="1" applyFont="1" applyFill="1" applyBorder="1" applyAlignment="1">
      <alignment horizontal="center" vertical="center"/>
    </xf>
    <xf numFmtId="176" fontId="58" fillId="0" borderId="605" xfId="0" applyNumberFormat="1" applyFont="1" applyFill="1" applyBorder="1" applyAlignment="1">
      <alignment horizontal="center" vertical="center"/>
    </xf>
    <xf numFmtId="177" fontId="58" fillId="0" borderId="605" xfId="0" applyNumberFormat="1" applyFont="1" applyBorder="1" applyAlignment="1">
      <alignment horizontal="center" vertical="center"/>
    </xf>
    <xf numFmtId="3" fontId="58" fillId="0" borderId="601" xfId="0" applyNumberFormat="1" applyFont="1" applyBorder="1" applyAlignment="1">
      <alignment horizontal="center" vertical="center"/>
    </xf>
    <xf numFmtId="183" fontId="58" fillId="5" borderId="321" xfId="0" applyNumberFormat="1" applyFont="1" applyFill="1" applyBorder="1" applyAlignment="1">
      <alignment horizontal="center" vertical="center"/>
    </xf>
    <xf numFmtId="183" fontId="58" fillId="5" borderId="322" xfId="0" applyNumberFormat="1" applyFont="1" applyFill="1" applyBorder="1" applyAlignment="1">
      <alignment horizontal="center" vertical="center"/>
    </xf>
    <xf numFmtId="2" fontId="58" fillId="5" borderId="46" xfId="0" applyNumberFormat="1" applyFont="1" applyFill="1" applyBorder="1" applyAlignment="1">
      <alignment horizontal="center" vertical="center"/>
    </xf>
    <xf numFmtId="2" fontId="58" fillId="5" borderId="45" xfId="0" applyNumberFormat="1" applyFont="1" applyFill="1" applyBorder="1" applyAlignment="1">
      <alignment horizontal="center" vertical="center"/>
    </xf>
    <xf numFmtId="2" fontId="58" fillId="5" borderId="120" xfId="0" applyNumberFormat="1" applyFont="1" applyFill="1" applyBorder="1" applyAlignment="1">
      <alignment horizontal="center" vertical="center"/>
    </xf>
    <xf numFmtId="226" fontId="58" fillId="5" borderId="120" xfId="2" applyNumberFormat="1" applyFont="1" applyFill="1" applyBorder="1" applyAlignment="1">
      <alignment horizontal="center" vertical="center"/>
    </xf>
    <xf numFmtId="38" fontId="58" fillId="5" borderId="228" xfId="2" applyNumberFormat="1" applyFont="1" applyFill="1" applyBorder="1" applyAlignment="1">
      <alignment horizontal="center" vertical="center"/>
    </xf>
    <xf numFmtId="187" fontId="58" fillId="5" borderId="332" xfId="2" applyNumberFormat="1" applyFont="1" applyFill="1" applyBorder="1" applyAlignment="1">
      <alignment horizontal="center" vertical="center"/>
    </xf>
    <xf numFmtId="223" fontId="58" fillId="5" borderId="45" xfId="0" applyNumberFormat="1" applyFont="1" applyFill="1" applyBorder="1" applyAlignment="1">
      <alignment horizontal="center" vertical="center"/>
    </xf>
    <xf numFmtId="9" fontId="58" fillId="5" borderId="45" xfId="1" applyFont="1" applyFill="1" applyBorder="1" applyAlignment="1">
      <alignment horizontal="center" vertical="center"/>
    </xf>
    <xf numFmtId="0" fontId="58" fillId="5" borderId="135" xfId="0" applyFont="1" applyFill="1" applyBorder="1" applyAlignment="1">
      <alignment horizontal="center" vertical="center"/>
    </xf>
    <xf numFmtId="0" fontId="177" fillId="125" borderId="609" xfId="0" applyFont="1" applyFill="1" applyBorder="1" applyAlignment="1">
      <alignment horizontal="center" vertical="center"/>
    </xf>
    <xf numFmtId="187" fontId="58" fillId="0" borderId="609" xfId="2" applyNumberFormat="1" applyFont="1" applyBorder="1" applyAlignment="1">
      <alignment horizontal="center" vertical="center"/>
    </xf>
    <xf numFmtId="183" fontId="58" fillId="0" borderId="609" xfId="2" applyNumberFormat="1" applyFont="1" applyBorder="1" applyAlignment="1">
      <alignment horizontal="center" vertical="center"/>
    </xf>
    <xf numFmtId="226" fontId="58" fillId="0" borderId="609" xfId="2" applyNumberFormat="1" applyFont="1" applyBorder="1" applyAlignment="1">
      <alignment horizontal="center" vertical="center"/>
    </xf>
    <xf numFmtId="230" fontId="0" fillId="0" borderId="294" xfId="0" applyNumberFormat="1" applyBorder="1" applyAlignment="1" applyProtection="1">
      <alignment horizontal="center" vertical="center"/>
      <protection locked="0"/>
    </xf>
    <xf numFmtId="187" fontId="58" fillId="7" borderId="609" xfId="2" applyNumberFormat="1" applyFont="1" applyFill="1" applyBorder="1" applyAlignment="1">
      <alignment horizontal="center" vertical="center"/>
    </xf>
    <xf numFmtId="187" fontId="58" fillId="0" borderId="609" xfId="2" applyNumberFormat="1" applyFont="1" applyFill="1" applyBorder="1" applyAlignment="1">
      <alignment horizontal="center" vertical="center"/>
    </xf>
    <xf numFmtId="187" fontId="58" fillId="0" borderId="608" xfId="2" applyNumberFormat="1" applyFont="1" applyBorder="1" applyAlignment="1">
      <alignment horizontal="center" vertical="center"/>
    </xf>
    <xf numFmtId="183" fontId="29" fillId="0" borderId="608" xfId="2" applyNumberFormat="1" applyFont="1" applyFill="1" applyBorder="1" applyAlignment="1">
      <alignment horizontal="center" vertical="center"/>
    </xf>
    <xf numFmtId="187" fontId="58" fillId="0" borderId="607" xfId="2" applyNumberFormat="1" applyFont="1" applyFill="1" applyBorder="1" applyAlignment="1">
      <alignment horizontal="center" vertical="center"/>
    </xf>
    <xf numFmtId="187" fontId="58" fillId="0" borderId="608" xfId="2" applyNumberFormat="1" applyFont="1" applyFill="1" applyBorder="1" applyAlignment="1">
      <alignment horizontal="center" vertical="center"/>
    </xf>
    <xf numFmtId="183" fontId="58" fillId="0" borderId="345" xfId="0" applyNumberFormat="1" applyFont="1" applyBorder="1" applyAlignment="1">
      <alignment horizontal="center" vertical="center"/>
    </xf>
    <xf numFmtId="183" fontId="58" fillId="0" borderId="346" xfId="0" applyNumberFormat="1" applyFont="1" applyBorder="1" applyAlignment="1">
      <alignment horizontal="center" vertical="center"/>
    </xf>
    <xf numFmtId="0" fontId="177" fillId="125" borderId="607" xfId="0" applyFont="1" applyFill="1" applyBorder="1" applyAlignment="1">
      <alignment horizontal="center" vertical="center"/>
    </xf>
    <xf numFmtId="187" fontId="29" fillId="0" borderId="607" xfId="2" applyNumberFormat="1" applyFont="1" applyFill="1" applyBorder="1" applyAlignment="1">
      <alignment horizontal="center" vertical="center"/>
    </xf>
    <xf numFmtId="4" fontId="58" fillId="7" borderId="608" xfId="2" applyNumberFormat="1" applyFont="1" applyFill="1" applyBorder="1" applyAlignment="1">
      <alignment horizontal="center" vertical="center"/>
    </xf>
    <xf numFmtId="231" fontId="29" fillId="0" borderId="607" xfId="2" applyNumberFormat="1" applyFont="1" applyFill="1" applyBorder="1" applyAlignment="1">
      <alignment horizontal="center" vertical="center"/>
    </xf>
    <xf numFmtId="226" fontId="58" fillId="7" borderId="606" xfId="2" applyNumberFormat="1" applyFont="1" applyFill="1" applyBorder="1" applyAlignment="1">
      <alignment horizontal="center" vertical="center"/>
    </xf>
    <xf numFmtId="226" fontId="29" fillId="7" borderId="606" xfId="2" applyNumberFormat="1" applyFont="1" applyFill="1" applyBorder="1" applyAlignment="1">
      <alignment horizontal="center" vertical="center"/>
    </xf>
    <xf numFmtId="2" fontId="58" fillId="0" borderId="612" xfId="0" applyNumberFormat="1" applyFont="1" applyBorder="1" applyAlignment="1">
      <alignment horizontal="center" vertical="center"/>
    </xf>
    <xf numFmtId="226" fontId="58" fillId="7" borderId="613" xfId="2" applyNumberFormat="1" applyFont="1" applyFill="1" applyBorder="1" applyAlignment="1">
      <alignment horizontal="center" vertical="center"/>
    </xf>
    <xf numFmtId="187" fontId="58" fillId="5" borderId="320" xfId="2" applyNumberFormat="1" applyFont="1" applyFill="1" applyBorder="1" applyAlignment="1">
      <alignment horizontal="center" vertical="center" wrapText="1"/>
    </xf>
    <xf numFmtId="187" fontId="58" fillId="5" borderId="321" xfId="2" applyNumberFormat="1" applyFont="1" applyFill="1" applyBorder="1" applyAlignment="1">
      <alignment horizontal="center" vertical="center" wrapText="1"/>
    </xf>
    <xf numFmtId="187" fontId="58" fillId="5" borderId="322" xfId="2" applyNumberFormat="1" applyFont="1" applyFill="1" applyBorder="1" applyAlignment="1">
      <alignment horizontal="center" vertical="center" wrapText="1"/>
    </xf>
    <xf numFmtId="183" fontId="58" fillId="5" borderId="321" xfId="2" applyNumberFormat="1" applyFont="1" applyFill="1" applyBorder="1" applyAlignment="1">
      <alignment horizontal="center" vertical="center" wrapText="1"/>
    </xf>
    <xf numFmtId="183" fontId="58" fillId="5" borderId="588" xfId="0" applyNumberFormat="1" applyFont="1" applyFill="1" applyBorder="1" applyAlignment="1">
      <alignment horizontal="center" vertical="center"/>
    </xf>
    <xf numFmtId="183" fontId="58" fillId="5" borderId="508" xfId="0" applyNumberFormat="1" applyFont="1" applyFill="1" applyBorder="1">
      <alignment vertical="center"/>
    </xf>
    <xf numFmtId="183" fontId="58" fillId="5" borderId="589" xfId="0" applyNumberFormat="1" applyFont="1" applyFill="1" applyBorder="1">
      <alignment vertical="center"/>
    </xf>
    <xf numFmtId="183" fontId="58" fillId="5" borderId="508" xfId="0" applyNumberFormat="1" applyFont="1" applyFill="1" applyBorder="1" applyAlignment="1">
      <alignment horizontal="center" vertical="center"/>
    </xf>
    <xf numFmtId="226" fontId="58" fillId="5" borderId="567" xfId="2" applyNumberFormat="1" applyFont="1" applyFill="1" applyBorder="1" applyAlignment="1">
      <alignment horizontal="center" vertical="center"/>
    </xf>
    <xf numFmtId="2" fontId="58" fillId="0" borderId="508" xfId="0" applyNumberFormat="1" applyFont="1" applyBorder="1" applyAlignment="1">
      <alignment horizontal="center" vertical="center"/>
    </xf>
    <xf numFmtId="2" fontId="58" fillId="0" borderId="611" xfId="0" applyNumberFormat="1" applyFont="1" applyFill="1" applyBorder="1" applyAlignment="1">
      <alignment horizontal="center" vertical="center"/>
    </xf>
    <xf numFmtId="2" fontId="58" fillId="0" borderId="472" xfId="0" applyNumberFormat="1" applyFont="1" applyBorder="1" applyAlignment="1">
      <alignment horizontal="center" vertical="center"/>
    </xf>
    <xf numFmtId="2" fontId="58" fillId="0" borderId="472" xfId="0" applyNumberFormat="1" applyFont="1" applyFill="1" applyBorder="1" applyAlignment="1">
      <alignment horizontal="center" vertical="center"/>
    </xf>
    <xf numFmtId="226" fontId="58" fillId="0" borderId="471" xfId="2" applyNumberFormat="1" applyFont="1" applyBorder="1" applyAlignment="1">
      <alignment horizontal="center" vertical="center"/>
    </xf>
    <xf numFmtId="2" fontId="58" fillId="0" borderId="471" xfId="0" applyNumberFormat="1" applyFont="1" applyBorder="1" applyAlignment="1">
      <alignment horizontal="center" vertical="center"/>
    </xf>
    <xf numFmtId="2" fontId="58" fillId="0" borderId="615" xfId="0" applyNumberFormat="1" applyFont="1" applyBorder="1" applyAlignment="1">
      <alignment horizontal="center" vertical="center"/>
    </xf>
    <xf numFmtId="226" fontId="58" fillId="0" borderId="606" xfId="2" applyNumberFormat="1" applyFont="1" applyBorder="1" applyAlignment="1">
      <alignment horizontal="center" vertical="center"/>
    </xf>
    <xf numFmtId="2" fontId="58" fillId="5" borderId="614" xfId="0" applyNumberFormat="1" applyFont="1" applyFill="1" applyBorder="1" applyAlignment="1">
      <alignment horizontal="center" vertical="center"/>
    </xf>
    <xf numFmtId="2" fontId="58" fillId="5" borderId="321" xfId="0" applyNumberFormat="1" applyFont="1" applyFill="1" applyBorder="1" applyAlignment="1">
      <alignment horizontal="center" vertical="center"/>
    </xf>
    <xf numFmtId="2" fontId="58" fillId="5" borderId="322" xfId="0" applyNumberFormat="1" applyFont="1" applyFill="1" applyBorder="1" applyAlignment="1">
      <alignment horizontal="center" vertical="center"/>
    </xf>
    <xf numFmtId="226" fontId="58" fillId="5" borderId="46" xfId="2" applyNumberFormat="1" applyFont="1" applyFill="1" applyBorder="1" applyAlignment="1">
      <alignment horizontal="center" vertical="center"/>
    </xf>
    <xf numFmtId="226" fontId="58" fillId="5" borderId="45" xfId="2" applyNumberFormat="1" applyFont="1" applyFill="1" applyBorder="1" applyAlignment="1">
      <alignment horizontal="center" vertical="center"/>
    </xf>
    <xf numFmtId="176" fontId="58" fillId="5" borderId="471" xfId="0" applyNumberFormat="1" applyFont="1" applyFill="1" applyBorder="1" applyAlignment="1">
      <alignment horizontal="center" vertical="center"/>
    </xf>
    <xf numFmtId="176" fontId="58" fillId="5" borderId="455" xfId="0" applyNumberFormat="1" applyFont="1" applyFill="1" applyBorder="1" applyAlignment="1">
      <alignment horizontal="center" vertical="center"/>
    </xf>
    <xf numFmtId="176" fontId="58" fillId="5" borderId="446" xfId="0" applyNumberFormat="1" applyFont="1" applyFill="1" applyBorder="1" applyAlignment="1">
      <alignment horizontal="center" vertical="center"/>
    </xf>
    <xf numFmtId="176" fontId="58" fillId="5" borderId="493" xfId="0" applyNumberFormat="1" applyFont="1" applyFill="1" applyBorder="1" applyAlignment="1">
      <alignment horizontal="center" vertical="center"/>
    </xf>
    <xf numFmtId="2" fontId="58" fillId="5" borderId="567" xfId="0" applyNumberFormat="1" applyFont="1" applyFill="1" applyBorder="1" applyAlignment="1">
      <alignment horizontal="center" vertical="center"/>
    </xf>
    <xf numFmtId="186" fontId="197" fillId="5" borderId="35" xfId="0" applyNumberFormat="1" applyFont="1" applyFill="1" applyBorder="1" applyAlignment="1">
      <alignment horizontal="center" vertical="center"/>
    </xf>
    <xf numFmtId="2" fontId="58" fillId="0" borderId="597" xfId="0" applyNumberFormat="1" applyFont="1" applyFill="1" applyBorder="1" applyAlignment="1">
      <alignment horizontal="center" vertical="center"/>
    </xf>
    <xf numFmtId="2" fontId="58" fillId="0" borderId="508" xfId="0" applyNumberFormat="1" applyFont="1" applyFill="1" applyBorder="1" applyAlignment="1">
      <alignment horizontal="center" vertical="center"/>
    </xf>
    <xf numFmtId="2" fontId="58" fillId="0" borderId="606" xfId="0" applyNumberFormat="1" applyFont="1" applyFill="1" applyBorder="1" applyAlignment="1">
      <alignment horizontal="center" vertical="center"/>
    </xf>
    <xf numFmtId="226" fontId="58" fillId="7" borderId="347" xfId="2" applyNumberFormat="1" applyFont="1" applyFill="1" applyBorder="1" applyAlignment="1">
      <alignment horizontal="center" vertical="center"/>
    </xf>
    <xf numFmtId="183" fontId="58" fillId="0" borderId="518" xfId="0" applyNumberFormat="1" applyFont="1" applyFill="1" applyBorder="1" applyAlignment="1">
      <alignment horizontal="center" vertical="center"/>
    </xf>
    <xf numFmtId="2" fontId="58" fillId="0" borderId="598" xfId="0" applyNumberFormat="1" applyFont="1" applyFill="1" applyBorder="1" applyAlignment="1">
      <alignment horizontal="center" vertical="center"/>
    </xf>
    <xf numFmtId="0" fontId="28" fillId="0" borderId="35" xfId="0" applyFont="1" applyFill="1" applyBorder="1" applyAlignment="1">
      <alignment vertical="center"/>
    </xf>
    <xf numFmtId="0" fontId="28" fillId="3" borderId="0" xfId="0" applyFont="1" applyFill="1" applyAlignment="1">
      <alignment horizontal="center" vertical="center"/>
    </xf>
    <xf numFmtId="3" fontId="37" fillId="7" borderId="497" xfId="0" applyNumberFormat="1" applyFont="1" applyFill="1" applyBorder="1" applyAlignment="1">
      <alignment horizontal="center" vertical="center"/>
    </xf>
    <xf numFmtId="176" fontId="197" fillId="0" borderId="47" xfId="0" applyNumberFormat="1" applyFont="1" applyFill="1" applyBorder="1" applyAlignment="1">
      <alignment horizontal="center" vertical="center"/>
    </xf>
    <xf numFmtId="176" fontId="197" fillId="0" borderId="120" xfId="0" applyNumberFormat="1" applyFont="1" applyFill="1" applyBorder="1" applyAlignment="1">
      <alignment horizontal="center" vertical="center"/>
    </xf>
    <xf numFmtId="0" fontId="58" fillId="0" borderId="608" xfId="0" applyFont="1" applyBorder="1" applyAlignment="1">
      <alignment horizontal="center" vertical="center"/>
    </xf>
    <xf numFmtId="0" fontId="58" fillId="7" borderId="608" xfId="0" applyFont="1" applyFill="1" applyBorder="1" applyAlignment="1">
      <alignment horizontal="center" vertical="center"/>
    </xf>
    <xf numFmtId="41" fontId="58" fillId="15" borderId="515" xfId="2" applyNumberFormat="1" applyFont="1" applyFill="1" applyBorder="1" applyAlignment="1">
      <alignment horizontal="center" vertical="center"/>
    </xf>
    <xf numFmtId="0" fontId="58" fillId="0" borderId="608" xfId="0" applyFont="1" applyFill="1" applyBorder="1" applyAlignment="1">
      <alignment horizontal="center" vertical="center"/>
    </xf>
    <xf numFmtId="0" fontId="29" fillId="7" borderId="0" xfId="0" applyFont="1" applyFill="1" applyBorder="1" applyAlignment="1">
      <alignment horizontal="center" vertical="center"/>
    </xf>
    <xf numFmtId="176" fontId="197" fillId="0" borderId="45" xfId="0" applyNumberFormat="1" applyFont="1" applyFill="1" applyBorder="1" applyAlignment="1">
      <alignment horizontal="center" vertical="center"/>
    </xf>
    <xf numFmtId="179" fontId="197" fillId="0" borderId="601" xfId="0" applyNumberFormat="1" applyFont="1" applyBorder="1" applyAlignment="1">
      <alignment horizontal="center" vertical="center"/>
    </xf>
    <xf numFmtId="177" fontId="197" fillId="0" borderId="605" xfId="0" applyNumberFormat="1" applyFont="1" applyBorder="1" applyAlignment="1">
      <alignment horizontal="center" vertical="center"/>
    </xf>
    <xf numFmtId="0" fontId="219" fillId="127" borderId="228" xfId="0" applyFont="1" applyFill="1" applyBorder="1" applyAlignment="1">
      <alignment horizontal="center" vertical="center"/>
    </xf>
    <xf numFmtId="187" fontId="35" fillId="0" borderId="0" xfId="0" applyNumberFormat="1" applyFont="1" applyFill="1" applyBorder="1" applyAlignment="1">
      <alignment horizontal="center" vertical="center"/>
    </xf>
    <xf numFmtId="223" fontId="35" fillId="0" borderId="0" xfId="0" applyNumberFormat="1" applyFont="1" applyFill="1" applyBorder="1" applyAlignment="1">
      <alignment horizontal="center" vertical="center"/>
    </xf>
    <xf numFmtId="0" fontId="177" fillId="127" borderId="119" xfId="0" applyFont="1" applyFill="1" applyBorder="1" applyAlignment="1">
      <alignment horizontal="center" vertical="center"/>
    </xf>
    <xf numFmtId="0" fontId="177" fillId="127" borderId="120" xfId="0" applyFont="1" applyFill="1" applyBorder="1" applyAlignment="1">
      <alignment horizontal="center" vertical="center"/>
    </xf>
    <xf numFmtId="0" fontId="177" fillId="127" borderId="599" xfId="0" applyFont="1" applyFill="1" applyBorder="1" applyAlignment="1">
      <alignment horizontal="center" vertical="center"/>
    </xf>
    <xf numFmtId="0" fontId="177" fillId="127" borderId="6" xfId="0" applyFont="1" applyFill="1" applyBorder="1" applyAlignment="1">
      <alignment horizontal="center" vertical="center"/>
    </xf>
    <xf numFmtId="0" fontId="177" fillId="125" borderId="261" xfId="0" applyFont="1" applyFill="1" applyBorder="1" applyAlignment="1">
      <alignment horizontal="center" vertical="center"/>
    </xf>
    <xf numFmtId="0" fontId="177" fillId="127" borderId="223" xfId="0" applyFont="1" applyFill="1" applyBorder="1" applyAlignment="1">
      <alignment horizontal="center" vertical="center"/>
    </xf>
    <xf numFmtId="0" fontId="177" fillId="127" borderId="613" xfId="0" applyFont="1" applyFill="1" applyBorder="1" applyAlignment="1">
      <alignment horizontal="center" vertical="center"/>
    </xf>
    <xf numFmtId="0" fontId="177" fillId="127" borderId="602" xfId="0" applyFont="1" applyFill="1" applyBorder="1" applyAlignment="1">
      <alignment horizontal="center" vertical="center"/>
    </xf>
    <xf numFmtId="0" fontId="177" fillId="125" borderId="599" xfId="0" applyFont="1" applyFill="1" applyBorder="1" applyAlignment="1">
      <alignment horizontal="center" vertical="center"/>
    </xf>
    <xf numFmtId="41" fontId="177" fillId="125" borderId="600" xfId="2" applyFont="1" applyFill="1" applyBorder="1" applyAlignment="1">
      <alignment horizontal="center" vertical="center"/>
    </xf>
    <xf numFmtId="187" fontId="177" fillId="125" borderId="600" xfId="2" applyNumberFormat="1" applyFont="1" applyFill="1" applyBorder="1" applyAlignment="1">
      <alignment horizontal="center" vertical="center" wrapText="1"/>
    </xf>
    <xf numFmtId="187" fontId="177" fillId="125" borderId="601" xfId="2" applyNumberFormat="1" applyFont="1" applyFill="1" applyBorder="1" applyAlignment="1">
      <alignment horizontal="center" vertical="center"/>
    </xf>
    <xf numFmtId="185" fontId="219" fillId="125" borderId="598" xfId="0" applyNumberFormat="1" applyFont="1" applyFill="1" applyBorder="1" applyAlignment="1">
      <alignment horizontal="center" vertical="center"/>
    </xf>
    <xf numFmtId="0" fontId="177" fillId="127" borderId="607" xfId="0" applyFont="1" applyFill="1" applyBorder="1" applyAlignment="1">
      <alignment horizontal="center" vertical="center"/>
    </xf>
    <xf numFmtId="41" fontId="178" fillId="127" borderId="606" xfId="2" applyFont="1" applyFill="1" applyBorder="1" applyAlignment="1">
      <alignment horizontal="center" vertical="center"/>
    </xf>
    <xf numFmtId="3" fontId="58" fillId="7" borderId="606" xfId="2" applyNumberFormat="1" applyFont="1" applyFill="1" applyBorder="1" applyAlignment="1">
      <alignment horizontal="center" vertical="center"/>
    </xf>
    <xf numFmtId="187" fontId="29" fillId="0" borderId="608" xfId="0" applyNumberFormat="1" applyFont="1" applyBorder="1" applyAlignment="1">
      <alignment horizontal="center" vertical="center"/>
    </xf>
    <xf numFmtId="41" fontId="178" fillId="127" borderId="38" xfId="2" applyFont="1" applyFill="1" applyBorder="1" applyAlignment="1">
      <alignment horizontal="center" vertical="center"/>
    </xf>
    <xf numFmtId="3" fontId="58" fillId="0" borderId="38" xfId="2" applyNumberFormat="1" applyFont="1" applyFill="1" applyBorder="1" applyAlignment="1">
      <alignment horizontal="center" vertical="center"/>
    </xf>
    <xf numFmtId="3" fontId="29" fillId="0" borderId="6" xfId="2" applyNumberFormat="1" applyFont="1" applyFill="1" applyBorder="1" applyAlignment="1">
      <alignment horizontal="center" vertical="center"/>
    </xf>
    <xf numFmtId="0" fontId="177" fillId="127" borderId="600" xfId="0" applyFont="1" applyFill="1" applyBorder="1" applyAlignment="1">
      <alignment horizontal="center" vertical="center"/>
    </xf>
    <xf numFmtId="3" fontId="58" fillId="0" borderId="605" xfId="2" applyNumberFormat="1" applyFont="1" applyFill="1" applyBorder="1" applyAlignment="1">
      <alignment horizontal="center" vertical="center"/>
    </xf>
    <xf numFmtId="3" fontId="58" fillId="117" borderId="605" xfId="2" applyNumberFormat="1" applyFont="1" applyFill="1" applyBorder="1" applyAlignment="1">
      <alignment horizontal="center" vertical="center"/>
    </xf>
    <xf numFmtId="3" fontId="29" fillId="0" borderId="605" xfId="0" applyNumberFormat="1" applyFont="1" applyBorder="1" applyAlignment="1">
      <alignment horizontal="center" vertical="center"/>
    </xf>
    <xf numFmtId="187" fontId="29" fillId="0" borderId="605" xfId="2" applyNumberFormat="1" applyFont="1" applyFill="1" applyBorder="1" applyAlignment="1">
      <alignment horizontal="center" vertical="center" wrapText="1"/>
    </xf>
    <xf numFmtId="3" fontId="197" fillId="0" borderId="605" xfId="0" applyNumberFormat="1" applyFont="1" applyBorder="1" applyAlignment="1">
      <alignment horizontal="center" vertical="center"/>
    </xf>
    <xf numFmtId="3" fontId="197" fillId="0" borderId="601" xfId="0" applyNumberFormat="1" applyFont="1" applyBorder="1" applyAlignment="1">
      <alignment horizontal="center" vertical="center"/>
    </xf>
    <xf numFmtId="187" fontId="35" fillId="0" borderId="613" xfId="0" applyNumberFormat="1" applyFont="1" applyBorder="1" applyAlignment="1">
      <alignment horizontal="center" vertical="center"/>
    </xf>
    <xf numFmtId="3" fontId="35" fillId="0" borderId="612" xfId="0" applyNumberFormat="1" applyFont="1" applyBorder="1" applyAlignment="1">
      <alignment horizontal="center" vertical="center"/>
    </xf>
    <xf numFmtId="187" fontId="35" fillId="0" borderId="602" xfId="0" applyNumberFormat="1" applyFont="1" applyBorder="1" applyAlignment="1">
      <alignment horizontal="center" vertical="center"/>
    </xf>
    <xf numFmtId="0" fontId="177" fillId="127" borderId="285" xfId="0" applyFont="1" applyFill="1" applyBorder="1" applyAlignment="1">
      <alignment horizontal="center" vertical="center"/>
    </xf>
    <xf numFmtId="3" fontId="58" fillId="0" borderId="606" xfId="2" applyNumberFormat="1" applyFont="1" applyFill="1" applyBorder="1" applyAlignment="1">
      <alignment horizontal="center" vertical="center"/>
    </xf>
    <xf numFmtId="3" fontId="58" fillId="0" borderId="607" xfId="2" applyNumberFormat="1" applyFont="1" applyFill="1" applyBorder="1" applyAlignment="1">
      <alignment horizontal="center" vertical="center"/>
    </xf>
    <xf numFmtId="3" fontId="58" fillId="117" borderId="607" xfId="2" applyNumberFormat="1" applyFont="1" applyFill="1" applyBorder="1" applyAlignment="1">
      <alignment horizontal="center" vertical="center"/>
    </xf>
    <xf numFmtId="3" fontId="58" fillId="117" borderId="606" xfId="2" applyNumberFormat="1" applyFont="1" applyFill="1" applyBorder="1" applyAlignment="1">
      <alignment horizontal="center" vertical="center"/>
    </xf>
    <xf numFmtId="223" fontId="0" fillId="0" borderId="0" xfId="0" applyNumberFormat="1">
      <alignment vertical="center"/>
    </xf>
    <xf numFmtId="183" fontId="177" fillId="125" borderId="228" xfId="2" applyNumberFormat="1" applyFont="1" applyFill="1" applyBorder="1" applyAlignment="1">
      <alignment horizontal="center" vertical="center" wrapText="1"/>
    </xf>
    <xf numFmtId="183" fontId="177" fillId="125" borderId="332" xfId="2" applyNumberFormat="1" applyFont="1" applyFill="1" applyBorder="1" applyAlignment="1">
      <alignment horizontal="center" vertical="center" wrapText="1"/>
    </xf>
    <xf numFmtId="177" fontId="29" fillId="0" borderId="606" xfId="2" applyNumberFormat="1" applyFont="1" applyFill="1" applyBorder="1" applyAlignment="1">
      <alignment horizontal="center" vertical="center" wrapText="1"/>
    </xf>
    <xf numFmtId="177" fontId="29" fillId="0" borderId="605" xfId="2" applyNumberFormat="1" applyFont="1" applyFill="1" applyBorder="1" applyAlignment="1">
      <alignment horizontal="center" vertical="center" wrapText="1"/>
    </xf>
    <xf numFmtId="38" fontId="29" fillId="0" borderId="612" xfId="2" applyNumberFormat="1" applyFont="1" applyFill="1" applyBorder="1" applyAlignment="1">
      <alignment horizontal="center" vertical="center" wrapText="1"/>
    </xf>
    <xf numFmtId="179" fontId="29" fillId="0" borderId="606" xfId="2" applyNumberFormat="1" applyFont="1" applyFill="1" applyBorder="1" applyAlignment="1">
      <alignment horizontal="center" vertical="center" wrapText="1"/>
    </xf>
    <xf numFmtId="179" fontId="29" fillId="0" borderId="605" xfId="2" applyNumberFormat="1" applyFont="1" applyFill="1" applyBorder="1" applyAlignment="1">
      <alignment horizontal="center" vertical="center" wrapText="1"/>
    </xf>
    <xf numFmtId="223" fontId="29" fillId="0" borderId="608" xfId="0" applyNumberFormat="1" applyFont="1" applyBorder="1" applyAlignment="1">
      <alignment horizontal="center" vertical="center"/>
    </xf>
    <xf numFmtId="179" fontId="29" fillId="0" borderId="600" xfId="2" applyNumberFormat="1" applyFont="1" applyFill="1" applyBorder="1" applyAlignment="1">
      <alignment horizontal="center" vertical="center" wrapText="1"/>
    </xf>
    <xf numFmtId="0" fontId="177" fillId="127" borderId="606" xfId="0" applyFont="1" applyFill="1" applyBorder="1" applyAlignment="1">
      <alignment horizontal="center" vertical="center"/>
    </xf>
    <xf numFmtId="41" fontId="177" fillId="127" borderId="606" xfId="2" applyFont="1" applyFill="1" applyBorder="1" applyAlignment="1">
      <alignment horizontal="center" vertical="center"/>
    </xf>
    <xf numFmtId="187" fontId="29" fillId="0" borderId="606" xfId="2" applyNumberFormat="1" applyFont="1" applyFill="1" applyBorder="1" applyAlignment="1">
      <alignment horizontal="center" vertical="center" wrapText="1"/>
    </xf>
    <xf numFmtId="41" fontId="177" fillId="127" borderId="600" xfId="2" applyFont="1" applyFill="1" applyBorder="1" applyAlignment="1">
      <alignment horizontal="center" vertical="center"/>
    </xf>
    <xf numFmtId="187" fontId="29" fillId="0" borderId="600" xfId="2" applyNumberFormat="1" applyFont="1" applyFill="1" applyBorder="1" applyAlignment="1">
      <alignment horizontal="center" vertical="center" wrapText="1"/>
    </xf>
    <xf numFmtId="183" fontId="35" fillId="117" borderId="606" xfId="2" applyNumberFormat="1" applyFont="1" applyFill="1" applyBorder="1" applyAlignment="1">
      <alignment horizontal="center" vertical="center" wrapText="1"/>
    </xf>
    <xf numFmtId="187" fontId="33" fillId="0" borderId="606" xfId="2" applyNumberFormat="1" applyFont="1" applyFill="1" applyBorder="1" applyAlignment="1">
      <alignment horizontal="center" vertical="center" wrapText="1"/>
    </xf>
    <xf numFmtId="187" fontId="33" fillId="0" borderId="605" xfId="2" applyNumberFormat="1" applyFont="1" applyFill="1" applyBorder="1" applyAlignment="1">
      <alignment horizontal="center" vertical="center" wrapText="1"/>
    </xf>
    <xf numFmtId="183" fontId="35" fillId="117" borderId="600" xfId="2" applyNumberFormat="1" applyFont="1" applyFill="1" applyBorder="1" applyAlignment="1">
      <alignment horizontal="center" vertical="center" wrapText="1"/>
    </xf>
    <xf numFmtId="187" fontId="33" fillId="0" borderId="600" xfId="2" applyNumberFormat="1" applyFont="1" applyFill="1" applyBorder="1" applyAlignment="1">
      <alignment horizontal="center" vertical="center" wrapText="1"/>
    </xf>
    <xf numFmtId="177" fontId="125" fillId="0" borderId="84" xfId="0" applyNumberFormat="1" applyFont="1" applyBorder="1" applyAlignment="1">
      <alignment horizontal="center" vertical="center"/>
    </xf>
    <xf numFmtId="177" fontId="125" fillId="0" borderId="47" xfId="0" applyNumberFormat="1" applyFont="1" applyBorder="1" applyAlignment="1">
      <alignment horizontal="center" vertical="center"/>
    </xf>
    <xf numFmtId="177" fontId="125" fillId="0" borderId="613" xfId="0" applyNumberFormat="1" applyFont="1" applyBorder="1" applyAlignment="1">
      <alignment horizontal="center" vertical="center"/>
    </xf>
    <xf numFmtId="177" fontId="125" fillId="0" borderId="516" xfId="0" applyNumberFormat="1" applyFont="1" applyBorder="1" applyAlignment="1">
      <alignment horizontal="center" vertical="center"/>
    </xf>
    <xf numFmtId="177" fontId="125" fillId="0" borderId="209" xfId="0" applyNumberFormat="1" applyFont="1" applyBorder="1" applyAlignment="1">
      <alignment horizontal="center" vertical="center"/>
    </xf>
    <xf numFmtId="177" fontId="185" fillId="0" borderId="219" xfId="0" applyNumberFormat="1" applyFont="1" applyBorder="1" applyAlignment="1">
      <alignment horizontal="center" vertical="center"/>
    </xf>
    <xf numFmtId="177" fontId="185" fillId="0" borderId="607" xfId="0" applyNumberFormat="1" applyFont="1" applyBorder="1" applyAlignment="1">
      <alignment horizontal="center" vertical="center"/>
    </xf>
    <xf numFmtId="177" fontId="185" fillId="0" borderId="512" xfId="0" applyNumberFormat="1" applyFont="1" applyBorder="1" applyAlignment="1">
      <alignment horizontal="center" vertical="center"/>
    </xf>
    <xf numFmtId="0" fontId="185" fillId="0" borderId="200" xfId="0" applyFont="1" applyBorder="1" applyAlignment="1">
      <alignment horizontal="center" vertical="center"/>
    </xf>
    <xf numFmtId="0" fontId="185" fillId="0" borderId="608" xfId="0" applyFont="1" applyBorder="1" applyAlignment="1">
      <alignment horizontal="center" vertical="center"/>
    </xf>
    <xf numFmtId="0" fontId="185" fillId="0" borderId="515" xfId="0" applyFont="1" applyBorder="1" applyAlignment="1">
      <alignment horizontal="center" vertical="center"/>
    </xf>
    <xf numFmtId="226" fontId="29" fillId="7" borderId="605" xfId="2" applyNumberFormat="1" applyFont="1" applyFill="1" applyBorder="1" applyAlignment="1">
      <alignment horizontal="center" vertical="center"/>
    </xf>
    <xf numFmtId="0" fontId="58" fillId="0" borderId="327" xfId="0" applyFont="1" applyFill="1" applyBorder="1" applyAlignment="1">
      <alignment horizontal="center" vertical="center"/>
    </xf>
    <xf numFmtId="9" fontId="58" fillId="0" borderId="5" xfId="1" applyFont="1" applyBorder="1" applyAlignment="1">
      <alignment horizontal="center" vertical="center"/>
    </xf>
    <xf numFmtId="9" fontId="58" fillId="0" borderId="6" xfId="1" applyFont="1" applyBorder="1" applyAlignment="1">
      <alignment horizontal="center" vertical="center"/>
    </xf>
    <xf numFmtId="2" fontId="58" fillId="0" borderId="608" xfId="0" applyNumberFormat="1" applyFont="1" applyFill="1" applyBorder="1" applyAlignment="1">
      <alignment horizontal="center" vertical="center"/>
    </xf>
    <xf numFmtId="226" fontId="0" fillId="0" borderId="0" xfId="0" applyNumberFormat="1">
      <alignment vertical="center"/>
    </xf>
    <xf numFmtId="187" fontId="0" fillId="0" borderId="607" xfId="0" applyNumberFormat="1" applyBorder="1" applyAlignment="1">
      <alignment horizontal="center" vertical="center"/>
    </xf>
    <xf numFmtId="226" fontId="213" fillId="0" borderId="608" xfId="0" applyNumberFormat="1" applyFont="1" applyBorder="1" applyAlignment="1">
      <alignment horizontal="center" vertical="center"/>
    </xf>
    <xf numFmtId="0" fontId="0" fillId="0" borderId="606" xfId="0" applyBorder="1" applyAlignment="1">
      <alignment horizontal="center" vertical="center"/>
    </xf>
    <xf numFmtId="187" fontId="0" fillId="0" borderId="119" xfId="0" applyNumberFormat="1" applyBorder="1" applyAlignment="1">
      <alignment horizontal="center" vertical="center"/>
    </xf>
    <xf numFmtId="0" fontId="0" fillId="0" borderId="607" xfId="0" applyBorder="1" applyAlignment="1">
      <alignment horizontal="center" vertical="center"/>
    </xf>
    <xf numFmtId="187" fontId="0" fillId="0" borderId="219" xfId="0" applyNumberFormat="1" applyBorder="1" applyAlignment="1">
      <alignment horizontal="center" vertical="center"/>
    </xf>
    <xf numFmtId="187" fontId="240" fillId="0" borderId="6" xfId="4124" applyNumberFormat="1" applyFont="1" applyBorder="1" applyAlignment="1">
      <alignment horizontal="center" vertical="center"/>
    </xf>
    <xf numFmtId="187" fontId="0" fillId="0" borderId="312" xfId="0" applyNumberFormat="1" applyBorder="1" applyAlignment="1">
      <alignment horizontal="center" vertical="center"/>
    </xf>
    <xf numFmtId="187" fontId="0" fillId="0" borderId="313" xfId="0" applyNumberFormat="1" applyBorder="1" applyAlignment="1">
      <alignment horizontal="center" vertical="center"/>
    </xf>
    <xf numFmtId="187" fontId="0" fillId="0" borderId="314" xfId="0" applyNumberFormat="1" applyBorder="1" applyAlignment="1">
      <alignment horizontal="center" vertical="center"/>
    </xf>
    <xf numFmtId="187" fontId="0" fillId="0" borderId="599" xfId="0" applyNumberFormat="1" applyBorder="1" applyAlignment="1">
      <alignment horizontal="center" vertical="center"/>
    </xf>
    <xf numFmtId="187" fontId="46" fillId="0" borderId="223" xfId="0" applyNumberFormat="1" applyFont="1" applyFill="1" applyBorder="1" applyAlignment="1">
      <alignment horizontal="center" vertical="center"/>
    </xf>
    <xf numFmtId="187" fontId="46" fillId="0" borderId="224" xfId="0" applyNumberFormat="1" applyFont="1" applyBorder="1" applyAlignment="1">
      <alignment horizontal="center" vertical="center"/>
    </xf>
    <xf numFmtId="226" fontId="46" fillId="0" borderId="227" xfId="0" applyNumberFormat="1" applyFont="1" applyBorder="1" applyAlignment="1">
      <alignment horizontal="center" vertical="center"/>
    </xf>
    <xf numFmtId="187" fontId="241" fillId="0" borderId="606" xfId="4124" applyNumberFormat="1" applyFont="1" applyFill="1" applyBorder="1" applyAlignment="1">
      <alignment horizontal="center" vertical="center"/>
    </xf>
    <xf numFmtId="187" fontId="242" fillId="0" borderId="513" xfId="0" applyNumberFormat="1" applyFont="1" applyBorder="1" applyAlignment="1">
      <alignment horizontal="center" vertical="center"/>
    </xf>
    <xf numFmtId="187" fontId="242" fillId="0" borderId="6" xfId="0" applyNumberFormat="1" applyFont="1" applyBorder="1" applyAlignment="1">
      <alignment horizontal="center" vertical="center"/>
    </xf>
    <xf numFmtId="187" fontId="242" fillId="0" borderId="606" xfId="0" applyNumberFormat="1" applyFont="1" applyBorder="1" applyAlignment="1">
      <alignment horizontal="center" vertical="center"/>
    </xf>
    <xf numFmtId="187" fontId="242" fillId="0" borderId="600" xfId="0" applyNumberFormat="1" applyFont="1" applyBorder="1" applyAlignment="1">
      <alignment horizontal="center" vertical="center"/>
    </xf>
    <xf numFmtId="187" fontId="243" fillId="0" borderId="606" xfId="4124" applyNumberFormat="1" applyFont="1" applyFill="1" applyBorder="1" applyAlignment="1">
      <alignment horizontal="center" vertical="center"/>
    </xf>
    <xf numFmtId="187" fontId="244" fillId="0" borderId="513" xfId="0" applyNumberFormat="1" applyFont="1" applyBorder="1" applyAlignment="1">
      <alignment horizontal="center" vertical="center"/>
    </xf>
    <xf numFmtId="187" fontId="244" fillId="0" borderId="6" xfId="0" applyNumberFormat="1" applyFont="1" applyBorder="1" applyAlignment="1">
      <alignment horizontal="center" vertical="center"/>
    </xf>
    <xf numFmtId="187" fontId="244" fillId="0" borderId="606" xfId="0" applyNumberFormat="1" applyFont="1" applyBorder="1" applyAlignment="1">
      <alignment horizontal="center" vertical="center"/>
    </xf>
    <xf numFmtId="187" fontId="244" fillId="0" borderId="600" xfId="0" applyNumberFormat="1" applyFont="1" applyBorder="1" applyAlignment="1">
      <alignment horizontal="center" vertical="center"/>
    </xf>
    <xf numFmtId="226" fontId="208" fillId="0" borderId="608" xfId="4124" applyNumberFormat="1" applyFont="1" applyFill="1" applyBorder="1" applyAlignment="1">
      <alignment horizontal="center" vertical="center"/>
    </xf>
    <xf numFmtId="226" fontId="213" fillId="0" borderId="592" xfId="0" applyNumberFormat="1" applyFont="1" applyBorder="1" applyAlignment="1">
      <alignment horizontal="center" vertical="center"/>
    </xf>
    <xf numFmtId="10" fontId="197" fillId="0" borderId="606" xfId="1" applyNumberFormat="1" applyFont="1" applyFill="1" applyBorder="1" applyAlignment="1">
      <alignment horizontal="center" vertical="center"/>
    </xf>
    <xf numFmtId="0" fontId="0" fillId="0" borderId="606" xfId="0" applyBorder="1">
      <alignment vertical="center"/>
    </xf>
    <xf numFmtId="177" fontId="197" fillId="134" borderId="607" xfId="1" applyNumberFormat="1" applyFont="1" applyFill="1" applyBorder="1" applyAlignment="1">
      <alignment horizontal="center" vertical="center"/>
    </xf>
    <xf numFmtId="177" fontId="197" fillId="134" borderId="606" xfId="1" applyNumberFormat="1" applyFont="1" applyFill="1" applyBorder="1" applyAlignment="1">
      <alignment horizontal="center" vertical="center"/>
    </xf>
    <xf numFmtId="177" fontId="197" fillId="134" borderId="606" xfId="0" applyNumberFormat="1" applyFont="1" applyFill="1" applyBorder="1" applyAlignment="1">
      <alignment horizontal="center" vertical="center"/>
    </xf>
    <xf numFmtId="177" fontId="197" fillId="93" borderId="606" xfId="1" applyNumberFormat="1" applyFont="1" applyFill="1" applyBorder="1" applyAlignment="1">
      <alignment horizontal="center" vertical="center"/>
    </xf>
    <xf numFmtId="176" fontId="230" fillId="0" borderId="608" xfId="0" applyNumberFormat="1" applyFont="1" applyBorder="1" applyAlignment="1">
      <alignment horizontal="center" vertical="center"/>
    </xf>
    <xf numFmtId="176" fontId="230" fillId="137" borderId="482" xfId="1" applyNumberFormat="1" applyFont="1" applyFill="1" applyBorder="1" applyAlignment="1">
      <alignment horizontal="center" vertical="center"/>
    </xf>
    <xf numFmtId="10" fontId="245" fillId="137" borderId="513" xfId="1" applyNumberFormat="1" applyFont="1" applyFill="1" applyBorder="1" applyAlignment="1">
      <alignment horizontal="center" vertical="center"/>
    </xf>
    <xf numFmtId="9" fontId="230" fillId="137" borderId="513" xfId="1" applyFont="1" applyFill="1" applyBorder="1" applyAlignment="1">
      <alignment horizontal="center" vertical="center"/>
    </xf>
    <xf numFmtId="0" fontId="0" fillId="137" borderId="513" xfId="0" applyFill="1" applyBorder="1" applyAlignment="1">
      <alignment vertical="center"/>
    </xf>
    <xf numFmtId="0" fontId="0" fillId="3" borderId="0" xfId="0" applyFill="1">
      <alignment vertical="center"/>
    </xf>
    <xf numFmtId="0" fontId="206" fillId="3" borderId="0" xfId="0" applyFont="1" applyFill="1">
      <alignment vertical="center"/>
    </xf>
    <xf numFmtId="177" fontId="29" fillId="135" borderId="606" xfId="0" applyNumberFormat="1" applyFont="1" applyFill="1" applyBorder="1" applyAlignment="1">
      <alignment horizontal="center" vertical="center"/>
    </xf>
    <xf numFmtId="177" fontId="197" fillId="0" borderId="606" xfId="0" applyNumberFormat="1" applyFont="1" applyFill="1" applyBorder="1" applyAlignment="1">
      <alignment horizontal="center" vertical="center"/>
    </xf>
    <xf numFmtId="177" fontId="29" fillId="0" borderId="606" xfId="0" applyNumberFormat="1" applyFont="1" applyBorder="1" applyAlignment="1">
      <alignment horizontal="center" vertical="center"/>
    </xf>
    <xf numFmtId="177" fontId="29" fillId="135" borderId="606" xfId="0" applyNumberFormat="1" applyFont="1" applyFill="1" applyBorder="1" applyAlignment="1">
      <alignment horizontal="center"/>
    </xf>
    <xf numFmtId="187" fontId="197" fillId="0" borderId="606" xfId="1" applyNumberFormat="1" applyFont="1" applyFill="1" applyBorder="1" applyAlignment="1">
      <alignment horizontal="center" vertical="center"/>
    </xf>
    <xf numFmtId="241" fontId="230" fillId="4" borderId="606" xfId="1" applyNumberFormat="1" applyFont="1" applyFill="1" applyBorder="1" applyAlignment="1">
      <alignment horizontal="center" vertical="center"/>
    </xf>
    <xf numFmtId="241" fontId="197" fillId="0" borderId="606" xfId="1" applyNumberFormat="1" applyFont="1" applyFill="1" applyBorder="1" applyAlignment="1">
      <alignment horizontal="center" vertical="center"/>
    </xf>
    <xf numFmtId="183" fontId="197" fillId="0" borderId="606" xfId="1" applyNumberFormat="1" applyFont="1" applyFill="1" applyBorder="1" applyAlignment="1">
      <alignment horizontal="center" vertical="center"/>
    </xf>
    <xf numFmtId="176" fontId="230" fillId="0" borderId="605" xfId="0" applyNumberFormat="1" applyFont="1" applyBorder="1" applyAlignment="1">
      <alignment horizontal="center" vertical="center"/>
    </xf>
    <xf numFmtId="0" fontId="30" fillId="131" borderId="119" xfId="0" applyFont="1" applyFill="1" applyBorder="1" applyAlignment="1">
      <alignment horizontal="center" vertical="center"/>
    </xf>
    <xf numFmtId="0" fontId="30" fillId="131" borderId="228" xfId="0" applyFont="1" applyFill="1" applyBorder="1" applyAlignment="1">
      <alignment horizontal="center" vertical="center"/>
    </xf>
    <xf numFmtId="0" fontId="30" fillId="131" borderId="135" xfId="0" applyFont="1" applyFill="1" applyBorder="1" applyAlignment="1">
      <alignment horizontal="center" vertical="center"/>
    </xf>
    <xf numFmtId="0" fontId="197" fillId="0" borderId="607" xfId="0" applyFont="1" applyBorder="1" applyAlignment="1">
      <alignment horizontal="center" vertical="center" wrapText="1"/>
    </xf>
    <xf numFmtId="187" fontId="197" fillId="0" borderId="608" xfId="1" applyNumberFormat="1" applyFont="1" applyFill="1" applyBorder="1" applyAlignment="1">
      <alignment horizontal="center" vertical="center"/>
    </xf>
    <xf numFmtId="0" fontId="197" fillId="0" borderId="607" xfId="0" applyFont="1" applyBorder="1" applyAlignment="1">
      <alignment horizontal="center" vertical="center"/>
    </xf>
    <xf numFmtId="0" fontId="230" fillId="0" borderId="607" xfId="0" applyFont="1" applyBorder="1" applyAlignment="1">
      <alignment horizontal="center" vertical="center"/>
    </xf>
    <xf numFmtId="241" fontId="230" fillId="4" borderId="608" xfId="1" applyNumberFormat="1" applyFont="1" applyFill="1" applyBorder="1" applyAlignment="1">
      <alignment horizontal="center" vertical="center"/>
    </xf>
    <xf numFmtId="183" fontId="197" fillId="0" borderId="608" xfId="1" applyNumberFormat="1" applyFont="1" applyFill="1" applyBorder="1" applyAlignment="1">
      <alignment horizontal="center" vertical="center"/>
    </xf>
    <xf numFmtId="0" fontId="30" fillId="131" borderId="482" xfId="0" applyFont="1" applyFill="1" applyBorder="1" applyAlignment="1">
      <alignment horizontal="center" vertical="center"/>
    </xf>
    <xf numFmtId="9" fontId="30" fillId="131" borderId="513" xfId="1" applyFont="1" applyFill="1" applyBorder="1" applyAlignment="1">
      <alignment horizontal="center" vertical="center"/>
    </xf>
    <xf numFmtId="9" fontId="30" fillId="131" borderId="515" xfId="1" applyFont="1" applyFill="1" applyBorder="1" applyAlignment="1">
      <alignment horizontal="center" vertical="center"/>
    </xf>
    <xf numFmtId="241" fontId="230" fillId="4" borderId="605" xfId="1" applyNumberFormat="1" applyFont="1" applyFill="1" applyBorder="1" applyAlignment="1">
      <alignment horizontal="center" vertical="center"/>
    </xf>
    <xf numFmtId="0" fontId="30" fillId="131" borderId="120" xfId="0" applyFont="1" applyFill="1" applyBorder="1" applyAlignment="1">
      <alignment horizontal="center" vertical="center"/>
    </xf>
    <xf numFmtId="0" fontId="30" fillId="131" borderId="121" xfId="0" applyFont="1" applyFill="1" applyBorder="1" applyAlignment="1">
      <alignment horizontal="center" vertical="center"/>
    </xf>
    <xf numFmtId="241" fontId="230" fillId="4" borderId="607" xfId="1" applyNumberFormat="1" applyFont="1" applyFill="1" applyBorder="1" applyAlignment="1">
      <alignment horizontal="center" vertical="center"/>
    </xf>
    <xf numFmtId="10" fontId="30" fillId="131" borderId="482" xfId="1" applyNumberFormat="1" applyFont="1" applyFill="1" applyBorder="1" applyAlignment="1">
      <alignment horizontal="center" vertical="center"/>
    </xf>
    <xf numFmtId="10" fontId="30" fillId="131" borderId="515" xfId="1" applyNumberFormat="1" applyFont="1" applyFill="1" applyBorder="1" applyAlignment="1">
      <alignment horizontal="center" vertical="center"/>
    </xf>
    <xf numFmtId="0" fontId="30" fillId="131" borderId="45" xfId="0" applyFont="1" applyFill="1" applyBorder="1" applyAlignment="1">
      <alignment horizontal="center" vertical="center"/>
    </xf>
    <xf numFmtId="187" fontId="197" fillId="0" borderId="605" xfId="1" applyNumberFormat="1" applyFont="1" applyFill="1" applyBorder="1" applyAlignment="1">
      <alignment horizontal="center" vertical="center"/>
    </xf>
    <xf numFmtId="183" fontId="197" fillId="0" borderId="605" xfId="1" applyNumberFormat="1" applyFont="1" applyFill="1" applyBorder="1" applyAlignment="1">
      <alignment horizontal="center" vertical="center"/>
    </xf>
    <xf numFmtId="10" fontId="30" fillId="131" borderId="514" xfId="1" applyNumberFormat="1" applyFont="1" applyFill="1" applyBorder="1" applyAlignment="1">
      <alignment horizontal="center" vertical="center"/>
    </xf>
    <xf numFmtId="0" fontId="0" fillId="0" borderId="608" xfId="0" applyBorder="1" applyAlignment="1">
      <alignment horizontal="center" vertical="center"/>
    </xf>
    <xf numFmtId="0" fontId="30" fillId="131" borderId="62" xfId="0" applyFont="1" applyFill="1" applyBorder="1" applyAlignment="1">
      <alignment horizontal="center" vertical="center"/>
    </xf>
    <xf numFmtId="177" fontId="197" fillId="0" borderId="597" xfId="0" applyNumberFormat="1" applyFont="1" applyFill="1" applyBorder="1" applyAlignment="1">
      <alignment horizontal="center" vertical="center" wrapText="1"/>
    </xf>
    <xf numFmtId="241" fontId="230" fillId="4" borderId="597" xfId="1" applyNumberFormat="1" applyFont="1" applyFill="1" applyBorder="1" applyAlignment="1">
      <alignment horizontal="center" vertical="center"/>
    </xf>
    <xf numFmtId="10" fontId="30" fillId="131" borderId="518" xfId="1" applyNumberFormat="1" applyFont="1" applyFill="1" applyBorder="1" applyAlignment="1">
      <alignment horizontal="center" vertical="center"/>
    </xf>
    <xf numFmtId="177" fontId="0" fillId="0" borderId="606" xfId="0" applyNumberFormat="1" applyBorder="1" applyAlignment="1">
      <alignment horizontal="center" vertical="center"/>
    </xf>
    <xf numFmtId="177" fontId="0" fillId="0" borderId="607" xfId="0" applyNumberFormat="1" applyBorder="1" applyAlignment="1">
      <alignment horizontal="center" vertical="center"/>
    </xf>
    <xf numFmtId="240" fontId="230" fillId="134" borderId="513" xfId="0" applyNumberFormat="1" applyFont="1" applyFill="1" applyBorder="1" applyAlignment="1">
      <alignment horizontal="center" vertical="center"/>
    </xf>
    <xf numFmtId="240" fontId="230" fillId="134" borderId="515" xfId="0" applyNumberFormat="1" applyFont="1" applyFill="1" applyBorder="1" applyAlignment="1">
      <alignment horizontal="center" vertical="center"/>
    </xf>
    <xf numFmtId="187" fontId="238" fillId="0" borderId="606" xfId="1" applyNumberFormat="1" applyFont="1" applyFill="1" applyBorder="1" applyAlignment="1">
      <alignment horizontal="center" vertical="center"/>
    </xf>
    <xf numFmtId="178" fontId="26" fillId="0" borderId="606" xfId="2" applyNumberFormat="1" applyFont="1" applyFill="1" applyBorder="1" applyAlignment="1">
      <alignment horizontal="center" vertical="center"/>
    </xf>
    <xf numFmtId="0" fontId="30" fillId="139" borderId="513" xfId="0" applyFont="1" applyFill="1" applyBorder="1" applyAlignment="1"/>
    <xf numFmtId="9" fontId="30" fillId="139" borderId="513" xfId="1" applyFont="1" applyFill="1" applyBorder="1" applyAlignment="1">
      <alignment horizontal="center" vertical="center"/>
    </xf>
    <xf numFmtId="240" fontId="30" fillId="139" borderId="513" xfId="0" applyNumberFormat="1" applyFont="1" applyFill="1" applyBorder="1" applyAlignment="1">
      <alignment horizontal="center" vertical="center"/>
    </xf>
    <xf numFmtId="240" fontId="30" fillId="139" borderId="515" xfId="0" applyNumberFormat="1" applyFont="1" applyFill="1" applyBorder="1" applyAlignment="1">
      <alignment horizontal="center" vertical="center"/>
    </xf>
    <xf numFmtId="0" fontId="29" fillId="4" borderId="606" xfId="0" applyFont="1" applyFill="1" applyBorder="1" applyAlignment="1">
      <alignment horizontal="center" vertical="center"/>
    </xf>
    <xf numFmtId="187" fontId="35" fillId="0" borderId="606" xfId="0" applyNumberFormat="1" applyFont="1" applyBorder="1" applyAlignment="1">
      <alignment horizontal="center" vertical="center"/>
    </xf>
    <xf numFmtId="0" fontId="29" fillId="0" borderId="5" xfId="0" applyFont="1" applyBorder="1" applyAlignment="1">
      <alignment horizontal="center" vertical="center" wrapText="1"/>
    </xf>
    <xf numFmtId="0" fontId="29" fillId="0" borderId="606" xfId="0" applyFont="1" applyBorder="1" applyAlignment="1">
      <alignment horizontal="center" vertical="center" wrapText="1"/>
    </xf>
    <xf numFmtId="0" fontId="29" fillId="0" borderId="6" xfId="0" applyFont="1" applyBorder="1" applyAlignment="1">
      <alignment vertical="center"/>
    </xf>
    <xf numFmtId="187" fontId="236" fillId="140" borderId="606" xfId="1" applyNumberFormat="1" applyFont="1" applyFill="1" applyBorder="1" applyAlignment="1">
      <alignment horizontal="center" vertical="center"/>
    </xf>
    <xf numFmtId="10" fontId="230" fillId="140" borderId="606" xfId="1" applyNumberFormat="1" applyFont="1" applyFill="1" applyBorder="1" applyAlignment="1">
      <alignment horizontal="center" vertical="center"/>
    </xf>
    <xf numFmtId="0" fontId="0" fillId="0" borderId="0" xfId="0" applyBorder="1">
      <alignment vertical="center"/>
    </xf>
    <xf numFmtId="0" fontId="0" fillId="0" borderId="204" xfId="0" applyBorder="1">
      <alignment vertical="center"/>
    </xf>
    <xf numFmtId="0" fontId="0" fillId="0" borderId="266" xfId="0" applyBorder="1">
      <alignment vertical="center"/>
    </xf>
    <xf numFmtId="10" fontId="197" fillId="0" borderId="613" xfId="1" applyNumberFormat="1" applyFont="1" applyFill="1" applyBorder="1" applyAlignment="1">
      <alignment horizontal="center" vertical="center"/>
    </xf>
    <xf numFmtId="240" fontId="230" fillId="134" borderId="516" xfId="0" applyNumberFormat="1" applyFont="1" applyFill="1" applyBorder="1" applyAlignment="1">
      <alignment horizontal="center" vertical="center"/>
    </xf>
    <xf numFmtId="0" fontId="230" fillId="136" borderId="119" xfId="0" applyFont="1" applyFill="1" applyBorder="1" applyAlignment="1">
      <alignment horizontal="center" vertical="center"/>
    </xf>
    <xf numFmtId="0" fontId="230" fillId="136" borderId="607" xfId="0" applyFont="1" applyFill="1" applyBorder="1" applyAlignment="1">
      <alignment horizontal="center" vertical="center"/>
    </xf>
    <xf numFmtId="0" fontId="230" fillId="136" borderId="482" xfId="0" applyFont="1" applyFill="1" applyBorder="1" applyAlignment="1">
      <alignment horizontal="center" vertical="center"/>
    </xf>
    <xf numFmtId="0" fontId="230" fillId="142" borderId="597" xfId="0" applyFont="1" applyFill="1" applyBorder="1" applyAlignment="1">
      <alignment horizontal="center" vertical="center"/>
    </xf>
    <xf numFmtId="0" fontId="230" fillId="142" borderId="518" xfId="0" applyFont="1" applyFill="1" applyBorder="1" applyAlignment="1">
      <alignment horizontal="center" vertical="center"/>
    </xf>
    <xf numFmtId="240" fontId="230" fillId="118" borderId="514" xfId="0" applyNumberFormat="1" applyFont="1" applyFill="1" applyBorder="1" applyAlignment="1">
      <alignment horizontal="center" vertical="center"/>
    </xf>
    <xf numFmtId="240" fontId="230" fillId="118" borderId="515" xfId="0" applyNumberFormat="1" applyFont="1" applyFill="1" applyBorder="1" applyAlignment="1">
      <alignment horizontal="center" vertical="center"/>
    </xf>
    <xf numFmtId="240" fontId="230" fillId="118" borderId="518" xfId="0" applyNumberFormat="1" applyFont="1" applyFill="1" applyBorder="1" applyAlignment="1">
      <alignment horizontal="center" vertical="center"/>
    </xf>
    <xf numFmtId="0" fontId="0" fillId="4" borderId="513" xfId="0" applyFill="1" applyBorder="1">
      <alignment vertical="center"/>
    </xf>
    <xf numFmtId="0" fontId="230" fillId="143" borderId="606" xfId="0" applyFont="1" applyFill="1" applyBorder="1" applyAlignment="1">
      <alignment horizontal="center" vertical="center"/>
    </xf>
    <xf numFmtId="0" fontId="230" fillId="143" borderId="607" xfId="0" applyFont="1" applyFill="1" applyBorder="1" applyAlignment="1">
      <alignment horizontal="center" vertical="center"/>
    </xf>
    <xf numFmtId="241" fontId="230" fillId="141" borderId="606" xfId="1" applyNumberFormat="1" applyFont="1" applyFill="1" applyBorder="1" applyAlignment="1">
      <alignment horizontal="center" vertical="center"/>
    </xf>
    <xf numFmtId="241" fontId="230" fillId="141" borderId="608" xfId="1" applyNumberFormat="1" applyFont="1" applyFill="1" applyBorder="1" applyAlignment="1">
      <alignment horizontal="center" vertical="center"/>
    </xf>
    <xf numFmtId="179" fontId="197" fillId="0" borderId="607" xfId="0" applyNumberFormat="1" applyFont="1" applyFill="1" applyBorder="1" applyAlignment="1">
      <alignment horizontal="center" vertical="center"/>
    </xf>
    <xf numFmtId="179" fontId="197" fillId="0" borderId="606" xfId="0" applyNumberFormat="1" applyFont="1" applyFill="1" applyBorder="1" applyAlignment="1">
      <alignment horizontal="center" vertical="center"/>
    </xf>
    <xf numFmtId="179" fontId="197" fillId="0" borderId="605" xfId="0" applyNumberFormat="1" applyFont="1" applyFill="1" applyBorder="1" applyAlignment="1">
      <alignment horizontal="center" vertical="center"/>
    </xf>
    <xf numFmtId="240" fontId="35" fillId="137" borderId="606" xfId="0" applyNumberFormat="1" applyFont="1" applyFill="1" applyBorder="1" applyAlignment="1">
      <alignment horizontal="center" vertical="center"/>
    </xf>
    <xf numFmtId="226" fontId="35" fillId="137" borderId="482" xfId="2" applyNumberFormat="1" applyFont="1" applyFill="1" applyBorder="1" applyAlignment="1">
      <alignment horizontal="center" vertical="center"/>
    </xf>
    <xf numFmtId="226" fontId="35" fillId="137" borderId="513" xfId="2" applyNumberFormat="1" applyFont="1" applyFill="1" applyBorder="1" applyAlignment="1">
      <alignment horizontal="center" vertical="center"/>
    </xf>
    <xf numFmtId="226" fontId="35" fillId="137" borderId="607" xfId="2" applyNumberFormat="1" applyFont="1" applyFill="1" applyBorder="1" applyAlignment="1">
      <alignment horizontal="center" vertical="center"/>
    </xf>
    <xf numFmtId="226" fontId="35" fillId="137" borderId="606" xfId="2" applyNumberFormat="1" applyFont="1" applyFill="1" applyBorder="1" applyAlignment="1">
      <alignment horizontal="center" vertical="center"/>
    </xf>
    <xf numFmtId="240" fontId="35" fillId="137" borderId="607" xfId="0" applyNumberFormat="1" applyFont="1" applyFill="1" applyBorder="1" applyAlignment="1">
      <alignment horizontal="center" vertical="center"/>
    </xf>
    <xf numFmtId="10" fontId="230" fillId="0" borderId="606" xfId="1" applyNumberFormat="1" applyFont="1" applyFill="1" applyBorder="1" applyAlignment="1">
      <alignment horizontal="center" vertical="center"/>
    </xf>
    <xf numFmtId="10" fontId="230" fillId="0" borderId="608" xfId="1" applyNumberFormat="1" applyFont="1" applyFill="1" applyBorder="1" applyAlignment="1">
      <alignment horizontal="center" vertical="center"/>
    </xf>
    <xf numFmtId="187" fontId="230" fillId="0" borderId="606" xfId="1" applyNumberFormat="1" applyFont="1" applyFill="1" applyBorder="1" applyAlignment="1">
      <alignment horizontal="center" vertical="center"/>
    </xf>
    <xf numFmtId="177" fontId="230" fillId="0" borderId="608" xfId="0" applyNumberFormat="1" applyFont="1" applyFill="1" applyBorder="1" applyAlignment="1">
      <alignment horizontal="center" vertical="center" wrapText="1"/>
    </xf>
    <xf numFmtId="183" fontId="230" fillId="0" borderId="606" xfId="1" applyNumberFormat="1" applyFont="1" applyFill="1" applyBorder="1" applyAlignment="1">
      <alignment horizontal="center" vertical="center"/>
    </xf>
    <xf numFmtId="10" fontId="35" fillId="140" borderId="608" xfId="0" applyNumberFormat="1" applyFont="1" applyFill="1" applyBorder="1" applyAlignment="1">
      <alignment horizontal="center" vertical="center"/>
    </xf>
    <xf numFmtId="226" fontId="35" fillId="137" borderId="608" xfId="2" applyNumberFormat="1" applyFont="1" applyFill="1" applyBorder="1" applyAlignment="1">
      <alignment horizontal="center" vertical="center"/>
    </xf>
    <xf numFmtId="240" fontId="35" fillId="137" borderId="608" xfId="0" applyNumberFormat="1" applyFont="1" applyFill="1" applyBorder="1" applyAlignment="1">
      <alignment horizontal="center" vertical="center"/>
    </xf>
    <xf numFmtId="240" fontId="35" fillId="137" borderId="482" xfId="0" applyNumberFormat="1" applyFont="1" applyFill="1" applyBorder="1" applyAlignment="1">
      <alignment horizontal="center" vertical="center"/>
    </xf>
    <xf numFmtId="240" fontId="35" fillId="137" borderId="513" xfId="0" applyNumberFormat="1" applyFont="1" applyFill="1" applyBorder="1" applyAlignment="1">
      <alignment horizontal="center" vertical="center"/>
    </xf>
    <xf numFmtId="240" fontId="35" fillId="137" borderId="515" xfId="0" applyNumberFormat="1" applyFont="1" applyFill="1" applyBorder="1" applyAlignment="1">
      <alignment horizontal="center" vertical="center"/>
    </xf>
    <xf numFmtId="187" fontId="35" fillId="0" borderId="606" xfId="0" applyNumberFormat="1" applyFont="1" applyFill="1" applyBorder="1" applyAlignment="1">
      <alignment horizontal="center" vertical="center"/>
    </xf>
    <xf numFmtId="0" fontId="0" fillId="138" borderId="266" xfId="0" applyFill="1" applyBorder="1">
      <alignment vertical="center"/>
    </xf>
    <xf numFmtId="177" fontId="35" fillId="0" borderId="608" xfId="0" applyNumberFormat="1" applyFont="1" applyBorder="1" applyAlignment="1">
      <alignment horizontal="center" vertical="center"/>
    </xf>
    <xf numFmtId="0" fontId="0" fillId="137" borderId="0" xfId="0" applyFill="1" applyBorder="1">
      <alignment vertical="center"/>
    </xf>
    <xf numFmtId="187" fontId="35" fillId="0" borderId="608" xfId="0" applyNumberFormat="1" applyFont="1" applyBorder="1" applyAlignment="1">
      <alignment horizontal="center" vertical="center"/>
    </xf>
    <xf numFmtId="240" fontId="35" fillId="137" borderId="600" xfId="0" applyNumberFormat="1" applyFont="1" applyFill="1" applyBorder="1" applyAlignment="1">
      <alignment horizontal="center" vertical="center"/>
    </xf>
    <xf numFmtId="226" fontId="35" fillId="137" borderId="600" xfId="2" applyNumberFormat="1" applyFont="1" applyFill="1" applyBorder="1" applyAlignment="1">
      <alignment horizontal="center" vertical="center"/>
    </xf>
    <xf numFmtId="226" fontId="35" fillId="137" borderId="592" xfId="2" applyNumberFormat="1" applyFont="1" applyFill="1" applyBorder="1" applyAlignment="1">
      <alignment horizontal="center" vertical="center"/>
    </xf>
    <xf numFmtId="0" fontId="0" fillId="0" borderId="509" xfId="0" applyBorder="1">
      <alignment vertical="center"/>
    </xf>
    <xf numFmtId="0" fontId="35" fillId="138" borderId="607" xfId="0" applyFont="1" applyFill="1" applyBorder="1" applyAlignment="1">
      <alignment horizontal="center" vertical="center"/>
    </xf>
    <xf numFmtId="0" fontId="35" fillId="137" borderId="607" xfId="0" applyFont="1" applyFill="1" applyBorder="1" applyAlignment="1">
      <alignment horizontal="center" vertical="center"/>
    </xf>
    <xf numFmtId="0" fontId="35" fillId="137" borderId="599" xfId="0" applyFont="1" applyFill="1" applyBorder="1" applyAlignment="1">
      <alignment horizontal="center" vertical="center"/>
    </xf>
    <xf numFmtId="0" fontId="46" fillId="137" borderId="482" xfId="0" applyFont="1" applyFill="1" applyBorder="1" applyAlignment="1">
      <alignment horizontal="center" vertical="center"/>
    </xf>
    <xf numFmtId="0" fontId="230" fillId="136" borderId="607" xfId="0" applyFont="1" applyFill="1" applyBorder="1" applyAlignment="1">
      <alignment horizontal="center" vertical="center" wrapText="1"/>
    </xf>
    <xf numFmtId="0" fontId="230" fillId="136" borderId="599" xfId="0" applyFont="1" applyFill="1" applyBorder="1" applyAlignment="1">
      <alignment horizontal="center" vertical="center"/>
    </xf>
    <xf numFmtId="10" fontId="230" fillId="0" borderId="600" xfId="1" applyNumberFormat="1" applyFont="1" applyFill="1" applyBorder="1" applyAlignment="1">
      <alignment horizontal="center" vertical="center"/>
    </xf>
    <xf numFmtId="10" fontId="230" fillId="0" borderId="592" xfId="1" applyNumberFormat="1" applyFont="1" applyFill="1" applyBorder="1" applyAlignment="1">
      <alignment horizontal="center" vertical="center"/>
    </xf>
    <xf numFmtId="10" fontId="197" fillId="0" borderId="602" xfId="1" applyNumberFormat="1" applyFont="1" applyFill="1" applyBorder="1" applyAlignment="1">
      <alignment horizontal="center" vertical="center"/>
    </xf>
    <xf numFmtId="10" fontId="197" fillId="0" borderId="600" xfId="1" applyNumberFormat="1" applyFont="1" applyFill="1" applyBorder="1" applyAlignment="1">
      <alignment horizontal="center" vertical="center"/>
    </xf>
    <xf numFmtId="10" fontId="230" fillId="134" borderId="120" xfId="1" applyNumberFormat="1" applyFont="1" applyFill="1" applyBorder="1" applyAlignment="1">
      <alignment horizontal="center" vertical="center"/>
    </xf>
    <xf numFmtId="10" fontId="230" fillId="134" borderId="121" xfId="1" applyNumberFormat="1" applyFont="1" applyFill="1" applyBorder="1" applyAlignment="1">
      <alignment horizontal="center" vertical="center"/>
    </xf>
    <xf numFmtId="10" fontId="230" fillId="134" borderId="47" xfId="1" applyNumberFormat="1" applyFont="1" applyFill="1" applyBorder="1" applyAlignment="1">
      <alignment horizontal="center" vertical="center"/>
    </xf>
    <xf numFmtId="0" fontId="230" fillId="142" borderId="598" xfId="0" applyFont="1" applyFill="1" applyBorder="1" applyAlignment="1">
      <alignment horizontal="center" vertical="center"/>
    </xf>
    <xf numFmtId="177" fontId="197" fillId="134" borderId="599" xfId="1" applyNumberFormat="1" applyFont="1" applyFill="1" applyBorder="1" applyAlignment="1">
      <alignment horizontal="center" vertical="center"/>
    </xf>
    <xf numFmtId="177" fontId="197" fillId="93" borderId="600" xfId="1" applyNumberFormat="1" applyFont="1" applyFill="1" applyBorder="1" applyAlignment="1">
      <alignment horizontal="center" vertical="center"/>
    </xf>
    <xf numFmtId="177" fontId="197" fillId="134" borderId="600" xfId="1" applyNumberFormat="1" applyFont="1" applyFill="1" applyBorder="1" applyAlignment="1">
      <alignment horizontal="center" vertical="center"/>
    </xf>
    <xf numFmtId="177" fontId="197" fillId="134" borderId="600" xfId="0" applyNumberFormat="1" applyFont="1" applyFill="1" applyBorder="1" applyAlignment="1">
      <alignment horizontal="center" vertical="center"/>
    </xf>
    <xf numFmtId="176" fontId="230" fillId="0" borderId="601" xfId="0" applyNumberFormat="1" applyFont="1" applyBorder="1" applyAlignment="1">
      <alignment horizontal="center" vertical="center"/>
    </xf>
    <xf numFmtId="176" fontId="230" fillId="0" borderId="592" xfId="0" applyNumberFormat="1" applyFont="1" applyBorder="1" applyAlignment="1">
      <alignment horizontal="center" vertical="center"/>
    </xf>
    <xf numFmtId="179" fontId="197" fillId="0" borderId="599" xfId="0" applyNumberFormat="1" applyFont="1" applyFill="1" applyBorder="1" applyAlignment="1">
      <alignment horizontal="center" vertical="center"/>
    </xf>
    <xf numFmtId="179" fontId="197" fillId="0" borderId="600" xfId="0" applyNumberFormat="1" applyFont="1" applyFill="1" applyBorder="1" applyAlignment="1">
      <alignment horizontal="center" vertical="center"/>
    </xf>
    <xf numFmtId="179" fontId="197" fillId="0" borderId="601" xfId="0" applyNumberFormat="1" applyFont="1" applyFill="1" applyBorder="1" applyAlignment="1">
      <alignment horizontal="center" vertical="center"/>
    </xf>
    <xf numFmtId="0" fontId="230" fillId="142" borderId="62" xfId="0" applyFont="1" applyFill="1" applyBorder="1" applyAlignment="1">
      <alignment horizontal="center" vertical="center"/>
    </xf>
    <xf numFmtId="177" fontId="230" fillId="134" borderId="119" xfId="1" applyNumberFormat="1" applyFont="1" applyFill="1" applyBorder="1" applyAlignment="1">
      <alignment horizontal="center" vertical="center"/>
    </xf>
    <xf numFmtId="177" fontId="230" fillId="134" borderId="120" xfId="1" applyNumberFormat="1" applyFont="1" applyFill="1" applyBorder="1" applyAlignment="1">
      <alignment horizontal="center" vertical="center"/>
    </xf>
    <xf numFmtId="176" fontId="230" fillId="118" borderId="45" xfId="0" applyNumberFormat="1" applyFont="1" applyFill="1" applyBorder="1" applyAlignment="1">
      <alignment horizontal="center" vertical="center"/>
    </xf>
    <xf numFmtId="176" fontId="230" fillId="118" borderId="121" xfId="0" applyNumberFormat="1" applyFont="1" applyFill="1" applyBorder="1" applyAlignment="1">
      <alignment horizontal="center" vertical="center"/>
    </xf>
    <xf numFmtId="179" fontId="230" fillId="118" borderId="120" xfId="1" applyNumberFormat="1" applyFont="1" applyFill="1" applyBorder="1" applyAlignment="1">
      <alignment horizontal="center" vertical="center"/>
    </xf>
    <xf numFmtId="0" fontId="230" fillId="131" borderId="482" xfId="0" applyFont="1" applyFill="1" applyBorder="1" applyAlignment="1">
      <alignment horizontal="center" vertical="center"/>
    </xf>
    <xf numFmtId="177" fontId="33" fillId="0" borderId="606" xfId="0" applyNumberFormat="1" applyFont="1" applyBorder="1" applyAlignment="1">
      <alignment horizontal="center" vertical="center"/>
    </xf>
    <xf numFmtId="177" fontId="197" fillId="0" borderId="600" xfId="0" applyNumberFormat="1" applyFont="1" applyFill="1" applyBorder="1" applyAlignment="1">
      <alignment horizontal="center" vertical="center"/>
    </xf>
    <xf numFmtId="177" fontId="29" fillId="0" borderId="600" xfId="0" applyNumberFormat="1" applyFont="1" applyBorder="1" applyAlignment="1">
      <alignment horizontal="center" vertical="center"/>
    </xf>
    <xf numFmtId="177" fontId="33" fillId="0" borderId="600" xfId="0" applyNumberFormat="1" applyFont="1" applyBorder="1" applyAlignment="1">
      <alignment horizontal="center" vertical="center"/>
    </xf>
    <xf numFmtId="0" fontId="230" fillId="131" borderId="119" xfId="0" applyFont="1" applyFill="1" applyBorder="1" applyAlignment="1">
      <alignment horizontal="center" vertical="center"/>
    </xf>
    <xf numFmtId="177" fontId="230" fillId="135" borderId="120" xfId="0" applyNumberFormat="1" applyFont="1" applyFill="1" applyBorder="1" applyAlignment="1">
      <alignment horizontal="center" vertical="center"/>
    </xf>
    <xf numFmtId="0" fontId="197" fillId="0" borderId="120" xfId="0" applyFont="1" applyBorder="1" applyAlignment="1">
      <alignment vertical="center"/>
    </xf>
    <xf numFmtId="177" fontId="33" fillId="135" borderId="120" xfId="0" applyNumberFormat="1" applyFont="1" applyFill="1" applyBorder="1" applyAlignment="1">
      <alignment horizontal="center" vertical="center"/>
    </xf>
    <xf numFmtId="177" fontId="33" fillId="4" borderId="120" xfId="0" applyNumberFormat="1" applyFont="1" applyFill="1" applyBorder="1" applyAlignment="1">
      <alignment horizontal="center" vertical="center"/>
    </xf>
    <xf numFmtId="0" fontId="0" fillId="131" borderId="266" xfId="0" applyFont="1" applyFill="1" applyBorder="1">
      <alignment vertical="center"/>
    </xf>
    <xf numFmtId="0" fontId="230" fillId="131" borderId="607" xfId="0" applyFont="1" applyFill="1" applyBorder="1" applyAlignment="1">
      <alignment horizontal="left" vertical="center"/>
    </xf>
    <xf numFmtId="0" fontId="230" fillId="131" borderId="599" xfId="0" applyFont="1" applyFill="1" applyBorder="1" applyAlignment="1">
      <alignment horizontal="left" vertical="center"/>
    </xf>
    <xf numFmtId="0" fontId="230" fillId="143" borderId="607" xfId="0" applyFont="1" applyFill="1" applyBorder="1" applyAlignment="1">
      <alignment horizontal="center" vertical="center" wrapText="1"/>
    </xf>
    <xf numFmtId="0" fontId="0" fillId="143" borderId="120" xfId="0" applyFont="1" applyFill="1" applyBorder="1">
      <alignment vertical="center"/>
    </xf>
    <xf numFmtId="0" fontId="35" fillId="143" borderId="606" xfId="0" applyFont="1" applyFill="1" applyBorder="1" applyAlignment="1">
      <alignment horizontal="center" vertical="center"/>
    </xf>
    <xf numFmtId="0" fontId="230" fillId="140" borderId="607" xfId="0" applyFont="1" applyFill="1" applyBorder="1" applyAlignment="1">
      <alignment horizontal="center" vertical="center"/>
    </xf>
    <xf numFmtId="0" fontId="35" fillId="139" borderId="482" xfId="0" applyFont="1" applyFill="1" applyBorder="1" applyAlignment="1">
      <alignment horizontal="center" vertical="center"/>
    </xf>
    <xf numFmtId="0" fontId="230" fillId="131" borderId="599" xfId="0" applyFont="1" applyFill="1" applyBorder="1" applyAlignment="1">
      <alignment horizontal="center" vertical="center"/>
    </xf>
    <xf numFmtId="177" fontId="230" fillId="136" borderId="600" xfId="2" applyNumberFormat="1" applyFont="1" applyFill="1" applyBorder="1" applyAlignment="1">
      <alignment horizontal="center" vertical="center"/>
    </xf>
    <xf numFmtId="240" fontId="230" fillId="0" borderId="600" xfId="0" applyNumberFormat="1" applyFont="1" applyBorder="1" applyAlignment="1">
      <alignment horizontal="center" vertical="center"/>
    </xf>
    <xf numFmtId="177" fontId="230" fillId="4" borderId="600" xfId="2" applyNumberFormat="1" applyFont="1" applyFill="1" applyBorder="1" applyAlignment="1">
      <alignment horizontal="center" vertical="center"/>
    </xf>
    <xf numFmtId="0" fontId="46" fillId="131" borderId="482" xfId="0" applyFont="1" applyFill="1" applyBorder="1" applyAlignment="1">
      <alignment horizontal="center" vertical="center"/>
    </xf>
    <xf numFmtId="240" fontId="230" fillId="4" borderId="513" xfId="0" applyNumberFormat="1" applyFont="1" applyFill="1" applyBorder="1" applyAlignment="1">
      <alignment horizontal="center" vertical="center"/>
    </xf>
    <xf numFmtId="177" fontId="33" fillId="0" borderId="605" xfId="0" applyNumberFormat="1" applyFont="1" applyBorder="1" applyAlignment="1">
      <alignment horizontal="center" vertical="center"/>
    </xf>
    <xf numFmtId="177" fontId="33" fillId="0" borderId="601" xfId="0" applyNumberFormat="1" applyFont="1" applyBorder="1" applyAlignment="1">
      <alignment horizontal="center" vertical="center"/>
    </xf>
    <xf numFmtId="177" fontId="33" fillId="4" borderId="45" xfId="0" applyNumberFormat="1" applyFont="1" applyFill="1" applyBorder="1" applyAlignment="1">
      <alignment horizontal="center" vertical="center"/>
    </xf>
    <xf numFmtId="177" fontId="230" fillId="4" borderId="601" xfId="2" applyNumberFormat="1" applyFont="1" applyFill="1" applyBorder="1" applyAlignment="1">
      <alignment horizontal="center" vertical="center"/>
    </xf>
    <xf numFmtId="240" fontId="230" fillId="4" borderId="514" xfId="0" applyNumberFormat="1" applyFont="1" applyFill="1" applyBorder="1" applyAlignment="1">
      <alignment horizontal="center" vertical="center"/>
    </xf>
    <xf numFmtId="187" fontId="44" fillId="0" borderId="607" xfId="0" applyNumberFormat="1" applyFont="1" applyBorder="1" applyAlignment="1">
      <alignment horizontal="center" vertical="center"/>
    </xf>
    <xf numFmtId="240" fontId="230" fillId="4" borderId="482" xfId="0" applyNumberFormat="1" applyFont="1" applyFill="1" applyBorder="1" applyAlignment="1">
      <alignment horizontal="center" vertical="center"/>
    </xf>
    <xf numFmtId="0" fontId="46" fillId="143" borderId="482" xfId="0" applyFont="1" applyFill="1" applyBorder="1" applyAlignment="1">
      <alignment horizontal="center" vertical="center"/>
    </xf>
    <xf numFmtId="240" fontId="230" fillId="141" borderId="513" xfId="0" applyNumberFormat="1" applyFont="1" applyFill="1" applyBorder="1" applyAlignment="1">
      <alignment horizontal="center" vertical="center"/>
    </xf>
    <xf numFmtId="240" fontId="230" fillId="141" borderId="482" xfId="0" applyNumberFormat="1" applyFont="1" applyFill="1" applyBorder="1" applyAlignment="1">
      <alignment horizontal="center" vertical="center"/>
    </xf>
    <xf numFmtId="240" fontId="230" fillId="141" borderId="515" xfId="0" applyNumberFormat="1" applyFont="1" applyFill="1" applyBorder="1" applyAlignment="1">
      <alignment horizontal="center" vertical="center"/>
    </xf>
    <xf numFmtId="0" fontId="35" fillId="143" borderId="599" xfId="0" applyFont="1" applyFill="1" applyBorder="1" applyAlignment="1">
      <alignment horizontal="center" vertical="center"/>
    </xf>
    <xf numFmtId="9" fontId="30" fillId="131" borderId="600" xfId="1" applyFont="1" applyFill="1" applyBorder="1" applyAlignment="1">
      <alignment horizontal="center" vertical="center"/>
    </xf>
    <xf numFmtId="10" fontId="30" fillId="141" borderId="600" xfId="1" applyNumberFormat="1" applyFont="1" applyFill="1" applyBorder="1" applyAlignment="1">
      <alignment horizontal="center" vertical="center"/>
    </xf>
    <xf numFmtId="10" fontId="30" fillId="141" borderId="599" xfId="1" applyNumberFormat="1" applyFont="1" applyFill="1" applyBorder="1" applyAlignment="1">
      <alignment horizontal="center" vertical="center"/>
    </xf>
    <xf numFmtId="10" fontId="30" fillId="141" borderId="592" xfId="1" applyNumberFormat="1" applyFont="1" applyFill="1" applyBorder="1" applyAlignment="1">
      <alignment horizontal="center" vertical="center"/>
    </xf>
    <xf numFmtId="0" fontId="230" fillId="143" borderId="599" xfId="0" applyFont="1" applyFill="1" applyBorder="1" applyAlignment="1">
      <alignment horizontal="center" vertical="center"/>
    </xf>
    <xf numFmtId="241" fontId="197" fillId="0" borderId="600" xfId="1" applyNumberFormat="1" applyFont="1" applyFill="1" applyBorder="1" applyAlignment="1">
      <alignment horizontal="center" vertical="center"/>
    </xf>
    <xf numFmtId="183" fontId="197" fillId="0" borderId="600" xfId="1" applyNumberFormat="1" applyFont="1" applyFill="1" applyBorder="1" applyAlignment="1">
      <alignment horizontal="center" vertical="center"/>
    </xf>
    <xf numFmtId="183" fontId="230" fillId="0" borderId="600" xfId="1" applyNumberFormat="1" applyFont="1" applyFill="1" applyBorder="1" applyAlignment="1">
      <alignment horizontal="center" vertical="center"/>
    </xf>
    <xf numFmtId="177" fontId="0" fillId="0" borderId="600" xfId="0" applyNumberFormat="1" applyBorder="1" applyAlignment="1">
      <alignment horizontal="center" vertical="center"/>
    </xf>
    <xf numFmtId="0" fontId="230" fillId="143" borderId="119" xfId="0" applyFont="1" applyFill="1" applyBorder="1" applyAlignment="1">
      <alignment horizontal="center" vertical="center"/>
    </xf>
    <xf numFmtId="241" fontId="230" fillId="4" borderId="120" xfId="1" applyNumberFormat="1" applyFont="1" applyFill="1" applyBorder="1" applyAlignment="1">
      <alignment horizontal="center" vertical="center"/>
    </xf>
    <xf numFmtId="241" fontId="230" fillId="141" borderId="120" xfId="1" applyNumberFormat="1" applyFont="1" applyFill="1" applyBorder="1" applyAlignment="1">
      <alignment horizontal="center" vertical="center"/>
    </xf>
    <xf numFmtId="241" fontId="230" fillId="141" borderId="121" xfId="1" applyNumberFormat="1" applyFont="1" applyFill="1" applyBorder="1" applyAlignment="1">
      <alignment horizontal="center" vertical="center"/>
    </xf>
    <xf numFmtId="177" fontId="230" fillId="0" borderId="592" xfId="0" applyNumberFormat="1" applyFont="1" applyFill="1" applyBorder="1" applyAlignment="1">
      <alignment horizontal="center" vertical="center" wrapText="1"/>
    </xf>
    <xf numFmtId="0" fontId="230" fillId="142" borderId="403" xfId="0" applyFont="1" applyFill="1" applyBorder="1" applyAlignment="1">
      <alignment horizontal="center" vertical="center"/>
    </xf>
    <xf numFmtId="177" fontId="197" fillId="134" borderId="219" xfId="1" applyNumberFormat="1" applyFont="1" applyFill="1" applyBorder="1" applyAlignment="1">
      <alignment horizontal="center" vertical="center"/>
    </xf>
    <xf numFmtId="177" fontId="197" fillId="134" borderId="6" xfId="1" applyNumberFormat="1" applyFont="1" applyFill="1" applyBorder="1" applyAlignment="1">
      <alignment horizontal="center" vertical="center"/>
    </xf>
    <xf numFmtId="177" fontId="197" fillId="134" borderId="6" xfId="0" applyNumberFormat="1" applyFont="1" applyFill="1" applyBorder="1" applyAlignment="1">
      <alignment horizontal="center" vertical="center"/>
    </xf>
    <xf numFmtId="176" fontId="230" fillId="0" borderId="38" xfId="0" applyNumberFormat="1" applyFont="1" applyBorder="1" applyAlignment="1">
      <alignment horizontal="center" vertical="center"/>
    </xf>
    <xf numFmtId="176" fontId="230" fillId="0" borderId="200" xfId="0" applyNumberFormat="1" applyFont="1" applyBorder="1" applyAlignment="1">
      <alignment horizontal="center" vertical="center"/>
    </xf>
    <xf numFmtId="179" fontId="197" fillId="0" borderId="219" xfId="0" applyNumberFormat="1" applyFont="1" applyFill="1" applyBorder="1" applyAlignment="1">
      <alignment horizontal="center" vertical="center"/>
    </xf>
    <xf numFmtId="0" fontId="197" fillId="142" borderId="482" xfId="0" applyFont="1" applyFill="1" applyBorder="1" applyAlignment="1">
      <alignment horizontal="center" vertical="center"/>
    </xf>
    <xf numFmtId="0" fontId="197" fillId="142" borderId="513" xfId="0" applyFont="1" applyFill="1" applyBorder="1" applyAlignment="1">
      <alignment horizontal="center" vertical="center"/>
    </xf>
    <xf numFmtId="0" fontId="0" fillId="142" borderId="204" xfId="0" applyFill="1" applyBorder="1">
      <alignment vertical="center"/>
    </xf>
    <xf numFmtId="0" fontId="230" fillId="142" borderId="482" xfId="0" applyFont="1" applyFill="1" applyBorder="1" applyAlignment="1">
      <alignment horizontal="center" vertical="center"/>
    </xf>
    <xf numFmtId="0" fontId="230" fillId="142" borderId="513" xfId="0" applyFont="1" applyFill="1" applyBorder="1" applyAlignment="1">
      <alignment horizontal="center" vertical="center"/>
    </xf>
    <xf numFmtId="0" fontId="230" fillId="142" borderId="514" xfId="0" applyFont="1" applyFill="1" applyBorder="1" applyAlignment="1">
      <alignment horizontal="center" vertical="center"/>
    </xf>
    <xf numFmtId="0" fontId="230" fillId="136" borderId="219" xfId="0" applyFont="1" applyFill="1" applyBorder="1" applyAlignment="1">
      <alignment horizontal="center" vertical="center"/>
    </xf>
    <xf numFmtId="10" fontId="230" fillId="0" borderId="6" xfId="1" applyNumberFormat="1" applyFont="1" applyFill="1" applyBorder="1" applyAlignment="1">
      <alignment horizontal="center" vertical="center"/>
    </xf>
    <xf numFmtId="10" fontId="230" fillId="0" borderId="200" xfId="1" applyNumberFormat="1" applyFont="1" applyFill="1" applyBorder="1" applyAlignment="1">
      <alignment horizontal="center" vertical="center"/>
    </xf>
    <xf numFmtId="10" fontId="197" fillId="0" borderId="23" xfId="1" applyNumberFormat="1" applyFont="1" applyFill="1" applyBorder="1" applyAlignment="1">
      <alignment horizontal="center" vertical="center"/>
    </xf>
    <xf numFmtId="10" fontId="197" fillId="0" borderId="6" xfId="1" applyNumberFormat="1" applyFont="1" applyFill="1" applyBorder="1" applyAlignment="1">
      <alignment horizontal="center" vertical="center"/>
    </xf>
    <xf numFmtId="0" fontId="230" fillId="136" borderId="223" xfId="0" applyFont="1" applyFill="1" applyBorder="1" applyAlignment="1">
      <alignment horizontal="center" vertical="center"/>
    </xf>
    <xf numFmtId="0" fontId="46" fillId="136" borderId="108" xfId="0" applyFont="1" applyFill="1" applyBorder="1">
      <alignment vertical="center"/>
    </xf>
    <xf numFmtId="0" fontId="230" fillId="136" borderId="224" xfId="0" applyFont="1" applyFill="1" applyBorder="1" applyAlignment="1">
      <alignment horizontal="center" vertical="center"/>
    </xf>
    <xf numFmtId="0" fontId="230" fillId="136" borderId="227" xfId="0" applyFont="1" applyFill="1" applyBorder="1" applyAlignment="1">
      <alignment horizontal="center" vertical="center"/>
    </xf>
    <xf numFmtId="0" fontId="230" fillId="136" borderId="286" xfId="0" applyFont="1" applyFill="1" applyBorder="1" applyAlignment="1">
      <alignment horizontal="center" vertical="center"/>
    </xf>
    <xf numFmtId="0" fontId="230" fillId="131" borderId="219" xfId="0" applyFont="1" applyFill="1" applyBorder="1" applyAlignment="1">
      <alignment horizontal="center" vertical="center"/>
    </xf>
    <xf numFmtId="177" fontId="230" fillId="135" borderId="6" xfId="0" applyNumberFormat="1" applyFont="1" applyFill="1" applyBorder="1" applyAlignment="1">
      <alignment horizontal="center" vertical="center"/>
    </xf>
    <xf numFmtId="177" fontId="35" fillId="135" borderId="6" xfId="0" applyNumberFormat="1" applyFont="1" applyFill="1" applyBorder="1" applyAlignment="1">
      <alignment horizontal="center" vertical="center"/>
    </xf>
    <xf numFmtId="177" fontId="33" fillId="0" borderId="6" xfId="0" applyNumberFormat="1" applyFont="1" applyBorder="1" applyAlignment="1">
      <alignment horizontal="center" vertical="center"/>
    </xf>
    <xf numFmtId="177" fontId="33" fillId="0" borderId="38" xfId="0" applyNumberFormat="1" applyFont="1" applyBorder="1" applyAlignment="1">
      <alignment horizontal="center" vertical="center"/>
    </xf>
    <xf numFmtId="0" fontId="197" fillId="131" borderId="513" xfId="0" applyFont="1" applyFill="1" applyBorder="1" applyAlignment="1">
      <alignment horizontal="center" vertical="center"/>
    </xf>
    <xf numFmtId="0" fontId="29" fillId="131" borderId="513" xfId="0" applyFont="1" applyFill="1" applyBorder="1" applyAlignment="1">
      <alignment horizontal="center"/>
    </xf>
    <xf numFmtId="0" fontId="0" fillId="131" borderId="204" xfId="0" applyFont="1" applyFill="1" applyBorder="1">
      <alignment vertical="center"/>
    </xf>
    <xf numFmtId="0" fontId="230" fillId="131" borderId="513" xfId="0" applyFont="1" applyFill="1" applyBorder="1" applyAlignment="1">
      <alignment horizontal="center" vertical="center"/>
    </xf>
    <xf numFmtId="0" fontId="230" fillId="0" borderId="219" xfId="0" applyFont="1" applyBorder="1" applyAlignment="1">
      <alignment horizontal="center" vertical="center"/>
    </xf>
    <xf numFmtId="187" fontId="238" fillId="0" borderId="6" xfId="1" applyNumberFormat="1" applyFont="1" applyFill="1" applyBorder="1" applyAlignment="1">
      <alignment horizontal="center" vertical="center"/>
    </xf>
    <xf numFmtId="178" fontId="26" fillId="0" borderId="6" xfId="2" applyNumberFormat="1" applyFont="1" applyFill="1" applyBorder="1" applyAlignment="1">
      <alignment horizontal="center" vertical="center"/>
    </xf>
    <xf numFmtId="10" fontId="230" fillId="140" borderId="6" xfId="1" applyNumberFormat="1" applyFont="1" applyFill="1" applyBorder="1" applyAlignment="1">
      <alignment horizontal="center" vertical="center"/>
    </xf>
    <xf numFmtId="10" fontId="35" fillId="140" borderId="200" xfId="0" applyNumberFormat="1" applyFont="1" applyFill="1" applyBorder="1" applyAlignment="1">
      <alignment horizontal="center" vertical="center"/>
    </xf>
    <xf numFmtId="0" fontId="35" fillId="139" borderId="513" xfId="0" applyFont="1" applyFill="1" applyBorder="1" applyAlignment="1">
      <alignment horizontal="center" vertical="center"/>
    </xf>
    <xf numFmtId="0" fontId="230" fillId="139" borderId="513" xfId="0" applyFont="1" applyFill="1" applyBorder="1" applyAlignment="1">
      <alignment horizontal="center" vertical="center"/>
    </xf>
    <xf numFmtId="0" fontId="35" fillId="138" borderId="219" xfId="0" applyFont="1" applyFill="1" applyBorder="1" applyAlignment="1">
      <alignment horizontal="center" vertical="center"/>
    </xf>
    <xf numFmtId="0" fontId="29" fillId="0" borderId="5" xfId="0" applyFont="1" applyBorder="1" applyAlignment="1">
      <alignment vertical="center"/>
    </xf>
    <xf numFmtId="187" fontId="35" fillId="0" borderId="6" xfId="0" applyNumberFormat="1" applyFont="1" applyBorder="1" applyAlignment="1">
      <alignment horizontal="center" vertical="center"/>
    </xf>
    <xf numFmtId="223" fontId="35" fillId="0" borderId="200" xfId="0" applyNumberFormat="1" applyFont="1" applyBorder="1" applyAlignment="1">
      <alignment horizontal="center" vertical="center"/>
    </xf>
    <xf numFmtId="0" fontId="0" fillId="138" borderId="204" xfId="0" applyFill="1" applyBorder="1">
      <alignment vertical="center"/>
    </xf>
    <xf numFmtId="0" fontId="29" fillId="138" borderId="513" xfId="0" applyFont="1" applyFill="1" applyBorder="1" applyAlignment="1">
      <alignment horizontal="center" vertical="center"/>
    </xf>
    <xf numFmtId="0" fontId="230" fillId="138" borderId="482" xfId="0" applyFont="1" applyFill="1" applyBorder="1" applyAlignment="1">
      <alignment horizontal="center" vertical="center"/>
    </xf>
    <xf numFmtId="0" fontId="230" fillId="138" borderId="513" xfId="0" applyFont="1" applyFill="1" applyBorder="1" applyAlignment="1">
      <alignment horizontal="center" vertical="center"/>
    </xf>
    <xf numFmtId="0" fontId="230" fillId="138" borderId="515" xfId="0" applyFont="1" applyFill="1" applyBorder="1" applyAlignment="1">
      <alignment horizontal="center" vertical="center"/>
    </xf>
    <xf numFmtId="183" fontId="58" fillId="5" borderId="610" xfId="0" applyNumberFormat="1" applyFont="1" applyFill="1" applyBorder="1" applyAlignment="1">
      <alignment horizontal="center" vertical="center"/>
    </xf>
    <xf numFmtId="183" fontId="58" fillId="5" borderId="609" xfId="0" applyNumberFormat="1" applyFont="1" applyFill="1" applyBorder="1">
      <alignment vertical="center"/>
    </xf>
    <xf numFmtId="183" fontId="58" fillId="5" borderId="609" xfId="0" applyNumberFormat="1" applyFont="1" applyFill="1" applyBorder="1" applyAlignment="1">
      <alignment horizontal="center" vertical="center"/>
    </xf>
    <xf numFmtId="183" fontId="58" fillId="5" borderId="621" xfId="0" applyNumberFormat="1" applyFont="1" applyFill="1" applyBorder="1" applyAlignment="1">
      <alignment horizontal="center" vertical="center"/>
    </xf>
    <xf numFmtId="38" fontId="58" fillId="15" borderId="606" xfId="2" applyNumberFormat="1" applyFont="1" applyFill="1" applyBorder="1" applyAlignment="1">
      <alignment horizontal="center" vertical="center"/>
    </xf>
    <xf numFmtId="3" fontId="58" fillId="15" borderId="606" xfId="2" applyNumberFormat="1" applyFont="1" applyFill="1" applyBorder="1" applyAlignment="1">
      <alignment horizontal="center" vertical="center"/>
    </xf>
    <xf numFmtId="223" fontId="58" fillId="15" borderId="606" xfId="0" applyNumberFormat="1" applyFont="1" applyFill="1" applyBorder="1" applyAlignment="1">
      <alignment horizontal="center" vertical="center"/>
    </xf>
    <xf numFmtId="0" fontId="228" fillId="0" borderId="608" xfId="0" applyFont="1" applyFill="1" applyBorder="1" applyAlignment="1">
      <alignment horizontal="center" vertical="center" wrapText="1"/>
    </xf>
    <xf numFmtId="2" fontId="58" fillId="0" borderId="604" xfId="0" applyNumberFormat="1" applyFont="1" applyFill="1" applyBorder="1" applyAlignment="1">
      <alignment horizontal="center" vertical="center"/>
    </xf>
    <xf numFmtId="2" fontId="58" fillId="0" borderId="38" xfId="0" applyNumberFormat="1" applyFont="1" applyFill="1" applyBorder="1" applyAlignment="1">
      <alignment horizontal="center" vertical="center"/>
    </xf>
    <xf numFmtId="2" fontId="58" fillId="0" borderId="6" xfId="0" applyNumberFormat="1" applyFont="1" applyFill="1" applyBorder="1" applyAlignment="1">
      <alignment horizontal="center" vertical="center"/>
    </xf>
    <xf numFmtId="2" fontId="58" fillId="0" borderId="601" xfId="0" applyNumberFormat="1" applyFont="1" applyFill="1" applyBorder="1" applyAlignment="1">
      <alignment horizontal="center" vertical="center"/>
    </xf>
    <xf numFmtId="186" fontId="29" fillId="0" borderId="612" xfId="0" applyNumberFormat="1" applyFont="1" applyFill="1" applyBorder="1" applyAlignment="1">
      <alignment horizontal="center" vertical="center"/>
    </xf>
    <xf numFmtId="177" fontId="0" fillId="0" borderId="219" xfId="0" applyNumberFormat="1" applyBorder="1" applyAlignment="1">
      <alignment horizontal="center" vertical="center"/>
    </xf>
    <xf numFmtId="177" fontId="0" fillId="0" borderId="6" xfId="0" applyNumberFormat="1" applyBorder="1" applyAlignment="1">
      <alignment horizontal="center" vertical="center"/>
    </xf>
    <xf numFmtId="0" fontId="177" fillId="125" borderId="597" xfId="0" quotePrefix="1" applyFont="1" applyFill="1" applyBorder="1" applyAlignment="1">
      <alignment horizontal="center" vertical="center"/>
    </xf>
    <xf numFmtId="3" fontId="58" fillId="0" borderId="597" xfId="0" applyNumberFormat="1" applyFont="1" applyBorder="1" applyAlignment="1">
      <alignment horizontal="center" vertical="center"/>
    </xf>
    <xf numFmtId="3" fontId="58" fillId="0" borderId="606" xfId="0" applyNumberFormat="1" applyFont="1" applyBorder="1" applyAlignment="1">
      <alignment horizontal="center" vertical="center"/>
    </xf>
    <xf numFmtId="9" fontId="58" fillId="15" borderId="606" xfId="1" applyFont="1" applyFill="1" applyBorder="1" applyAlignment="1">
      <alignment horizontal="center" vertical="center"/>
    </xf>
    <xf numFmtId="0" fontId="58" fillId="15" borderId="608" xfId="0" applyFont="1" applyFill="1" applyBorder="1" applyAlignment="1">
      <alignment horizontal="center" vertical="center"/>
    </xf>
    <xf numFmtId="2" fontId="58" fillId="0" borderId="597" xfId="0" applyNumberFormat="1" applyFont="1" applyBorder="1" applyAlignment="1">
      <alignment horizontal="center" vertical="center"/>
    </xf>
    <xf numFmtId="2" fontId="58" fillId="0" borderId="606" xfId="0" applyNumberFormat="1" applyFont="1" applyBorder="1" applyAlignment="1">
      <alignment horizontal="center" vertical="center"/>
    </xf>
    <xf numFmtId="9" fontId="58" fillId="0" borderId="606" xfId="1" applyFont="1" applyBorder="1" applyAlignment="1">
      <alignment horizontal="center" vertical="center"/>
    </xf>
    <xf numFmtId="2" fontId="58" fillId="0" borderId="598" xfId="0" applyNumberFormat="1" applyFont="1" applyBorder="1" applyAlignment="1">
      <alignment horizontal="center" vertical="center"/>
    </xf>
    <xf numFmtId="9" fontId="58" fillId="0" borderId="600" xfId="1" applyFont="1" applyBorder="1" applyAlignment="1">
      <alignment horizontal="center" vertical="center"/>
    </xf>
    <xf numFmtId="2" fontId="58" fillId="0" borderId="62" xfId="0" applyNumberFormat="1" applyFont="1" applyBorder="1" applyAlignment="1">
      <alignment horizontal="center" vertical="center"/>
    </xf>
    <xf numFmtId="4" fontId="58" fillId="0" borderId="518" xfId="0" applyNumberFormat="1" applyFont="1" applyBorder="1" applyAlignment="1">
      <alignment horizontal="center" vertical="center"/>
    </xf>
    <xf numFmtId="0" fontId="29" fillId="0" borderId="597" xfId="0" applyFont="1" applyBorder="1" applyAlignment="1">
      <alignment horizontal="center" vertical="center"/>
    </xf>
    <xf numFmtId="2" fontId="29" fillId="0" borderId="606" xfId="0" applyNumberFormat="1" applyFont="1" applyBorder="1" applyAlignment="1">
      <alignment horizontal="center" vertical="center"/>
    </xf>
    <xf numFmtId="2" fontId="29" fillId="0" borderId="598" xfId="0" applyNumberFormat="1" applyFont="1" applyFill="1" applyBorder="1" applyAlignment="1">
      <alignment horizontal="center" vertical="center"/>
    </xf>
    <xf numFmtId="2" fontId="29" fillId="0" borderId="598" xfId="0" applyNumberFormat="1" applyFont="1" applyBorder="1" applyAlignment="1">
      <alignment horizontal="center" vertical="center"/>
    </xf>
    <xf numFmtId="0" fontId="58" fillId="5" borderId="515" xfId="0" applyFont="1" applyFill="1" applyBorder="1" applyAlignment="1">
      <alignment horizontal="center" vertical="center"/>
    </xf>
    <xf numFmtId="9" fontId="58" fillId="0" borderId="606" xfId="1" applyFont="1" applyFill="1" applyBorder="1" applyAlignment="1">
      <alignment horizontal="center" vertical="center"/>
    </xf>
    <xf numFmtId="1" fontId="58" fillId="0" borderId="597" xfId="0" applyNumberFormat="1" applyFont="1" applyFill="1" applyBorder="1" applyAlignment="1">
      <alignment horizontal="center" vertical="center"/>
    </xf>
    <xf numFmtId="1" fontId="58" fillId="0" borderId="606" xfId="0" applyNumberFormat="1" applyFont="1" applyFill="1" applyBorder="1" applyAlignment="1">
      <alignment horizontal="center" vertical="center"/>
    </xf>
    <xf numFmtId="176" fontId="58" fillId="0" borderId="597" xfId="0" applyNumberFormat="1" applyFont="1" applyFill="1" applyBorder="1" applyAlignment="1">
      <alignment horizontal="center" vertical="center"/>
    </xf>
    <xf numFmtId="176" fontId="58" fillId="0" borderId="606" xfId="0" applyNumberFormat="1" applyFont="1" applyFill="1" applyBorder="1" applyAlignment="1">
      <alignment horizontal="center" vertical="center"/>
    </xf>
    <xf numFmtId="176" fontId="58" fillId="0" borderId="518" xfId="0" applyNumberFormat="1" applyFont="1" applyFill="1" applyBorder="1" applyAlignment="1">
      <alignment horizontal="center" vertical="center"/>
    </xf>
    <xf numFmtId="9" fontId="58" fillId="0" borderId="513" xfId="1" applyFont="1" applyFill="1" applyBorder="1" applyAlignment="1">
      <alignment horizontal="center" vertical="center"/>
    </xf>
    <xf numFmtId="2" fontId="58" fillId="0" borderId="403" xfId="0" applyNumberFormat="1" applyFont="1" applyBorder="1" applyAlignment="1">
      <alignment horizontal="center" vertical="center"/>
    </xf>
    <xf numFmtId="0" fontId="58" fillId="0" borderId="592" xfId="0" applyFont="1" applyBorder="1" applyAlignment="1">
      <alignment horizontal="center" vertical="center"/>
    </xf>
    <xf numFmtId="177" fontId="58" fillId="0" borderId="597" xfId="0" applyNumberFormat="1" applyFont="1" applyBorder="1" applyAlignment="1">
      <alignment horizontal="center" vertical="center"/>
    </xf>
    <xf numFmtId="177" fontId="58" fillId="0" borderId="606" xfId="0" applyNumberFormat="1" applyFont="1" applyBorder="1" applyAlignment="1">
      <alignment horizontal="center" vertical="center"/>
    </xf>
    <xf numFmtId="2" fontId="58" fillId="0" borderId="518" xfId="0" applyNumberFormat="1" applyFont="1" applyBorder="1" applyAlignment="1">
      <alignment horizontal="center" vertical="center"/>
    </xf>
    <xf numFmtId="9" fontId="58" fillId="0" borderId="513" xfId="1" applyFont="1" applyBorder="1" applyAlignment="1">
      <alignment horizontal="center" vertical="center"/>
    </xf>
    <xf numFmtId="185" fontId="58" fillId="0" borderId="307" xfId="0" applyNumberFormat="1" applyFont="1" applyFill="1" applyBorder="1" applyAlignment="1">
      <alignment horizontal="center" vertical="center"/>
    </xf>
    <xf numFmtId="3" fontId="58" fillId="0" borderId="285" xfId="0" applyNumberFormat="1" applyFont="1" applyFill="1" applyBorder="1" applyAlignment="1">
      <alignment horizontal="center" vertical="center"/>
    </xf>
    <xf numFmtId="3" fontId="58" fillId="0" borderId="403" xfId="0" applyNumberFormat="1" applyFont="1" applyFill="1" applyBorder="1" applyAlignment="1">
      <alignment horizontal="center" vertical="center"/>
    </xf>
    <xf numFmtId="3" fontId="58" fillId="0" borderId="597" xfId="0" applyNumberFormat="1" applyFont="1" applyFill="1" applyBorder="1" applyAlignment="1">
      <alignment horizontal="center" vertical="center"/>
    </xf>
    <xf numFmtId="3" fontId="58" fillId="0" borderId="598" xfId="0" applyNumberFormat="1" applyFont="1" applyFill="1" applyBorder="1" applyAlignment="1">
      <alignment horizontal="center" vertical="center"/>
    </xf>
    <xf numFmtId="3" fontId="58" fillId="0" borderId="600" xfId="0" applyNumberFormat="1" applyFont="1" applyBorder="1" applyAlignment="1">
      <alignment horizontal="center" vertical="center"/>
    </xf>
    <xf numFmtId="3" fontId="58" fillId="0" borderId="518" xfId="0" applyNumberFormat="1" applyFont="1" applyFill="1" applyBorder="1" applyAlignment="1">
      <alignment horizontal="center" vertical="center"/>
    </xf>
    <xf numFmtId="0" fontId="58" fillId="15" borderId="622" xfId="0" applyFont="1" applyFill="1" applyBorder="1" applyAlignment="1">
      <alignment horizontal="center" vertical="center"/>
    </xf>
    <xf numFmtId="187" fontId="172" fillId="15" borderId="285" xfId="0" applyNumberFormat="1" applyFont="1" applyFill="1" applyBorder="1" applyAlignment="1">
      <alignment horizontal="center" vertical="center"/>
    </xf>
    <xf numFmtId="0" fontId="58" fillId="15" borderId="224" xfId="0" applyFont="1" applyFill="1" applyBorder="1">
      <alignment vertical="center"/>
    </xf>
    <xf numFmtId="10" fontId="230" fillId="141" borderId="607" xfId="1" applyNumberFormat="1" applyFont="1" applyFill="1" applyBorder="1" applyAlignment="1">
      <alignment horizontal="center" vertical="center"/>
    </xf>
    <xf numFmtId="10" fontId="230" fillId="141" borderId="606" xfId="1" applyNumberFormat="1" applyFont="1" applyFill="1" applyBorder="1" applyAlignment="1">
      <alignment horizontal="center" vertical="center"/>
    </xf>
    <xf numFmtId="10" fontId="230" fillId="141" borderId="119" xfId="1" applyNumberFormat="1" applyFont="1" applyFill="1" applyBorder="1" applyAlignment="1">
      <alignment horizontal="center" vertical="center"/>
    </xf>
    <xf numFmtId="10" fontId="230" fillId="141" borderId="120" xfId="1" applyNumberFormat="1" applyFont="1" applyFill="1" applyBorder="1" applyAlignment="1">
      <alignment horizontal="center" vertical="center"/>
    </xf>
    <xf numFmtId="0" fontId="35" fillId="138" borderId="599" xfId="0" applyFont="1" applyFill="1" applyBorder="1" applyAlignment="1">
      <alignment horizontal="center" vertical="center"/>
    </xf>
    <xf numFmtId="187" fontId="35" fillId="0" borderId="600" xfId="0" applyNumberFormat="1" applyFont="1" applyFill="1" applyBorder="1" applyAlignment="1">
      <alignment horizontal="center" vertical="center"/>
    </xf>
    <xf numFmtId="0" fontId="0" fillId="0" borderId="604" xfId="0" applyBorder="1">
      <alignment vertical="center"/>
    </xf>
    <xf numFmtId="240" fontId="35" fillId="137" borderId="592" xfId="0" applyNumberFormat="1" applyFont="1" applyFill="1" applyBorder="1" applyAlignment="1">
      <alignment horizontal="center" vertical="center"/>
    </xf>
    <xf numFmtId="0" fontId="230" fillId="138" borderId="512" xfId="0" applyFont="1" applyFill="1" applyBorder="1" applyAlignment="1">
      <alignment horizontal="center" vertical="center"/>
    </xf>
    <xf numFmtId="0" fontId="46" fillId="138" borderId="512" xfId="0" applyFont="1" applyFill="1" applyBorder="1" applyAlignment="1">
      <alignment horizontal="center" vertical="center"/>
    </xf>
    <xf numFmtId="177" fontId="35" fillId="0" borderId="592" xfId="0" applyNumberFormat="1" applyFont="1" applyBorder="1" applyAlignment="1">
      <alignment horizontal="center" vertical="center"/>
    </xf>
    <xf numFmtId="240" fontId="35" fillId="137" borderId="5" xfId="0" applyNumberFormat="1" applyFont="1" applyFill="1" applyBorder="1" applyAlignment="1">
      <alignment horizontal="center" vertical="center"/>
    </xf>
    <xf numFmtId="226" fontId="35" fillId="137" borderId="5" xfId="2" applyNumberFormat="1" applyFont="1" applyFill="1" applyBorder="1" applyAlignment="1">
      <alignment horizontal="center" vertical="center"/>
    </xf>
    <xf numFmtId="226" fontId="35" fillId="137" borderId="327" xfId="2" applyNumberFormat="1" applyFont="1" applyFill="1" applyBorder="1" applyAlignment="1">
      <alignment horizontal="center" vertical="center"/>
    </xf>
    <xf numFmtId="0" fontId="0" fillId="137" borderId="266" xfId="0" applyFill="1" applyBorder="1">
      <alignment vertical="center"/>
    </xf>
    <xf numFmtId="240" fontId="35" fillId="137" borderId="120" xfId="0" applyNumberFormat="1" applyFont="1" applyFill="1" applyBorder="1" applyAlignment="1">
      <alignment horizontal="center" vertical="center"/>
    </xf>
    <xf numFmtId="226" fontId="35" fillId="137" borderId="120" xfId="2" applyNumberFormat="1" applyFont="1" applyFill="1" applyBorder="1" applyAlignment="1">
      <alignment horizontal="center" vertical="center"/>
    </xf>
    <xf numFmtId="226" fontId="35" fillId="137" borderId="121" xfId="2" applyNumberFormat="1" applyFont="1" applyFill="1" applyBorder="1" applyAlignment="1">
      <alignment horizontal="center" vertical="center"/>
    </xf>
    <xf numFmtId="0" fontId="35" fillId="138" borderId="512" xfId="0" applyFont="1" applyFill="1" applyBorder="1" applyAlignment="1">
      <alignment horizontal="center" vertical="center"/>
    </xf>
    <xf numFmtId="0" fontId="29" fillId="0" borderId="513" xfId="0" applyFont="1" applyBorder="1" applyAlignment="1">
      <alignment horizontal="center" vertical="center" wrapText="1"/>
    </xf>
    <xf numFmtId="187" fontId="35" fillId="138" borderId="513" xfId="0" applyNumberFormat="1" applyFont="1" applyFill="1" applyBorder="1" applyAlignment="1">
      <alignment horizontal="center" vertical="center"/>
    </xf>
    <xf numFmtId="187" fontId="35" fillId="138" borderId="515" xfId="0" applyNumberFormat="1" applyFont="1" applyFill="1" applyBorder="1" applyAlignment="1">
      <alignment horizontal="center" vertical="center"/>
    </xf>
    <xf numFmtId="179" fontId="46" fillId="138" borderId="512" xfId="0" applyNumberFormat="1" applyFont="1" applyFill="1" applyBorder="1" applyAlignment="1">
      <alignment horizontal="center" vertical="center"/>
    </xf>
    <xf numFmtId="179" fontId="46" fillId="138" borderId="513" xfId="0" applyNumberFormat="1" applyFont="1" applyFill="1" applyBorder="1" applyAlignment="1">
      <alignment horizontal="center" vertical="center"/>
    </xf>
    <xf numFmtId="0" fontId="35" fillId="138" borderId="119" xfId="0" applyFont="1" applyFill="1" applyBorder="1" applyAlignment="1">
      <alignment horizontal="center" vertical="center"/>
    </xf>
    <xf numFmtId="0" fontId="35" fillId="138" borderId="95" xfId="0" applyFont="1" applyFill="1" applyBorder="1" applyAlignment="1">
      <alignment horizontal="center" vertical="center"/>
    </xf>
    <xf numFmtId="0" fontId="46" fillId="138" borderId="599" xfId="0" applyFont="1" applyFill="1" applyBorder="1" applyAlignment="1">
      <alignment horizontal="center" vertical="center"/>
    </xf>
    <xf numFmtId="0" fontId="0" fillId="138" borderId="513" xfId="0" applyFill="1" applyBorder="1">
      <alignment vertical="center"/>
    </xf>
    <xf numFmtId="240" fontId="35" fillId="138" borderId="513" xfId="0" applyNumberFormat="1" applyFont="1" applyFill="1" applyBorder="1" applyAlignment="1">
      <alignment horizontal="center" vertical="center"/>
    </xf>
    <xf numFmtId="176" fontId="35" fillId="138" borderId="513" xfId="0" applyNumberFormat="1" applyFont="1" applyFill="1" applyBorder="1" applyAlignment="1">
      <alignment horizontal="center" vertical="center"/>
    </xf>
    <xf numFmtId="0" fontId="206" fillId="3" borderId="0" xfId="0" applyFont="1" applyFill="1" applyAlignment="1">
      <alignment horizontal="left" vertical="center"/>
    </xf>
    <xf numFmtId="0" fontId="29" fillId="7" borderId="0" xfId="0" applyFont="1" applyFill="1" applyBorder="1" applyAlignment="1">
      <alignment horizontal="center" vertical="center"/>
    </xf>
    <xf numFmtId="0" fontId="29" fillId="7" borderId="0" xfId="0" applyFont="1" applyFill="1" applyBorder="1" applyAlignment="1">
      <alignment horizontal="center" vertical="center"/>
    </xf>
    <xf numFmtId="0" fontId="29" fillId="5" borderId="605" xfId="0" applyFont="1" applyFill="1" applyBorder="1" applyAlignment="1">
      <alignment horizontal="center" vertical="center" wrapText="1"/>
    </xf>
    <xf numFmtId="1" fontId="29" fillId="0" borderId="605" xfId="0" applyNumberFormat="1" applyFont="1" applyBorder="1" applyAlignment="1">
      <alignment horizontal="center" vertical="center"/>
    </xf>
    <xf numFmtId="178" fontId="29" fillId="0" borderId="605" xfId="0" applyNumberFormat="1" applyFont="1" applyBorder="1" applyAlignment="1">
      <alignment horizontal="center" vertical="center"/>
    </xf>
    <xf numFmtId="0" fontId="29" fillId="5" borderId="623" xfId="0" applyFont="1" applyFill="1" applyBorder="1" applyAlignment="1">
      <alignment horizontal="center" vertical="center" wrapText="1"/>
    </xf>
    <xf numFmtId="178" fontId="29" fillId="0" borderId="469" xfId="0" applyNumberFormat="1" applyFont="1" applyBorder="1" applyAlignment="1">
      <alignment horizontal="center" vertical="center"/>
    </xf>
    <xf numFmtId="0" fontId="58" fillId="3" borderId="0" xfId="0" applyFont="1" applyFill="1">
      <alignment vertical="center"/>
    </xf>
    <xf numFmtId="0" fontId="179" fillId="7" borderId="606" xfId="0" applyFont="1" applyFill="1" applyBorder="1" applyAlignment="1">
      <alignment horizontal="center" vertical="center" wrapText="1" readingOrder="1"/>
    </xf>
    <xf numFmtId="0" fontId="179" fillId="3" borderId="606" xfId="0" applyFont="1" applyFill="1" applyBorder="1" applyAlignment="1">
      <alignment horizontal="center" vertical="center" wrapText="1" readingOrder="1"/>
    </xf>
    <xf numFmtId="183" fontId="35" fillId="7" borderId="606" xfId="0" applyNumberFormat="1" applyFont="1" applyFill="1" applyBorder="1" applyAlignment="1">
      <alignment horizontal="center" vertical="center" readingOrder="1"/>
    </xf>
    <xf numFmtId="183" fontId="29" fillId="7" borderId="606" xfId="0" applyNumberFormat="1" applyFont="1" applyFill="1" applyBorder="1" applyAlignment="1">
      <alignment horizontal="center" vertical="center" readingOrder="1"/>
    </xf>
    <xf numFmtId="226" fontId="58" fillId="0" borderId="46" xfId="2" applyNumberFormat="1" applyFont="1" applyFill="1" applyBorder="1" applyAlignment="1">
      <alignment horizontal="center" vertical="center"/>
    </xf>
    <xf numFmtId="179" fontId="28" fillId="7" borderId="214" xfId="2" applyNumberFormat="1" applyFont="1" applyFill="1" applyBorder="1" applyAlignment="1">
      <alignment horizontal="center" vertical="center"/>
    </xf>
    <xf numFmtId="3" fontId="26" fillId="0" borderId="6" xfId="0" applyNumberFormat="1" applyFont="1" applyBorder="1" applyAlignment="1">
      <alignment horizontal="center" vertical="center"/>
    </xf>
    <xf numFmtId="0" fontId="177" fillId="127" borderId="135" xfId="0" applyFont="1" applyFill="1" applyBorder="1" applyAlignment="1">
      <alignment horizontal="center" vertical="center"/>
    </xf>
    <xf numFmtId="0" fontId="177" fillId="127" borderId="434" xfId="0" applyFont="1" applyFill="1" applyBorder="1" applyAlignment="1">
      <alignment horizontal="center" vertical="center"/>
    </xf>
    <xf numFmtId="0" fontId="58" fillId="0" borderId="0" xfId="0" applyFont="1" applyFill="1" applyBorder="1" applyAlignment="1">
      <alignment horizontal="center" vertical="center"/>
    </xf>
    <xf numFmtId="183" fontId="29" fillId="7" borderId="606" xfId="2" applyNumberFormat="1" applyFont="1" applyFill="1" applyBorder="1" applyAlignment="1">
      <alignment horizontal="center" vertical="center"/>
    </xf>
    <xf numFmtId="187" fontId="28" fillId="0" borderId="214" xfId="2" applyNumberFormat="1" applyFont="1" applyFill="1" applyBorder="1" applyAlignment="1">
      <alignment horizontal="center" vertical="center"/>
    </xf>
    <xf numFmtId="0" fontId="28" fillId="0" borderId="214" xfId="0" applyFont="1" applyFill="1" applyBorder="1" applyAlignment="1">
      <alignment horizontal="center" vertical="center"/>
    </xf>
    <xf numFmtId="10" fontId="28" fillId="0" borderId="214" xfId="1" applyNumberFormat="1" applyFont="1" applyFill="1" applyBorder="1" applyAlignment="1">
      <alignment horizontal="center" vertical="center"/>
    </xf>
    <xf numFmtId="38" fontId="58" fillId="15" borderId="601" xfId="2" applyNumberFormat="1" applyFont="1" applyFill="1" applyBorder="1" applyAlignment="1">
      <alignment horizontal="center" vertical="center"/>
    </xf>
    <xf numFmtId="38" fontId="58" fillId="15" borderId="601" xfId="0" applyNumberFormat="1" applyFont="1" applyFill="1" applyBorder="1" applyAlignment="1">
      <alignment horizontal="center" vertical="center"/>
    </xf>
    <xf numFmtId="187" fontId="183" fillId="0" borderId="297" xfId="2" applyNumberFormat="1" applyFont="1" applyBorder="1" applyAlignment="1">
      <alignment horizontal="center" vertical="center" wrapText="1"/>
    </xf>
    <xf numFmtId="187" fontId="183" fillId="0" borderId="242" xfId="2" applyNumberFormat="1" applyFont="1" applyBorder="1" applyAlignment="1">
      <alignment horizontal="center" vertical="center" wrapText="1"/>
    </xf>
    <xf numFmtId="38" fontId="58" fillId="15" borderId="328" xfId="2" applyNumberFormat="1" applyFont="1" applyFill="1" applyBorder="1" applyAlignment="1">
      <alignment horizontal="center" vertical="center"/>
    </xf>
    <xf numFmtId="0" fontId="177" fillId="127" borderId="608" xfId="0" applyFont="1" applyFill="1" applyBorder="1" applyAlignment="1">
      <alignment horizontal="center" vertical="center"/>
    </xf>
    <xf numFmtId="187" fontId="183" fillId="0" borderId="610" xfId="2" applyNumberFormat="1" applyFont="1" applyBorder="1" applyAlignment="1">
      <alignment horizontal="center" vertical="center" wrapText="1"/>
    </xf>
    <xf numFmtId="187" fontId="183" fillId="0" borderId="508" xfId="2" applyNumberFormat="1" applyFont="1" applyBorder="1" applyAlignment="1">
      <alignment horizontal="center" vertical="center" wrapText="1"/>
    </xf>
    <xf numFmtId="183" fontId="58" fillId="0" borderId="605" xfId="0" applyNumberFormat="1" applyFont="1" applyBorder="1" applyAlignment="1">
      <alignment horizontal="center" vertical="center"/>
    </xf>
    <xf numFmtId="183" fontId="58" fillId="0" borderId="606" xfId="0" applyNumberFormat="1" applyFont="1" applyBorder="1" applyAlignment="1">
      <alignment horizontal="center" vertical="center"/>
    </xf>
    <xf numFmtId="183" fontId="58" fillId="7" borderId="608" xfId="2" applyNumberFormat="1" applyFont="1" applyFill="1" applyBorder="1" applyAlignment="1">
      <alignment horizontal="center" vertical="center"/>
    </xf>
    <xf numFmtId="38" fontId="58" fillId="15" borderId="605" xfId="0" applyNumberFormat="1" applyFont="1" applyFill="1" applyBorder="1" applyAlignment="1">
      <alignment horizontal="center" vertical="center"/>
    </xf>
    <xf numFmtId="38" fontId="58" fillId="15" borderId="605" xfId="2" applyNumberFormat="1" applyFont="1" applyFill="1" applyBorder="1" applyAlignment="1">
      <alignment horizontal="center" vertical="center"/>
    </xf>
    <xf numFmtId="9" fontId="58" fillId="15" borderId="605" xfId="1" applyFont="1" applyFill="1" applyBorder="1" applyAlignment="1">
      <alignment horizontal="center" vertical="center"/>
    </xf>
    <xf numFmtId="231" fontId="58" fillId="0" borderId="242" xfId="2" applyNumberFormat="1" applyFont="1" applyFill="1" applyBorder="1" applyAlignment="1">
      <alignment horizontal="center" vertical="center" wrapText="1"/>
    </xf>
    <xf numFmtId="231" fontId="58" fillId="0" borderId="294" xfId="2" applyNumberFormat="1" applyFont="1" applyFill="1" applyBorder="1" applyAlignment="1">
      <alignment horizontal="center" vertical="center" wrapText="1"/>
    </xf>
    <xf numFmtId="178" fontId="58" fillId="7" borderId="328" xfId="2" applyNumberFormat="1" applyFont="1" applyFill="1" applyBorder="1" applyAlignment="1">
      <alignment horizontal="center" vertical="center"/>
    </xf>
    <xf numFmtId="186" fontId="44" fillId="0" borderId="597" xfId="4124" applyNumberFormat="1" applyFont="1" applyFill="1" applyBorder="1" applyAlignment="1">
      <alignment horizontal="center" vertical="center"/>
    </xf>
    <xf numFmtId="186" fontId="44" fillId="0" borderId="508" xfId="4124" applyNumberFormat="1" applyFont="1" applyFill="1" applyBorder="1" applyAlignment="1">
      <alignment horizontal="center" vertical="center"/>
    </xf>
    <xf numFmtId="183" fontId="58" fillId="0" borderId="626" xfId="0" applyNumberFormat="1" applyFont="1" applyBorder="1" applyAlignment="1">
      <alignment horizontal="center" vertical="center"/>
    </xf>
    <xf numFmtId="178" fontId="58" fillId="0" borderId="500" xfId="2" applyNumberFormat="1" applyFont="1" applyFill="1" applyBorder="1" applyAlignment="1">
      <alignment horizontal="center" vertical="center"/>
    </xf>
    <xf numFmtId="183" fontId="58" fillId="15" borderId="606" xfId="2" applyNumberFormat="1" applyFont="1" applyFill="1" applyBorder="1" applyAlignment="1">
      <alignment horizontal="center" vertical="center"/>
    </xf>
    <xf numFmtId="183" fontId="58" fillId="0" borderId="332" xfId="0" applyNumberFormat="1" applyFont="1" applyBorder="1" applyAlignment="1">
      <alignment horizontal="center" vertical="center"/>
    </xf>
    <xf numFmtId="183" fontId="58" fillId="0" borderId="228" xfId="0" applyNumberFormat="1" applyFont="1" applyBorder="1" applyAlignment="1">
      <alignment horizontal="center" vertical="center"/>
    </xf>
    <xf numFmtId="0" fontId="177" fillId="127" borderId="608" xfId="0" applyFont="1" applyFill="1" applyBorder="1" applyAlignment="1">
      <alignment horizontal="center" vertical="center" wrapText="1"/>
    </xf>
    <xf numFmtId="183" fontId="58" fillId="0" borderId="610" xfId="2" applyNumberFormat="1" applyFont="1" applyBorder="1" applyAlignment="1">
      <alignment horizontal="center" vertical="center"/>
    </xf>
    <xf numFmtId="178" fontId="58" fillId="0" borderId="609" xfId="2" applyNumberFormat="1" applyFont="1" applyBorder="1" applyAlignment="1">
      <alignment horizontal="center" vertical="center"/>
    </xf>
    <xf numFmtId="183" fontId="58" fillId="15" borderId="605" xfId="2" applyNumberFormat="1" applyFont="1" applyFill="1" applyBorder="1" applyAlignment="1">
      <alignment horizontal="center" vertical="center"/>
    </xf>
    <xf numFmtId="187" fontId="58" fillId="15" borderId="605" xfId="2" applyNumberFormat="1" applyFont="1" applyFill="1" applyBorder="1" applyAlignment="1">
      <alignment horizontal="center" vertical="center"/>
    </xf>
    <xf numFmtId="223" fontId="58" fillId="15" borderId="605" xfId="2" applyNumberFormat="1" applyFont="1" applyFill="1" applyBorder="1" applyAlignment="1">
      <alignment horizontal="center" vertical="center"/>
    </xf>
    <xf numFmtId="187" fontId="58" fillId="7" borderId="626" xfId="2" applyNumberFormat="1" applyFont="1" applyFill="1" applyBorder="1" applyAlignment="1">
      <alignment horizontal="center" vertical="center" wrapText="1"/>
    </xf>
    <xf numFmtId="183" fontId="58" fillId="0" borderId="514" xfId="0" applyNumberFormat="1" applyFont="1" applyBorder="1" applyAlignment="1">
      <alignment horizontal="center" vertical="center"/>
    </xf>
    <xf numFmtId="38" fontId="58" fillId="7" borderId="514" xfId="0" applyNumberFormat="1" applyFont="1" applyFill="1" applyBorder="1" applyAlignment="1">
      <alignment horizontal="center" vertical="center"/>
    </xf>
    <xf numFmtId="38" fontId="58" fillId="7" borderId="514" xfId="2" applyNumberFormat="1" applyFont="1" applyFill="1" applyBorder="1" applyAlignment="1">
      <alignment horizontal="center" vertical="center"/>
    </xf>
    <xf numFmtId="183" fontId="58" fillId="0" borderId="513" xfId="0" applyNumberFormat="1" applyFont="1" applyBorder="1" applyAlignment="1">
      <alignment horizontal="center" vertical="center"/>
    </xf>
    <xf numFmtId="183" fontId="58" fillId="0" borderId="625" xfId="0" applyNumberFormat="1" applyFont="1" applyBorder="1" applyAlignment="1">
      <alignment horizontal="center" vertical="center"/>
    </xf>
    <xf numFmtId="183" fontId="197" fillId="0" borderId="626" xfId="4124" applyNumberFormat="1" applyFont="1" applyFill="1" applyBorder="1" applyAlignment="1">
      <alignment horizontal="center" vertical="center"/>
    </xf>
    <xf numFmtId="176" fontId="58" fillId="0" borderId="483" xfId="0" applyNumberFormat="1" applyFont="1" applyBorder="1" applyAlignment="1">
      <alignment horizontal="center" vertical="center"/>
    </xf>
    <xf numFmtId="176" fontId="58" fillId="0" borderId="472" xfId="0" applyNumberFormat="1" applyFont="1" applyBorder="1" applyAlignment="1">
      <alignment horizontal="center" vertical="center"/>
    </xf>
    <xf numFmtId="183" fontId="29" fillId="0" borderId="38" xfId="0" applyNumberFormat="1" applyFont="1" applyBorder="1" applyAlignment="1">
      <alignment horizontal="center" vertical="center"/>
    </xf>
    <xf numFmtId="183" fontId="58" fillId="0" borderId="6" xfId="0" applyNumberFormat="1" applyFont="1" applyBorder="1" applyAlignment="1">
      <alignment horizontal="center" vertical="center"/>
    </xf>
    <xf numFmtId="183" fontId="58" fillId="0" borderId="591" xfId="0" applyNumberFormat="1" applyFont="1" applyBorder="1" applyAlignment="1">
      <alignment horizontal="center" vertical="center"/>
    </xf>
    <xf numFmtId="4" fontId="58" fillId="7" borderId="607" xfId="2" applyNumberFormat="1" applyFont="1" applyFill="1" applyBorder="1" applyAlignment="1">
      <alignment horizontal="center" vertical="center"/>
    </xf>
    <xf numFmtId="2" fontId="177" fillId="125" borderId="518" xfId="0" applyNumberFormat="1" applyFont="1" applyFill="1" applyBorder="1" applyAlignment="1">
      <alignment horizontal="center" vertical="center"/>
    </xf>
    <xf numFmtId="185" fontId="29" fillId="7" borderId="0" xfId="0" applyNumberFormat="1" applyFont="1" applyFill="1" applyAlignment="1">
      <alignment horizontal="center" vertical="center"/>
    </xf>
    <xf numFmtId="230" fontId="29" fillId="7" borderId="0" xfId="0" applyNumberFormat="1" applyFont="1" applyFill="1" applyAlignment="1">
      <alignment horizontal="center" vertical="center"/>
    </xf>
    <xf numFmtId="0" fontId="219" fillId="127" borderId="108" xfId="0" applyFont="1" applyFill="1" applyBorder="1" applyAlignment="1">
      <alignment horizontal="center" vertical="center"/>
    </xf>
    <xf numFmtId="0" fontId="29" fillId="0" borderId="269" xfId="0" applyFont="1" applyBorder="1" applyAlignment="1">
      <alignment horizontal="center" vertical="center"/>
    </xf>
    <xf numFmtId="183" fontId="29" fillId="0" borderId="606" xfId="2" applyNumberFormat="1" applyFont="1" applyFill="1" applyBorder="1" applyAlignment="1">
      <alignment horizontal="center" vertical="center"/>
    </xf>
    <xf numFmtId="0" fontId="177" fillId="125" borderId="62" xfId="0" quotePrefix="1" applyFont="1" applyFill="1" applyBorder="1" applyAlignment="1">
      <alignment horizontal="center" vertical="center"/>
    </xf>
    <xf numFmtId="183" fontId="58" fillId="7" borderId="601" xfId="2" applyNumberFormat="1" applyFont="1" applyFill="1" applyBorder="1" applyAlignment="1">
      <alignment horizontal="center" vertical="center"/>
    </xf>
    <xf numFmtId="183" fontId="58" fillId="7" borderId="600" xfId="2" applyNumberFormat="1" applyFont="1" applyFill="1" applyBorder="1" applyAlignment="1">
      <alignment horizontal="center" vertical="center"/>
    </xf>
    <xf numFmtId="183" fontId="58" fillId="0" borderId="366" xfId="0" applyNumberFormat="1" applyFont="1" applyBorder="1" applyAlignment="1">
      <alignment horizontal="center" vertical="center"/>
    </xf>
    <xf numFmtId="183" fontId="58" fillId="0" borderId="597" xfId="0" applyNumberFormat="1" applyFont="1" applyBorder="1" applyAlignment="1">
      <alignment horizontal="center" vertical="center"/>
    </xf>
    <xf numFmtId="228" fontId="58" fillId="7" borderId="307" xfId="2" applyNumberFormat="1" applyFont="1" applyFill="1" applyBorder="1" applyAlignment="1">
      <alignment horizontal="center" vertical="center"/>
    </xf>
    <xf numFmtId="183" fontId="58" fillId="0" borderId="597" xfId="2" applyNumberFormat="1" applyFont="1" applyBorder="1" applyAlignment="1">
      <alignment horizontal="center" vertical="center"/>
    </xf>
    <xf numFmtId="2" fontId="58" fillId="0" borderId="600" xfId="0" applyNumberFormat="1" applyFont="1" applyFill="1" applyBorder="1" applyAlignment="1">
      <alignment horizontal="center" vertical="center"/>
    </xf>
    <xf numFmtId="185" fontId="58" fillId="0" borderId="598" xfId="0" applyNumberFormat="1" applyFont="1" applyFill="1" applyBorder="1" applyAlignment="1">
      <alignment horizontal="center" vertical="center"/>
    </xf>
    <xf numFmtId="185" fontId="58" fillId="0" borderId="601" xfId="0" applyNumberFormat="1" applyFont="1" applyFill="1" applyBorder="1" applyAlignment="1">
      <alignment horizontal="center" vertical="center"/>
    </xf>
    <xf numFmtId="185" fontId="58" fillId="0" borderId="600" xfId="0" applyNumberFormat="1" applyFont="1" applyFill="1" applyBorder="1" applyAlignment="1">
      <alignment horizontal="center" vertical="center"/>
    </xf>
    <xf numFmtId="2" fontId="29" fillId="0" borderId="518" xfId="0" applyNumberFormat="1" applyFont="1" applyFill="1" applyBorder="1" applyAlignment="1">
      <alignment horizontal="center" vertical="center"/>
    </xf>
    <xf numFmtId="183" fontId="58" fillId="7" borderId="307" xfId="2" applyNumberFormat="1" applyFont="1" applyFill="1" applyBorder="1" applyAlignment="1">
      <alignment horizontal="center" vertical="center"/>
    </xf>
    <xf numFmtId="187" fontId="58" fillId="7" borderId="404" xfId="2" applyNumberFormat="1" applyFont="1" applyFill="1" applyBorder="1" applyAlignment="1">
      <alignment horizontal="center" vertical="center"/>
    </xf>
    <xf numFmtId="183" fontId="58" fillId="7" borderId="453" xfId="2" applyNumberFormat="1" applyFont="1" applyFill="1" applyBorder="1" applyAlignment="1">
      <alignment horizontal="center" vertical="center"/>
    </xf>
    <xf numFmtId="178" fontId="58" fillId="7" borderId="628" xfId="0" applyNumberFormat="1" applyFont="1" applyFill="1" applyBorder="1" applyAlignment="1">
      <alignment horizontal="center" vertical="center"/>
    </xf>
    <xf numFmtId="187" fontId="58" fillId="0" borderId="366" xfId="0" applyNumberFormat="1" applyFont="1" applyFill="1" applyBorder="1" applyAlignment="1">
      <alignment horizontal="center" vertical="center"/>
    </xf>
    <xf numFmtId="226" fontId="58" fillId="7" borderId="453" xfId="2" applyNumberFormat="1" applyFont="1" applyFill="1" applyBorder="1" applyAlignment="1">
      <alignment horizontal="center" vertical="center"/>
    </xf>
    <xf numFmtId="226" fontId="58" fillId="0" borderId="598" xfId="2" applyNumberFormat="1" applyFont="1" applyFill="1" applyBorder="1" applyAlignment="1">
      <alignment horizontal="center" vertical="center"/>
    </xf>
    <xf numFmtId="226" fontId="58" fillId="0" borderId="601" xfId="2" applyNumberFormat="1" applyFont="1" applyFill="1" applyBorder="1" applyAlignment="1">
      <alignment horizontal="center" vertical="center"/>
    </xf>
    <xf numFmtId="226" fontId="58" fillId="0" borderId="600" xfId="2" applyNumberFormat="1" applyFont="1" applyFill="1" applyBorder="1" applyAlignment="1">
      <alignment horizontal="center" vertical="center"/>
    </xf>
    <xf numFmtId="187" fontId="58" fillId="0" borderId="518" xfId="2" applyNumberFormat="1" applyFont="1" applyFill="1" applyBorder="1" applyAlignment="1">
      <alignment horizontal="center" vertical="center"/>
    </xf>
    <xf numFmtId="187" fontId="58" fillId="7" borderId="518" xfId="2" applyNumberFormat="1" applyFont="1" applyFill="1" applyBorder="1" applyAlignment="1">
      <alignment horizontal="center" vertical="center"/>
    </xf>
    <xf numFmtId="223" fontId="172" fillId="7" borderId="285" xfId="0" applyNumberFormat="1" applyFont="1" applyFill="1" applyBorder="1" applyAlignment="1">
      <alignment horizontal="center" vertical="center"/>
    </xf>
    <xf numFmtId="4" fontId="58" fillId="7" borderId="605" xfId="2" applyNumberFormat="1" applyFont="1" applyFill="1" applyBorder="1" applyAlignment="1">
      <alignment horizontal="center" vertical="center"/>
    </xf>
    <xf numFmtId="0" fontId="177" fillId="125" borderId="604" xfId="0" quotePrefix="1" applyFont="1" applyFill="1" applyBorder="1" applyAlignment="1">
      <alignment horizontal="center" vertical="center"/>
    </xf>
    <xf numFmtId="4" fontId="29" fillId="7" borderId="612" xfId="2" applyNumberFormat="1" applyFont="1" applyFill="1" applyBorder="1" applyAlignment="1">
      <alignment horizontal="center" vertical="center"/>
    </xf>
    <xf numFmtId="4" fontId="58" fillId="7" borderId="613" xfId="2" applyNumberFormat="1" applyFont="1" applyFill="1" applyBorder="1" applyAlignment="1">
      <alignment horizontal="center" vertical="center"/>
    </xf>
    <xf numFmtId="2" fontId="177" fillId="125" borderId="604" xfId="0" applyNumberFormat="1" applyFont="1" applyFill="1" applyBorder="1" applyAlignment="1">
      <alignment horizontal="center" vertical="center"/>
    </xf>
    <xf numFmtId="4" fontId="58" fillId="7" borderId="606" xfId="2" applyNumberFormat="1" applyFont="1" applyFill="1" applyBorder="1" applyAlignment="1">
      <alignment horizontal="center" vertical="center"/>
    </xf>
    <xf numFmtId="4" fontId="58" fillId="15" borderId="120" xfId="2" applyNumberFormat="1" applyFont="1" applyFill="1" applyBorder="1" applyAlignment="1">
      <alignment horizontal="center" vertical="center"/>
    </xf>
    <xf numFmtId="4" fontId="58" fillId="15" borderId="606" xfId="2" applyNumberFormat="1" applyFont="1" applyFill="1" applyBorder="1" applyAlignment="1">
      <alignment horizontal="center" vertical="center"/>
    </xf>
    <xf numFmtId="223" fontId="58" fillId="15" borderId="120" xfId="2" applyNumberFormat="1" applyFont="1" applyFill="1" applyBorder="1" applyAlignment="1">
      <alignment horizontal="center" vertical="center"/>
    </xf>
    <xf numFmtId="223" fontId="58" fillId="15" borderId="606" xfId="2" applyNumberFormat="1" applyFont="1" applyFill="1" applyBorder="1" applyAlignment="1">
      <alignment horizontal="center" vertical="center"/>
    </xf>
    <xf numFmtId="223" fontId="29" fillId="7" borderId="374" xfId="0" applyNumberFormat="1" applyFont="1" applyFill="1" applyBorder="1">
      <alignment vertical="center"/>
    </xf>
    <xf numFmtId="223" fontId="29" fillId="7" borderId="269" xfId="0" applyNumberFormat="1" applyFont="1" applyFill="1" applyBorder="1">
      <alignment vertical="center"/>
    </xf>
    <xf numFmtId="223" fontId="29" fillId="7" borderId="491" xfId="0" applyNumberFormat="1" applyFont="1" applyFill="1" applyBorder="1">
      <alignment vertical="center"/>
    </xf>
    <xf numFmtId="223" fontId="29" fillId="7" borderId="464" xfId="0" applyNumberFormat="1" applyFont="1" applyFill="1" applyBorder="1">
      <alignment vertical="center"/>
    </xf>
    <xf numFmtId="223" fontId="177" fillId="125" borderId="286" xfId="2" applyNumberFormat="1" applyFont="1" applyFill="1" applyBorder="1" applyAlignment="1">
      <alignment horizontal="center" vertical="center"/>
    </xf>
    <xf numFmtId="223" fontId="177" fillId="125" borderId="224" xfId="2" applyNumberFormat="1" applyFont="1" applyFill="1" applyBorder="1" applyAlignment="1">
      <alignment horizontal="center" vertical="center"/>
    </xf>
    <xf numFmtId="0" fontId="29" fillId="129" borderId="0" xfId="0" applyFont="1" applyFill="1" applyAlignment="1">
      <alignment horizontal="center" vertical="center"/>
    </xf>
    <xf numFmtId="0" fontId="29" fillId="129" borderId="0" xfId="0" applyFont="1" applyFill="1">
      <alignment vertical="center"/>
    </xf>
    <xf numFmtId="3" fontId="177" fillId="125" borderId="509" xfId="2" applyNumberFormat="1" applyFont="1" applyFill="1" applyBorder="1" applyAlignment="1">
      <alignment horizontal="center" vertical="center" wrapText="1"/>
    </xf>
    <xf numFmtId="183" fontId="177" fillId="125" borderId="366" xfId="2" applyNumberFormat="1" applyFont="1" applyFill="1" applyBorder="1" applyAlignment="1">
      <alignment horizontal="center" vertical="center" wrapText="1"/>
    </xf>
    <xf numFmtId="0" fontId="177" fillId="125" borderId="266" xfId="0" applyFont="1" applyFill="1" applyBorder="1" applyAlignment="1">
      <alignment horizontal="center" vertical="center" wrapText="1"/>
    </xf>
    <xf numFmtId="187" fontId="35" fillId="117" borderId="612" xfId="0" applyNumberFormat="1" applyFont="1" applyFill="1" applyBorder="1" applyAlignment="1">
      <alignment horizontal="center" vertical="center"/>
    </xf>
    <xf numFmtId="179" fontId="230" fillId="117" borderId="604" xfId="0" applyNumberFormat="1" applyFont="1" applyFill="1" applyBorder="1" applyAlignment="1">
      <alignment horizontal="center" vertical="center"/>
    </xf>
    <xf numFmtId="3" fontId="29" fillId="0" borderId="612" xfId="0" applyNumberFormat="1" applyFont="1" applyBorder="1" applyAlignment="1">
      <alignment horizontal="center" vertical="center"/>
    </xf>
    <xf numFmtId="187" fontId="35" fillId="117" borderId="509" xfId="0" applyNumberFormat="1" applyFont="1" applyFill="1" applyBorder="1" applyAlignment="1">
      <alignment horizontal="center" vertical="center"/>
    </xf>
    <xf numFmtId="187" fontId="230" fillId="117" borderId="604" xfId="0" applyNumberFormat="1" applyFont="1" applyFill="1" applyBorder="1" applyAlignment="1">
      <alignment horizontal="center" vertical="center"/>
    </xf>
    <xf numFmtId="223" fontId="230" fillId="0" borderId="604" xfId="0" applyNumberFormat="1" applyFont="1" applyFill="1" applyBorder="1" applyAlignment="1">
      <alignment horizontal="center" vertical="center"/>
    </xf>
    <xf numFmtId="187" fontId="230" fillId="117" borderId="509" xfId="0" applyNumberFormat="1" applyFont="1" applyFill="1" applyBorder="1" applyAlignment="1">
      <alignment horizontal="center" vertical="center"/>
    </xf>
    <xf numFmtId="187" fontId="29" fillId="0" borderId="612" xfId="2" applyNumberFormat="1" applyFont="1" applyFill="1" applyBorder="1" applyAlignment="1">
      <alignment horizontal="center" vertical="center" wrapText="1"/>
    </xf>
    <xf numFmtId="183" fontId="58" fillId="7" borderId="612" xfId="2" applyNumberFormat="1" applyFont="1" applyFill="1" applyBorder="1" applyAlignment="1">
      <alignment horizontal="center" vertical="center"/>
    </xf>
    <xf numFmtId="179" fontId="197" fillId="0" borderId="604" xfId="0" applyNumberFormat="1" applyFont="1" applyBorder="1" applyAlignment="1">
      <alignment horizontal="center" vertical="center"/>
    </xf>
    <xf numFmtId="3" fontId="177" fillId="125" borderId="598" xfId="2" applyNumberFormat="1" applyFont="1" applyFill="1" applyBorder="1" applyAlignment="1">
      <alignment horizontal="center" vertical="center" wrapText="1"/>
    </xf>
    <xf numFmtId="3" fontId="177" fillId="125" borderId="403" xfId="2" applyNumberFormat="1" applyFont="1" applyFill="1" applyBorder="1" applyAlignment="1">
      <alignment horizontal="center" vertical="center" wrapText="1"/>
    </xf>
    <xf numFmtId="3" fontId="35" fillId="117" borderId="597" xfId="2" applyNumberFormat="1" applyFont="1" applyFill="1" applyBorder="1" applyAlignment="1">
      <alignment horizontal="center" vertical="center" wrapText="1"/>
    </xf>
    <xf numFmtId="187" fontId="177" fillId="125" borderId="605" xfId="2" applyNumberFormat="1" applyFont="1" applyFill="1" applyBorder="1" applyAlignment="1">
      <alignment horizontal="center" vertical="center"/>
    </xf>
    <xf numFmtId="3" fontId="177" fillId="125" borderId="366" xfId="2" applyNumberFormat="1" applyFont="1" applyFill="1" applyBorder="1" applyAlignment="1">
      <alignment horizontal="center" vertical="center"/>
    </xf>
    <xf numFmtId="179" fontId="177" fillId="125" borderId="226" xfId="2" applyNumberFormat="1" applyFont="1" applyFill="1" applyBorder="1" applyAlignment="1">
      <alignment horizontal="center" vertical="center" wrapText="1"/>
    </xf>
    <xf numFmtId="183" fontId="177" fillId="125" borderId="285" xfId="2" applyNumberFormat="1" applyFont="1" applyFill="1" applyBorder="1" applyAlignment="1">
      <alignment horizontal="center" vertical="center" wrapText="1"/>
    </xf>
    <xf numFmtId="187" fontId="217" fillId="125" borderId="285" xfId="2" applyNumberFormat="1" applyFont="1" applyFill="1" applyBorder="1" applyAlignment="1">
      <alignment horizontal="center" vertical="center" wrapText="1"/>
    </xf>
    <xf numFmtId="3" fontId="177" fillId="125" borderId="612" xfId="2" applyNumberFormat="1" applyFont="1" applyFill="1" applyBorder="1" applyAlignment="1">
      <alignment horizontal="center" vertical="center" wrapText="1"/>
    </xf>
    <xf numFmtId="177" fontId="0" fillId="0" borderId="35" xfId="0" applyNumberFormat="1" applyFont="1" applyBorder="1" applyAlignment="1">
      <alignment horizontal="center" vertical="center"/>
    </xf>
    <xf numFmtId="177" fontId="0" fillId="0" borderId="612" xfId="0" applyNumberFormat="1" applyFont="1" applyBorder="1" applyAlignment="1">
      <alignment horizontal="center" vertical="center"/>
    </xf>
    <xf numFmtId="187" fontId="177" fillId="125" borderId="612" xfId="2" applyNumberFormat="1" applyFont="1" applyFill="1" applyBorder="1" applyAlignment="1">
      <alignment horizontal="center" vertical="center" wrapText="1"/>
    </xf>
    <xf numFmtId="177" fontId="0" fillId="0" borderId="612" xfId="0" applyNumberFormat="1" applyFont="1" applyFill="1" applyBorder="1" applyAlignment="1">
      <alignment horizontal="center" vertical="center"/>
    </xf>
    <xf numFmtId="177" fontId="0" fillId="125" borderId="35" xfId="0" applyNumberFormat="1" applyFont="1" applyFill="1" applyBorder="1" applyAlignment="1">
      <alignment horizontal="center" vertical="center"/>
    </xf>
    <xf numFmtId="177" fontId="0" fillId="125" borderId="612" xfId="0" applyNumberFormat="1" applyFont="1" applyFill="1" applyBorder="1" applyAlignment="1">
      <alignment horizontal="center" vertical="center"/>
    </xf>
    <xf numFmtId="177" fontId="29" fillId="0" borderId="612" xfId="0" applyNumberFormat="1" applyFont="1" applyBorder="1" applyAlignment="1">
      <alignment horizontal="center" vertical="center"/>
    </xf>
    <xf numFmtId="0" fontId="29" fillId="125" borderId="612" xfId="0" applyFont="1" applyFill="1" applyBorder="1" applyAlignment="1">
      <alignment horizontal="center" vertical="center"/>
    </xf>
    <xf numFmtId="177" fontId="29" fillId="0" borderId="46" xfId="0" applyNumberFormat="1" applyFont="1" applyBorder="1" applyAlignment="1">
      <alignment horizontal="center" vertical="center"/>
    </xf>
    <xf numFmtId="177" fontId="29" fillId="0" borderId="0" xfId="0" applyNumberFormat="1" applyFont="1" applyBorder="1" applyAlignment="1">
      <alignment horizontal="center" vertical="center"/>
    </xf>
    <xf numFmtId="223" fontId="29" fillId="0" borderId="204" xfId="0" applyNumberFormat="1" applyFont="1" applyBorder="1" applyAlignment="1">
      <alignment horizontal="center" vertical="center"/>
    </xf>
    <xf numFmtId="3" fontId="177" fillId="125" borderId="266" xfId="2" applyNumberFormat="1" applyFont="1" applyFill="1" applyBorder="1" applyAlignment="1">
      <alignment horizontal="center" vertical="center" wrapText="1"/>
    </xf>
    <xf numFmtId="177" fontId="29" fillId="0" borderId="35" xfId="0" applyNumberFormat="1" applyFont="1" applyBorder="1" applyAlignment="1">
      <alignment horizontal="center" vertical="center"/>
    </xf>
    <xf numFmtId="177" fontId="29" fillId="15" borderId="35" xfId="0" applyNumberFormat="1" applyFont="1" applyFill="1" applyBorder="1" applyAlignment="1">
      <alignment horizontal="center" vertical="center"/>
    </xf>
    <xf numFmtId="3" fontId="35" fillId="117" borderId="607" xfId="2" applyNumberFormat="1" applyFont="1" applyFill="1" applyBorder="1" applyAlignment="1">
      <alignment horizontal="center" vertical="center" wrapText="1"/>
    </xf>
    <xf numFmtId="187" fontId="177" fillId="125" borderId="607" xfId="2" applyNumberFormat="1" applyFont="1" applyFill="1" applyBorder="1" applyAlignment="1">
      <alignment horizontal="center" vertical="center"/>
    </xf>
    <xf numFmtId="187" fontId="33" fillId="0" borderId="607" xfId="2" applyNumberFormat="1" applyFont="1" applyFill="1" applyBorder="1" applyAlignment="1">
      <alignment horizontal="center" vertical="center" wrapText="1"/>
    </xf>
    <xf numFmtId="177" fontId="219" fillId="125" borderId="597" xfId="0" applyNumberFormat="1" applyFont="1" applyFill="1" applyBorder="1" applyAlignment="1">
      <alignment horizontal="center" vertical="center"/>
    </xf>
    <xf numFmtId="187" fontId="33" fillId="0" borderId="597" xfId="2" applyNumberFormat="1" applyFont="1" applyFill="1" applyBorder="1" applyAlignment="1">
      <alignment horizontal="center" vertical="center" wrapText="1"/>
    </xf>
    <xf numFmtId="0" fontId="219" fillId="125" borderId="108" xfId="0" applyFont="1" applyFill="1" applyBorder="1" applyAlignment="1">
      <alignment horizontal="center" vertical="center" wrapText="1"/>
    </xf>
    <xf numFmtId="3" fontId="197" fillId="0" borderId="219" xfId="0" applyNumberFormat="1" applyFont="1" applyFill="1" applyBorder="1" applyAlignment="1">
      <alignment horizontal="center" vertical="center"/>
    </xf>
    <xf numFmtId="3" fontId="197" fillId="0" borderId="607" xfId="0" applyNumberFormat="1" applyFont="1" applyFill="1" applyBorder="1" applyAlignment="1">
      <alignment horizontal="center" vertical="center"/>
    </xf>
    <xf numFmtId="177" fontId="219" fillId="125" borderId="607" xfId="0" applyNumberFormat="1" applyFont="1" applyFill="1" applyBorder="1" applyAlignment="1">
      <alignment horizontal="center" vertical="center"/>
    </xf>
    <xf numFmtId="185" fontId="219" fillId="125" borderId="599" xfId="0" applyNumberFormat="1" applyFont="1" applyFill="1" applyBorder="1" applyAlignment="1">
      <alignment horizontal="center" vertical="center"/>
    </xf>
    <xf numFmtId="3" fontId="177" fillId="125" borderId="512" xfId="2" applyNumberFormat="1" applyFont="1" applyFill="1" applyBorder="1" applyAlignment="1">
      <alignment horizontal="center" vertical="center" wrapText="1"/>
    </xf>
    <xf numFmtId="3" fontId="177" fillId="125" borderId="599" xfId="2" applyNumberFormat="1" applyFont="1" applyFill="1" applyBorder="1" applyAlignment="1">
      <alignment horizontal="center" vertical="center" wrapText="1"/>
    </xf>
    <xf numFmtId="3" fontId="177" fillId="125" borderId="219" xfId="2" applyNumberFormat="1" applyFont="1" applyFill="1" applyBorder="1" applyAlignment="1">
      <alignment horizontal="center" vertical="center" wrapText="1"/>
    </xf>
    <xf numFmtId="3" fontId="29" fillId="0" borderId="607" xfId="2" applyNumberFormat="1" applyFont="1" applyFill="1" applyBorder="1" applyAlignment="1">
      <alignment horizontal="center" vertical="center" wrapText="1"/>
    </xf>
    <xf numFmtId="231" fontId="29" fillId="0" borderId="512" xfId="2" applyNumberFormat="1" applyFont="1" applyFill="1" applyBorder="1" applyAlignment="1">
      <alignment horizontal="center" vertical="center"/>
    </xf>
    <xf numFmtId="187" fontId="177" fillId="125" borderId="119" xfId="2" applyNumberFormat="1" applyFont="1" applyFill="1" applyBorder="1" applyAlignment="1">
      <alignment horizontal="center" vertical="center"/>
    </xf>
    <xf numFmtId="187" fontId="177" fillId="125" borderId="599" xfId="2" applyNumberFormat="1" applyFont="1" applyFill="1" applyBorder="1" applyAlignment="1">
      <alignment horizontal="center" vertical="center"/>
    </xf>
    <xf numFmtId="183" fontId="58" fillId="0" borderId="119" xfId="2" applyNumberFormat="1" applyFont="1" applyFill="1" applyBorder="1" applyAlignment="1">
      <alignment horizontal="center" vertical="center"/>
    </xf>
    <xf numFmtId="3" fontId="177" fillId="125" borderId="261" xfId="2" applyNumberFormat="1" applyFont="1" applyFill="1" applyBorder="1" applyAlignment="1">
      <alignment horizontal="center" vertical="center"/>
    </xf>
    <xf numFmtId="179" fontId="29" fillId="0" borderId="119" xfId="2" applyNumberFormat="1" applyFont="1" applyFill="1" applyBorder="1" applyAlignment="1">
      <alignment horizontal="center" vertical="center" wrapText="1"/>
    </xf>
    <xf numFmtId="179" fontId="29" fillId="0" borderId="607" xfId="2" applyNumberFormat="1" applyFont="1" applyFill="1" applyBorder="1" applyAlignment="1">
      <alignment horizontal="center" vertical="center" wrapText="1"/>
    </xf>
    <xf numFmtId="179" fontId="29" fillId="0" borderId="599" xfId="2" applyNumberFormat="1" applyFont="1" applyFill="1" applyBorder="1" applyAlignment="1">
      <alignment horizontal="center" vertical="center" wrapText="1"/>
    </xf>
    <xf numFmtId="179" fontId="177" fillId="125" borderId="223" xfId="2" applyNumberFormat="1" applyFont="1" applyFill="1" applyBorder="1" applyAlignment="1">
      <alignment horizontal="center" vertical="center" wrapText="1"/>
    </xf>
    <xf numFmtId="183" fontId="58" fillId="0" borderId="95" xfId="2" applyNumberFormat="1" applyFont="1" applyFill="1" applyBorder="1" applyAlignment="1">
      <alignment horizontal="center" vertical="center"/>
    </xf>
    <xf numFmtId="183" fontId="58" fillId="0" borderId="607" xfId="2" applyNumberFormat="1" applyFont="1" applyFill="1" applyBorder="1" applyAlignment="1">
      <alignment horizontal="center" vertical="center"/>
    </xf>
    <xf numFmtId="183" fontId="58" fillId="0" borderId="219" xfId="2" applyNumberFormat="1" applyFont="1" applyFill="1" applyBorder="1" applyAlignment="1">
      <alignment horizontal="center" vertical="center"/>
    </xf>
    <xf numFmtId="183" fontId="177" fillId="125" borderId="261" xfId="2" applyNumberFormat="1" applyFont="1" applyFill="1" applyBorder="1" applyAlignment="1">
      <alignment horizontal="center" vertical="center" wrapText="1"/>
    </xf>
    <xf numFmtId="183" fontId="177" fillId="125" borderId="223" xfId="2" applyNumberFormat="1" applyFont="1" applyFill="1" applyBorder="1" applyAlignment="1">
      <alignment horizontal="center" vertical="center" wrapText="1"/>
    </xf>
    <xf numFmtId="177" fontId="29" fillId="0" borderId="607" xfId="2" applyNumberFormat="1" applyFont="1" applyFill="1" applyBorder="1" applyAlignment="1">
      <alignment horizontal="center" vertical="center" wrapText="1"/>
    </xf>
    <xf numFmtId="187" fontId="29" fillId="0" borderId="119" xfId="2" applyNumberFormat="1" applyFont="1" applyFill="1" applyBorder="1" applyAlignment="1">
      <alignment horizontal="center" vertical="center" wrapText="1"/>
    </xf>
    <xf numFmtId="187" fontId="29" fillId="0" borderId="607" xfId="2" applyNumberFormat="1" applyFont="1" applyFill="1" applyBorder="1" applyAlignment="1">
      <alignment horizontal="center" vertical="center" wrapText="1"/>
    </xf>
    <xf numFmtId="187" fontId="29" fillId="0" borderId="599" xfId="2" applyNumberFormat="1" applyFont="1" applyFill="1" applyBorder="1" applyAlignment="1">
      <alignment horizontal="center" vertical="center" wrapText="1"/>
    </xf>
    <xf numFmtId="187" fontId="177" fillId="125" borderId="223" xfId="2" applyNumberFormat="1" applyFont="1" applyFill="1" applyBorder="1" applyAlignment="1">
      <alignment horizontal="center" vertical="center" wrapText="1"/>
    </xf>
    <xf numFmtId="3" fontId="29" fillId="0" borderId="46" xfId="2" applyNumberFormat="1" applyFont="1" applyFill="1" applyBorder="1" applyAlignment="1">
      <alignment horizontal="center" vertical="center" wrapText="1"/>
    </xf>
    <xf numFmtId="3" fontId="29" fillId="0" borderId="612" xfId="2" applyNumberFormat="1" applyFont="1" applyFill="1" applyBorder="1" applyAlignment="1">
      <alignment horizontal="center" vertical="center" wrapText="1"/>
    </xf>
    <xf numFmtId="187" fontId="29" fillId="0" borderId="46" xfId="2" applyNumberFormat="1" applyFont="1" applyFill="1" applyBorder="1" applyAlignment="1">
      <alignment horizontal="center" vertical="center" wrapText="1"/>
    </xf>
    <xf numFmtId="223" fontId="29" fillId="0" borderId="612" xfId="2" applyNumberFormat="1" applyFont="1" applyFill="1" applyBorder="1" applyAlignment="1">
      <alignment horizontal="center" vertical="center" wrapText="1"/>
    </xf>
    <xf numFmtId="187" fontId="29" fillId="0" borderId="604" xfId="2" applyNumberFormat="1" applyFont="1" applyFill="1" applyBorder="1" applyAlignment="1">
      <alignment horizontal="center" vertical="center" wrapText="1"/>
    </xf>
    <xf numFmtId="223" fontId="35" fillId="0" borderId="612" xfId="0" applyNumberFormat="1" applyFont="1" applyBorder="1" applyAlignment="1">
      <alignment horizontal="center" vertical="center"/>
    </xf>
    <xf numFmtId="0" fontId="219" fillId="125" borderId="0" xfId="0" applyFont="1" applyFill="1" applyBorder="1" applyAlignment="1">
      <alignment horizontal="center" vertical="center" wrapText="1"/>
    </xf>
    <xf numFmtId="0" fontId="29" fillId="125" borderId="0" xfId="0" applyFont="1" applyFill="1" applyBorder="1" applyAlignment="1">
      <alignment horizontal="center" vertical="center"/>
    </xf>
    <xf numFmtId="177" fontId="29" fillId="0" borderId="0" xfId="0" applyNumberFormat="1" applyFont="1" applyFill="1" applyBorder="1" applyAlignment="1">
      <alignment horizontal="center" vertical="center"/>
    </xf>
    <xf numFmtId="187" fontId="29" fillId="0" borderId="0" xfId="0" applyNumberFormat="1" applyFont="1" applyFill="1" applyBorder="1" applyAlignment="1">
      <alignment horizontal="center" vertical="center"/>
    </xf>
    <xf numFmtId="223" fontId="29" fillId="0" borderId="0" xfId="0" applyNumberFormat="1" applyFont="1" applyFill="1" applyBorder="1" applyAlignment="1">
      <alignment horizontal="center" vertical="center"/>
    </xf>
    <xf numFmtId="187" fontId="172" fillId="0" borderId="0" xfId="2" applyNumberFormat="1" applyFont="1" applyFill="1" applyBorder="1" applyAlignment="1">
      <alignment horizontal="center" vertical="center"/>
    </xf>
    <xf numFmtId="187" fontId="35" fillId="136" borderId="0" xfId="0" applyNumberFormat="1" applyFont="1" applyFill="1" applyBorder="1" applyAlignment="1">
      <alignment horizontal="center" vertical="center"/>
    </xf>
    <xf numFmtId="223" fontId="172" fillId="0" borderId="0" xfId="2" applyNumberFormat="1" applyFont="1" applyFill="1" applyBorder="1" applyAlignment="1">
      <alignment horizontal="center" vertical="center"/>
    </xf>
    <xf numFmtId="223" fontId="230" fillId="0" borderId="0" xfId="0" applyNumberFormat="1" applyFont="1" applyFill="1" applyBorder="1" applyAlignment="1">
      <alignment horizontal="center" vertical="center"/>
    </xf>
    <xf numFmtId="223" fontId="35" fillId="131" borderId="0" xfId="0" applyNumberFormat="1" applyFont="1" applyFill="1" applyBorder="1" applyAlignment="1">
      <alignment horizontal="center" vertical="center"/>
    </xf>
    <xf numFmtId="178" fontId="58" fillId="0" borderId="119" xfId="2" applyNumberFormat="1" applyFont="1" applyFill="1" applyBorder="1" applyAlignment="1">
      <alignment horizontal="center" vertical="center"/>
    </xf>
    <xf numFmtId="178" fontId="58" fillId="0" borderId="607" xfId="2" applyNumberFormat="1" applyFont="1" applyFill="1" applyBorder="1" applyAlignment="1">
      <alignment horizontal="center" vertical="center"/>
    </xf>
    <xf numFmtId="223" fontId="29" fillId="0" borderId="612" xfId="0" applyNumberFormat="1" applyFont="1" applyBorder="1" applyAlignment="1">
      <alignment horizontal="center" vertical="center"/>
    </xf>
    <xf numFmtId="187" fontId="29" fillId="0" borderId="613" xfId="0" applyNumberFormat="1" applyFont="1" applyBorder="1" applyAlignment="1">
      <alignment horizontal="center" vertical="center"/>
    </xf>
    <xf numFmtId="177" fontId="177" fillId="125" borderId="613" xfId="0" applyNumberFormat="1" applyFont="1" applyFill="1" applyBorder="1" applyAlignment="1">
      <alignment horizontal="center" vertical="center"/>
    </xf>
    <xf numFmtId="187" fontId="29" fillId="0" borderId="389" xfId="0" applyNumberFormat="1" applyFont="1" applyBorder="1" applyAlignment="1">
      <alignment horizontal="center" vertical="center"/>
    </xf>
    <xf numFmtId="187" fontId="29" fillId="0" borderId="57" xfId="0" applyNumberFormat="1" applyFont="1" applyBorder="1" applyAlignment="1">
      <alignment horizontal="center" vertical="center"/>
    </xf>
    <xf numFmtId="187" fontId="29" fillId="0" borderId="620" xfId="0" applyNumberFormat="1" applyFont="1" applyBorder="1" applyAlignment="1">
      <alignment horizontal="center" vertical="center"/>
    </xf>
    <xf numFmtId="177" fontId="29" fillId="0" borderId="613" xfId="0" applyNumberFormat="1" applyFont="1" applyFill="1" applyBorder="1" applyAlignment="1">
      <alignment horizontal="center" vertical="center"/>
    </xf>
    <xf numFmtId="223" fontId="29" fillId="0" borderId="613" xfId="0" applyNumberFormat="1" applyFont="1" applyBorder="1" applyAlignment="1">
      <alignment horizontal="center" vertical="center"/>
    </xf>
    <xf numFmtId="223" fontId="29" fillId="0" borderId="620" xfId="0" applyNumberFormat="1" applyFont="1" applyBorder="1" applyAlignment="1">
      <alignment horizontal="center" vertical="center"/>
    </xf>
    <xf numFmtId="223" fontId="29" fillId="0" borderId="603" xfId="0" applyNumberFormat="1" applyFont="1" applyBorder="1" applyAlignment="1">
      <alignment horizontal="center" vertical="center"/>
    </xf>
    <xf numFmtId="223" fontId="29" fillId="0" borderId="620" xfId="0" applyNumberFormat="1" applyFont="1" applyFill="1" applyBorder="1" applyAlignment="1">
      <alignment horizontal="center" vertical="center"/>
    </xf>
    <xf numFmtId="223" fontId="29" fillId="125" borderId="613" xfId="0" applyNumberFormat="1" applyFont="1" applyFill="1" applyBorder="1" applyAlignment="1">
      <alignment horizontal="center" vertical="center"/>
    </xf>
    <xf numFmtId="223" fontId="29" fillId="0" borderId="606" xfId="0" applyNumberFormat="1" applyFont="1" applyBorder="1" applyAlignment="1">
      <alignment horizontal="center" vertical="center"/>
    </xf>
    <xf numFmtId="223" fontId="29" fillId="125" borderId="606" xfId="0" applyNumberFormat="1" applyFont="1" applyFill="1" applyBorder="1" applyAlignment="1">
      <alignment horizontal="center" vertical="center"/>
    </xf>
    <xf numFmtId="223" fontId="177" fillId="125" borderId="600" xfId="2" applyNumberFormat="1" applyFont="1" applyFill="1" applyBorder="1" applyAlignment="1">
      <alignment horizontal="center" vertical="center" wrapText="1"/>
    </xf>
    <xf numFmtId="223" fontId="29" fillId="0" borderId="606" xfId="2" applyNumberFormat="1" applyFont="1" applyFill="1" applyBorder="1" applyAlignment="1">
      <alignment horizontal="center" vertical="center" wrapText="1"/>
    </xf>
    <xf numFmtId="223" fontId="29" fillId="0" borderId="600" xfId="2" applyNumberFormat="1" applyFont="1" applyFill="1" applyBorder="1" applyAlignment="1">
      <alignment horizontal="center" vertical="center" wrapText="1"/>
    </xf>
    <xf numFmtId="223" fontId="29" fillId="0" borderId="120" xfId="0" applyNumberFormat="1" applyFont="1" applyBorder="1" applyAlignment="1">
      <alignment horizontal="center" vertical="center"/>
    </xf>
    <xf numFmtId="223" fontId="29" fillId="0" borderId="120" xfId="2" applyNumberFormat="1" applyFont="1" applyFill="1" applyBorder="1" applyAlignment="1">
      <alignment horizontal="center" vertical="center" wrapText="1"/>
    </xf>
    <xf numFmtId="223" fontId="177" fillId="125" borderId="5" xfId="2" applyNumberFormat="1" applyFont="1" applyFill="1" applyBorder="1" applyAlignment="1">
      <alignment horizontal="center" vertical="center" wrapText="1"/>
    </xf>
    <xf numFmtId="223" fontId="29" fillId="0" borderId="6" xfId="0" applyNumberFormat="1" applyFont="1" applyBorder="1" applyAlignment="1">
      <alignment horizontal="center" vertical="center"/>
    </xf>
    <xf numFmtId="223" fontId="177" fillId="125" borderId="228" xfId="2" applyNumberFormat="1" applyFont="1" applyFill="1" applyBorder="1" applyAlignment="1">
      <alignment horizontal="center" vertical="center" wrapText="1"/>
    </xf>
    <xf numFmtId="223" fontId="177" fillId="125" borderId="224" xfId="2" applyNumberFormat="1" applyFont="1" applyFill="1" applyBorder="1" applyAlignment="1">
      <alignment horizontal="center" vertical="center" wrapText="1"/>
    </xf>
    <xf numFmtId="223" fontId="29" fillId="0" borderId="46" xfId="0" applyNumberFormat="1" applyFont="1" applyBorder="1" applyAlignment="1">
      <alignment horizontal="center" vertical="center"/>
    </xf>
    <xf numFmtId="223" fontId="29" fillId="0" borderId="23" xfId="0" applyNumberFormat="1" applyFont="1" applyBorder="1" applyAlignment="1">
      <alignment horizontal="center" vertical="center"/>
    </xf>
    <xf numFmtId="223" fontId="29" fillId="0" borderId="35" xfId="0" applyNumberFormat="1" applyFont="1" applyBorder="1" applyAlignment="1">
      <alignment horizontal="center" vertical="center"/>
    </xf>
    <xf numFmtId="223" fontId="35" fillId="0" borderId="35" xfId="2" applyNumberFormat="1" applyFont="1" applyFill="1" applyBorder="1" applyAlignment="1">
      <alignment horizontal="center" vertical="center" wrapText="1"/>
    </xf>
    <xf numFmtId="238" fontId="29" fillId="0" borderId="23" xfId="0" applyNumberFormat="1" applyFont="1" applyBorder="1" applyAlignment="1">
      <alignment horizontal="center" vertical="center"/>
    </xf>
    <xf numFmtId="238" fontId="29" fillId="0" borderId="613" xfId="0" applyNumberFormat="1" applyFont="1" applyBorder="1" applyAlignment="1">
      <alignment horizontal="center" vertical="center"/>
    </xf>
    <xf numFmtId="238" fontId="29" fillId="125" borderId="613" xfId="0" applyNumberFormat="1" applyFont="1" applyFill="1" applyBorder="1" applyAlignment="1">
      <alignment horizontal="center" vertical="center"/>
    </xf>
    <xf numFmtId="223" fontId="177" fillId="125" borderId="602" xfId="0" applyNumberFormat="1" applyFont="1" applyFill="1" applyBorder="1" applyAlignment="1">
      <alignment horizontal="center" vertical="center"/>
    </xf>
    <xf numFmtId="223" fontId="29" fillId="0" borderId="57" xfId="0" applyNumberFormat="1" applyFont="1" applyBorder="1" applyAlignment="1">
      <alignment horizontal="center" vertical="center"/>
    </xf>
    <xf numFmtId="223" fontId="177" fillId="125" borderId="603" xfId="0" applyNumberFormat="1" applyFont="1" applyFill="1" applyBorder="1" applyAlignment="1">
      <alignment horizontal="center" vertical="center"/>
    </xf>
    <xf numFmtId="223" fontId="29" fillId="0" borderId="57" xfId="0" applyNumberFormat="1" applyFont="1" applyFill="1" applyBorder="1" applyAlignment="1">
      <alignment horizontal="center" vertical="center"/>
    </xf>
    <xf numFmtId="223" fontId="29" fillId="0" borderId="603" xfId="0" applyNumberFormat="1" applyFont="1" applyFill="1" applyBorder="1" applyAlignment="1">
      <alignment horizontal="center" vertical="center"/>
    </xf>
    <xf numFmtId="223" fontId="177" fillId="125" borderId="389" xfId="0" applyNumberFormat="1" applyFont="1" applyFill="1" applyBorder="1" applyAlignment="1">
      <alignment horizontal="center" vertical="center"/>
    </xf>
    <xf numFmtId="223" fontId="177" fillId="125" borderId="620" xfId="0" applyNumberFormat="1" applyFont="1" applyFill="1" applyBorder="1" applyAlignment="1">
      <alignment horizontal="center" vertical="center"/>
    </xf>
    <xf numFmtId="223" fontId="29" fillId="0" borderId="622" xfId="0" applyNumberFormat="1" applyFont="1" applyFill="1" applyBorder="1" applyAlignment="1">
      <alignment horizontal="center" vertical="center"/>
    </xf>
    <xf numFmtId="223" fontId="172" fillId="0" borderId="38" xfId="2" applyNumberFormat="1" applyFont="1" applyFill="1" applyBorder="1" applyAlignment="1">
      <alignment horizontal="center" vertical="center"/>
    </xf>
    <xf numFmtId="223" fontId="35" fillId="0" borderId="605" xfId="0" applyNumberFormat="1" applyFont="1" applyBorder="1" applyAlignment="1">
      <alignment horizontal="center" vertical="center"/>
    </xf>
    <xf numFmtId="223" fontId="35" fillId="117" borderId="605" xfId="0" applyNumberFormat="1" applyFont="1" applyFill="1" applyBorder="1" applyAlignment="1">
      <alignment horizontal="center" vertical="center"/>
    </xf>
    <xf numFmtId="223" fontId="35" fillId="0" borderId="605" xfId="0" applyNumberFormat="1" applyFont="1" applyFill="1" applyBorder="1" applyAlignment="1">
      <alignment horizontal="center" vertical="center"/>
    </xf>
    <xf numFmtId="223" fontId="35" fillId="0" borderId="601" xfId="0" applyNumberFormat="1" applyFont="1" applyBorder="1" applyAlignment="1">
      <alignment horizontal="center" vertical="center"/>
    </xf>
    <xf numFmtId="223" fontId="230" fillId="0" borderId="45" xfId="0" applyNumberFormat="1" applyFont="1" applyFill="1" applyBorder="1" applyAlignment="1">
      <alignment horizontal="center" vertical="center"/>
    </xf>
    <xf numFmtId="223" fontId="172" fillId="7" borderId="38" xfId="2" applyNumberFormat="1" applyFont="1" applyFill="1" applyBorder="1" applyAlignment="1">
      <alignment horizontal="center" vertical="center"/>
    </xf>
    <xf numFmtId="223" fontId="230" fillId="0" borderId="605" xfId="0" applyNumberFormat="1" applyFont="1" applyBorder="1" applyAlignment="1">
      <alignment horizontal="center" vertical="center"/>
    </xf>
    <xf numFmtId="223" fontId="230" fillId="131" borderId="226" xfId="0" applyNumberFormat="1" applyFont="1" applyFill="1" applyBorder="1" applyAlignment="1">
      <alignment horizontal="center" vertical="center"/>
    </xf>
    <xf numFmtId="223" fontId="226" fillId="3" borderId="226" xfId="0" applyNumberFormat="1" applyFont="1" applyFill="1" applyBorder="1" applyAlignment="1">
      <alignment horizontal="center" vertical="center"/>
    </xf>
    <xf numFmtId="223" fontId="35" fillId="117" borderId="514" xfId="0" applyNumberFormat="1" applyFont="1" applyFill="1" applyBorder="1" applyAlignment="1">
      <alignment horizontal="center" vertical="center"/>
    </xf>
    <xf numFmtId="223" fontId="226" fillId="3" borderId="160" xfId="0" applyNumberFormat="1" applyFont="1" applyFill="1" applyBorder="1" applyAlignment="1">
      <alignment horizontal="center" vertical="center"/>
    </xf>
    <xf numFmtId="223" fontId="35" fillId="0" borderId="514" xfId="0" applyNumberFormat="1" applyFont="1" applyBorder="1" applyAlignment="1">
      <alignment horizontal="center" vertical="center"/>
    </xf>
    <xf numFmtId="223" fontId="172" fillId="0" borderId="306" xfId="2" applyNumberFormat="1" applyFont="1" applyFill="1" applyBorder="1" applyAlignment="1">
      <alignment horizontal="center" vertical="center"/>
    </xf>
    <xf numFmtId="223" fontId="35" fillId="117" borderId="590" xfId="0" applyNumberFormat="1" applyFont="1" applyFill="1" applyBorder="1" applyAlignment="1">
      <alignment horizontal="center" vertical="center"/>
    </xf>
    <xf numFmtId="223" fontId="35" fillId="0" borderId="590" xfId="0" applyNumberFormat="1" applyFont="1" applyFill="1" applyBorder="1" applyAlignment="1">
      <alignment horizontal="center" vertical="center"/>
    </xf>
    <xf numFmtId="223" fontId="35" fillId="0" borderId="583" xfId="0" applyNumberFormat="1" applyFont="1" applyBorder="1" applyAlignment="1">
      <alignment horizontal="center" vertical="center"/>
    </xf>
    <xf numFmtId="223" fontId="172" fillId="7" borderId="306" xfId="2" applyNumberFormat="1" applyFont="1" applyFill="1" applyBorder="1" applyAlignment="1">
      <alignment horizontal="center" vertical="center"/>
    </xf>
    <xf numFmtId="223" fontId="230" fillId="0" borderId="595" xfId="0" applyNumberFormat="1" applyFont="1" applyBorder="1" applyAlignment="1">
      <alignment horizontal="center" vertical="center"/>
    </xf>
    <xf numFmtId="223" fontId="230" fillId="0" borderId="590" xfId="0" applyNumberFormat="1" applyFont="1" applyBorder="1" applyAlignment="1">
      <alignment horizontal="center" vertical="center"/>
    </xf>
    <xf numFmtId="223" fontId="230" fillId="131" borderId="287" xfId="0" applyNumberFormat="1" applyFont="1" applyFill="1" applyBorder="1" applyAlignment="1">
      <alignment horizontal="center" vertical="center"/>
    </xf>
    <xf numFmtId="223" fontId="226" fillId="3" borderId="287" xfId="0" applyNumberFormat="1" applyFont="1" applyFill="1" applyBorder="1" applyAlignment="1">
      <alignment horizontal="center" vertical="center"/>
    </xf>
    <xf numFmtId="223" fontId="35" fillId="117" borderId="583" xfId="0" applyNumberFormat="1" applyFont="1" applyFill="1" applyBorder="1" applyAlignment="1">
      <alignment horizontal="center" vertical="center"/>
    </xf>
    <xf numFmtId="223" fontId="230" fillId="0" borderId="590" xfId="0" applyNumberFormat="1" applyFont="1" applyFill="1" applyBorder="1" applyAlignment="1">
      <alignment horizontal="center" vertical="center"/>
    </xf>
    <xf numFmtId="223" fontId="35" fillId="0" borderId="595" xfId="0" applyNumberFormat="1" applyFont="1" applyBorder="1" applyAlignment="1">
      <alignment horizontal="center" vertical="center"/>
    </xf>
    <xf numFmtId="223" fontId="226" fillId="3" borderId="50" xfId="0" applyNumberFormat="1" applyFont="1" applyFill="1" applyBorder="1" applyAlignment="1">
      <alignment horizontal="center" vertical="center"/>
    </xf>
    <xf numFmtId="223" fontId="35" fillId="0" borderId="38" xfId="2" applyNumberFormat="1" applyFont="1" applyFill="1" applyBorder="1" applyAlignment="1">
      <alignment horizontal="center" vertical="center" wrapText="1"/>
    </xf>
    <xf numFmtId="41" fontId="178" fillId="127" borderId="605" xfId="2" applyFont="1" applyFill="1" applyBorder="1" applyAlignment="1">
      <alignment horizontal="center" vertical="center"/>
    </xf>
    <xf numFmtId="3" fontId="29" fillId="0" borderId="607" xfId="0" applyNumberFormat="1" applyFont="1" applyBorder="1" applyAlignment="1">
      <alignment horizontal="center" vertical="center"/>
    </xf>
    <xf numFmtId="0" fontId="225" fillId="127" borderId="605" xfId="0" applyFont="1" applyFill="1" applyBorder="1" applyAlignment="1">
      <alignment horizontal="center" vertical="center"/>
    </xf>
    <xf numFmtId="223" fontId="29" fillId="0" borderId="612" xfId="0" applyNumberFormat="1" applyFont="1" applyFill="1" applyBorder="1" applyAlignment="1">
      <alignment horizontal="center" vertical="center"/>
    </xf>
    <xf numFmtId="223" fontId="29" fillId="0" borderId="590" xfId="0" applyNumberFormat="1" applyFont="1" applyBorder="1" applyAlignment="1">
      <alignment horizontal="center" vertical="center"/>
    </xf>
    <xf numFmtId="223" fontId="35" fillId="136" borderId="285" xfId="0" applyNumberFormat="1" applyFont="1" applyFill="1" applyBorder="1" applyAlignment="1">
      <alignment horizontal="center" vertical="center"/>
    </xf>
    <xf numFmtId="223" fontId="230" fillId="131" borderId="285" xfId="0" applyNumberFormat="1" applyFont="1" applyFill="1" applyBorder="1" applyAlignment="1">
      <alignment horizontal="center" vertical="center"/>
    </xf>
    <xf numFmtId="223" fontId="177" fillId="125" borderId="287" xfId="0" applyNumberFormat="1" applyFont="1" applyFill="1" applyBorder="1" applyAlignment="1">
      <alignment horizontal="center" vertical="center"/>
    </xf>
    <xf numFmtId="223" fontId="172" fillId="0" borderId="62" xfId="2" applyNumberFormat="1" applyFont="1" applyFill="1" applyBorder="1" applyAlignment="1">
      <alignment horizontal="center" vertical="center"/>
    </xf>
    <xf numFmtId="223" fontId="172" fillId="0" borderId="403" xfId="2" applyNumberFormat="1" applyFont="1" applyFill="1" applyBorder="1" applyAlignment="1">
      <alignment horizontal="center" vertical="center"/>
    </xf>
    <xf numFmtId="223" fontId="35" fillId="0" borderId="597" xfId="0" applyNumberFormat="1" applyFont="1" applyBorder="1" applyAlignment="1">
      <alignment horizontal="center" vertical="center"/>
    </xf>
    <xf numFmtId="223" fontId="35" fillId="117" borderId="597" xfId="0" applyNumberFormat="1" applyFont="1" applyFill="1" applyBorder="1" applyAlignment="1">
      <alignment horizontal="center" vertical="center"/>
    </xf>
    <xf numFmtId="223" fontId="35" fillId="0" borderId="597" xfId="0" applyNumberFormat="1" applyFont="1" applyFill="1" applyBorder="1" applyAlignment="1">
      <alignment horizontal="center" vertical="center"/>
    </xf>
    <xf numFmtId="223" fontId="172" fillId="7" borderId="403" xfId="2" applyNumberFormat="1" applyFont="1" applyFill="1" applyBorder="1" applyAlignment="1">
      <alignment horizontal="center" vertical="center"/>
    </xf>
    <xf numFmtId="223" fontId="230" fillId="0" borderId="598" xfId="0" applyNumberFormat="1" applyFont="1" applyBorder="1" applyAlignment="1">
      <alignment horizontal="center" vertical="center"/>
    </xf>
    <xf numFmtId="223" fontId="230" fillId="0" borderId="597" xfId="0" applyNumberFormat="1" applyFont="1" applyBorder="1" applyAlignment="1">
      <alignment horizontal="center" vertical="center"/>
    </xf>
    <xf numFmtId="223" fontId="230" fillId="0" borderId="403" xfId="0" applyNumberFormat="1" applyFont="1" applyFill="1" applyBorder="1" applyAlignment="1">
      <alignment horizontal="center" vertical="center"/>
    </xf>
    <xf numFmtId="223" fontId="230" fillId="0" borderId="597" xfId="0" applyNumberFormat="1" applyFont="1" applyFill="1" applyBorder="1" applyAlignment="1">
      <alignment horizontal="center" vertical="center"/>
    </xf>
    <xf numFmtId="223" fontId="230" fillId="0" borderId="598" xfId="0" applyNumberFormat="1" applyFont="1" applyFill="1" applyBorder="1" applyAlignment="1">
      <alignment horizontal="center" vertical="center"/>
    </xf>
    <xf numFmtId="223" fontId="35" fillId="131" borderId="285" xfId="0" applyNumberFormat="1" applyFont="1" applyFill="1" applyBorder="1" applyAlignment="1">
      <alignment horizontal="center" vertical="center"/>
    </xf>
    <xf numFmtId="223" fontId="35" fillId="0" borderId="598" xfId="0" applyNumberFormat="1" applyFont="1" applyBorder="1" applyAlignment="1">
      <alignment horizontal="center" vertical="center"/>
    </xf>
    <xf numFmtId="178" fontId="28" fillId="7" borderId="0" xfId="0" applyNumberFormat="1" applyFont="1" applyFill="1" applyBorder="1" applyAlignment="1">
      <alignment horizontal="center" vertical="center"/>
    </xf>
    <xf numFmtId="178" fontId="29" fillId="0" borderId="606" xfId="0" applyNumberFormat="1" applyFont="1" applyBorder="1" applyAlignment="1">
      <alignment horizontal="center" vertical="center"/>
    </xf>
    <xf numFmtId="176" fontId="0" fillId="0" borderId="410" xfId="0" applyNumberFormat="1" applyBorder="1" applyAlignment="1">
      <alignment horizontal="center" vertical="center"/>
    </xf>
    <xf numFmtId="177" fontId="240" fillId="0" borderId="6" xfId="0" applyNumberFormat="1" applyFont="1" applyBorder="1" applyAlignment="1">
      <alignment horizontal="center" vertical="center"/>
    </xf>
    <xf numFmtId="177" fontId="210" fillId="0" borderId="6" xfId="0" applyNumberFormat="1" applyFont="1" applyBorder="1" applyAlignment="1">
      <alignment horizontal="center" vertical="center"/>
    </xf>
    <xf numFmtId="183" fontId="29" fillId="7" borderId="612" xfId="2" applyNumberFormat="1" applyFont="1" applyFill="1" applyBorder="1" applyAlignment="1">
      <alignment horizontal="center" vertical="center"/>
    </xf>
    <xf numFmtId="183" fontId="29" fillId="0" borderId="605" xfId="2" applyNumberFormat="1" applyFont="1" applyFill="1" applyBorder="1" applyAlignment="1">
      <alignment horizontal="center" vertical="center"/>
    </xf>
    <xf numFmtId="183" fontId="29" fillId="7" borderId="613" xfId="2" applyNumberFormat="1" applyFont="1" applyFill="1" applyBorder="1" applyAlignment="1">
      <alignment horizontal="center" vertical="center"/>
    </xf>
    <xf numFmtId="183" fontId="177" fillId="125" borderId="613" xfId="2" applyNumberFormat="1" applyFont="1" applyFill="1" applyBorder="1" applyAlignment="1">
      <alignment horizontal="center" vertical="center"/>
    </xf>
    <xf numFmtId="183" fontId="29" fillId="0" borderId="612" xfId="2" applyNumberFormat="1" applyFont="1" applyFill="1" applyBorder="1" applyAlignment="1">
      <alignment horizontal="center" vertical="center"/>
    </xf>
    <xf numFmtId="183" fontId="177" fillId="125" borderId="604" xfId="2" applyNumberFormat="1" applyFont="1" applyFill="1" applyBorder="1" applyAlignment="1">
      <alignment horizontal="center" vertical="center"/>
    </xf>
    <xf numFmtId="227" fontId="29" fillId="117" borderId="465" xfId="2" applyNumberFormat="1" applyFont="1" applyFill="1" applyBorder="1" applyAlignment="1">
      <alignment horizontal="center" vertical="center"/>
    </xf>
    <xf numFmtId="178" fontId="29" fillId="117" borderId="470" xfId="2" applyNumberFormat="1" applyFont="1" applyFill="1" applyBorder="1" applyAlignment="1">
      <alignment horizontal="center" vertical="center"/>
    </xf>
    <xf numFmtId="178" fontId="29" fillId="117" borderId="606" xfId="2" applyNumberFormat="1" applyFont="1" applyFill="1" applyBorder="1" applyAlignment="1">
      <alignment horizontal="center" vertical="center"/>
    </xf>
    <xf numFmtId="227" fontId="29" fillId="117" borderId="567" xfId="2" applyNumberFormat="1" applyFont="1" applyFill="1" applyBorder="1" applyAlignment="1">
      <alignment horizontal="center" vertical="center"/>
    </xf>
    <xf numFmtId="38" fontId="29" fillId="117" borderId="567" xfId="2" applyNumberFormat="1" applyFont="1" applyFill="1" applyBorder="1" applyAlignment="1">
      <alignment horizontal="center" vertical="center"/>
    </xf>
    <xf numFmtId="3" fontId="58" fillId="7" borderId="605" xfId="2" applyNumberFormat="1" applyFont="1" applyFill="1" applyBorder="1" applyAlignment="1">
      <alignment horizontal="center" vertical="center"/>
    </xf>
    <xf numFmtId="183" fontId="29" fillId="0" borderId="601" xfId="2" applyNumberFormat="1" applyFont="1" applyFill="1" applyBorder="1" applyAlignment="1">
      <alignment horizontal="center" vertical="center"/>
    </xf>
    <xf numFmtId="3" fontId="177" fillId="125" borderId="605" xfId="2" applyNumberFormat="1" applyFont="1" applyFill="1" applyBorder="1" applyAlignment="1">
      <alignment horizontal="center" vertical="center" wrapText="1"/>
    </xf>
    <xf numFmtId="227" fontId="29" fillId="7" borderId="612" xfId="2" applyNumberFormat="1" applyFont="1" applyFill="1" applyBorder="1" applyAlignment="1">
      <alignment horizontal="center" vertical="center"/>
    </xf>
    <xf numFmtId="183" fontId="29" fillId="0" borderId="613" xfId="2" applyNumberFormat="1" applyFont="1" applyFill="1" applyBorder="1" applyAlignment="1">
      <alignment horizontal="center" vertical="center"/>
    </xf>
    <xf numFmtId="183" fontId="29" fillId="0" borderId="604" xfId="2" applyNumberFormat="1" applyFont="1" applyFill="1" applyBorder="1" applyAlignment="1">
      <alignment horizontal="center" vertical="center"/>
    </xf>
    <xf numFmtId="3" fontId="177" fillId="125" borderId="286" xfId="2" applyNumberFormat="1" applyFont="1" applyFill="1" applyBorder="1" applyAlignment="1">
      <alignment horizontal="center" vertical="center" wrapText="1"/>
    </xf>
    <xf numFmtId="3" fontId="29" fillId="7" borderId="612" xfId="2" applyNumberFormat="1" applyFont="1" applyFill="1" applyBorder="1" applyAlignment="1">
      <alignment horizontal="center" vertical="center"/>
    </xf>
    <xf numFmtId="183" fontId="58" fillId="7" borderId="607" xfId="2" applyNumberFormat="1" applyFont="1" applyFill="1" applyBorder="1" applyAlignment="1">
      <alignment horizontal="center" vertical="center"/>
    </xf>
    <xf numFmtId="9" fontId="177" fillId="125" borderId="224" xfId="2" applyNumberFormat="1" applyFont="1" applyFill="1" applyBorder="1" applyAlignment="1">
      <alignment horizontal="center" vertical="center"/>
    </xf>
    <xf numFmtId="0" fontId="177" fillId="125" borderId="509" xfId="0" quotePrefix="1" applyFont="1" applyFill="1" applyBorder="1" applyAlignment="1">
      <alignment horizontal="center" vertical="center"/>
    </xf>
    <xf numFmtId="183" fontId="29" fillId="7" borderId="612" xfId="2" applyNumberFormat="1" applyFont="1" applyFill="1" applyBorder="1" applyAlignment="1">
      <alignment horizontal="center" vertical="center" wrapText="1"/>
    </xf>
    <xf numFmtId="183" fontId="177" fillId="125" borderId="604" xfId="2" applyNumberFormat="1" applyFont="1" applyFill="1" applyBorder="1" applyAlignment="1">
      <alignment horizontal="center" vertical="center" wrapText="1"/>
    </xf>
    <xf numFmtId="4" fontId="58" fillId="7" borderId="47" xfId="2" applyNumberFormat="1" applyFont="1" applyFill="1" applyBorder="1" applyAlignment="1">
      <alignment horizontal="center" vertical="center"/>
    </xf>
    <xf numFmtId="3" fontId="58" fillId="7" borderId="613" xfId="2" applyNumberFormat="1" applyFont="1" applyFill="1" applyBorder="1" applyAlignment="1">
      <alignment horizontal="center" vertical="center"/>
    </xf>
    <xf numFmtId="183" fontId="58" fillId="7" borderId="613" xfId="2" applyNumberFormat="1" applyFont="1" applyFill="1" applyBorder="1" applyAlignment="1">
      <alignment horizontal="center" vertical="center"/>
    </xf>
    <xf numFmtId="177" fontId="29" fillId="7" borderId="612" xfId="0" applyNumberFormat="1" applyFont="1" applyFill="1" applyBorder="1" applyAlignment="1">
      <alignment horizontal="center" vertical="center"/>
    </xf>
    <xf numFmtId="177" fontId="29" fillId="7" borderId="604" xfId="0" applyNumberFormat="1" applyFont="1" applyFill="1" applyBorder="1" applyAlignment="1">
      <alignment horizontal="center" vertical="center"/>
    </xf>
    <xf numFmtId="0" fontId="177" fillId="125" borderId="613" xfId="0" applyFont="1" applyFill="1" applyBorder="1" applyAlignment="1">
      <alignment horizontal="center" vertical="center" wrapText="1"/>
    </xf>
    <xf numFmtId="0" fontId="166" fillId="0" borderId="613" xfId="0" applyFont="1" applyBorder="1" applyAlignment="1">
      <alignment horizontal="center" vertical="center" wrapText="1"/>
    </xf>
    <xf numFmtId="0" fontId="177" fillId="125" borderId="613" xfId="0" applyFont="1" applyFill="1" applyBorder="1" applyAlignment="1">
      <alignment horizontal="center" vertical="center"/>
    </xf>
    <xf numFmtId="228" fontId="29" fillId="0" borderId="605" xfId="0" applyNumberFormat="1" applyFont="1" applyBorder="1" applyAlignment="1">
      <alignment horizontal="center" vertical="center" wrapText="1"/>
    </xf>
    <xf numFmtId="10" fontId="29" fillId="0" borderId="605" xfId="0" applyNumberFormat="1" applyFont="1" applyBorder="1" applyAlignment="1">
      <alignment horizontal="center" vertical="center" wrapText="1"/>
    </xf>
    <xf numFmtId="183" fontId="29" fillId="0" borderId="605" xfId="0" applyNumberFormat="1" applyFont="1" applyBorder="1" applyAlignment="1">
      <alignment horizontal="center" vertical="center" wrapText="1"/>
    </xf>
    <xf numFmtId="228" fontId="177" fillId="125" borderId="476" xfId="0" applyNumberFormat="1" applyFont="1" applyFill="1" applyBorder="1" applyAlignment="1">
      <alignment horizontal="center" vertical="center"/>
    </xf>
    <xf numFmtId="230" fontId="166" fillId="0" borderId="38" xfId="0" applyNumberFormat="1" applyFont="1" applyBorder="1" applyAlignment="1">
      <alignment horizontal="center" vertical="center" wrapText="1"/>
    </xf>
    <xf numFmtId="230" fontId="166" fillId="0" borderId="605" xfId="0" applyNumberFormat="1" applyFont="1" applyBorder="1" applyAlignment="1">
      <alignment horizontal="center" vertical="center" wrapText="1"/>
    </xf>
    <xf numFmtId="230" fontId="177" fillId="125" borderId="226" xfId="0" applyNumberFormat="1" applyFont="1" applyFill="1" applyBorder="1" applyAlignment="1">
      <alignment horizontal="center" vertical="center"/>
    </xf>
    <xf numFmtId="185" fontId="177" fillId="125" borderId="476" xfId="0" applyNumberFormat="1" applyFont="1" applyFill="1" applyBorder="1" applyAlignment="1">
      <alignment horizontal="center" vertical="center"/>
    </xf>
    <xf numFmtId="228" fontId="166" fillId="0" borderId="605" xfId="0" applyNumberFormat="1" applyFont="1" applyBorder="1" applyAlignment="1">
      <alignment horizontal="center" vertical="center" wrapText="1"/>
    </xf>
    <xf numFmtId="0" fontId="177" fillId="125" borderId="612" xfId="0" applyFont="1" applyFill="1" applyBorder="1" applyAlignment="1">
      <alignment horizontal="center" vertical="center" wrapText="1"/>
    </xf>
    <xf numFmtId="10" fontId="166" fillId="0" borderId="612" xfId="0" applyNumberFormat="1" applyFont="1" applyBorder="1" applyAlignment="1">
      <alignment horizontal="center" vertical="center" wrapText="1"/>
    </xf>
    <xf numFmtId="183" fontId="166" fillId="0" borderId="612" xfId="0" applyNumberFormat="1" applyFont="1" applyBorder="1" applyAlignment="1">
      <alignment horizontal="center" vertical="center" wrapText="1"/>
    </xf>
    <xf numFmtId="0" fontId="166" fillId="0" borderId="612" xfId="0" applyFont="1" applyBorder="1" applyAlignment="1">
      <alignment horizontal="center" vertical="center" wrapText="1"/>
    </xf>
    <xf numFmtId="0" fontId="29" fillId="0" borderId="613" xfId="0" applyFont="1" applyBorder="1" applyAlignment="1">
      <alignment horizontal="center" vertical="center" wrapText="1"/>
    </xf>
    <xf numFmtId="0" fontId="179" fillId="15" borderId="613" xfId="0" applyFont="1" applyFill="1" applyBorder="1" applyAlignment="1">
      <alignment horizontal="center" vertical="center" wrapText="1"/>
    </xf>
    <xf numFmtId="0" fontId="35" fillId="6" borderId="613" xfId="0" applyFont="1" applyFill="1" applyBorder="1" applyAlignment="1">
      <alignment horizontal="center" vertical="center"/>
    </xf>
    <xf numFmtId="238" fontId="29" fillId="125" borderId="0" xfId="0" applyNumberFormat="1" applyFont="1" applyFill="1" applyBorder="1" applyAlignment="1">
      <alignment horizontal="center" vertical="center"/>
    </xf>
    <xf numFmtId="223" fontId="35" fillId="136" borderId="0" xfId="0" applyNumberFormat="1" applyFont="1" applyFill="1" applyBorder="1" applyAlignment="1">
      <alignment horizontal="center" vertical="center"/>
    </xf>
    <xf numFmtId="223" fontId="230" fillId="0" borderId="0" xfId="0" applyNumberFormat="1" applyFont="1" applyBorder="1" applyAlignment="1">
      <alignment horizontal="center" vertical="center"/>
    </xf>
    <xf numFmtId="223" fontId="226" fillId="3" borderId="0" xfId="0" applyNumberFormat="1" applyFont="1" applyFill="1" applyBorder="1" applyAlignment="1">
      <alignment horizontal="center" vertical="center"/>
    </xf>
    <xf numFmtId="223" fontId="0" fillId="0" borderId="6" xfId="0" applyNumberFormat="1" applyFont="1" applyBorder="1" applyAlignment="1">
      <alignment horizontal="center" vertical="center"/>
    </xf>
    <xf numFmtId="223" fontId="219" fillId="125" borderId="606" xfId="0" applyNumberFormat="1" applyFont="1" applyFill="1" applyBorder="1" applyAlignment="1">
      <alignment horizontal="center" vertical="center"/>
    </xf>
    <xf numFmtId="223" fontId="219" fillId="125" borderId="600" xfId="0" applyNumberFormat="1" applyFont="1" applyFill="1" applyBorder="1" applyAlignment="1">
      <alignment horizontal="center" vertical="center"/>
    </xf>
    <xf numFmtId="223" fontId="0" fillId="0" borderId="224" xfId="0" applyNumberFormat="1" applyFont="1" applyBorder="1" applyAlignment="1">
      <alignment horizontal="center" vertical="center"/>
    </xf>
    <xf numFmtId="223" fontId="0" fillId="0" borderId="120" xfId="0" applyNumberFormat="1" applyFont="1" applyBorder="1" applyAlignment="1">
      <alignment horizontal="center" vertical="center"/>
    </xf>
    <xf numFmtId="223" fontId="0" fillId="0" borderId="606" xfId="0" applyNumberFormat="1" applyFont="1" applyBorder="1" applyAlignment="1">
      <alignment horizontal="center" vertical="center"/>
    </xf>
    <xf numFmtId="223" fontId="177" fillId="125" borderId="606" xfId="2" applyNumberFormat="1" applyFont="1" applyFill="1" applyBorder="1" applyAlignment="1">
      <alignment horizontal="center" vertical="center" wrapText="1"/>
    </xf>
    <xf numFmtId="223" fontId="0" fillId="0" borderId="606" xfId="0" applyNumberFormat="1" applyFont="1" applyFill="1" applyBorder="1" applyAlignment="1">
      <alignment horizontal="center" vertical="center"/>
    </xf>
    <xf numFmtId="223" fontId="177" fillId="125" borderId="120" xfId="0" applyNumberFormat="1" applyFont="1" applyFill="1" applyBorder="1" applyAlignment="1">
      <alignment horizontal="center" vertical="center"/>
    </xf>
    <xf numFmtId="223" fontId="177" fillId="125" borderId="6" xfId="2" applyNumberFormat="1" applyFont="1" applyFill="1" applyBorder="1" applyAlignment="1">
      <alignment horizontal="center" vertical="center" wrapText="1"/>
    </xf>
    <xf numFmtId="223" fontId="29" fillId="117" borderId="606" xfId="2" applyNumberFormat="1" applyFont="1" applyFill="1" applyBorder="1" applyAlignment="1">
      <alignment horizontal="center" vertical="center" wrapText="1"/>
    </xf>
    <xf numFmtId="223" fontId="0" fillId="125" borderId="6" xfId="0" applyNumberFormat="1" applyFont="1" applyFill="1" applyBorder="1" applyAlignment="1">
      <alignment horizontal="center" vertical="center"/>
    </xf>
    <xf numFmtId="223" fontId="0" fillId="125" borderId="606" xfId="0" applyNumberFormat="1" applyFont="1" applyFill="1" applyBorder="1" applyAlignment="1">
      <alignment horizontal="center" vertical="center"/>
    </xf>
    <xf numFmtId="223" fontId="177" fillId="125" borderId="613" xfId="0" applyNumberFormat="1" applyFont="1" applyFill="1" applyBorder="1" applyAlignment="1">
      <alignment horizontal="center" vertical="center"/>
    </xf>
    <xf numFmtId="223" fontId="29" fillId="125" borderId="0" xfId="0" applyNumberFormat="1" applyFont="1" applyFill="1" applyBorder="1" applyAlignment="1">
      <alignment horizontal="center" vertical="center"/>
    </xf>
    <xf numFmtId="223" fontId="29" fillId="0" borderId="389" xfId="0" applyNumberFormat="1" applyFont="1" applyBorder="1" applyAlignment="1">
      <alignment horizontal="center" vertical="center"/>
    </xf>
    <xf numFmtId="223" fontId="29" fillId="0" borderId="613" xfId="0" applyNumberFormat="1" applyFont="1" applyFill="1" applyBorder="1" applyAlignment="1">
      <alignment horizontal="center" vertical="center"/>
    </xf>
    <xf numFmtId="179" fontId="58" fillId="0" borderId="119" xfId="2" applyNumberFormat="1" applyFont="1" applyFill="1" applyBorder="1" applyAlignment="1">
      <alignment horizontal="center" vertical="center"/>
    </xf>
    <xf numFmtId="179" fontId="58" fillId="0" borderId="607" xfId="2" applyNumberFormat="1" applyFont="1" applyFill="1" applyBorder="1" applyAlignment="1">
      <alignment horizontal="center" vertical="center"/>
    </xf>
    <xf numFmtId="187" fontId="236" fillId="4" borderId="226" xfId="0" applyNumberFormat="1" applyFont="1" applyFill="1" applyBorder="1" applyAlignment="1">
      <alignment horizontal="center" vertical="center"/>
    </xf>
    <xf numFmtId="0" fontId="219" fillId="125" borderId="286" xfId="0" applyFont="1" applyFill="1" applyBorder="1" applyAlignment="1">
      <alignment horizontal="center" vertical="center" wrapText="1"/>
    </xf>
    <xf numFmtId="0" fontId="219" fillId="125" borderId="224" xfId="0" applyFont="1" applyFill="1" applyBorder="1" applyAlignment="1">
      <alignment horizontal="center" vertical="center" wrapText="1"/>
    </xf>
    <xf numFmtId="187" fontId="35" fillId="117" borderId="605" xfId="0" applyNumberFormat="1" applyFont="1" applyFill="1" applyBorder="1" applyAlignment="1">
      <alignment horizontal="center" vertical="center"/>
    </xf>
    <xf numFmtId="177" fontId="230" fillId="0" borderId="605" xfId="0" applyNumberFormat="1" applyFont="1" applyFill="1" applyBorder="1" applyAlignment="1">
      <alignment horizontal="center" vertical="center"/>
    </xf>
    <xf numFmtId="187" fontId="35" fillId="0" borderId="605" xfId="0" applyNumberFormat="1" applyFont="1" applyFill="1" applyBorder="1" applyAlignment="1">
      <alignment horizontal="center" vertical="center"/>
    </xf>
    <xf numFmtId="3" fontId="29" fillId="0" borderId="606" xfId="0" applyNumberFormat="1" applyFont="1" applyBorder="1" applyAlignment="1">
      <alignment horizontal="center" vertical="center"/>
    </xf>
    <xf numFmtId="223" fontId="230" fillId="0" borderId="601" xfId="0" applyNumberFormat="1" applyFont="1" applyBorder="1" applyAlignment="1">
      <alignment horizontal="center" vertical="center"/>
    </xf>
    <xf numFmtId="223" fontId="58" fillId="0" borderId="120" xfId="0" applyNumberFormat="1" applyFont="1" applyBorder="1" applyAlignment="1">
      <alignment horizontal="center" vertical="center"/>
    </xf>
    <xf numFmtId="223" fontId="58" fillId="0" borderId="606" xfId="0" applyNumberFormat="1" applyFont="1" applyBorder="1" applyAlignment="1">
      <alignment horizontal="center" vertical="center"/>
    </xf>
    <xf numFmtId="223" fontId="58" fillId="0" borderId="600" xfId="0" applyNumberFormat="1" applyFont="1" applyBorder="1" applyAlignment="1">
      <alignment horizontal="center" vertical="center"/>
    </xf>
    <xf numFmtId="223" fontId="58" fillId="0" borderId="224" xfId="0" applyNumberFormat="1" applyFont="1" applyFill="1" applyBorder="1" applyAlignment="1">
      <alignment horizontal="center" vertical="center"/>
    </xf>
    <xf numFmtId="183" fontId="58" fillId="93" borderId="626" xfId="0" applyNumberFormat="1" applyFont="1" applyFill="1" applyBorder="1" applyAlignment="1">
      <alignment horizontal="center" vertical="center"/>
    </xf>
    <xf numFmtId="183" fontId="58" fillId="93" borderId="599" xfId="0" applyNumberFormat="1" applyFont="1" applyFill="1" applyBorder="1" applyAlignment="1">
      <alignment horizontal="center" vertical="center"/>
    </xf>
    <xf numFmtId="183" fontId="58" fillId="93" borderId="602" xfId="0" applyNumberFormat="1" applyFont="1" applyFill="1" applyBorder="1" applyAlignment="1">
      <alignment horizontal="center" vertical="center"/>
    </xf>
    <xf numFmtId="1" fontId="0" fillId="0" borderId="606" xfId="0" applyNumberFormat="1" applyBorder="1" applyAlignment="1">
      <alignment horizontal="center" vertical="center"/>
    </xf>
    <xf numFmtId="3" fontId="35" fillId="0" borderId="606" xfId="0" applyNumberFormat="1" applyFont="1" applyBorder="1" applyAlignment="1">
      <alignment horizontal="center" vertical="center"/>
    </xf>
    <xf numFmtId="187" fontId="206" fillId="0" borderId="0" xfId="0" applyNumberFormat="1" applyFont="1" applyFill="1" applyBorder="1" applyAlignment="1">
      <alignment horizontal="center" vertical="center"/>
    </xf>
    <xf numFmtId="41" fontId="38" fillId="11" borderId="0" xfId="2" applyFont="1" applyFill="1" applyBorder="1" applyAlignment="1" applyProtection="1">
      <alignment vertical="center"/>
      <protection locked="0"/>
    </xf>
    <xf numFmtId="180" fontId="38" fillId="0" borderId="214" xfId="0" applyNumberFormat="1" applyFont="1" applyBorder="1" applyAlignment="1" applyProtection="1">
      <alignment vertical="center"/>
      <protection locked="0"/>
    </xf>
    <xf numFmtId="0" fontId="0" fillId="0" borderId="0" xfId="0" applyAlignment="1" applyProtection="1">
      <alignment vertical="center"/>
      <protection locked="0"/>
    </xf>
    <xf numFmtId="177" fontId="38" fillId="11" borderId="0" xfId="0" applyNumberFormat="1" applyFont="1" applyFill="1" applyBorder="1" applyAlignment="1" applyProtection="1">
      <alignment vertical="center"/>
      <protection locked="0"/>
    </xf>
    <xf numFmtId="0" fontId="38" fillId="11" borderId="0" xfId="0" applyFont="1" applyFill="1" applyBorder="1" applyAlignment="1" applyProtection="1">
      <alignment vertical="center"/>
      <protection locked="0"/>
    </xf>
    <xf numFmtId="41" fontId="38" fillId="0" borderId="214" xfId="2" applyFont="1" applyBorder="1" applyAlignment="1" applyProtection="1">
      <alignment vertical="center"/>
      <protection locked="0"/>
    </xf>
    <xf numFmtId="183" fontId="177" fillId="125" borderId="612" xfId="2" applyNumberFormat="1" applyFont="1" applyFill="1" applyBorder="1" applyAlignment="1">
      <alignment horizontal="center" vertical="center"/>
    </xf>
    <xf numFmtId="38" fontId="58" fillId="0" borderId="605" xfId="2" applyNumberFormat="1" applyFont="1" applyBorder="1" applyAlignment="1">
      <alignment horizontal="center" vertical="center"/>
    </xf>
    <xf numFmtId="38" fontId="58" fillId="0" borderId="514" xfId="2" applyNumberFormat="1" applyFont="1" applyFill="1" applyBorder="1" applyAlignment="1">
      <alignment horizontal="center" vertical="center"/>
    </xf>
    <xf numFmtId="223" fontId="29" fillId="7" borderId="465" xfId="2" applyNumberFormat="1" applyFont="1" applyFill="1" applyBorder="1" applyAlignment="1">
      <alignment horizontal="center" vertical="center"/>
    </xf>
    <xf numFmtId="0" fontId="177" fillId="125" borderId="606" xfId="0" applyFont="1" applyFill="1" applyBorder="1" applyAlignment="1">
      <alignment horizontal="center" vertical="center" wrapText="1"/>
    </xf>
    <xf numFmtId="0" fontId="166" fillId="0" borderId="606" xfId="0" applyFont="1" applyBorder="1" applyAlignment="1">
      <alignment horizontal="center" vertical="center" wrapText="1"/>
    </xf>
    <xf numFmtId="10" fontId="166" fillId="0" borderId="600" xfId="0" applyNumberFormat="1" applyFont="1" applyBorder="1" applyAlignment="1">
      <alignment horizontal="center" vertical="center" wrapText="1"/>
    </xf>
    <xf numFmtId="183" fontId="166" fillId="0" borderId="606" xfId="0" applyNumberFormat="1" applyFont="1" applyBorder="1" applyAlignment="1">
      <alignment horizontal="center" vertical="center" wrapText="1"/>
    </xf>
    <xf numFmtId="183" fontId="177" fillId="125" borderId="606" xfId="0" applyNumberFormat="1" applyFont="1" applyFill="1" applyBorder="1" applyAlignment="1">
      <alignment horizontal="center" vertical="center"/>
    </xf>
    <xf numFmtId="38" fontId="166" fillId="0" borderId="374" xfId="0" applyNumberFormat="1" applyFont="1" applyBorder="1" applyAlignment="1">
      <alignment horizontal="center" vertical="center" wrapText="1"/>
    </xf>
    <xf numFmtId="187" fontId="44" fillId="0" borderId="120" xfId="0" applyNumberFormat="1" applyFont="1" applyBorder="1" applyAlignment="1">
      <alignment horizontal="center" vertical="center"/>
    </xf>
    <xf numFmtId="187" fontId="44" fillId="4" borderId="119" xfId="0" applyNumberFormat="1" applyFont="1" applyFill="1" applyBorder="1" applyAlignment="1">
      <alignment horizontal="center" vertical="center"/>
    </xf>
    <xf numFmtId="223" fontId="44" fillId="0" borderId="606" xfId="0" applyNumberFormat="1" applyFont="1" applyBorder="1" applyAlignment="1">
      <alignment horizontal="center" vertical="center"/>
    </xf>
    <xf numFmtId="223" fontId="44" fillId="4" borderId="120" xfId="0" applyNumberFormat="1" applyFont="1" applyFill="1" applyBorder="1" applyAlignment="1">
      <alignment horizontal="center" vertical="center"/>
    </xf>
    <xf numFmtId="177" fontId="230" fillId="4" borderId="598" xfId="2" applyNumberFormat="1" applyFont="1" applyFill="1" applyBorder="1" applyAlignment="1">
      <alignment horizontal="center" vertical="center"/>
    </xf>
    <xf numFmtId="177" fontId="230" fillId="4" borderId="606" xfId="2" applyNumberFormat="1" applyFont="1" applyFill="1" applyBorder="1" applyAlignment="1">
      <alignment horizontal="center" vertical="center"/>
    </xf>
    <xf numFmtId="226" fontId="197" fillId="0" borderId="606" xfId="1" applyNumberFormat="1" applyFont="1" applyFill="1" applyBorder="1" applyAlignment="1">
      <alignment horizontal="center" vertical="center"/>
    </xf>
    <xf numFmtId="226" fontId="197" fillId="0" borderId="608" xfId="1" applyNumberFormat="1" applyFont="1" applyFill="1" applyBorder="1" applyAlignment="1">
      <alignment horizontal="center" vertical="center"/>
    </xf>
    <xf numFmtId="177" fontId="0" fillId="0" borderId="597" xfId="0" applyNumberFormat="1" applyBorder="1" applyAlignment="1">
      <alignment horizontal="center" vertical="center"/>
    </xf>
    <xf numFmtId="10" fontId="230" fillId="141" borderId="597" xfId="1" applyNumberFormat="1" applyFont="1" applyFill="1" applyBorder="1" applyAlignment="1">
      <alignment horizontal="center" vertical="center"/>
    </xf>
    <xf numFmtId="177" fontId="0" fillId="0" borderId="598" xfId="0" applyNumberFormat="1" applyBorder="1" applyAlignment="1">
      <alignment horizontal="center" vertical="center"/>
    </xf>
    <xf numFmtId="177" fontId="0" fillId="0" borderId="605" xfId="0" applyNumberFormat="1" applyBorder="1" applyAlignment="1">
      <alignment horizontal="center" vertical="center"/>
    </xf>
    <xf numFmtId="10" fontId="230" fillId="141" borderId="605" xfId="1" applyNumberFormat="1" applyFont="1" applyFill="1" applyBorder="1" applyAlignment="1">
      <alignment horizontal="center" vertical="center"/>
    </xf>
    <xf numFmtId="177" fontId="0" fillId="0" borderId="514" xfId="0" applyNumberFormat="1" applyBorder="1" applyAlignment="1">
      <alignment horizontal="center" vertical="center"/>
    </xf>
    <xf numFmtId="10" fontId="230" fillId="141" borderId="45" xfId="1" applyNumberFormat="1" applyFont="1" applyFill="1" applyBorder="1" applyAlignment="1">
      <alignment horizontal="center" vertical="center"/>
    </xf>
    <xf numFmtId="0" fontId="219" fillId="127" borderId="108" xfId="0" applyFont="1" applyFill="1" applyBorder="1" applyAlignment="1">
      <alignment horizontal="center" vertical="center"/>
    </xf>
    <xf numFmtId="38" fontId="58" fillId="0" borderId="606" xfId="2" applyNumberFormat="1" applyFont="1" applyBorder="1" applyAlignment="1">
      <alignment horizontal="center" vertical="center"/>
    </xf>
    <xf numFmtId="38" fontId="58" fillId="0" borderId="606" xfId="2" applyNumberFormat="1" applyFont="1" applyFill="1" applyBorder="1" applyAlignment="1">
      <alignment horizontal="center" vertical="center"/>
    </xf>
    <xf numFmtId="38" fontId="58" fillId="0" borderId="601" xfId="2" applyNumberFormat="1" applyFont="1" applyFill="1" applyBorder="1" applyAlignment="1">
      <alignment horizontal="center" vertical="center"/>
    </xf>
    <xf numFmtId="223" fontId="58" fillId="0" borderId="5" xfId="0" applyNumberFormat="1" applyFont="1" applyBorder="1" applyAlignment="1">
      <alignment horizontal="center" vertical="center"/>
    </xf>
    <xf numFmtId="223" fontId="58" fillId="0" borderId="6" xfId="0" applyNumberFormat="1" applyFont="1" applyBorder="1" applyAlignment="1">
      <alignment horizontal="center" vertical="center"/>
    </xf>
    <xf numFmtId="38" fontId="28" fillId="7" borderId="0" xfId="3" applyNumberFormat="1" applyFont="1" applyFill="1" applyBorder="1" applyAlignment="1">
      <alignment horizontal="left" vertical="center"/>
    </xf>
    <xf numFmtId="3" fontId="197" fillId="0" borderId="403" xfId="0" applyNumberFormat="1" applyFont="1" applyFill="1" applyBorder="1" applyAlignment="1">
      <alignment horizontal="center" vertical="center"/>
    </xf>
    <xf numFmtId="3" fontId="197" fillId="0" borderId="597" xfId="0" applyNumberFormat="1" applyFont="1" applyFill="1" applyBorder="1" applyAlignment="1">
      <alignment horizontal="center" vertical="center"/>
    </xf>
    <xf numFmtId="187" fontId="29" fillId="0" borderId="597" xfId="2" applyNumberFormat="1" applyFont="1" applyFill="1" applyBorder="1" applyAlignment="1">
      <alignment horizontal="center" vertical="center"/>
    </xf>
    <xf numFmtId="3" fontId="177" fillId="125" borderId="518" xfId="2" applyNumberFormat="1" applyFont="1" applyFill="1" applyBorder="1" applyAlignment="1">
      <alignment horizontal="center" vertical="center" wrapText="1"/>
    </xf>
    <xf numFmtId="187" fontId="29" fillId="0" borderId="403" xfId="2" applyNumberFormat="1" applyFont="1" applyFill="1" applyBorder="1" applyAlignment="1">
      <alignment horizontal="center" vertical="center"/>
    </xf>
    <xf numFmtId="3" fontId="29" fillId="0" borderId="62" xfId="2" applyNumberFormat="1" applyFont="1" applyFill="1" applyBorder="1" applyAlignment="1">
      <alignment horizontal="center" vertical="center" wrapText="1"/>
    </xf>
    <xf numFmtId="3" fontId="29" fillId="0" borderId="597" xfId="2" applyNumberFormat="1" applyFont="1" applyFill="1" applyBorder="1" applyAlignment="1">
      <alignment horizontal="center" vertical="center" wrapText="1"/>
    </xf>
    <xf numFmtId="231" fontId="29" fillId="0" borderId="597" xfId="2" applyNumberFormat="1" applyFont="1" applyFill="1" applyBorder="1" applyAlignment="1">
      <alignment horizontal="center" vertical="center"/>
    </xf>
    <xf numFmtId="231" fontId="29" fillId="0" borderId="518" xfId="2" applyNumberFormat="1" applyFont="1" applyFill="1" applyBorder="1" applyAlignment="1">
      <alignment horizontal="center" vertical="center"/>
    </xf>
    <xf numFmtId="187" fontId="177" fillId="125" borderId="62" xfId="2" applyNumberFormat="1" applyFont="1" applyFill="1" applyBorder="1" applyAlignment="1">
      <alignment horizontal="center" vertical="center"/>
    </xf>
    <xf numFmtId="187" fontId="177" fillId="125" borderId="597" xfId="2" applyNumberFormat="1" applyFont="1" applyFill="1" applyBorder="1" applyAlignment="1">
      <alignment horizontal="center" vertical="center"/>
    </xf>
    <xf numFmtId="187" fontId="177" fillId="125" borderId="598" xfId="2" applyNumberFormat="1" applyFont="1" applyFill="1" applyBorder="1" applyAlignment="1">
      <alignment horizontal="center" vertical="center"/>
    </xf>
    <xf numFmtId="178" fontId="58" fillId="0" borderId="62" xfId="2" applyNumberFormat="1" applyFont="1" applyFill="1" applyBorder="1" applyAlignment="1">
      <alignment horizontal="center" vertical="center"/>
    </xf>
    <xf numFmtId="178" fontId="58" fillId="0" borderId="597" xfId="2" applyNumberFormat="1" applyFont="1" applyFill="1" applyBorder="1" applyAlignment="1">
      <alignment horizontal="center" vertical="center"/>
    </xf>
    <xf numFmtId="179" fontId="58" fillId="0" borderId="62" xfId="2" applyNumberFormat="1" applyFont="1" applyFill="1" applyBorder="1" applyAlignment="1">
      <alignment horizontal="center" vertical="center"/>
    </xf>
    <xf numFmtId="179" fontId="58" fillId="0" borderId="597" xfId="2" applyNumberFormat="1" applyFont="1" applyFill="1" applyBorder="1" applyAlignment="1">
      <alignment horizontal="center" vertical="center"/>
    </xf>
    <xf numFmtId="179" fontId="58" fillId="0" borderId="518" xfId="2" applyNumberFormat="1" applyFont="1" applyFill="1" applyBorder="1" applyAlignment="1">
      <alignment horizontal="center" vertical="center"/>
    </xf>
    <xf numFmtId="179" fontId="29" fillId="0" borderId="62" xfId="2" applyNumberFormat="1" applyFont="1" applyFill="1" applyBorder="1" applyAlignment="1">
      <alignment horizontal="center" vertical="center" wrapText="1"/>
    </xf>
    <xf numFmtId="179" fontId="29" fillId="0" borderId="597" xfId="2" applyNumberFormat="1" applyFont="1" applyFill="1" applyBorder="1" applyAlignment="1">
      <alignment horizontal="center" vertical="center" wrapText="1"/>
    </xf>
    <xf numFmtId="179" fontId="29" fillId="0" borderId="598" xfId="2" applyNumberFormat="1" applyFont="1" applyFill="1" applyBorder="1" applyAlignment="1">
      <alignment horizontal="center" vertical="center" wrapText="1"/>
    </xf>
    <xf numFmtId="179" fontId="177" fillId="125" borderId="285" xfId="2" applyNumberFormat="1" applyFont="1" applyFill="1" applyBorder="1" applyAlignment="1">
      <alignment horizontal="center" vertical="center" wrapText="1"/>
    </xf>
    <xf numFmtId="183" fontId="58" fillId="0" borderId="307" xfId="2" applyNumberFormat="1" applyFont="1" applyFill="1" applyBorder="1" applyAlignment="1">
      <alignment horizontal="center" vertical="center"/>
    </xf>
    <xf numFmtId="183" fontId="58" fillId="0" borderId="597" xfId="2" applyNumberFormat="1" applyFont="1" applyFill="1" applyBorder="1" applyAlignment="1">
      <alignment horizontal="center" vertical="center"/>
    </xf>
    <xf numFmtId="183" fontId="58" fillId="0" borderId="403" xfId="2" applyNumberFormat="1" applyFont="1" applyFill="1" applyBorder="1" applyAlignment="1">
      <alignment horizontal="center" vertical="center"/>
    </xf>
    <xf numFmtId="183" fontId="58" fillId="0" borderId="62" xfId="2" applyNumberFormat="1" applyFont="1" applyFill="1" applyBorder="1" applyAlignment="1">
      <alignment horizontal="center" vertical="center"/>
    </xf>
    <xf numFmtId="177" fontId="29" fillId="0" borderId="597" xfId="2" applyNumberFormat="1" applyFont="1" applyFill="1" applyBorder="1" applyAlignment="1">
      <alignment horizontal="center" vertical="center" wrapText="1"/>
    </xf>
    <xf numFmtId="187" fontId="29" fillId="0" borderId="62" xfId="2" applyNumberFormat="1" applyFont="1" applyFill="1" applyBorder="1" applyAlignment="1">
      <alignment horizontal="center" vertical="center" wrapText="1"/>
    </xf>
    <xf numFmtId="187" fontId="29" fillId="0" borderId="598" xfId="2" applyNumberFormat="1" applyFont="1" applyFill="1" applyBorder="1" applyAlignment="1">
      <alignment horizontal="center" vertical="center" wrapText="1"/>
    </xf>
    <xf numFmtId="187" fontId="219" fillId="125" borderId="612" xfId="0" applyNumberFormat="1" applyFont="1" applyFill="1" applyBorder="1" applyAlignment="1">
      <alignment horizontal="center" vertical="center"/>
    </xf>
    <xf numFmtId="187" fontId="219" fillId="125" borderId="604" xfId="0" applyNumberFormat="1" applyFont="1" applyFill="1" applyBorder="1" applyAlignment="1">
      <alignment horizontal="center" vertical="center"/>
    </xf>
    <xf numFmtId="187" fontId="177" fillId="125" borderId="606" xfId="2" applyNumberFormat="1" applyFont="1" applyFill="1" applyBorder="1" applyAlignment="1">
      <alignment horizontal="center" vertical="center" wrapText="1"/>
    </xf>
    <xf numFmtId="177" fontId="177" fillId="125" borderId="606" xfId="0" applyNumberFormat="1" applyFont="1" applyFill="1" applyBorder="1" applyAlignment="1">
      <alignment horizontal="center" vertical="center"/>
    </xf>
    <xf numFmtId="0" fontId="219" fillId="125" borderId="120" xfId="0" applyFont="1" applyFill="1" applyBorder="1" applyAlignment="1">
      <alignment horizontal="center" vertical="center" wrapText="1"/>
    </xf>
    <xf numFmtId="0" fontId="219" fillId="125" borderId="121" xfId="0" applyFont="1" applyFill="1" applyBorder="1" applyAlignment="1">
      <alignment horizontal="center" vertical="center" wrapText="1"/>
    </xf>
    <xf numFmtId="187" fontId="33" fillId="0" borderId="608" xfId="2" applyNumberFormat="1" applyFont="1" applyFill="1" applyBorder="1" applyAlignment="1">
      <alignment horizontal="center" vertical="center" wrapText="1"/>
    </xf>
    <xf numFmtId="187" fontId="29" fillId="0" borderId="606" xfId="0" applyNumberFormat="1" applyFont="1" applyBorder="1" applyAlignment="1">
      <alignment horizontal="center" vertical="center"/>
    </xf>
    <xf numFmtId="0" fontId="29" fillId="125" borderId="600" xfId="0" applyFont="1" applyFill="1" applyBorder="1" applyAlignment="1">
      <alignment horizontal="center" vertical="center"/>
    </xf>
    <xf numFmtId="238" fontId="29" fillId="0" borderId="606" xfId="0" applyNumberFormat="1" applyFont="1" applyBorder="1" applyAlignment="1">
      <alignment horizontal="center" vertical="center"/>
    </xf>
    <xf numFmtId="0" fontId="29" fillId="125" borderId="606" xfId="0" applyFont="1" applyFill="1" applyBorder="1" applyAlignment="1">
      <alignment horizontal="center" vertical="center"/>
    </xf>
    <xf numFmtId="177" fontId="29" fillId="0" borderId="606" xfId="0" applyNumberFormat="1" applyFont="1" applyFill="1" applyBorder="1" applyAlignment="1">
      <alignment horizontal="center" vertical="center"/>
    </xf>
    <xf numFmtId="177" fontId="29" fillId="117" borderId="606" xfId="0" applyNumberFormat="1" applyFont="1" applyFill="1" applyBorder="1" applyAlignment="1">
      <alignment horizontal="center" vertical="center"/>
    </xf>
    <xf numFmtId="0" fontId="29" fillId="125" borderId="6" xfId="0" applyFont="1" applyFill="1" applyBorder="1" applyAlignment="1">
      <alignment horizontal="center" vertical="center"/>
    </xf>
    <xf numFmtId="238" fontId="29" fillId="125" borderId="606" xfId="0" applyNumberFormat="1" applyFont="1" applyFill="1" applyBorder="1" applyAlignment="1">
      <alignment horizontal="center" vertical="center"/>
    </xf>
    <xf numFmtId="223" fontId="177" fillId="125" borderId="600" xfId="0" applyNumberFormat="1" applyFont="1" applyFill="1" applyBorder="1" applyAlignment="1">
      <alignment horizontal="center" vertical="center"/>
    </xf>
    <xf numFmtId="223" fontId="29" fillId="0" borderId="121" xfId="0" applyNumberFormat="1" applyFont="1" applyBorder="1" applyAlignment="1">
      <alignment horizontal="center" vertical="center"/>
    </xf>
    <xf numFmtId="223" fontId="177" fillId="125" borderId="592" xfId="0" applyNumberFormat="1" applyFont="1" applyFill="1" applyBorder="1" applyAlignment="1">
      <alignment horizontal="center" vertical="center"/>
    </xf>
    <xf numFmtId="223" fontId="29" fillId="0" borderId="121" xfId="0" applyNumberFormat="1" applyFont="1" applyFill="1" applyBorder="1" applyAlignment="1">
      <alignment horizontal="center" vertical="center"/>
    </xf>
    <xf numFmtId="223" fontId="29" fillId="0" borderId="608" xfId="0" applyNumberFormat="1" applyFont="1" applyFill="1" applyBorder="1" applyAlignment="1">
      <alignment horizontal="center" vertical="center"/>
    </xf>
    <xf numFmtId="223" fontId="29" fillId="0" borderId="592" xfId="0" applyNumberFormat="1" applyFont="1" applyFill="1" applyBorder="1" applyAlignment="1">
      <alignment horizontal="center" vertical="center"/>
    </xf>
    <xf numFmtId="223" fontId="177" fillId="125" borderId="227" xfId="0" applyNumberFormat="1" applyFont="1" applyFill="1" applyBorder="1" applyAlignment="1">
      <alignment horizontal="center" vertical="center"/>
    </xf>
    <xf numFmtId="223" fontId="177" fillId="125" borderId="608" xfId="0" applyNumberFormat="1" applyFont="1" applyFill="1" applyBorder="1" applyAlignment="1">
      <alignment horizontal="center" vertical="center"/>
    </xf>
    <xf numFmtId="223" fontId="29" fillId="0" borderId="592" xfId="0" applyNumberFormat="1" applyFont="1" applyBorder="1" applyAlignment="1">
      <alignment horizontal="center" vertical="center"/>
    </xf>
    <xf numFmtId="223" fontId="29" fillId="0" borderId="515" xfId="0" applyNumberFormat="1" applyFont="1" applyFill="1" applyBorder="1" applyAlignment="1">
      <alignment horizontal="center" vertical="center"/>
    </xf>
    <xf numFmtId="179" fontId="58" fillId="0" borderId="512" xfId="2" applyNumberFormat="1" applyFont="1" applyFill="1" applyBorder="1" applyAlignment="1">
      <alignment horizontal="center" vertical="center"/>
    </xf>
    <xf numFmtId="187" fontId="217" fillId="125" borderId="223" xfId="2" applyNumberFormat="1" applyFont="1" applyFill="1" applyBorder="1" applyAlignment="1">
      <alignment horizontal="center" vertical="center" wrapText="1"/>
    </xf>
    <xf numFmtId="0" fontId="219" fillId="125" borderId="350" xfId="0" applyFont="1" applyFill="1" applyBorder="1" applyAlignment="1">
      <alignment horizontal="center" vertical="center" wrapText="1"/>
    </xf>
    <xf numFmtId="223" fontId="177" fillId="125" borderId="513" xfId="2" applyNumberFormat="1" applyFont="1" applyFill="1" applyBorder="1" applyAlignment="1">
      <alignment horizontal="center" vertical="center" wrapText="1"/>
    </xf>
    <xf numFmtId="223" fontId="177" fillId="125" borderId="513" xfId="0" applyNumberFormat="1" applyFont="1" applyFill="1" applyBorder="1" applyAlignment="1">
      <alignment horizontal="center" vertical="center"/>
    </xf>
    <xf numFmtId="223" fontId="35" fillId="0" borderId="6" xfId="2" applyNumberFormat="1" applyFont="1" applyFill="1" applyBorder="1" applyAlignment="1">
      <alignment horizontal="center" vertical="center" wrapText="1"/>
    </xf>
    <xf numFmtId="223" fontId="58" fillId="0" borderId="605" xfId="0" applyNumberFormat="1" applyFont="1" applyBorder="1" applyAlignment="1">
      <alignment horizontal="center" vertical="center"/>
    </xf>
    <xf numFmtId="223" fontId="58" fillId="15" borderId="513" xfId="0" quotePrefix="1" applyNumberFormat="1" applyFont="1" applyFill="1" applyBorder="1" applyAlignment="1">
      <alignment horizontal="center" vertical="center"/>
    </xf>
    <xf numFmtId="223" fontId="58" fillId="15" borderId="606" xfId="0" quotePrefix="1" applyNumberFormat="1" applyFont="1" applyFill="1" applyBorder="1" applyAlignment="1">
      <alignment horizontal="center" vertical="center"/>
    </xf>
    <xf numFmtId="223" fontId="58" fillId="0" borderId="120" xfId="0" applyNumberFormat="1" applyFont="1" applyFill="1" applyBorder="1" applyAlignment="1">
      <alignment horizontal="center" vertical="center"/>
    </xf>
    <xf numFmtId="223" fontId="58" fillId="0" borderId="606" xfId="0" applyNumberFormat="1" applyFont="1" applyFill="1" applyBorder="1" applyAlignment="1">
      <alignment horizontal="center" vertical="center"/>
    </xf>
    <xf numFmtId="223" fontId="58" fillId="0" borderId="224" xfId="0" applyNumberFormat="1" applyFont="1" applyBorder="1" applyAlignment="1">
      <alignment horizontal="center" vertical="center"/>
    </xf>
    <xf numFmtId="223" fontId="58" fillId="15" borderId="228" xfId="0" applyNumberFormat="1" applyFont="1" applyFill="1" applyBorder="1" applyAlignment="1">
      <alignment horizontal="center" vertical="center"/>
    </xf>
    <xf numFmtId="223" fontId="58" fillId="15" borderId="332" xfId="0" applyNumberFormat="1" applyFont="1" applyFill="1" applyBorder="1" applyAlignment="1">
      <alignment horizontal="center" vertical="center"/>
    </xf>
    <xf numFmtId="38" fontId="35" fillId="6" borderId="606" xfId="0" applyNumberFormat="1" applyFont="1" applyFill="1" applyBorder="1" applyAlignment="1">
      <alignment horizontal="center" vertical="center"/>
    </xf>
    <xf numFmtId="38" fontId="29" fillId="0" borderId="606" xfId="0" applyNumberFormat="1" applyFont="1" applyBorder="1" applyAlignment="1">
      <alignment horizontal="center" vertical="center"/>
    </xf>
    <xf numFmtId="9" fontId="29" fillId="115" borderId="606" xfId="1" applyFont="1" applyFill="1" applyBorder="1" applyAlignment="1">
      <alignment horizontal="center" vertical="center"/>
    </xf>
    <xf numFmtId="9" fontId="187" fillId="0" borderId="601" xfId="1" applyFont="1" applyBorder="1" applyAlignment="1">
      <alignment horizontal="center" vertical="center"/>
    </xf>
    <xf numFmtId="9" fontId="187" fillId="7" borderId="226" xfId="1" applyFont="1" applyFill="1" applyBorder="1" applyAlignment="1">
      <alignment horizontal="center" vertical="center"/>
    </xf>
    <xf numFmtId="9" fontId="187" fillId="7" borderId="591" xfId="1" applyFont="1" applyFill="1" applyBorder="1" applyAlignment="1">
      <alignment horizontal="center" vertical="center"/>
    </xf>
    <xf numFmtId="9" fontId="187" fillId="7" borderId="593" xfId="1" applyFont="1" applyFill="1" applyBorder="1" applyAlignment="1">
      <alignment horizontal="center" vertical="center"/>
    </xf>
    <xf numFmtId="9" fontId="187" fillId="7" borderId="601" xfId="1" applyFont="1" applyFill="1" applyBorder="1" applyAlignment="1">
      <alignment horizontal="center" vertical="center"/>
    </xf>
    <xf numFmtId="9" fontId="187" fillId="7" borderId="133" xfId="1" applyFont="1" applyFill="1" applyBorder="1" applyAlignment="1">
      <alignment horizontal="center" vertical="center"/>
    </xf>
    <xf numFmtId="9" fontId="187" fillId="7" borderId="593" xfId="1" applyNumberFormat="1" applyFont="1" applyFill="1" applyBorder="1" applyAlignment="1">
      <alignment horizontal="center" vertical="center"/>
    </xf>
    <xf numFmtId="9" fontId="187" fillId="0" borderId="593" xfId="1" applyFont="1" applyFill="1" applyBorder="1" applyAlignment="1">
      <alignment horizontal="center" vertical="center"/>
    </xf>
    <xf numFmtId="179" fontId="0" fillId="11" borderId="0" xfId="0" applyNumberFormat="1" applyFill="1" applyAlignment="1" applyProtection="1">
      <protection locked="0"/>
    </xf>
    <xf numFmtId="3" fontId="29" fillId="0" borderId="605" xfId="2" applyNumberFormat="1" applyFont="1" applyFill="1" applyBorder="1" applyAlignment="1">
      <alignment horizontal="center" vertical="center" wrapText="1"/>
    </xf>
    <xf numFmtId="3" fontId="29" fillId="117" borderId="605" xfId="2" applyNumberFormat="1" applyFont="1" applyFill="1" applyBorder="1" applyAlignment="1">
      <alignment horizontal="center" vertical="center" wrapText="1"/>
    </xf>
    <xf numFmtId="2" fontId="172" fillId="8" borderId="121" xfId="0" applyNumberFormat="1" applyFont="1" applyFill="1" applyBorder="1" applyAlignment="1">
      <alignment horizontal="center" vertical="center"/>
    </xf>
    <xf numFmtId="2" fontId="177" fillId="125" borderId="622" xfId="0" applyNumberFormat="1" applyFont="1" applyFill="1" applyBorder="1" applyAlignment="1">
      <alignment horizontal="center" vertical="center"/>
    </xf>
    <xf numFmtId="3" fontId="58" fillId="7" borderId="607" xfId="2" applyNumberFormat="1" applyFont="1" applyFill="1" applyBorder="1" applyAlignment="1">
      <alignment horizontal="center" vertical="center"/>
    </xf>
    <xf numFmtId="3" fontId="58" fillId="7" borderId="608" xfId="2" applyNumberFormat="1" applyFont="1" applyFill="1" applyBorder="1" applyAlignment="1">
      <alignment horizontal="center" vertical="center"/>
    </xf>
    <xf numFmtId="183" fontId="29" fillId="0" borderId="607" xfId="2" applyNumberFormat="1" applyFont="1" applyFill="1" applyBorder="1" applyAlignment="1">
      <alignment horizontal="center" vertical="center"/>
    </xf>
    <xf numFmtId="3" fontId="177" fillId="125" borderId="223" xfId="2" applyNumberFormat="1" applyFont="1" applyFill="1" applyBorder="1" applyAlignment="1">
      <alignment horizontal="center" vertical="center" wrapText="1"/>
    </xf>
    <xf numFmtId="3" fontId="177" fillId="125" borderId="227" xfId="2" applyNumberFormat="1" applyFont="1" applyFill="1" applyBorder="1" applyAlignment="1">
      <alignment horizontal="center" vertical="center" wrapText="1"/>
    </xf>
    <xf numFmtId="186" fontId="177" fillId="125" borderId="161" xfId="2" applyNumberFormat="1" applyFont="1" applyFill="1" applyBorder="1" applyAlignment="1">
      <alignment horizontal="center" vertical="center" wrapText="1"/>
    </xf>
    <xf numFmtId="3" fontId="177" fillId="125" borderId="285" xfId="2" applyNumberFormat="1" applyFont="1" applyFill="1" applyBorder="1" applyAlignment="1">
      <alignment horizontal="center" vertical="center" wrapText="1"/>
    </xf>
    <xf numFmtId="4" fontId="29" fillId="7" borderId="605" xfId="2" applyNumberFormat="1" applyFont="1" applyFill="1" applyBorder="1" applyAlignment="1">
      <alignment horizontal="center" vertical="center"/>
    </xf>
    <xf numFmtId="183" fontId="29" fillId="7" borderId="605" xfId="2" applyNumberFormat="1" applyFont="1" applyFill="1" applyBorder="1" applyAlignment="1">
      <alignment horizontal="center" vertical="center"/>
    </xf>
    <xf numFmtId="187" fontId="177" fillId="125" borderId="601" xfId="2" applyNumberFormat="1" applyFont="1" applyFill="1" applyBorder="1" applyAlignment="1">
      <alignment horizontal="center" vertical="center" wrapText="1"/>
    </xf>
    <xf numFmtId="4" fontId="58" fillId="7" borderId="135" xfId="2" applyNumberFormat="1" applyFont="1" applyFill="1" applyBorder="1" applyAlignment="1">
      <alignment horizontal="center" vertical="center"/>
    </xf>
    <xf numFmtId="4" fontId="29" fillId="7" borderId="607" xfId="2" applyNumberFormat="1" applyFont="1" applyFill="1" applyBorder="1" applyAlignment="1">
      <alignment horizontal="center" vertical="center"/>
    </xf>
    <xf numFmtId="183" fontId="29" fillId="7" borderId="607" xfId="2" applyNumberFormat="1" applyFont="1" applyFill="1" applyBorder="1" applyAlignment="1">
      <alignment horizontal="center" vertical="center"/>
    </xf>
    <xf numFmtId="4" fontId="58" fillId="7" borderId="200" xfId="2" applyNumberFormat="1" applyFont="1" applyFill="1" applyBorder="1" applyAlignment="1">
      <alignment horizontal="center" vertical="center"/>
    </xf>
    <xf numFmtId="4" fontId="177" fillId="125" borderId="200" xfId="2" applyNumberFormat="1" applyFont="1" applyFill="1" applyBorder="1" applyAlignment="1">
      <alignment horizontal="center" vertical="center"/>
    </xf>
    <xf numFmtId="187" fontId="177" fillId="125" borderId="599" xfId="2" applyNumberFormat="1" applyFont="1" applyFill="1" applyBorder="1" applyAlignment="1">
      <alignment horizontal="center" vertical="center" wrapText="1"/>
    </xf>
    <xf numFmtId="228" fontId="177" fillId="125" borderId="592" xfId="2" applyNumberFormat="1" applyFont="1" applyFill="1" applyBorder="1" applyAlignment="1">
      <alignment horizontal="center" vertical="center" wrapText="1"/>
    </xf>
    <xf numFmtId="4" fontId="58" fillId="7" borderId="121" xfId="2" applyNumberFormat="1" applyFont="1" applyFill="1" applyBorder="1" applyAlignment="1">
      <alignment horizontal="center" vertical="center"/>
    </xf>
    <xf numFmtId="183" fontId="58" fillId="7" borderId="121" xfId="2" applyNumberFormat="1" applyFont="1" applyFill="1" applyBorder="1" applyAlignment="1">
      <alignment horizontal="center" vertical="center" wrapText="1"/>
    </xf>
    <xf numFmtId="183" fontId="58" fillId="7" borderId="607" xfId="2" applyNumberFormat="1" applyFont="1" applyFill="1" applyBorder="1" applyAlignment="1">
      <alignment horizontal="center" vertical="center" wrapText="1"/>
    </xf>
    <xf numFmtId="183" fontId="58" fillId="7" borderId="200" xfId="2" applyNumberFormat="1" applyFont="1" applyFill="1" applyBorder="1" applyAlignment="1">
      <alignment horizontal="center" vertical="center" wrapText="1"/>
    </xf>
    <xf numFmtId="183" fontId="177" fillId="125" borderId="599" xfId="2" applyNumberFormat="1" applyFont="1" applyFill="1" applyBorder="1" applyAlignment="1">
      <alignment horizontal="center" vertical="center" wrapText="1"/>
    </xf>
    <xf numFmtId="183" fontId="177" fillId="125" borderId="592" xfId="2" applyNumberFormat="1" applyFont="1" applyFill="1" applyBorder="1" applyAlignment="1">
      <alignment horizontal="center" vertical="center" wrapText="1"/>
    </xf>
    <xf numFmtId="183" fontId="58" fillId="7" borderId="135" xfId="2" applyNumberFormat="1" applyFont="1" applyFill="1" applyBorder="1" applyAlignment="1">
      <alignment horizontal="center" vertical="center" wrapText="1"/>
    </xf>
    <xf numFmtId="183" fontId="58" fillId="7" borderId="608" xfId="2" applyNumberFormat="1" applyFont="1" applyFill="1" applyBorder="1" applyAlignment="1">
      <alignment horizontal="center" vertical="center" wrapText="1"/>
    </xf>
    <xf numFmtId="187" fontId="58" fillId="0" borderId="599" xfId="2" applyNumberFormat="1" applyFont="1" applyFill="1" applyBorder="1" applyAlignment="1">
      <alignment horizontal="center" vertical="center"/>
    </xf>
    <xf numFmtId="187" fontId="58" fillId="0" borderId="592" xfId="2" applyNumberFormat="1" applyFont="1" applyFill="1" applyBorder="1" applyAlignment="1">
      <alignment horizontal="center" vertical="center"/>
    </xf>
    <xf numFmtId="183" fontId="177" fillId="125" borderId="227" xfId="2" applyNumberFormat="1" applyFont="1" applyFill="1" applyBorder="1" applyAlignment="1">
      <alignment horizontal="center" vertical="center"/>
    </xf>
    <xf numFmtId="187" fontId="29" fillId="0" borderId="214" xfId="0" applyNumberFormat="1" applyFont="1" applyBorder="1" applyAlignment="1">
      <alignment horizontal="center" vertical="center"/>
    </xf>
    <xf numFmtId="187" fontId="29" fillId="0" borderId="54" xfId="0" applyNumberFormat="1" applyFont="1" applyBorder="1" applyAlignment="1">
      <alignment horizontal="center" vertical="center" wrapText="1"/>
    </xf>
    <xf numFmtId="187" fontId="166" fillId="0" borderId="54" xfId="0" applyNumberFormat="1" applyFont="1" applyBorder="1" applyAlignment="1">
      <alignment horizontal="center" vertical="center" wrapText="1"/>
    </xf>
    <xf numFmtId="0" fontId="29" fillId="0" borderId="6" xfId="0" applyFont="1" applyBorder="1" applyAlignment="1">
      <alignment horizontal="center" vertical="center"/>
    </xf>
    <xf numFmtId="9" fontId="58" fillId="0" borderId="6" xfId="1" applyFont="1" applyBorder="1" applyAlignment="1">
      <alignment horizontal="center" vertical="center"/>
    </xf>
    <xf numFmtId="0" fontId="177" fillId="125" borderId="513" xfId="0" applyFont="1" applyFill="1" applyBorder="1" applyAlignment="1">
      <alignment horizontal="center" vertical="center" wrapText="1"/>
    </xf>
    <xf numFmtId="0" fontId="30" fillId="7" borderId="18" xfId="0" applyFont="1" applyFill="1" applyBorder="1" applyAlignment="1">
      <alignment horizontal="center" vertical="center"/>
    </xf>
    <xf numFmtId="0" fontId="30" fillId="7" borderId="28" xfId="0" applyFont="1" applyFill="1" applyBorder="1" applyAlignment="1">
      <alignment horizontal="center" vertical="center"/>
    </xf>
    <xf numFmtId="0" fontId="30" fillId="7" borderId="449" xfId="0" applyFont="1" applyFill="1" applyBorder="1" applyAlignment="1">
      <alignment horizontal="center" vertical="center"/>
    </xf>
    <xf numFmtId="0" fontId="30" fillId="7" borderId="632" xfId="0" applyFont="1" applyFill="1" applyBorder="1" applyAlignment="1">
      <alignment horizontal="center" vertical="center"/>
    </xf>
    <xf numFmtId="0" fontId="30" fillId="7" borderId="42" xfId="0" applyFont="1" applyFill="1" applyBorder="1" applyAlignment="1">
      <alignment horizontal="center" vertical="center"/>
    </xf>
    <xf numFmtId="0" fontId="30" fillId="7" borderId="633" xfId="0" applyFont="1" applyFill="1" applyBorder="1" applyAlignment="1">
      <alignment horizontal="center" vertical="center"/>
    </xf>
    <xf numFmtId="0" fontId="30" fillId="4" borderId="634" xfId="0" applyFont="1" applyFill="1" applyBorder="1" applyAlignment="1">
      <alignment horizontal="center" vertical="center"/>
    </xf>
    <xf numFmtId="0" fontId="30" fillId="4" borderId="635" xfId="0" applyFont="1" applyFill="1" applyBorder="1" applyAlignment="1">
      <alignment horizontal="center" vertical="center"/>
    </xf>
    <xf numFmtId="41" fontId="30" fillId="4" borderId="636" xfId="2" applyFont="1" applyFill="1" applyBorder="1" applyAlignment="1">
      <alignment horizontal="center" vertical="center"/>
    </xf>
    <xf numFmtId="0" fontId="30" fillId="4" borderId="637" xfId="0" applyFont="1" applyFill="1" applyBorder="1" applyAlignment="1">
      <alignment horizontal="center" vertical="center"/>
    </xf>
    <xf numFmtId="0" fontId="30" fillId="4" borderId="638" xfId="0" applyFont="1" applyFill="1" applyBorder="1" applyAlignment="1">
      <alignment horizontal="center" vertical="center"/>
    </xf>
    <xf numFmtId="0" fontId="30" fillId="4" borderId="342" xfId="0" applyFont="1" applyFill="1" applyBorder="1" applyAlignment="1">
      <alignment horizontal="center" vertical="center"/>
    </xf>
    <xf numFmtId="0" fontId="30" fillId="4" borderId="631" xfId="0" applyFont="1" applyFill="1" applyBorder="1" applyAlignment="1">
      <alignment horizontal="center" vertical="center"/>
    </xf>
    <xf numFmtId="0" fontId="30" fillId="4" borderId="353" xfId="0" applyFont="1" applyFill="1" applyBorder="1" applyAlignment="1">
      <alignment horizontal="center" vertical="center"/>
    </xf>
    <xf numFmtId="177" fontId="250" fillId="116" borderId="6" xfId="0" applyNumberFormat="1" applyFont="1" applyFill="1" applyBorder="1" applyAlignment="1">
      <alignment horizontal="center" vertical="center"/>
    </xf>
    <xf numFmtId="177" fontId="250" fillId="116" borderId="606" xfId="0" applyNumberFormat="1" applyFont="1" applyFill="1" applyBorder="1" applyAlignment="1">
      <alignment horizontal="center" vertical="center"/>
    </xf>
    <xf numFmtId="177" fontId="250" fillId="116" borderId="513" xfId="0" applyNumberFormat="1" applyFont="1" applyFill="1" applyBorder="1" applyAlignment="1">
      <alignment horizontal="center" vertical="center"/>
    </xf>
    <xf numFmtId="3" fontId="251" fillId="116" borderId="200" xfId="3799" applyNumberFormat="1" applyFont="1" applyFill="1" applyBorder="1" applyAlignment="1">
      <alignment horizontal="center" vertical="center" wrapText="1"/>
    </xf>
    <xf numFmtId="3" fontId="251" fillId="116" borderId="608" xfId="3799" applyNumberFormat="1" applyFont="1" applyFill="1" applyBorder="1" applyAlignment="1">
      <alignment horizontal="center" vertical="center" wrapText="1"/>
    </xf>
    <xf numFmtId="3" fontId="251" fillId="116" borderId="515" xfId="3799" applyNumberFormat="1" applyFont="1" applyFill="1" applyBorder="1" applyAlignment="1">
      <alignment horizontal="center" vertical="center" wrapText="1"/>
    </xf>
    <xf numFmtId="0" fontId="252" fillId="0" borderId="0" xfId="0" applyFont="1">
      <alignment vertical="center"/>
    </xf>
    <xf numFmtId="3" fontId="29" fillId="0" borderId="214" xfId="0" applyNumberFormat="1" applyFont="1" applyBorder="1" applyAlignment="1">
      <alignment horizontal="center" vertical="center"/>
    </xf>
    <xf numFmtId="223" fontId="35" fillId="0" borderId="328" xfId="2" applyNumberFormat="1" applyFont="1" applyFill="1" applyBorder="1" applyAlignment="1">
      <alignment horizontal="center" vertical="center" wrapText="1"/>
    </xf>
    <xf numFmtId="223" fontId="35" fillId="0" borderId="5" xfId="2" applyNumberFormat="1" applyFont="1" applyFill="1" applyBorder="1" applyAlignment="1">
      <alignment horizontal="center" vertical="center" wrapText="1"/>
    </xf>
    <xf numFmtId="223" fontId="186" fillId="0" borderId="590" xfId="0" applyNumberFormat="1" applyFont="1" applyBorder="1" applyAlignment="1">
      <alignment horizontal="center" vertical="center"/>
    </xf>
    <xf numFmtId="223" fontId="186" fillId="0" borderId="122" xfId="0" applyNumberFormat="1" applyFont="1" applyBorder="1" applyAlignment="1">
      <alignment horizontal="center" vertical="center"/>
    </xf>
    <xf numFmtId="223" fontId="177" fillId="125" borderId="223" xfId="2" applyNumberFormat="1" applyFont="1" applyFill="1" applyBorder="1" applyAlignment="1">
      <alignment horizontal="center" vertical="center" wrapText="1"/>
    </xf>
    <xf numFmtId="223" fontId="177" fillId="125" borderId="285" xfId="2" applyNumberFormat="1" applyFont="1" applyFill="1" applyBorder="1" applyAlignment="1">
      <alignment horizontal="center" vertical="center" wrapText="1"/>
    </xf>
    <xf numFmtId="187" fontId="177" fillId="125" borderId="227" xfId="2" applyNumberFormat="1" applyFont="1" applyFill="1" applyBorder="1" applyAlignment="1">
      <alignment horizontal="center" vertical="center" wrapText="1"/>
    </xf>
    <xf numFmtId="187" fontId="177" fillId="125" borderId="108" xfId="2" applyNumberFormat="1" applyFont="1" applyFill="1" applyBorder="1" applyAlignment="1">
      <alignment horizontal="center" vertical="center" wrapText="1"/>
    </xf>
    <xf numFmtId="242" fontId="29" fillId="0" borderId="445" xfId="1" applyNumberFormat="1" applyFont="1" applyFill="1" applyBorder="1" applyAlignment="1">
      <alignment horizontal="center" vertical="center"/>
    </xf>
    <xf numFmtId="9" fontId="187" fillId="0" borderId="497" xfId="2" applyNumberFormat="1" applyFont="1" applyFill="1" applyBorder="1" applyAlignment="1">
      <alignment horizontal="center" vertical="center"/>
    </xf>
    <xf numFmtId="9" fontId="187" fillId="7" borderId="567" xfId="1" applyFont="1" applyFill="1" applyBorder="1" applyAlignment="1">
      <alignment horizontal="center" vertical="center"/>
    </xf>
    <xf numFmtId="9" fontId="187" fillId="7" borderId="6" xfId="1" applyFont="1" applyFill="1" applyBorder="1" applyAlignment="1">
      <alignment horizontal="center" vertical="center"/>
    </xf>
    <xf numFmtId="9" fontId="187" fillId="7" borderId="497" xfId="1" applyFont="1" applyFill="1" applyBorder="1" applyAlignment="1">
      <alignment horizontal="center" vertical="center"/>
    </xf>
    <xf numFmtId="10" fontId="166" fillId="0" borderId="606" xfId="0" applyNumberFormat="1" applyFont="1" applyBorder="1" applyAlignment="1">
      <alignment horizontal="center" vertical="center" wrapText="1"/>
    </xf>
    <xf numFmtId="185" fontId="29" fillId="0" borderId="219" xfId="0" applyNumberFormat="1" applyFont="1" applyBorder="1" applyAlignment="1">
      <alignment horizontal="center" vertical="center" wrapText="1"/>
    </xf>
    <xf numFmtId="228" fontId="29" fillId="0" borderId="38" xfId="0" applyNumberFormat="1" applyFont="1" applyBorder="1" applyAlignment="1">
      <alignment horizontal="center" vertical="center" wrapText="1"/>
    </xf>
    <xf numFmtId="0" fontId="166" fillId="0" borderId="23" xfId="0" applyFont="1" applyBorder="1" applyAlignment="1">
      <alignment horizontal="center" vertical="center" wrapText="1"/>
    </xf>
    <xf numFmtId="0" fontId="177" fillId="125" borderId="516" xfId="0" applyFont="1" applyFill="1" applyBorder="1" applyAlignment="1">
      <alignment horizontal="center" vertical="center" wrapText="1"/>
    </xf>
    <xf numFmtId="41" fontId="178" fillId="127" borderId="601" xfId="2" applyFont="1" applyFill="1" applyBorder="1" applyAlignment="1">
      <alignment horizontal="center" vertical="center"/>
    </xf>
    <xf numFmtId="187" fontId="197" fillId="0" borderId="600" xfId="0" applyNumberFormat="1" applyFont="1" applyFill="1" applyBorder="1" applyAlignment="1">
      <alignment horizontal="center" vertical="center"/>
    </xf>
    <xf numFmtId="41" fontId="178" fillId="127" borderId="604" xfId="2" applyFont="1" applyFill="1" applyBorder="1" applyAlignment="1">
      <alignment horizontal="center" vertical="center"/>
    </xf>
    <xf numFmtId="187" fontId="197" fillId="0" borderId="604" xfId="0" applyNumberFormat="1" applyFont="1" applyFill="1" applyBorder="1" applyAlignment="1">
      <alignment horizontal="center" vertical="center"/>
    </xf>
    <xf numFmtId="187" fontId="230" fillId="117" borderId="514" xfId="0" applyNumberFormat="1" applyFont="1" applyFill="1" applyBorder="1" applyAlignment="1">
      <alignment horizontal="center" vertical="center"/>
    </xf>
    <xf numFmtId="177" fontId="29" fillId="0" borderId="605" xfId="0" applyNumberFormat="1" applyFont="1" applyFill="1" applyBorder="1" applyAlignment="1">
      <alignment horizontal="center" vertical="center"/>
    </xf>
    <xf numFmtId="177" fontId="29" fillId="117" borderId="605" xfId="0" applyNumberFormat="1" applyFont="1" applyFill="1" applyBorder="1" applyAlignment="1">
      <alignment horizontal="center" vertical="center"/>
    </xf>
    <xf numFmtId="223" fontId="29" fillId="0" borderId="46" xfId="0" applyNumberFormat="1" applyFont="1" applyFill="1" applyBorder="1" applyAlignment="1">
      <alignment horizontal="center" vertical="center"/>
    </xf>
    <xf numFmtId="223" fontId="29" fillId="0" borderId="509" xfId="0" applyNumberFormat="1" applyFont="1" applyFill="1" applyBorder="1" applyAlignment="1">
      <alignment horizontal="center" vertical="center"/>
    </xf>
    <xf numFmtId="0" fontId="0" fillId="3" borderId="0" xfId="0" applyFill="1" applyAlignment="1">
      <alignment horizontal="center" vertical="center"/>
    </xf>
    <xf numFmtId="0" fontId="0" fillId="129" borderId="0" xfId="0" applyFill="1">
      <alignment vertical="center"/>
    </xf>
    <xf numFmtId="223" fontId="253" fillId="0" borderId="0" xfId="0" applyNumberFormat="1" applyFont="1" applyFill="1" applyBorder="1" applyAlignment="1">
      <alignment horizontal="center" vertical="center"/>
    </xf>
    <xf numFmtId="223" fontId="253" fillId="0" borderId="0" xfId="0" applyNumberFormat="1" applyFont="1" applyFill="1" applyBorder="1" applyAlignment="1">
      <alignment vertical="center"/>
    </xf>
    <xf numFmtId="243" fontId="253" fillId="0" borderId="0" xfId="0" applyNumberFormat="1" applyFont="1" applyFill="1" applyBorder="1" applyAlignment="1">
      <alignment vertical="center"/>
    </xf>
    <xf numFmtId="243" fontId="253" fillId="0" borderId="0" xfId="0" applyNumberFormat="1" applyFont="1" applyFill="1" applyBorder="1" applyAlignment="1">
      <alignment horizontal="center" vertical="center"/>
    </xf>
    <xf numFmtId="223" fontId="253" fillId="0" borderId="602" xfId="0" applyNumberFormat="1" applyFont="1" applyBorder="1" applyAlignment="1">
      <alignment horizontal="center" vertical="center"/>
    </xf>
    <xf numFmtId="223" fontId="253" fillId="0" borderId="605" xfId="0" applyNumberFormat="1" applyFont="1" applyBorder="1" applyAlignment="1">
      <alignment vertical="center"/>
    </xf>
    <xf numFmtId="223" fontId="253" fillId="0" borderId="613" xfId="0" applyNumberFormat="1" applyFont="1" applyBorder="1" applyAlignment="1">
      <alignment vertical="center"/>
    </xf>
    <xf numFmtId="223" fontId="253" fillId="0" borderId="606" xfId="0" applyNumberFormat="1" applyFont="1" applyBorder="1" applyAlignment="1">
      <alignment vertical="center"/>
    </xf>
    <xf numFmtId="223" fontId="253" fillId="0" borderId="623" xfId="0" applyNumberFormat="1" applyFont="1" applyBorder="1" applyAlignment="1">
      <alignment vertical="center"/>
    </xf>
    <xf numFmtId="223" fontId="253" fillId="0" borderId="0" xfId="0" applyNumberFormat="1" applyFont="1" applyFill="1" applyBorder="1" applyAlignment="1">
      <alignment horizontal="right" vertical="center"/>
    </xf>
    <xf numFmtId="223" fontId="253" fillId="0" borderId="84" xfId="0" applyNumberFormat="1" applyFont="1" applyBorder="1" applyAlignment="1">
      <alignment horizontal="center" vertical="center"/>
    </xf>
    <xf numFmtId="223" fontId="253" fillId="0" borderId="600" xfId="0" applyNumberFormat="1" applyFont="1" applyBorder="1" applyAlignment="1">
      <alignment vertical="center"/>
    </xf>
    <xf numFmtId="223" fontId="253" fillId="0" borderId="601" xfId="0" applyNumberFormat="1" applyFont="1" applyBorder="1" applyAlignment="1">
      <alignment vertical="center"/>
    </xf>
    <xf numFmtId="223" fontId="253" fillId="0" borderId="630" xfId="0" applyNumberFormat="1" applyFont="1" applyBorder="1" applyAlignment="1">
      <alignment vertical="center"/>
    </xf>
    <xf numFmtId="223" fontId="253" fillId="0" borderId="5" xfId="0" applyNumberFormat="1" applyFont="1" applyBorder="1" applyAlignment="1">
      <alignment vertical="center"/>
    </xf>
    <xf numFmtId="223" fontId="253" fillId="0" borderId="328" xfId="0" applyNumberFormat="1" applyFont="1" applyBorder="1" applyAlignment="1">
      <alignment vertical="center"/>
    </xf>
    <xf numFmtId="223" fontId="253" fillId="0" borderId="629" xfId="0" applyNumberFormat="1" applyFont="1" applyBorder="1" applyAlignment="1">
      <alignment vertical="center"/>
    </xf>
    <xf numFmtId="223" fontId="253" fillId="0" borderId="469" xfId="0" applyNumberFormat="1" applyFont="1" applyBorder="1" applyAlignment="1">
      <alignment vertical="center"/>
    </xf>
    <xf numFmtId="223" fontId="253" fillId="0" borderId="6" xfId="0" applyNumberFormat="1" applyFont="1" applyBorder="1" applyAlignment="1">
      <alignment vertical="center"/>
    </xf>
    <xf numFmtId="223" fontId="254" fillId="0" borderId="6" xfId="0" applyNumberFormat="1" applyFont="1" applyBorder="1" applyAlignment="1">
      <alignment vertical="center"/>
    </xf>
    <xf numFmtId="243" fontId="254" fillId="0" borderId="6" xfId="0" applyNumberFormat="1" applyFont="1" applyBorder="1" applyAlignment="1">
      <alignment vertical="center"/>
    </xf>
    <xf numFmtId="243" fontId="254" fillId="0" borderId="38" xfId="0" applyNumberFormat="1" applyFont="1" applyBorder="1" applyAlignment="1">
      <alignment vertical="center"/>
    </xf>
    <xf numFmtId="243" fontId="254" fillId="0" borderId="629" xfId="0" applyNumberFormat="1" applyFont="1" applyBorder="1" applyAlignment="1">
      <alignment vertical="center"/>
    </xf>
    <xf numFmtId="243" fontId="254" fillId="0" borderId="0" xfId="0" applyNumberFormat="1" applyFont="1" applyFill="1" applyBorder="1" applyAlignment="1">
      <alignment vertical="center"/>
    </xf>
    <xf numFmtId="223" fontId="253" fillId="0" borderId="38" xfId="0" applyNumberFormat="1" applyFont="1" applyBorder="1" applyAlignment="1">
      <alignment vertical="center"/>
    </xf>
    <xf numFmtId="223" fontId="253" fillId="0" borderId="23" xfId="0" applyNumberFormat="1" applyFont="1" applyBorder="1" applyAlignment="1">
      <alignment horizontal="center" vertical="center"/>
    </xf>
    <xf numFmtId="223" fontId="254" fillId="116" borderId="605" xfId="0" applyNumberFormat="1" applyFont="1" applyFill="1" applyBorder="1" applyAlignment="1">
      <alignment vertical="center"/>
    </xf>
    <xf numFmtId="223" fontId="254" fillId="116" borderId="613" xfId="0" applyNumberFormat="1" applyFont="1" applyFill="1" applyBorder="1" applyAlignment="1">
      <alignment vertical="center"/>
    </xf>
    <xf numFmtId="243" fontId="254" fillId="116" borderId="606" xfId="0" applyNumberFormat="1" applyFont="1" applyFill="1" applyBorder="1" applyAlignment="1">
      <alignment vertical="center"/>
    </xf>
    <xf numFmtId="243" fontId="254" fillId="116" borderId="605" xfId="0" applyNumberFormat="1" applyFont="1" applyFill="1" applyBorder="1" applyAlignment="1">
      <alignment vertical="center"/>
    </xf>
    <xf numFmtId="243" fontId="254" fillId="116" borderId="469" xfId="0" applyNumberFormat="1" applyFont="1" applyFill="1" applyBorder="1" applyAlignment="1">
      <alignment vertical="center"/>
    </xf>
    <xf numFmtId="177" fontId="253" fillId="0" borderId="624" xfId="0" applyNumberFormat="1" applyFont="1" applyFill="1" applyBorder="1" applyAlignment="1">
      <alignment vertical="center"/>
    </xf>
    <xf numFmtId="226" fontId="168" fillId="137" borderId="119" xfId="2" applyNumberFormat="1" applyFont="1" applyFill="1" applyBorder="1" applyAlignment="1">
      <alignment horizontal="center" vertical="center"/>
    </xf>
    <xf numFmtId="226" fontId="168" fillId="137" borderId="120" xfId="2" applyNumberFormat="1" applyFont="1" applyFill="1" applyBorder="1" applyAlignment="1">
      <alignment horizontal="center" vertical="center"/>
    </xf>
    <xf numFmtId="179" fontId="230" fillId="118" borderId="62" xfId="1" applyNumberFormat="1" applyFont="1" applyFill="1" applyBorder="1" applyAlignment="1">
      <alignment horizontal="center" vertical="center"/>
    </xf>
    <xf numFmtId="187" fontId="44" fillId="0" borderId="597" xfId="0" applyNumberFormat="1" applyFont="1" applyBorder="1" applyAlignment="1">
      <alignment horizontal="center" vertical="center"/>
    </xf>
    <xf numFmtId="187" fontId="44" fillId="0" borderId="606" xfId="0" applyNumberFormat="1" applyFont="1" applyBorder="1" applyAlignment="1">
      <alignment horizontal="center" vertical="center"/>
    </xf>
    <xf numFmtId="187" fontId="44" fillId="0" borderId="62" xfId="0" applyNumberFormat="1" applyFont="1" applyBorder="1" applyAlignment="1">
      <alignment horizontal="center" vertical="center"/>
    </xf>
    <xf numFmtId="187" fontId="44" fillId="0" borderId="47" xfId="0" applyNumberFormat="1" applyFont="1" applyBorder="1" applyAlignment="1">
      <alignment horizontal="center" vertical="center"/>
    </xf>
    <xf numFmtId="187" fontId="44" fillId="0" borderId="482" xfId="0" applyNumberFormat="1" applyFont="1" applyBorder="1" applyAlignment="1">
      <alignment horizontal="center" vertical="center"/>
    </xf>
    <xf numFmtId="223" fontId="44" fillId="0" borderId="513" xfId="0" applyNumberFormat="1" applyFont="1" applyBorder="1" applyAlignment="1">
      <alignment horizontal="center" vertical="center"/>
    </xf>
    <xf numFmtId="177" fontId="230" fillId="0" borderId="594" xfId="0" applyNumberFormat="1" applyFont="1" applyBorder="1" applyAlignment="1">
      <alignment horizontal="center" vertical="center"/>
    </xf>
    <xf numFmtId="41" fontId="32" fillId="0" borderId="0" xfId="2" applyFont="1" applyFill="1" applyBorder="1" applyAlignment="1">
      <alignment horizontal="center" vertical="center" wrapText="1"/>
    </xf>
    <xf numFmtId="41" fontId="255" fillId="0" borderId="0" xfId="2" applyFont="1">
      <alignment vertical="center"/>
    </xf>
    <xf numFmtId="177" fontId="0" fillId="0" borderId="403" xfId="0" applyNumberFormat="1" applyBorder="1" applyAlignment="1">
      <alignment horizontal="center" vertical="center"/>
    </xf>
    <xf numFmtId="177" fontId="0" fillId="0" borderId="23" xfId="0" applyNumberFormat="1" applyBorder="1" applyAlignment="1">
      <alignment horizontal="center" vertical="center"/>
    </xf>
    <xf numFmtId="177" fontId="0" fillId="0" borderId="602" xfId="0" applyNumberFormat="1" applyBorder="1" applyAlignment="1">
      <alignment horizontal="center" vertical="center"/>
    </xf>
    <xf numFmtId="177" fontId="0" fillId="0" borderId="120" xfId="0" applyNumberFormat="1" applyBorder="1" applyAlignment="1">
      <alignment horizontal="center" vertical="center"/>
    </xf>
    <xf numFmtId="177" fontId="0" fillId="0" borderId="513" xfId="0" applyNumberFormat="1" applyBorder="1" applyAlignment="1">
      <alignment horizontal="center" vertical="center"/>
    </xf>
    <xf numFmtId="177" fontId="0" fillId="0" borderId="613" xfId="0" applyNumberFormat="1" applyBorder="1" applyAlignment="1">
      <alignment horizontal="center" vertical="center"/>
    </xf>
    <xf numFmtId="240" fontId="35" fillId="137" borderId="95" xfId="0" applyNumberFormat="1" applyFont="1" applyFill="1" applyBorder="1" applyAlignment="1">
      <alignment horizontal="center" vertical="center"/>
    </xf>
    <xf numFmtId="177" fontId="197" fillId="0" borderId="403" xfId="0" applyNumberFormat="1" applyFont="1" applyBorder="1" applyAlignment="1">
      <alignment horizontal="center" vertical="center"/>
    </xf>
    <xf numFmtId="177" fontId="197" fillId="0" borderId="120" xfId="0" applyNumberFormat="1" applyFont="1" applyBorder="1" applyAlignment="1">
      <alignment horizontal="center" vertical="center"/>
    </xf>
    <xf numFmtId="177" fontId="197" fillId="0" borderId="200" xfId="0" applyNumberFormat="1" applyFont="1" applyBorder="1" applyAlignment="1">
      <alignment horizontal="center" vertical="center"/>
    </xf>
    <xf numFmtId="177" fontId="197" fillId="0" borderId="592" xfId="0" applyNumberFormat="1" applyFont="1" applyBorder="1" applyAlignment="1">
      <alignment horizontal="center" vertical="center"/>
    </xf>
    <xf numFmtId="226" fontId="226" fillId="137" borderId="119" xfId="2" applyNumberFormat="1" applyFont="1" applyFill="1" applyBorder="1" applyAlignment="1">
      <alignment horizontal="center" vertical="center"/>
    </xf>
    <xf numFmtId="226" fontId="226" fillId="137" borderId="120" xfId="2" applyNumberFormat="1" applyFont="1" applyFill="1" applyBorder="1" applyAlignment="1">
      <alignment horizontal="center" vertical="center"/>
    </xf>
    <xf numFmtId="240" fontId="230" fillId="137" borderId="607" xfId="0" applyNumberFormat="1" applyFont="1" applyFill="1" applyBorder="1" applyAlignment="1">
      <alignment horizontal="center" vertical="center"/>
    </xf>
    <xf numFmtId="240" fontId="230" fillId="137" borderId="606" xfId="0" applyNumberFormat="1" applyFont="1" applyFill="1" applyBorder="1" applyAlignment="1">
      <alignment horizontal="center" vertical="center"/>
    </xf>
    <xf numFmtId="240" fontId="230" fillId="137" borderId="608" xfId="0" applyNumberFormat="1" applyFont="1" applyFill="1" applyBorder="1" applyAlignment="1">
      <alignment horizontal="center" vertical="center"/>
    </xf>
    <xf numFmtId="177" fontId="197" fillId="0" borderId="6" xfId="0" applyNumberFormat="1" applyFont="1" applyBorder="1" applyAlignment="1">
      <alignment horizontal="center" vertical="center"/>
    </xf>
    <xf numFmtId="177" fontId="197" fillId="0" borderId="62" xfId="0" applyNumberFormat="1" applyFont="1" applyBorder="1" applyAlignment="1">
      <alignment horizontal="center" vertical="center"/>
    </xf>
    <xf numFmtId="223" fontId="253" fillId="0" borderId="605" xfId="0" applyNumberFormat="1" applyFont="1" applyBorder="1" applyAlignment="1">
      <alignment horizontal="center" vertical="center"/>
    </xf>
    <xf numFmtId="223" fontId="253" fillId="0" borderId="613" xfId="0" applyNumberFormat="1" applyFont="1" applyBorder="1" applyAlignment="1">
      <alignment horizontal="center" vertical="center"/>
    </xf>
    <xf numFmtId="223" fontId="253" fillId="0" borderId="606" xfId="0" applyNumberFormat="1" applyFont="1" applyBorder="1" applyAlignment="1">
      <alignment horizontal="center" vertical="center"/>
    </xf>
    <xf numFmtId="223" fontId="253" fillId="0" borderId="5" xfId="0" applyNumberFormat="1" applyFont="1" applyBorder="1" applyAlignment="1">
      <alignment horizontal="center" vertical="center"/>
    </xf>
    <xf numFmtId="223" fontId="253" fillId="0" borderId="328" xfId="0" applyNumberFormat="1" applyFont="1" applyBorder="1" applyAlignment="1">
      <alignment horizontal="center" vertical="center"/>
    </xf>
    <xf numFmtId="223" fontId="253" fillId="0" borderId="629" xfId="0" applyNumberFormat="1" applyFont="1" applyBorder="1" applyAlignment="1">
      <alignment horizontal="center" vertical="center"/>
    </xf>
    <xf numFmtId="223" fontId="253" fillId="0" borderId="469" xfId="0" applyNumberFormat="1" applyFont="1" applyBorder="1" applyAlignment="1">
      <alignment horizontal="center" vertical="center"/>
    </xf>
    <xf numFmtId="243" fontId="254" fillId="0" borderId="6" xfId="0" applyNumberFormat="1" applyFont="1" applyBorder="1" applyAlignment="1">
      <alignment horizontal="center" vertical="center"/>
    </xf>
    <xf numFmtId="243" fontId="254" fillId="0" borderId="38" xfId="0" applyNumberFormat="1" applyFont="1" applyBorder="1" applyAlignment="1">
      <alignment horizontal="center" vertical="center"/>
    </xf>
    <xf numFmtId="177" fontId="253" fillId="0" borderId="624" xfId="0" applyNumberFormat="1" applyFont="1" applyFill="1" applyBorder="1" applyAlignment="1">
      <alignment horizontal="center" vertical="center"/>
    </xf>
    <xf numFmtId="223" fontId="256" fillId="0" borderId="606" xfId="0" applyNumberFormat="1" applyFont="1" applyBorder="1" applyAlignment="1">
      <alignment horizontal="center" vertical="center"/>
    </xf>
    <xf numFmtId="223" fontId="254" fillId="0" borderId="606" xfId="0" applyNumberFormat="1" applyFont="1" applyBorder="1" applyAlignment="1">
      <alignment horizontal="center" vertical="center"/>
    </xf>
    <xf numFmtId="0" fontId="30" fillId="131" borderId="350" xfId="0" applyFont="1" applyFill="1" applyBorder="1" applyAlignment="1">
      <alignment horizontal="center" vertical="center"/>
    </xf>
    <xf numFmtId="187" fontId="197" fillId="0" borderId="613" xfId="1" applyNumberFormat="1" applyFont="1" applyFill="1" applyBorder="1" applyAlignment="1">
      <alignment horizontal="center" vertical="center"/>
    </xf>
    <xf numFmtId="241" fontId="230" fillId="4" borderId="613" xfId="1" applyNumberFormat="1" applyFont="1" applyFill="1" applyBorder="1" applyAlignment="1">
      <alignment horizontal="center" vertical="center"/>
    </xf>
    <xf numFmtId="226" fontId="197" fillId="0" borderId="613" xfId="1" applyNumberFormat="1" applyFont="1" applyFill="1" applyBorder="1" applyAlignment="1">
      <alignment horizontal="center" vertical="center"/>
    </xf>
    <xf numFmtId="9" fontId="30" fillId="131" borderId="516" xfId="1" applyFont="1" applyFill="1" applyBorder="1" applyAlignment="1">
      <alignment horizontal="center" vertical="center"/>
    </xf>
    <xf numFmtId="183" fontId="197" fillId="0" borderId="613" xfId="1" applyNumberFormat="1" applyFont="1" applyFill="1" applyBorder="1" applyAlignment="1">
      <alignment horizontal="center" vertical="center"/>
    </xf>
    <xf numFmtId="0" fontId="0" fillId="0" borderId="608" xfId="0" applyBorder="1">
      <alignment vertical="center"/>
    </xf>
    <xf numFmtId="231" fontId="226" fillId="137" borderId="121" xfId="2" applyNumberFormat="1" applyFont="1" applyFill="1" applyBorder="1" applyAlignment="1">
      <alignment horizontal="center" vertical="center"/>
    </xf>
    <xf numFmtId="223" fontId="253" fillId="137" borderId="606" xfId="0" applyNumberFormat="1" applyFont="1" applyFill="1" applyBorder="1" applyAlignment="1">
      <alignment horizontal="center" vertical="center"/>
    </xf>
    <xf numFmtId="223" fontId="253" fillId="137" borderId="605" xfId="0" applyNumberFormat="1" applyFont="1" applyFill="1" applyBorder="1" applyAlignment="1">
      <alignment horizontal="center" vertical="center"/>
    </xf>
    <xf numFmtId="223" fontId="256" fillId="0" borderId="6" xfId="0" applyNumberFormat="1" applyFont="1" applyBorder="1" applyAlignment="1">
      <alignment horizontal="center" vertical="center"/>
    </xf>
    <xf numFmtId="223" fontId="253" fillId="137" borderId="469" xfId="0" applyNumberFormat="1" applyFont="1" applyFill="1" applyBorder="1" applyAlignment="1">
      <alignment horizontal="center" vertical="center"/>
    </xf>
    <xf numFmtId="243" fontId="254" fillId="3" borderId="629" xfId="0" applyNumberFormat="1" applyFont="1" applyFill="1" applyBorder="1" applyAlignment="1">
      <alignment horizontal="center" vertical="center"/>
    </xf>
    <xf numFmtId="223" fontId="253" fillId="0" borderId="612" xfId="0" applyNumberFormat="1" applyFont="1" applyBorder="1" applyAlignment="1">
      <alignment vertical="center"/>
    </xf>
    <xf numFmtId="223" fontId="256" fillId="137" borderId="606" xfId="0" applyNumberFormat="1" applyFont="1" applyFill="1" applyBorder="1" applyAlignment="1">
      <alignment horizontal="center" vertical="center"/>
    </xf>
    <xf numFmtId="243" fontId="253" fillId="137" borderId="606" xfId="0" applyNumberFormat="1" applyFont="1" applyFill="1" applyBorder="1" applyAlignment="1">
      <alignment horizontal="center" vertical="center"/>
    </xf>
    <xf numFmtId="243" fontId="253" fillId="137" borderId="605" xfId="0" applyNumberFormat="1" applyFont="1" applyFill="1" applyBorder="1" applyAlignment="1">
      <alignment horizontal="center" vertical="center"/>
    </xf>
    <xf numFmtId="243" fontId="256" fillId="137" borderId="623" xfId="0" applyNumberFormat="1" applyFont="1" applyFill="1" applyBorder="1" applyAlignment="1">
      <alignment horizontal="center" vertical="center"/>
    </xf>
    <xf numFmtId="0" fontId="258" fillId="0" borderId="0" xfId="0" applyFont="1" applyAlignment="1"/>
    <xf numFmtId="0" fontId="258" fillId="0" borderId="0" xfId="0" applyFont="1" applyBorder="1" applyAlignment="1"/>
    <xf numFmtId="0" fontId="45" fillId="0" borderId="307" xfId="0" applyFont="1" applyBorder="1" applyAlignment="1">
      <alignment horizontal="left" vertical="center"/>
    </xf>
    <xf numFmtId="0" fontId="45" fillId="0" borderId="0" xfId="0" applyFont="1" applyAlignment="1">
      <alignment horizontal="left" vertical="center"/>
    </xf>
    <xf numFmtId="0" fontId="210" fillId="0" borderId="0" xfId="0" applyFont="1">
      <alignment vertical="center"/>
    </xf>
    <xf numFmtId="0" fontId="124" fillId="0" borderId="0" xfId="0" applyFont="1" applyBorder="1" applyAlignment="1">
      <alignment horizontal="center" vertical="center"/>
    </xf>
    <xf numFmtId="244" fontId="28" fillId="7" borderId="0" xfId="0" applyNumberFormat="1" applyFont="1" applyFill="1" applyBorder="1" applyAlignment="1">
      <alignment horizontal="center" vertical="center"/>
    </xf>
    <xf numFmtId="0" fontId="45" fillId="0" borderId="123" xfId="0" applyFont="1" applyBorder="1" applyAlignment="1">
      <alignment horizontal="center" vertical="center" wrapText="1"/>
    </xf>
    <xf numFmtId="183" fontId="44" fillId="0" borderId="130" xfId="0" applyNumberFormat="1" applyFont="1" applyFill="1" applyBorder="1" applyAlignment="1">
      <alignment horizontal="center" vertical="center"/>
    </xf>
    <xf numFmtId="183" fontId="44" fillId="0" borderId="139" xfId="0" applyNumberFormat="1" applyFont="1" applyFill="1" applyBorder="1" applyAlignment="1">
      <alignment horizontal="center" vertical="center"/>
    </xf>
    <xf numFmtId="183" fontId="44" fillId="0" borderId="143" xfId="0" applyNumberFormat="1" applyFont="1" applyFill="1" applyBorder="1" applyAlignment="1">
      <alignment horizontal="center" vertical="center"/>
    </xf>
    <xf numFmtId="4" fontId="177" fillId="125" borderId="612" xfId="2" applyNumberFormat="1" applyFont="1" applyFill="1" applyBorder="1" applyAlignment="1">
      <alignment horizontal="center" vertical="center" wrapText="1"/>
    </xf>
    <xf numFmtId="3" fontId="177" fillId="125" borderId="46" xfId="2" applyNumberFormat="1" applyFont="1" applyFill="1" applyBorder="1" applyAlignment="1">
      <alignment horizontal="center" vertical="center" wrapText="1"/>
    </xf>
    <xf numFmtId="9" fontId="58" fillId="15" borderId="600" xfId="1" applyFont="1" applyFill="1" applyBorder="1" applyAlignment="1">
      <alignment horizontal="center" vertical="center"/>
    </xf>
    <xf numFmtId="3" fontId="58" fillId="15" borderId="606" xfId="2" quotePrefix="1" applyNumberFormat="1" applyFont="1" applyFill="1" applyBorder="1" applyAlignment="1">
      <alignment horizontal="center" vertical="center"/>
    </xf>
    <xf numFmtId="187" fontId="58" fillId="0" borderId="605" xfId="2" applyNumberFormat="1" applyFont="1" applyBorder="1" applyAlignment="1">
      <alignment horizontal="center" vertical="center"/>
    </xf>
    <xf numFmtId="226" fontId="58" fillId="0" borderId="605" xfId="2" applyNumberFormat="1" applyFont="1" applyBorder="1" applyAlignment="1">
      <alignment horizontal="center" vertical="center"/>
    </xf>
    <xf numFmtId="226" fontId="58" fillId="5" borderId="605" xfId="2" applyNumberFormat="1" applyFont="1" applyFill="1" applyBorder="1" applyAlignment="1">
      <alignment horizontal="center" vertical="center"/>
    </xf>
    <xf numFmtId="187" fontId="58" fillId="0" borderId="38" xfId="2" applyNumberFormat="1" applyFont="1" applyBorder="1" applyAlignment="1">
      <alignment horizontal="center" vertical="center"/>
    </xf>
    <xf numFmtId="0" fontId="177" fillId="125" borderId="513" xfId="0" applyFont="1" applyFill="1" applyBorder="1" applyAlignment="1">
      <alignment horizontal="center" vertical="center"/>
    </xf>
    <xf numFmtId="0" fontId="58" fillId="0" borderId="327" xfId="0" applyFont="1" applyFill="1" applyBorder="1" applyAlignment="1">
      <alignment horizontal="center" vertical="center"/>
    </xf>
    <xf numFmtId="223" fontId="172" fillId="7" borderId="226" xfId="0" applyNumberFormat="1" applyFont="1" applyFill="1" applyBorder="1" applyAlignment="1">
      <alignment horizontal="center" vertical="center"/>
    </xf>
    <xf numFmtId="223" fontId="172" fillId="15" borderId="226" xfId="0" applyNumberFormat="1" applyFont="1" applyFill="1" applyBorder="1" applyAlignment="1">
      <alignment horizontal="center" vertical="center"/>
    </xf>
    <xf numFmtId="187" fontId="58" fillId="7" borderId="45" xfId="2" applyNumberFormat="1" applyFont="1" applyFill="1" applyBorder="1" applyAlignment="1">
      <alignment horizontal="center" vertical="center"/>
    </xf>
    <xf numFmtId="223" fontId="172" fillId="0" borderId="224" xfId="0" applyNumberFormat="1" applyFont="1" applyBorder="1" applyAlignment="1">
      <alignment horizontal="center" vertical="center"/>
    </xf>
    <xf numFmtId="4" fontId="58" fillId="0" borderId="605" xfId="2" applyNumberFormat="1" applyFont="1" applyBorder="1" applyAlignment="1">
      <alignment horizontal="center" vertical="center"/>
    </xf>
    <xf numFmtId="38" fontId="58" fillId="15" borderId="607" xfId="2" applyNumberFormat="1" applyFont="1" applyFill="1" applyBorder="1" applyAlignment="1">
      <alignment horizontal="center" vertical="center"/>
    </xf>
    <xf numFmtId="38" fontId="58" fillId="0" borderId="607" xfId="2" applyNumberFormat="1" applyFont="1" applyBorder="1" applyAlignment="1">
      <alignment horizontal="center" vertical="center"/>
    </xf>
    <xf numFmtId="38" fontId="58" fillId="0" borderId="599" xfId="2" applyNumberFormat="1" applyFont="1" applyBorder="1" applyAlignment="1">
      <alignment horizontal="center" vertical="center"/>
    </xf>
    <xf numFmtId="38" fontId="58" fillId="15" borderId="512" xfId="2" applyNumberFormat="1" applyFont="1" applyFill="1" applyBorder="1" applyAlignment="1">
      <alignment horizontal="center" vertical="center"/>
    </xf>
    <xf numFmtId="38" fontId="58" fillId="15" borderId="219" xfId="2" applyNumberFormat="1" applyFont="1" applyFill="1" applyBorder="1" applyAlignment="1">
      <alignment horizontal="center" vertical="center"/>
    </xf>
    <xf numFmtId="38" fontId="58" fillId="15" borderId="95" xfId="2" applyNumberFormat="1" applyFont="1" applyFill="1" applyBorder="1" applyAlignment="1">
      <alignment horizontal="center" vertical="center"/>
    </xf>
    <xf numFmtId="38" fontId="58" fillId="0" borderId="599" xfId="2" applyNumberFormat="1" applyFont="1" applyFill="1" applyBorder="1" applyAlignment="1">
      <alignment horizontal="center" vertical="center"/>
    </xf>
    <xf numFmtId="38" fontId="58" fillId="7" borderId="607" xfId="2" applyNumberFormat="1" applyFont="1" applyFill="1" applyBorder="1" applyAlignment="1">
      <alignment horizontal="center" vertical="center"/>
    </xf>
    <xf numFmtId="38" fontId="58" fillId="15" borderId="599" xfId="2" applyNumberFormat="1" applyFont="1" applyFill="1" applyBorder="1" applyAlignment="1">
      <alignment horizontal="center" vertical="center"/>
    </xf>
    <xf numFmtId="226" fontId="58" fillId="7" borderId="601" xfId="2" applyNumberFormat="1" applyFont="1" applyFill="1" applyBorder="1" applyAlignment="1">
      <alignment horizontal="center" vertical="center"/>
    </xf>
    <xf numFmtId="226" fontId="58" fillId="7" borderId="514" xfId="2" applyNumberFormat="1" applyFont="1" applyFill="1" applyBorder="1" applyAlignment="1">
      <alignment horizontal="center" vertical="center"/>
    </xf>
    <xf numFmtId="226" fontId="58" fillId="7" borderId="38" xfId="2" applyNumberFormat="1" applyFont="1" applyFill="1" applyBorder="1" applyAlignment="1">
      <alignment horizontal="center" vertical="center"/>
    </xf>
    <xf numFmtId="226" fontId="58" fillId="7" borderId="605" xfId="2" applyNumberFormat="1" applyFont="1" applyFill="1" applyBorder="1" applyAlignment="1">
      <alignment horizontal="center" vertical="center"/>
    </xf>
    <xf numFmtId="183" fontId="58" fillId="93" borderId="601" xfId="0" applyNumberFormat="1" applyFont="1" applyFill="1" applyBorder="1" applyAlignment="1">
      <alignment horizontal="center" vertical="center"/>
    </xf>
    <xf numFmtId="187" fontId="58" fillId="15" borderId="607" xfId="2" applyNumberFormat="1" applyFont="1" applyFill="1" applyBorder="1" applyAlignment="1">
      <alignment horizontal="center" vertical="center"/>
    </xf>
    <xf numFmtId="38" fontId="58" fillId="7" borderId="119" xfId="2" applyNumberFormat="1" applyFont="1" applyFill="1" applyBorder="1" applyAlignment="1">
      <alignment horizontal="center" vertical="center"/>
    </xf>
    <xf numFmtId="38" fontId="58" fillId="15" borderId="261" xfId="2" applyNumberFormat="1" applyFont="1" applyFill="1" applyBorder="1" applyAlignment="1">
      <alignment horizontal="center" vertical="center"/>
    </xf>
    <xf numFmtId="183" fontId="58" fillId="15" borderId="607" xfId="2" applyNumberFormat="1" applyFont="1" applyFill="1" applyBorder="1" applyAlignment="1">
      <alignment horizontal="center" vertical="center"/>
    </xf>
    <xf numFmtId="38" fontId="58" fillId="0" borderId="512" xfId="2" applyNumberFormat="1" applyFont="1" applyFill="1" applyBorder="1" applyAlignment="1">
      <alignment horizontal="center" vertical="center"/>
    </xf>
    <xf numFmtId="187" fontId="58" fillId="15" borderId="261" xfId="2" applyNumberFormat="1" applyFont="1" applyFill="1" applyBorder="1" applyAlignment="1">
      <alignment horizontal="center" vertical="center"/>
    </xf>
    <xf numFmtId="223" fontId="172" fillId="7" borderId="223" xfId="0" applyNumberFormat="1" applyFont="1" applyFill="1" applyBorder="1" applyAlignment="1">
      <alignment horizontal="center" vertical="center"/>
    </xf>
    <xf numFmtId="178" fontId="177" fillId="125" borderId="607" xfId="0" applyNumberFormat="1" applyFont="1" applyFill="1" applyBorder="1" applyAlignment="1">
      <alignment horizontal="center" vertical="center"/>
    </xf>
    <xf numFmtId="223" fontId="58" fillId="15" borderId="607" xfId="0" applyNumberFormat="1" applyFont="1" applyFill="1" applyBorder="1" applyAlignment="1">
      <alignment horizontal="center" vertical="center"/>
    </xf>
    <xf numFmtId="223" fontId="58" fillId="0" borderId="95" xfId="0" applyNumberFormat="1" applyFont="1" applyBorder="1" applyAlignment="1">
      <alignment horizontal="center" vertical="center"/>
    </xf>
    <xf numFmtId="223" fontId="58" fillId="0" borderId="599" xfId="0" applyNumberFormat="1" applyFont="1" applyBorder="1" applyAlignment="1">
      <alignment horizontal="center" vertical="center"/>
    </xf>
    <xf numFmtId="223" fontId="58" fillId="0" borderId="119" xfId="0" applyNumberFormat="1" applyFont="1" applyBorder="1" applyAlignment="1">
      <alignment horizontal="center" vertical="center"/>
    </xf>
    <xf numFmtId="223" fontId="58" fillId="15" borderId="512" xfId="0" quotePrefix="1" applyNumberFormat="1" applyFont="1" applyFill="1" applyBorder="1" applyAlignment="1">
      <alignment horizontal="center" vertical="center"/>
    </xf>
    <xf numFmtId="223" fontId="58" fillId="15" borderId="607" xfId="0" quotePrefix="1" applyNumberFormat="1" applyFont="1" applyFill="1" applyBorder="1" applyAlignment="1">
      <alignment horizontal="center" vertical="center"/>
    </xf>
    <xf numFmtId="223" fontId="58" fillId="0" borderId="119" xfId="0" applyNumberFormat="1" applyFont="1" applyFill="1" applyBorder="1" applyAlignment="1">
      <alignment horizontal="center" vertical="center"/>
    </xf>
    <xf numFmtId="223" fontId="58" fillId="0" borderId="607" xfId="0" applyNumberFormat="1" applyFont="1" applyFill="1" applyBorder="1" applyAlignment="1">
      <alignment horizontal="center" vertical="center"/>
    </xf>
    <xf numFmtId="223" fontId="58" fillId="0" borderId="512" xfId="0" applyNumberFormat="1" applyFont="1" applyFill="1" applyBorder="1" applyAlignment="1">
      <alignment horizontal="center" vertical="center"/>
    </xf>
    <xf numFmtId="223" fontId="58" fillId="0" borderId="219" xfId="0" applyNumberFormat="1" applyFont="1" applyBorder="1" applyAlignment="1">
      <alignment horizontal="center" vertical="center"/>
    </xf>
    <xf numFmtId="223" fontId="58" fillId="0" borderId="607" xfId="0" applyNumberFormat="1" applyFont="1" applyBorder="1" applyAlignment="1">
      <alignment horizontal="center" vertical="center"/>
    </xf>
    <xf numFmtId="223" fontId="58" fillId="0" borderId="512" xfId="0" applyNumberFormat="1" applyFont="1" applyBorder="1" applyAlignment="1">
      <alignment horizontal="center" vertical="center"/>
    </xf>
    <xf numFmtId="223" fontId="58" fillId="0" borderId="223" xfId="0" applyNumberFormat="1" applyFont="1" applyFill="1" applyBorder="1" applyAlignment="1">
      <alignment horizontal="center" vertical="center"/>
    </xf>
    <xf numFmtId="223" fontId="58" fillId="15" borderId="261" xfId="0" applyNumberFormat="1" applyFont="1" applyFill="1" applyBorder="1" applyAlignment="1">
      <alignment horizontal="center" vertical="center"/>
    </xf>
    <xf numFmtId="223" fontId="58" fillId="15" borderId="512" xfId="0" applyNumberFormat="1" applyFont="1" applyFill="1" applyBorder="1" applyAlignment="1">
      <alignment horizontal="center" vertical="center"/>
    </xf>
    <xf numFmtId="223" fontId="172" fillId="15" borderId="223" xfId="0" applyNumberFormat="1" applyFont="1" applyFill="1" applyBorder="1" applyAlignment="1">
      <alignment horizontal="center" vertical="center"/>
    </xf>
    <xf numFmtId="226" fontId="58" fillId="0" borderId="601" xfId="2" applyNumberFormat="1" applyFont="1" applyBorder="1" applyAlignment="1">
      <alignment horizontal="center" vertical="center"/>
    </xf>
    <xf numFmtId="38" fontId="58" fillId="15" borderId="119" xfId="2" applyNumberFormat="1" applyFont="1" applyFill="1" applyBorder="1" applyAlignment="1">
      <alignment horizontal="center" vertical="center"/>
    </xf>
    <xf numFmtId="0" fontId="177" fillId="125" borderId="601" xfId="0" quotePrefix="1" applyFont="1" applyFill="1" applyBorder="1" applyAlignment="1">
      <alignment horizontal="center" vertical="center"/>
    </xf>
    <xf numFmtId="38" fontId="58" fillId="0" borderId="219" xfId="2" applyNumberFormat="1" applyFont="1" applyBorder="1" applyAlignment="1">
      <alignment horizontal="center" vertical="center"/>
    </xf>
    <xf numFmtId="0" fontId="58" fillId="0" borderId="608" xfId="0" applyFont="1" applyFill="1" applyBorder="1" applyAlignment="1">
      <alignment horizontal="center" vertical="center" wrapText="1"/>
    </xf>
    <xf numFmtId="0" fontId="28" fillId="7" borderId="606" xfId="0" applyFont="1" applyFill="1" applyBorder="1" applyAlignment="1">
      <alignment horizontal="center" vertical="center"/>
    </xf>
    <xf numFmtId="179" fontId="28" fillId="5" borderId="606" xfId="3" applyNumberFormat="1" applyFont="1" applyFill="1" applyBorder="1" applyAlignment="1">
      <alignment horizontal="center" vertical="center"/>
    </xf>
    <xf numFmtId="38" fontId="28" fillId="7" borderId="606" xfId="3" applyNumberFormat="1" applyFont="1" applyFill="1" applyBorder="1" applyAlignment="1">
      <alignment horizontal="center" vertical="center"/>
    </xf>
    <xf numFmtId="38" fontId="28" fillId="7" borderId="606" xfId="3" quotePrefix="1" applyNumberFormat="1" applyFont="1" applyFill="1" applyBorder="1" applyAlignment="1">
      <alignment horizontal="center" vertical="center"/>
    </xf>
    <xf numFmtId="38" fontId="28" fillId="7" borderId="606" xfId="2" quotePrefix="1" applyNumberFormat="1" applyFont="1" applyFill="1" applyBorder="1" applyAlignment="1">
      <alignment horizontal="center" vertical="center"/>
    </xf>
    <xf numFmtId="223" fontId="28" fillId="7" borderId="214" xfId="2" quotePrefix="1" applyNumberFormat="1" applyFont="1" applyFill="1" applyBorder="1" applyAlignment="1">
      <alignment horizontal="center" vertical="center"/>
    </xf>
    <xf numFmtId="0" fontId="37" fillId="3" borderId="0" xfId="0" applyFont="1" applyFill="1" applyBorder="1" applyAlignment="1">
      <alignment horizontal="left" vertical="center"/>
    </xf>
    <xf numFmtId="0" fontId="28" fillId="3" borderId="0" xfId="0" applyFont="1" applyFill="1" applyBorder="1" applyAlignment="1">
      <alignment horizontal="center" vertical="center"/>
    </xf>
    <xf numFmtId="0" fontId="177" fillId="125" borderId="285" xfId="0" applyFont="1" applyFill="1" applyBorder="1" applyAlignment="1">
      <alignment horizontal="center" vertical="center"/>
    </xf>
    <xf numFmtId="0" fontId="177" fillId="125" borderId="285" xfId="0" applyFont="1" applyFill="1" applyBorder="1" applyAlignment="1">
      <alignment horizontal="center" vertical="center" wrapText="1"/>
    </xf>
    <xf numFmtId="0" fontId="177" fillId="125" borderId="606" xfId="0" applyFont="1" applyFill="1" applyBorder="1" applyAlignment="1">
      <alignment horizontal="center" vertical="center"/>
    </xf>
    <xf numFmtId="0" fontId="177" fillId="125" borderId="514" xfId="0" applyFont="1" applyFill="1" applyBorder="1" applyAlignment="1">
      <alignment horizontal="center" vertical="center" wrapText="1"/>
    </xf>
    <xf numFmtId="0" fontId="177" fillId="125" borderId="513" xfId="0" applyFont="1" applyFill="1" applyBorder="1" applyAlignment="1">
      <alignment horizontal="center" vertical="center" wrapText="1"/>
    </xf>
    <xf numFmtId="41" fontId="166" fillId="0" borderId="6" xfId="0" applyNumberFormat="1" applyFont="1" applyBorder="1" applyAlignment="1">
      <alignment horizontal="center" vertical="center" wrapText="1"/>
    </xf>
    <xf numFmtId="41" fontId="166" fillId="0" borderId="606" xfId="0" applyNumberFormat="1" applyFont="1" applyBorder="1" applyAlignment="1">
      <alignment horizontal="center" vertical="center" wrapText="1"/>
    </xf>
    <xf numFmtId="0" fontId="177" fillId="125" borderId="605" xfId="0" applyFont="1" applyFill="1" applyBorder="1" applyAlignment="1">
      <alignment horizontal="center" vertical="center" wrapText="1"/>
    </xf>
    <xf numFmtId="10" fontId="166" fillId="0" borderId="605" xfId="0" applyNumberFormat="1" applyFont="1" applyBorder="1" applyAlignment="1">
      <alignment horizontal="center" vertical="center" wrapText="1"/>
    </xf>
    <xf numFmtId="183" fontId="166" fillId="0" borderId="605" xfId="0" applyNumberFormat="1" applyFont="1" applyBorder="1" applyAlignment="1">
      <alignment horizontal="center" vertical="center" wrapText="1"/>
    </xf>
    <xf numFmtId="0" fontId="166" fillId="0" borderId="605" xfId="0" applyFont="1" applyBorder="1" applyAlignment="1">
      <alignment horizontal="center" vertical="center" wrapText="1"/>
    </xf>
    <xf numFmtId="0" fontId="177" fillId="125" borderId="605" xfId="0" applyFont="1" applyFill="1" applyBorder="1" applyAlignment="1">
      <alignment horizontal="center" vertical="center"/>
    </xf>
    <xf numFmtId="183" fontId="29" fillId="0" borderId="605" xfId="0" applyNumberFormat="1" applyFont="1" applyBorder="1" applyAlignment="1">
      <alignment horizontal="center" vertical="center"/>
    </xf>
    <xf numFmtId="183" fontId="177" fillId="125" borderId="605" xfId="0" applyNumberFormat="1" applyFont="1" applyFill="1" applyBorder="1" applyAlignment="1">
      <alignment horizontal="center" vertical="center"/>
    </xf>
    <xf numFmtId="0" fontId="29" fillId="0" borderId="605" xfId="0" applyFont="1" applyBorder="1" applyAlignment="1">
      <alignment horizontal="center" vertical="center" wrapText="1"/>
    </xf>
    <xf numFmtId="0" fontId="35" fillId="6" borderId="605" xfId="0" applyFont="1" applyFill="1" applyBorder="1" applyAlignment="1">
      <alignment horizontal="center" vertical="center"/>
    </xf>
    <xf numFmtId="0" fontId="179" fillId="15" borderId="606" xfId="0" applyFont="1" applyFill="1" applyBorder="1" applyAlignment="1">
      <alignment horizontal="center" vertical="center" wrapText="1"/>
    </xf>
    <xf numFmtId="0" fontId="35" fillId="6" borderId="606" xfId="0" applyFont="1" applyFill="1" applyBorder="1" applyAlignment="1">
      <alignment horizontal="center" vertical="center"/>
    </xf>
    <xf numFmtId="226" fontId="208" fillId="0" borderId="640" xfId="4124" applyNumberFormat="1" applyFont="1" applyFill="1" applyBorder="1" applyAlignment="1">
      <alignment horizontal="center" vertical="center"/>
    </xf>
    <xf numFmtId="226" fontId="208" fillId="0" borderId="515" xfId="4124" applyNumberFormat="1" applyFont="1" applyFill="1" applyBorder="1" applyAlignment="1">
      <alignment horizontal="center" vertical="center"/>
    </xf>
    <xf numFmtId="187" fontId="206" fillId="0" borderId="0" xfId="0" applyNumberFormat="1" applyFont="1" applyFill="1" applyBorder="1" applyAlignment="1">
      <alignment horizontal="left" vertical="center"/>
    </xf>
    <xf numFmtId="177" fontId="31" fillId="140" borderId="327" xfId="0" applyNumberFormat="1" applyFont="1" applyFill="1" applyBorder="1" applyAlignment="1">
      <alignment horizontal="center" vertical="center"/>
    </xf>
    <xf numFmtId="177" fontId="259" fillId="140" borderId="5" xfId="1" applyNumberFormat="1" applyFont="1" applyFill="1" applyBorder="1" applyAlignment="1">
      <alignment horizontal="center" vertical="center"/>
    </xf>
    <xf numFmtId="177" fontId="196" fillId="0" borderId="0" xfId="0" applyNumberFormat="1" applyFont="1" applyAlignment="1">
      <alignment horizontal="center" vertical="center"/>
    </xf>
    <xf numFmtId="4" fontId="29" fillId="0" borderId="605" xfId="2" applyNumberFormat="1" applyFont="1" applyFill="1" applyBorder="1" applyAlignment="1">
      <alignment horizontal="center" vertical="center"/>
    </xf>
    <xf numFmtId="183" fontId="177" fillId="125" borderId="605" xfId="2" applyNumberFormat="1" applyFont="1" applyFill="1" applyBorder="1" applyAlignment="1">
      <alignment horizontal="center" vertical="center"/>
    </xf>
    <xf numFmtId="178" fontId="177" fillId="125" borderId="513" xfId="2" applyNumberFormat="1" applyFont="1" applyFill="1" applyBorder="1" applyAlignment="1">
      <alignment horizontal="center" vertical="center"/>
    </xf>
    <xf numFmtId="9" fontId="187" fillId="7" borderId="465" xfId="1" applyFont="1" applyFill="1" applyBorder="1" applyAlignment="1">
      <alignment horizontal="center" vertical="center"/>
    </xf>
    <xf numFmtId="9" fontId="187" fillId="7" borderId="120" xfId="1" applyFont="1" applyFill="1" applyBorder="1" applyAlignment="1">
      <alignment horizontal="center" vertical="center"/>
    </xf>
    <xf numFmtId="0" fontId="177" fillId="125" borderId="226" xfId="0" applyFont="1" applyFill="1" applyBorder="1" applyAlignment="1">
      <alignment horizontal="center" vertical="center"/>
    </xf>
    <xf numFmtId="0" fontId="177" fillId="125" borderId="226" xfId="0" applyFont="1" applyFill="1" applyBorder="1" applyAlignment="1">
      <alignment horizontal="center" vertical="center" wrapText="1"/>
    </xf>
    <xf numFmtId="0" fontId="219" fillId="125" borderId="287" xfId="0" applyFont="1" applyFill="1" applyBorder="1" applyAlignment="1">
      <alignment horizontal="center" vertical="center" wrapText="1"/>
    </xf>
    <xf numFmtId="188" fontId="26" fillId="0" borderId="0" xfId="0" applyNumberFormat="1" applyFont="1">
      <alignment vertical="center"/>
    </xf>
    <xf numFmtId="187" fontId="177" fillId="125" borderId="374" xfId="0" applyNumberFormat="1" applyFont="1" applyFill="1" applyBorder="1" applyAlignment="1">
      <alignment horizontal="center" vertical="center"/>
    </xf>
    <xf numFmtId="187" fontId="177" fillId="125" borderId="214" xfId="0" applyNumberFormat="1" applyFont="1" applyFill="1" applyBorder="1" applyAlignment="1">
      <alignment horizontal="center" vertical="center"/>
    </xf>
    <xf numFmtId="183" fontId="177" fillId="125" borderId="601" xfId="2" applyNumberFormat="1" applyFont="1" applyFill="1" applyBorder="1" applyAlignment="1">
      <alignment horizontal="center" vertical="center" wrapText="1"/>
    </xf>
    <xf numFmtId="177" fontId="29" fillId="7" borderId="605" xfId="0" applyNumberFormat="1" applyFont="1" applyFill="1" applyBorder="1" applyAlignment="1">
      <alignment horizontal="center" vertical="center"/>
    </xf>
    <xf numFmtId="177" fontId="29" fillId="7" borderId="601" xfId="0" applyNumberFormat="1" applyFont="1" applyFill="1" applyBorder="1" applyAlignment="1">
      <alignment horizontal="center" vertical="center"/>
    </xf>
    <xf numFmtId="227" fontId="29" fillId="7" borderId="605" xfId="2" applyNumberFormat="1" applyFont="1" applyFill="1" applyBorder="1" applyAlignment="1">
      <alignment horizontal="center" vertical="center"/>
    </xf>
    <xf numFmtId="4" fontId="177" fillId="125" borderId="605" xfId="2" applyNumberFormat="1" applyFont="1" applyFill="1" applyBorder="1" applyAlignment="1">
      <alignment horizontal="center" vertical="center" wrapText="1"/>
    </xf>
    <xf numFmtId="183" fontId="177" fillId="125" borderId="601" xfId="2" applyNumberFormat="1" applyFont="1" applyFill="1" applyBorder="1" applyAlignment="1">
      <alignment horizontal="center" vertical="center"/>
    </xf>
    <xf numFmtId="3" fontId="29" fillId="7" borderId="605" xfId="2" applyNumberFormat="1" applyFont="1" applyFill="1" applyBorder="1" applyAlignment="1">
      <alignment horizontal="center" vertical="center"/>
    </xf>
    <xf numFmtId="0" fontId="177" fillId="125" borderId="514" xfId="0" applyFont="1" applyFill="1" applyBorder="1" applyAlignment="1">
      <alignment horizontal="center" vertical="center" wrapText="1"/>
    </xf>
    <xf numFmtId="0" fontId="177" fillId="125" borderId="38" xfId="0" applyFont="1" applyFill="1" applyBorder="1" applyAlignment="1">
      <alignment horizontal="center" vertical="center"/>
    </xf>
    <xf numFmtId="0" fontId="187" fillId="0" borderId="0" xfId="0" applyFont="1" applyFill="1">
      <alignment vertical="center"/>
    </xf>
    <xf numFmtId="0" fontId="29" fillId="0" borderId="0" xfId="0" applyFont="1" applyAlignment="1">
      <alignment horizontal="center" vertical="center"/>
    </xf>
    <xf numFmtId="223" fontId="29" fillId="0" borderId="6" xfId="0" applyNumberFormat="1" applyFont="1" applyBorder="1" applyAlignment="1">
      <alignment horizontal="center" vertical="center"/>
    </xf>
    <xf numFmtId="185" fontId="29" fillId="0" borderId="0" xfId="0" applyNumberFormat="1" applyFont="1" applyAlignment="1">
      <alignment horizontal="center" vertical="center"/>
    </xf>
    <xf numFmtId="178" fontId="29" fillId="0" borderId="0" xfId="0" applyNumberFormat="1" applyFont="1" applyAlignment="1">
      <alignment horizontal="center" vertical="center"/>
    </xf>
    <xf numFmtId="0" fontId="29" fillId="0" borderId="606" xfId="0" applyFont="1" applyBorder="1" applyAlignment="1">
      <alignment horizontal="center" vertical="center"/>
    </xf>
    <xf numFmtId="0" fontId="177" fillId="125" borderId="515" xfId="0" applyFont="1" applyFill="1" applyBorder="1" applyAlignment="1">
      <alignment horizontal="center" vertical="center"/>
    </xf>
    <xf numFmtId="0" fontId="177" fillId="125" borderId="513" xfId="0" applyFont="1" applyFill="1" applyBorder="1" applyAlignment="1">
      <alignment horizontal="center" vertical="center"/>
    </xf>
    <xf numFmtId="3" fontId="35" fillId="0" borderId="605" xfId="0" applyNumberFormat="1" applyFont="1" applyBorder="1" applyAlignment="1">
      <alignment horizontal="center" vertical="center"/>
    </xf>
    <xf numFmtId="223" fontId="230" fillId="0" borderId="605" xfId="0" applyNumberFormat="1" applyFont="1" applyFill="1" applyBorder="1" applyAlignment="1">
      <alignment horizontal="center" vertical="center"/>
    </xf>
    <xf numFmtId="223" fontId="230" fillId="0" borderId="601" xfId="0" applyNumberFormat="1" applyFont="1" applyFill="1" applyBorder="1" applyAlignment="1">
      <alignment horizontal="center" vertical="center"/>
    </xf>
    <xf numFmtId="10" fontId="29" fillId="0" borderId="612" xfId="0" applyNumberFormat="1" applyFont="1" applyBorder="1" applyAlignment="1">
      <alignment horizontal="center" vertical="center" wrapText="1"/>
    </xf>
    <xf numFmtId="10" fontId="29" fillId="0" borderId="607" xfId="0" applyNumberFormat="1" applyFont="1" applyFill="1" applyBorder="1" applyAlignment="1">
      <alignment horizontal="center" vertical="center" wrapText="1"/>
    </xf>
    <xf numFmtId="10" fontId="29" fillId="0" borderId="608" xfId="0" applyNumberFormat="1" applyFont="1" applyFill="1" applyBorder="1" applyAlignment="1">
      <alignment horizontal="center" vertical="center" wrapText="1"/>
    </xf>
    <xf numFmtId="183" fontId="29" fillId="0" borderId="607" xfId="0" applyNumberFormat="1" applyFont="1" applyFill="1" applyBorder="1" applyAlignment="1">
      <alignment horizontal="center" vertical="center" wrapText="1"/>
    </xf>
    <xf numFmtId="183" fontId="29" fillId="0" borderId="608" xfId="0" applyNumberFormat="1" applyFont="1" applyFill="1" applyBorder="1" applyAlignment="1">
      <alignment horizontal="center" vertical="center" wrapText="1"/>
    </xf>
    <xf numFmtId="183" fontId="177" fillId="125" borderId="515" xfId="0" applyNumberFormat="1" applyFont="1" applyFill="1" applyBorder="1" applyAlignment="1">
      <alignment horizontal="center" vertical="center"/>
    </xf>
    <xf numFmtId="0" fontId="178" fillId="127" borderId="606" xfId="0" applyFont="1" applyFill="1" applyBorder="1" applyAlignment="1">
      <alignment horizontal="center" vertical="center"/>
    </xf>
    <xf numFmtId="183" fontId="29" fillId="0" borderId="606" xfId="0" applyNumberFormat="1" applyFont="1" applyBorder="1" applyAlignment="1">
      <alignment horizontal="center" vertical="center"/>
    </xf>
    <xf numFmtId="178" fontId="177" fillId="125" borderId="513" xfId="0" applyNumberFormat="1" applyFont="1" applyFill="1" applyBorder="1" applyAlignment="1">
      <alignment horizontal="center" vertical="center"/>
    </xf>
    <xf numFmtId="178" fontId="177" fillId="125" borderId="514" xfId="0" applyNumberFormat="1" applyFont="1" applyFill="1" applyBorder="1" applyAlignment="1">
      <alignment horizontal="center" vertical="center"/>
    </xf>
    <xf numFmtId="178" fontId="177" fillId="125" borderId="509" xfId="0" applyNumberFormat="1" applyFont="1" applyFill="1" applyBorder="1" applyAlignment="1">
      <alignment horizontal="center" vertical="center"/>
    </xf>
    <xf numFmtId="3" fontId="177" fillId="125" borderId="516" xfId="0" applyNumberFormat="1" applyFont="1" applyFill="1" applyBorder="1" applyAlignment="1">
      <alignment horizontal="center" vertical="center"/>
    </xf>
    <xf numFmtId="38" fontId="177" fillId="125" borderId="513" xfId="0" applyNumberFormat="1" applyFont="1" applyFill="1" applyBorder="1" applyAlignment="1">
      <alignment horizontal="center" vertical="center"/>
    </xf>
    <xf numFmtId="178" fontId="29" fillId="0" borderId="607" xfId="0" applyNumberFormat="1" applyFont="1" applyBorder="1" applyAlignment="1">
      <alignment horizontal="center" vertical="center" wrapText="1"/>
    </xf>
    <xf numFmtId="223" fontId="166" fillId="0" borderId="613" xfId="0" applyNumberFormat="1" applyFont="1" applyBorder="1" applyAlignment="1">
      <alignment horizontal="center" vertical="center" wrapText="1"/>
    </xf>
    <xf numFmtId="223" fontId="166" fillId="0" borderId="606" xfId="0" applyNumberFormat="1" applyFont="1" applyBorder="1" applyAlignment="1">
      <alignment horizontal="center" vertical="center" wrapText="1"/>
    </xf>
    <xf numFmtId="225" fontId="58" fillId="0" borderId="608" xfId="0" applyNumberFormat="1" applyFont="1" applyBorder="1" applyAlignment="1">
      <alignment horizontal="center" vertical="center"/>
    </xf>
    <xf numFmtId="0" fontId="177" fillId="125" borderId="514" xfId="0" applyFont="1" applyFill="1" applyBorder="1" applyAlignment="1">
      <alignment horizontal="center" vertical="center"/>
    </xf>
    <xf numFmtId="0" fontId="177" fillId="125" borderId="509" xfId="0" applyFont="1" applyFill="1" applyBorder="1" applyAlignment="1">
      <alignment horizontal="center" vertical="center"/>
    </xf>
    <xf numFmtId="223" fontId="177" fillId="125" borderId="516" xfId="0" applyNumberFormat="1" applyFont="1" applyFill="1" applyBorder="1" applyAlignment="1">
      <alignment horizontal="center" vertical="center"/>
    </xf>
    <xf numFmtId="228" fontId="29" fillId="0" borderId="608" xfId="0" applyNumberFormat="1" applyFont="1" applyBorder="1" applyAlignment="1">
      <alignment horizontal="center" vertical="center" wrapText="1"/>
    </xf>
    <xf numFmtId="230" fontId="177" fillId="125" borderId="515" xfId="0" applyNumberFormat="1" applyFont="1" applyFill="1" applyBorder="1" applyAlignment="1">
      <alignment horizontal="center" vertical="center"/>
    </xf>
    <xf numFmtId="223" fontId="58" fillId="0" borderId="598" xfId="0" applyNumberFormat="1" applyFont="1" applyBorder="1" applyAlignment="1">
      <alignment horizontal="center" vertical="center"/>
    </xf>
    <xf numFmtId="9" fontId="177" fillId="128" borderId="205" xfId="1" applyFont="1" applyFill="1" applyBorder="1" applyAlignment="1">
      <alignment horizontal="center" vertical="center" wrapText="1"/>
    </xf>
    <xf numFmtId="3" fontId="29" fillId="0" borderId="82" xfId="0" applyNumberFormat="1" applyFont="1" applyBorder="1" applyAlignment="1">
      <alignment horizontal="center" vertical="center" wrapText="1"/>
    </xf>
    <xf numFmtId="0" fontId="196" fillId="0" borderId="606" xfId="0" applyFont="1" applyBorder="1" applyAlignment="1">
      <alignment horizontal="center" vertical="center"/>
    </xf>
    <xf numFmtId="177" fontId="44" fillId="0" borderId="606" xfId="0" applyNumberFormat="1" applyFont="1" applyBorder="1" applyAlignment="1">
      <alignment horizontal="center" vertical="center"/>
    </xf>
    <xf numFmtId="187" fontId="44" fillId="0" borderId="613" xfId="0" applyNumberFormat="1" applyFont="1" applyBorder="1" applyAlignment="1">
      <alignment horizontal="center" vertical="center"/>
    </xf>
    <xf numFmtId="0" fontId="177" fillId="125" borderId="612" xfId="0" quotePrefix="1" applyFont="1" applyFill="1" applyBorder="1" applyAlignment="1">
      <alignment horizontal="center" vertical="center"/>
    </xf>
    <xf numFmtId="183" fontId="58" fillId="93" borderId="604" xfId="0" applyNumberFormat="1" applyFont="1" applyFill="1" applyBorder="1" applyAlignment="1">
      <alignment horizontal="center" vertical="center"/>
    </xf>
    <xf numFmtId="187" fontId="58" fillId="7" borderId="613" xfId="2" applyNumberFormat="1" applyFont="1" applyFill="1" applyBorder="1" applyAlignment="1">
      <alignment horizontal="center" vertical="center"/>
    </xf>
    <xf numFmtId="183" fontId="58" fillId="0" borderId="516" xfId="0" applyNumberFormat="1" applyFont="1" applyBorder="1" applyAlignment="1">
      <alignment horizontal="center" vertical="center"/>
    </xf>
    <xf numFmtId="3" fontId="58" fillId="0" borderId="612" xfId="0" applyNumberFormat="1" applyFont="1" applyBorder="1" applyAlignment="1">
      <alignment horizontal="center" vertical="center"/>
    </xf>
    <xf numFmtId="2" fontId="58" fillId="0" borderId="46" xfId="0" applyNumberFormat="1" applyFont="1" applyBorder="1" applyAlignment="1">
      <alignment horizontal="center" vertical="center"/>
    </xf>
    <xf numFmtId="4" fontId="58" fillId="0" borderId="509" xfId="0" applyNumberFormat="1" applyFont="1" applyBorder="1" applyAlignment="1">
      <alignment horizontal="center" vertical="center"/>
    </xf>
    <xf numFmtId="2" fontId="29" fillId="0" borderId="612" xfId="0" applyNumberFormat="1" applyFont="1" applyBorder="1" applyAlignment="1">
      <alignment horizontal="center" vertical="center"/>
    </xf>
    <xf numFmtId="2" fontId="29" fillId="0" borderId="612" xfId="0" applyNumberFormat="1" applyFont="1" applyFill="1" applyBorder="1" applyAlignment="1">
      <alignment horizontal="center" vertical="center"/>
    </xf>
    <xf numFmtId="1" fontId="58" fillId="0" borderId="35" xfId="0" applyNumberFormat="1" applyFont="1" applyFill="1" applyBorder="1" applyAlignment="1">
      <alignment horizontal="center" vertical="center"/>
    </xf>
    <xf numFmtId="2" fontId="58" fillId="0" borderId="612" xfId="0" applyNumberFormat="1" applyFont="1" applyFill="1" applyBorder="1" applyAlignment="1">
      <alignment horizontal="center" vertical="center"/>
    </xf>
    <xf numFmtId="1" fontId="58" fillId="0" borderId="612" xfId="0" applyNumberFormat="1" applyFont="1" applyFill="1" applyBorder="1" applyAlignment="1">
      <alignment horizontal="center" vertical="center"/>
    </xf>
    <xf numFmtId="176" fontId="58" fillId="0" borderId="612" xfId="0" applyNumberFormat="1" applyFont="1" applyFill="1" applyBorder="1" applyAlignment="1">
      <alignment horizontal="center" vertical="center"/>
    </xf>
    <xf numFmtId="176" fontId="58" fillId="0" borderId="509" xfId="0" applyNumberFormat="1" applyFont="1" applyFill="1" applyBorder="1" applyAlignment="1">
      <alignment horizontal="center" vertical="center"/>
    </xf>
    <xf numFmtId="177" fontId="58" fillId="0" borderId="612" xfId="0" applyNumberFormat="1" applyFont="1" applyBorder="1" applyAlignment="1">
      <alignment horizontal="center" vertical="center"/>
    </xf>
    <xf numFmtId="2" fontId="58" fillId="0" borderId="509" xfId="0" applyNumberFormat="1" applyFont="1" applyBorder="1" applyAlignment="1">
      <alignment horizontal="center" vertical="center"/>
    </xf>
    <xf numFmtId="3" fontId="58" fillId="0" borderId="108" xfId="0" applyNumberFormat="1" applyFont="1" applyFill="1" applyBorder="1" applyAlignment="1">
      <alignment horizontal="center" vertical="center"/>
    </xf>
    <xf numFmtId="3" fontId="58" fillId="0" borderId="604" xfId="0" applyNumberFormat="1" applyFont="1" applyBorder="1" applyAlignment="1">
      <alignment horizontal="center" vertical="center"/>
    </xf>
    <xf numFmtId="3" fontId="58" fillId="0" borderId="266" xfId="0" applyNumberFormat="1" applyFont="1" applyBorder="1" applyAlignment="1">
      <alignment horizontal="center" vertical="center"/>
    </xf>
    <xf numFmtId="3" fontId="58" fillId="0" borderId="509" xfId="0" applyNumberFormat="1" applyFont="1" applyBorder="1" applyAlignment="1">
      <alignment horizontal="center" vertical="center"/>
    </xf>
    <xf numFmtId="0" fontId="58" fillId="15" borderId="108" xfId="0" applyFont="1" applyFill="1" applyBorder="1">
      <alignment vertical="center"/>
    </xf>
    <xf numFmtId="178" fontId="58" fillId="0" borderId="601" xfId="0" applyNumberFormat="1" applyFont="1" applyFill="1" applyBorder="1" applyAlignment="1">
      <alignment horizontal="center" vertical="center"/>
    </xf>
    <xf numFmtId="226" fontId="58" fillId="0" borderId="612" xfId="2" applyNumberFormat="1" applyFont="1" applyBorder="1" applyAlignment="1">
      <alignment horizontal="center" vertical="center"/>
    </xf>
    <xf numFmtId="226" fontId="29" fillId="7" borderId="613" xfId="2" applyNumberFormat="1" applyFont="1" applyFill="1" applyBorder="1" applyAlignment="1">
      <alignment horizontal="center" vertical="center"/>
    </xf>
    <xf numFmtId="2" fontId="58" fillId="5" borderId="605" xfId="0" applyNumberFormat="1" applyFont="1" applyFill="1" applyBorder="1" applyAlignment="1">
      <alignment horizontal="center" vertical="center"/>
    </xf>
    <xf numFmtId="185" fontId="58" fillId="0" borderId="605" xfId="0" applyNumberFormat="1" applyFont="1" applyFill="1" applyBorder="1" applyAlignment="1">
      <alignment horizontal="center" vertical="center"/>
    </xf>
    <xf numFmtId="226" fontId="58" fillId="0" borderId="613" xfId="2" applyNumberFormat="1" applyFont="1" applyBorder="1" applyAlignment="1">
      <alignment horizontal="center" vertical="center"/>
    </xf>
    <xf numFmtId="2" fontId="58" fillId="0" borderId="613" xfId="0" applyNumberFormat="1" applyFont="1" applyFill="1" applyBorder="1" applyAlignment="1">
      <alignment horizontal="center" vertical="center"/>
    </xf>
    <xf numFmtId="187" fontId="58" fillId="3" borderId="332" xfId="2" applyNumberFormat="1" applyFont="1" applyFill="1" applyBorder="1" applyAlignment="1">
      <alignment horizontal="center" vertical="center"/>
    </xf>
    <xf numFmtId="187" fontId="58" fillId="0" borderId="228" xfId="2" applyNumberFormat="1" applyFont="1" applyFill="1" applyBorder="1" applyAlignment="1">
      <alignment horizontal="center" vertical="center"/>
    </xf>
    <xf numFmtId="0" fontId="29" fillId="0" borderId="0" xfId="0" applyFont="1" applyFill="1">
      <alignment vertical="center"/>
    </xf>
    <xf numFmtId="187" fontId="58" fillId="3" borderId="0" xfId="2" applyNumberFormat="1" applyFont="1" applyFill="1" applyBorder="1" applyAlignment="1">
      <alignment horizontal="center" vertical="center"/>
    </xf>
    <xf numFmtId="3" fontId="58" fillId="3" borderId="366" xfId="0" applyNumberFormat="1" applyFont="1" applyFill="1" applyBorder="1" applyAlignment="1">
      <alignment horizontal="center" vertical="center"/>
    </xf>
    <xf numFmtId="3" fontId="58" fillId="3" borderId="332" xfId="0" applyNumberFormat="1" applyFont="1" applyFill="1" applyBorder="1" applyAlignment="1">
      <alignment horizontal="center" vertical="center"/>
    </xf>
    <xf numFmtId="187" fontId="58" fillId="3" borderId="366" xfId="2" applyNumberFormat="1" applyFont="1" applyFill="1" applyBorder="1" applyAlignment="1">
      <alignment horizontal="center" vertical="center"/>
    </xf>
    <xf numFmtId="38" fontId="202" fillId="0" borderId="377" xfId="0" applyNumberFormat="1" applyFont="1" applyBorder="1" applyAlignment="1">
      <alignment horizontal="center" vertical="center"/>
    </xf>
    <xf numFmtId="0" fontId="219" fillId="127" borderId="108" xfId="0" applyFont="1" applyFill="1" applyBorder="1" applyAlignment="1">
      <alignment horizontal="center" vertical="center"/>
    </xf>
    <xf numFmtId="223" fontId="29" fillId="0" borderId="6" xfId="0" applyNumberFormat="1" applyFont="1" applyBorder="1" applyAlignment="1">
      <alignment horizontal="center" vertical="center"/>
    </xf>
    <xf numFmtId="10" fontId="0" fillId="0" borderId="597" xfId="0" applyNumberFormat="1" applyBorder="1" applyAlignment="1">
      <alignment horizontal="center" vertical="center"/>
    </xf>
    <xf numFmtId="10" fontId="0" fillId="140" borderId="597" xfId="0" applyNumberFormat="1" applyFill="1" applyBorder="1" applyAlignment="1">
      <alignment horizontal="center" vertical="center"/>
    </xf>
    <xf numFmtId="240" fontId="30" fillId="139" borderId="518" xfId="0" applyNumberFormat="1" applyFont="1" applyFill="1" applyBorder="1" applyAlignment="1">
      <alignment horizontal="center" vertical="center"/>
    </xf>
    <xf numFmtId="10" fontId="0" fillId="0" borderId="45" xfId="0" applyNumberFormat="1" applyBorder="1" applyAlignment="1">
      <alignment horizontal="center" vertical="center"/>
    </xf>
    <xf numFmtId="10" fontId="0" fillId="0" borderId="605" xfId="0" applyNumberFormat="1" applyBorder="1" applyAlignment="1">
      <alignment horizontal="center" vertical="center"/>
    </xf>
    <xf numFmtId="10" fontId="0" fillId="140" borderId="605" xfId="0" applyNumberFormat="1" applyFill="1" applyBorder="1" applyAlignment="1">
      <alignment horizontal="center" vertical="center"/>
    </xf>
    <xf numFmtId="240" fontId="30" fillId="139" borderId="514" xfId="0" applyNumberFormat="1" applyFont="1" applyFill="1" applyBorder="1" applyAlignment="1">
      <alignment horizontal="center" vertical="center"/>
    </xf>
    <xf numFmtId="0" fontId="230" fillId="139" borderId="514" xfId="0" applyFont="1" applyFill="1" applyBorder="1" applyAlignment="1">
      <alignment horizontal="center" vertical="center"/>
    </xf>
    <xf numFmtId="10" fontId="0" fillId="0" borderId="38" xfId="0" applyNumberFormat="1" applyBorder="1" applyAlignment="1">
      <alignment horizontal="center" vertical="center"/>
    </xf>
    <xf numFmtId="0" fontId="230" fillId="139" borderId="512" xfId="0" applyFont="1" applyFill="1" applyBorder="1" applyAlignment="1">
      <alignment horizontal="center" vertical="center"/>
    </xf>
    <xf numFmtId="181" fontId="127" fillId="0" borderId="96" xfId="4124" applyNumberFormat="1" applyFont="1" applyFill="1" applyBorder="1" applyAlignment="1">
      <alignment horizontal="center" vertical="center"/>
    </xf>
    <xf numFmtId="183" fontId="58" fillId="15" borderId="448" xfId="0" applyNumberFormat="1" applyFont="1" applyFill="1" applyBorder="1" applyAlignment="1">
      <alignment horizontal="center" vertical="center"/>
    </xf>
    <xf numFmtId="2" fontId="58" fillId="15" borderId="448" xfId="0" applyNumberFormat="1" applyFont="1" applyFill="1" applyBorder="1" applyAlignment="1">
      <alignment horizontal="center" vertical="center"/>
    </xf>
    <xf numFmtId="2" fontId="58" fillId="15" borderId="435" xfId="0" applyNumberFormat="1" applyFont="1" applyFill="1" applyBorder="1" applyAlignment="1">
      <alignment horizontal="center" vertical="center"/>
    </xf>
    <xf numFmtId="2" fontId="58" fillId="15" borderId="514" xfId="0" applyNumberFormat="1" applyFont="1" applyFill="1" applyBorder="1" applyAlignment="1">
      <alignment horizontal="center" vertical="center"/>
    </xf>
    <xf numFmtId="2" fontId="58" fillId="15" borderId="516" xfId="0" applyNumberFormat="1" applyFont="1" applyFill="1" applyBorder="1" applyAlignment="1">
      <alignment horizontal="center" vertical="center"/>
    </xf>
    <xf numFmtId="176" fontId="29" fillId="15" borderId="514" xfId="0" applyNumberFormat="1" applyFont="1" applyFill="1" applyBorder="1" applyAlignment="1">
      <alignment horizontal="center" vertical="center"/>
    </xf>
    <xf numFmtId="2" fontId="29" fillId="15" borderId="518" xfId="0" applyNumberFormat="1" applyFont="1" applyFill="1" applyBorder="1" applyAlignment="1">
      <alignment horizontal="center" vertical="center"/>
    </xf>
    <xf numFmtId="2" fontId="29" fillId="15" borderId="514" xfId="0" applyNumberFormat="1" applyFont="1" applyFill="1" applyBorder="1" applyAlignment="1">
      <alignment horizontal="center" vertical="center"/>
    </xf>
    <xf numFmtId="2" fontId="29" fillId="15" borderId="509" xfId="0" applyNumberFormat="1" applyFont="1" applyFill="1" applyBorder="1" applyAlignment="1">
      <alignment horizontal="center" vertical="center"/>
    </xf>
    <xf numFmtId="2" fontId="29" fillId="15" borderId="513" xfId="0" applyNumberFormat="1" applyFont="1" applyFill="1" applyBorder="1" applyAlignment="1">
      <alignment horizontal="center" vertical="center"/>
    </xf>
    <xf numFmtId="178" fontId="177" fillId="125" borderId="605" xfId="0" applyNumberFormat="1" applyFont="1" applyFill="1" applyBorder="1" applyAlignment="1">
      <alignment horizontal="center" vertical="center"/>
    </xf>
    <xf numFmtId="176" fontId="35" fillId="7" borderId="236" xfId="0" applyNumberFormat="1" applyFont="1" applyFill="1" applyBorder="1" applyAlignment="1">
      <alignment horizontal="center" vertical="center"/>
    </xf>
    <xf numFmtId="176" fontId="35" fillId="7" borderId="606" xfId="0" applyNumberFormat="1" applyFont="1" applyFill="1" applyBorder="1" applyAlignment="1">
      <alignment horizontal="center" vertical="center"/>
    </xf>
    <xf numFmtId="226" fontId="29" fillId="7" borderId="214" xfId="0" applyNumberFormat="1" applyFont="1" applyFill="1" applyBorder="1" applyAlignment="1">
      <alignment horizontal="center" vertical="center" readingOrder="1"/>
    </xf>
    <xf numFmtId="183" fontId="47" fillId="0" borderId="392" xfId="4124" applyNumberFormat="1" applyFont="1" applyFill="1" applyBorder="1" applyAlignment="1">
      <alignment horizontal="center" vertical="center"/>
    </xf>
    <xf numFmtId="0" fontId="48" fillId="0" borderId="87" xfId="0" applyNumberFormat="1" applyFont="1" applyFill="1" applyBorder="1" applyAlignment="1">
      <alignment horizontal="center" vertical="center"/>
    </xf>
    <xf numFmtId="0" fontId="48" fillId="0" borderId="70" xfId="0" applyNumberFormat="1" applyFont="1" applyFill="1" applyBorder="1" applyAlignment="1">
      <alignment horizontal="center" vertical="center"/>
    </xf>
    <xf numFmtId="0" fontId="48" fillId="0" borderId="90" xfId="0" applyNumberFormat="1" applyFont="1" applyFill="1" applyBorder="1" applyAlignment="1">
      <alignment horizontal="center" vertical="center"/>
    </xf>
    <xf numFmtId="0" fontId="48" fillId="0" borderId="66" xfId="0" applyNumberFormat="1" applyFont="1" applyFill="1" applyBorder="1" applyAlignment="1">
      <alignment horizontal="center" vertical="center"/>
    </xf>
    <xf numFmtId="183" fontId="45" fillId="0" borderId="107" xfId="0" applyNumberFormat="1" applyFont="1" applyFill="1" applyBorder="1" applyAlignment="1">
      <alignment horizontal="center" vertical="center"/>
    </xf>
    <xf numFmtId="183" fontId="29" fillId="7" borderId="38" xfId="0" applyNumberFormat="1" applyFont="1" applyFill="1" applyBorder="1" applyAlignment="1">
      <alignment horizontal="center" vertical="center"/>
    </xf>
    <xf numFmtId="183" fontId="29" fillId="7" borderId="495" xfId="0" applyNumberFormat="1" applyFont="1" applyFill="1" applyBorder="1" applyAlignment="1">
      <alignment horizontal="center" vertical="center"/>
    </xf>
    <xf numFmtId="179" fontId="28" fillId="6" borderId="606" xfId="3" applyNumberFormat="1" applyFont="1" applyFill="1" applyBorder="1" applyAlignment="1">
      <alignment horizontal="center" vertical="center"/>
    </xf>
    <xf numFmtId="0" fontId="177" fillId="125" borderId="214" xfId="0" applyFont="1" applyFill="1" applyBorder="1" applyAlignment="1">
      <alignment horizontal="center" vertical="center"/>
    </xf>
    <xf numFmtId="0" fontId="177" fillId="125" borderId="513" xfId="0" applyFont="1" applyFill="1" applyBorder="1" applyAlignment="1">
      <alignment horizontal="center" vertical="center"/>
    </xf>
    <xf numFmtId="0" fontId="44" fillId="4" borderId="120" xfId="0" applyFont="1" applyFill="1" applyBorder="1">
      <alignment vertical="center"/>
    </xf>
    <xf numFmtId="177" fontId="44" fillId="4" borderId="120" xfId="0" applyNumberFormat="1" applyFont="1" applyFill="1" applyBorder="1" applyAlignment="1">
      <alignment horizontal="center" vertical="center"/>
    </xf>
    <xf numFmtId="10" fontId="30" fillId="131" borderId="512" xfId="1" applyNumberFormat="1" applyFont="1" applyFill="1" applyBorder="1" applyAlignment="1">
      <alignment horizontal="center" vertical="center"/>
    </xf>
    <xf numFmtId="10" fontId="30" fillId="131" borderId="513" xfId="1" applyNumberFormat="1" applyFont="1" applyFill="1" applyBorder="1" applyAlignment="1">
      <alignment horizontal="center" vertical="center"/>
    </xf>
    <xf numFmtId="223" fontId="29" fillId="0" borderId="6" xfId="0" applyNumberFormat="1" applyFont="1" applyBorder="1" applyAlignment="1">
      <alignment horizontal="center" vertical="center"/>
    </xf>
    <xf numFmtId="187" fontId="0" fillId="0" borderId="512" xfId="0" applyNumberFormat="1" applyBorder="1" applyAlignment="1">
      <alignment horizontal="center" vertical="center"/>
    </xf>
    <xf numFmtId="223" fontId="230" fillId="131" borderId="332" xfId="0" applyNumberFormat="1" applyFont="1" applyFill="1" applyBorder="1" applyAlignment="1">
      <alignment horizontal="center" vertical="center"/>
    </xf>
    <xf numFmtId="223" fontId="230" fillId="0" borderId="608" xfId="0" applyNumberFormat="1" applyFont="1" applyBorder="1" applyAlignment="1">
      <alignment horizontal="center" vertical="center"/>
    </xf>
    <xf numFmtId="223" fontId="35" fillId="0" borderId="608" xfId="0" applyNumberFormat="1" applyFont="1" applyBorder="1" applyAlignment="1">
      <alignment horizontal="center" vertical="center"/>
    </xf>
    <xf numFmtId="178" fontId="46" fillId="3" borderId="376" xfId="0" applyNumberFormat="1" applyFont="1" applyFill="1" applyBorder="1" applyAlignment="1">
      <alignment horizontal="center" vertical="center"/>
    </xf>
    <xf numFmtId="178" fontId="46" fillId="3" borderId="122" xfId="0" applyNumberFormat="1" applyFont="1" applyFill="1" applyBorder="1" applyAlignment="1">
      <alignment horizontal="center" vertical="center"/>
    </xf>
    <xf numFmtId="178" fontId="46" fillId="3" borderId="306" xfId="0" applyNumberFormat="1" applyFont="1" applyFill="1" applyBorder="1" applyAlignment="1">
      <alignment horizontal="center" vertical="center"/>
    </xf>
    <xf numFmtId="223" fontId="230" fillId="0" borderId="613" xfId="0" applyNumberFormat="1" applyFont="1" applyBorder="1" applyAlignment="1">
      <alignment horizontal="center" vertical="center"/>
    </xf>
    <xf numFmtId="3" fontId="29" fillId="0" borderId="606" xfId="2" applyNumberFormat="1" applyFont="1" applyFill="1" applyBorder="1" applyAlignment="1">
      <alignment horizontal="center" vertical="center"/>
    </xf>
    <xf numFmtId="187" fontId="29" fillId="117" borderId="606" xfId="2" quotePrefix="1" applyNumberFormat="1" applyFont="1" applyFill="1" applyBorder="1" applyAlignment="1">
      <alignment horizontal="center" vertical="center"/>
    </xf>
    <xf numFmtId="187" fontId="29" fillId="0" borderId="606" xfId="2" applyNumberFormat="1" applyFont="1" applyFill="1" applyBorder="1" applyAlignment="1">
      <alignment horizontal="center" vertical="center"/>
    </xf>
    <xf numFmtId="3" fontId="29" fillId="0" borderId="606" xfId="0" applyNumberFormat="1" applyFont="1" applyFill="1" applyBorder="1" applyAlignment="1">
      <alignment horizontal="center" vertical="center"/>
    </xf>
    <xf numFmtId="3" fontId="197" fillId="0" borderId="607" xfId="0" applyNumberFormat="1" applyFont="1" applyBorder="1" applyAlignment="1">
      <alignment horizontal="center" vertical="center"/>
    </xf>
    <xf numFmtId="3" fontId="197" fillId="0" borderId="606" xfId="0" applyNumberFormat="1" applyFont="1" applyBorder="1" applyAlignment="1">
      <alignment horizontal="center" vertical="center"/>
    </xf>
    <xf numFmtId="3" fontId="197" fillId="0" borderId="606" xfId="0" applyNumberFormat="1" applyFont="1" applyFill="1" applyBorder="1" applyAlignment="1">
      <alignment horizontal="center" vertical="center"/>
    </xf>
    <xf numFmtId="3" fontId="197" fillId="0" borderId="600" xfId="0" applyNumberFormat="1" applyFont="1" applyBorder="1" applyAlignment="1">
      <alignment horizontal="center" vertical="center"/>
    </xf>
    <xf numFmtId="179" fontId="197" fillId="0" borderId="600" xfId="0" applyNumberFormat="1" applyFont="1" applyBorder="1" applyAlignment="1">
      <alignment horizontal="center" vertical="center"/>
    </xf>
    <xf numFmtId="177" fontId="197" fillId="0" borderId="606" xfId="0" applyNumberFormat="1" applyFont="1" applyBorder="1" applyAlignment="1">
      <alignment horizontal="center" vertical="center"/>
    </xf>
    <xf numFmtId="179" fontId="197" fillId="117" borderId="600" xfId="0" applyNumberFormat="1" applyFont="1" applyFill="1" applyBorder="1" applyAlignment="1">
      <alignment horizontal="center" vertical="center"/>
    </xf>
    <xf numFmtId="179" fontId="197" fillId="117" borderId="601" xfId="0" applyNumberFormat="1" applyFont="1" applyFill="1" applyBorder="1" applyAlignment="1">
      <alignment horizontal="center" vertical="center"/>
    </xf>
    <xf numFmtId="223" fontId="230" fillId="0" borderId="516" xfId="0" applyNumberFormat="1" applyFont="1" applyBorder="1" applyAlignment="1">
      <alignment horizontal="center" vertical="center"/>
    </xf>
    <xf numFmtId="3" fontId="29" fillId="117" borderId="606" xfId="2" applyNumberFormat="1" applyFont="1" applyFill="1" applyBorder="1" applyAlignment="1">
      <alignment horizontal="center" vertical="center"/>
    </xf>
    <xf numFmtId="3" fontId="197" fillId="117" borderId="607" xfId="0" applyNumberFormat="1" applyFont="1" applyFill="1" applyBorder="1" applyAlignment="1">
      <alignment horizontal="center" vertical="center"/>
    </xf>
    <xf numFmtId="3" fontId="197" fillId="117" borderId="606" xfId="0" applyNumberFormat="1" applyFont="1" applyFill="1" applyBorder="1" applyAlignment="1">
      <alignment horizontal="center" vertical="center"/>
    </xf>
    <xf numFmtId="3" fontId="197" fillId="117" borderId="605" xfId="0" applyNumberFormat="1" applyFont="1" applyFill="1" applyBorder="1" applyAlignment="1">
      <alignment horizontal="center" vertical="center"/>
    </xf>
    <xf numFmtId="3" fontId="226" fillId="117" borderId="606" xfId="0" applyNumberFormat="1" applyFont="1" applyFill="1" applyBorder="1" applyAlignment="1">
      <alignment horizontal="center" vertical="center"/>
    </xf>
    <xf numFmtId="187" fontId="211" fillId="0" borderId="513" xfId="0" applyNumberFormat="1" applyFont="1" applyBorder="1" applyAlignment="1">
      <alignment horizontal="center" vertical="center"/>
    </xf>
    <xf numFmtId="187" fontId="168" fillId="0" borderId="513" xfId="0" applyNumberFormat="1" applyFont="1" applyBorder="1" applyAlignment="1">
      <alignment horizontal="center" vertical="center"/>
    </xf>
    <xf numFmtId="187" fontId="211" fillId="0" borderId="606" xfId="0" applyNumberFormat="1" applyFont="1" applyBorder="1" applyAlignment="1">
      <alignment horizontal="center" vertical="center"/>
    </xf>
    <xf numFmtId="177" fontId="0" fillId="0" borderId="6" xfId="0" applyNumberFormat="1" applyFont="1" applyBorder="1" applyAlignment="1">
      <alignment horizontal="center" vertical="center"/>
    </xf>
    <xf numFmtId="187" fontId="219" fillId="125" borderId="606" xfId="0" applyNumberFormat="1" applyFont="1" applyFill="1" applyBorder="1" applyAlignment="1">
      <alignment horizontal="center" vertical="center"/>
    </xf>
    <xf numFmtId="187" fontId="219" fillId="125" borderId="600" xfId="0" applyNumberFormat="1" applyFont="1" applyFill="1" applyBorder="1" applyAlignment="1">
      <alignment horizontal="center" vertical="center"/>
    </xf>
    <xf numFmtId="177" fontId="0" fillId="0" borderId="606" xfId="0" applyNumberFormat="1" applyFont="1" applyBorder="1" applyAlignment="1">
      <alignment horizontal="center" vertical="center"/>
    </xf>
    <xf numFmtId="177" fontId="0" fillId="0" borderId="606" xfId="0" applyNumberFormat="1" applyFont="1" applyFill="1" applyBorder="1" applyAlignment="1">
      <alignment horizontal="center" vertical="center"/>
    </xf>
    <xf numFmtId="177" fontId="177" fillId="125" borderId="120" xfId="0" applyNumberFormat="1" applyFont="1" applyFill="1" applyBorder="1" applyAlignment="1">
      <alignment horizontal="center" vertical="center"/>
    </xf>
    <xf numFmtId="3" fontId="177" fillId="125" borderId="600" xfId="2" applyNumberFormat="1" applyFont="1" applyFill="1" applyBorder="1" applyAlignment="1">
      <alignment horizontal="center" vertical="center" wrapText="1"/>
    </xf>
    <xf numFmtId="3" fontId="29" fillId="0" borderId="606" xfId="2" applyNumberFormat="1" applyFont="1" applyFill="1" applyBorder="1" applyAlignment="1">
      <alignment horizontal="center" vertical="center" wrapText="1"/>
    </xf>
    <xf numFmtId="177" fontId="0" fillId="125" borderId="6" xfId="0" applyNumberFormat="1" applyFont="1" applyFill="1" applyBorder="1" applyAlignment="1">
      <alignment horizontal="center" vertical="center"/>
    </xf>
    <xf numFmtId="177" fontId="0" fillId="125" borderId="606" xfId="0" applyNumberFormat="1" applyFont="1" applyFill="1" applyBorder="1" applyAlignment="1">
      <alignment horizontal="center" vertical="center"/>
    </xf>
    <xf numFmtId="177" fontId="29" fillId="0" borderId="120" xfId="0" applyNumberFormat="1" applyFont="1" applyBorder="1" applyAlignment="1">
      <alignment horizontal="center" vertical="center"/>
    </xf>
    <xf numFmtId="177" fontId="29" fillId="0" borderId="5" xfId="0" applyNumberFormat="1" applyFont="1" applyBorder="1" applyAlignment="1">
      <alignment horizontal="center" vertical="center"/>
    </xf>
    <xf numFmtId="223" fontId="29" fillId="0" borderId="210" xfId="0" applyNumberFormat="1" applyFont="1" applyBorder="1" applyAlignment="1">
      <alignment horizontal="center" vertical="center"/>
    </xf>
    <xf numFmtId="177" fontId="29" fillId="0" borderId="6" xfId="0" applyNumberFormat="1" applyFont="1" applyBorder="1" applyAlignment="1">
      <alignment horizontal="center" vertical="center"/>
    </xf>
    <xf numFmtId="177" fontId="29" fillId="15" borderId="6" xfId="0" applyNumberFormat="1" applyFont="1" applyFill="1" applyBorder="1" applyAlignment="1">
      <alignment horizontal="center" vertical="center"/>
    </xf>
    <xf numFmtId="38" fontId="29" fillId="0" borderId="228" xfId="2" applyNumberFormat="1" applyFont="1" applyFill="1" applyBorder="1" applyAlignment="1">
      <alignment horizontal="center" vertical="center" wrapText="1"/>
    </xf>
    <xf numFmtId="38" fontId="29" fillId="0" borderId="606" xfId="2" applyNumberFormat="1" applyFont="1" applyFill="1" applyBorder="1" applyAlignment="1">
      <alignment horizontal="center" vertical="center" wrapText="1"/>
    </xf>
    <xf numFmtId="38" fontId="29" fillId="0" borderId="5" xfId="2" applyNumberFormat="1" applyFont="1" applyFill="1" applyBorder="1" applyAlignment="1">
      <alignment horizontal="center" vertical="center" wrapText="1"/>
    </xf>
    <xf numFmtId="223" fontId="177" fillId="125" borderId="266" xfId="0" applyNumberFormat="1" applyFont="1" applyFill="1" applyBorder="1" applyAlignment="1">
      <alignment horizontal="center" vertical="center"/>
    </xf>
    <xf numFmtId="223" fontId="177" fillId="125" borderId="515" xfId="0" applyNumberFormat="1" applyFont="1" applyFill="1" applyBorder="1" applyAlignment="1">
      <alignment horizontal="center" vertical="center"/>
    </xf>
    <xf numFmtId="0" fontId="29" fillId="7" borderId="0" xfId="0" applyFont="1" applyFill="1" applyBorder="1" applyAlignment="1">
      <alignment horizontal="left" vertical="center"/>
    </xf>
    <xf numFmtId="2" fontId="58" fillId="0" borderId="515" xfId="0" applyNumberFormat="1" applyFont="1" applyBorder="1" applyAlignment="1">
      <alignment horizontal="center" vertical="center"/>
    </xf>
    <xf numFmtId="0" fontId="29" fillId="7" borderId="0" xfId="0" applyFont="1" applyFill="1" applyBorder="1" applyAlignment="1">
      <alignment horizontal="center" vertical="center"/>
    </xf>
    <xf numFmtId="0" fontId="35" fillId="3" borderId="606" xfId="0" applyFont="1" applyFill="1" applyBorder="1" applyAlignment="1">
      <alignment horizontal="center" vertical="center"/>
    </xf>
    <xf numFmtId="2" fontId="35" fillId="7" borderId="606" xfId="0" applyNumberFormat="1" applyFont="1" applyFill="1" applyBorder="1" applyAlignment="1">
      <alignment horizontal="center" vertical="center"/>
    </xf>
    <xf numFmtId="38" fontId="29" fillId="7" borderId="606" xfId="0" applyNumberFormat="1" applyFont="1" applyFill="1" applyBorder="1" applyAlignment="1">
      <alignment horizontal="center" vertical="center"/>
    </xf>
    <xf numFmtId="3" fontId="202" fillId="0" borderId="606" xfId="0" applyNumberFormat="1" applyFont="1" applyBorder="1" applyAlignment="1">
      <alignment horizontal="center" vertical="center"/>
    </xf>
    <xf numFmtId="187" fontId="29" fillId="7" borderId="606" xfId="0" applyNumberFormat="1" applyFont="1" applyFill="1" applyBorder="1" applyAlignment="1">
      <alignment horizontal="center" vertical="center" readingOrder="1"/>
    </xf>
    <xf numFmtId="38" fontId="29" fillId="7" borderId="606" xfId="0" applyNumberFormat="1" applyFont="1" applyFill="1" applyBorder="1" applyAlignment="1">
      <alignment horizontal="center" vertical="center" readingOrder="1"/>
    </xf>
    <xf numFmtId="38" fontId="35" fillId="7" borderId="606" xfId="0" applyNumberFormat="1" applyFont="1" applyFill="1" applyBorder="1" applyAlignment="1">
      <alignment horizontal="center" vertical="center"/>
    </xf>
    <xf numFmtId="38" fontId="35" fillId="3" borderId="606" xfId="0" applyNumberFormat="1" applyFont="1" applyFill="1" applyBorder="1" applyAlignment="1">
      <alignment horizontal="center" vertical="center"/>
    </xf>
    <xf numFmtId="3" fontId="179" fillId="3" borderId="606" xfId="0" applyNumberFormat="1" applyFont="1" applyFill="1" applyBorder="1" applyAlignment="1">
      <alignment horizontal="center" vertical="center" wrapText="1" readingOrder="1"/>
    </xf>
    <xf numFmtId="187" fontId="29" fillId="7" borderId="606" xfId="0" applyNumberFormat="1" applyFont="1" applyFill="1" applyBorder="1" applyAlignment="1">
      <alignment horizontal="center" vertical="center"/>
    </xf>
    <xf numFmtId="3" fontId="179" fillId="3" borderId="600" xfId="0" applyNumberFormat="1" applyFont="1" applyFill="1" applyBorder="1" applyAlignment="1">
      <alignment horizontal="center" vertical="center" wrapText="1" readingOrder="1"/>
    </xf>
    <xf numFmtId="187" fontId="172" fillId="0" borderId="604" xfId="0" applyNumberFormat="1" applyFont="1" applyBorder="1" applyAlignment="1">
      <alignment horizontal="center" vertical="center"/>
    </xf>
    <xf numFmtId="2" fontId="177" fillId="125" borderId="606" xfId="0" applyNumberFormat="1" applyFont="1" applyFill="1" applyBorder="1" applyAlignment="1">
      <alignment horizontal="center" vertical="center"/>
    </xf>
    <xf numFmtId="0" fontId="177" fillId="127" borderId="599" xfId="0" applyFont="1" applyFill="1" applyBorder="1" applyAlignment="1">
      <alignment horizontal="center" vertical="center"/>
    </xf>
    <xf numFmtId="0" fontId="177" fillId="127" borderId="600" xfId="0" applyFont="1" applyFill="1" applyBorder="1" applyAlignment="1">
      <alignment horizontal="center" vertical="center"/>
    </xf>
    <xf numFmtId="0" fontId="177" fillId="127" borderId="607" xfId="0" applyFont="1" applyFill="1" applyBorder="1" applyAlignment="1">
      <alignment horizontal="center" vertical="center"/>
    </xf>
    <xf numFmtId="0" fontId="178" fillId="127" borderId="261" xfId="0" applyFont="1" applyFill="1" applyBorder="1" applyAlignment="1">
      <alignment horizontal="center" vertical="center"/>
    </xf>
    <xf numFmtId="0" fontId="178" fillId="127" borderId="200" xfId="0" applyFont="1" applyFill="1" applyBorder="1" applyAlignment="1">
      <alignment horizontal="center" vertical="center"/>
    </xf>
    <xf numFmtId="0" fontId="29" fillId="0" borderId="0" xfId="0" applyFont="1" applyAlignment="1">
      <alignment horizontal="center" vertical="center"/>
    </xf>
    <xf numFmtId="185" fontId="29" fillId="0" borderId="0" xfId="0" applyNumberFormat="1" applyFont="1">
      <alignment vertical="center"/>
    </xf>
    <xf numFmtId="0" fontId="29" fillId="0" borderId="0" xfId="0" applyFont="1" applyAlignment="1">
      <alignment horizontal="center" vertical="center" wrapText="1"/>
    </xf>
    <xf numFmtId="223" fontId="58" fillId="15" borderId="6" xfId="0" applyNumberFormat="1" applyFont="1" applyFill="1" applyBorder="1" applyAlignment="1">
      <alignment horizontal="center" vertical="center"/>
    </xf>
    <xf numFmtId="0" fontId="26" fillId="0" borderId="513" xfId="0" applyFont="1" applyBorder="1" applyAlignment="1">
      <alignment horizontal="center" vertical="center"/>
    </xf>
    <xf numFmtId="177" fontId="29" fillId="0" borderId="258" xfId="1" applyNumberFormat="1" applyFont="1" applyBorder="1" applyAlignment="1">
      <alignment horizontal="center" vertical="center" wrapText="1"/>
    </xf>
    <xf numFmtId="177" fontId="186" fillId="0" borderId="258" xfId="1" applyNumberFormat="1" applyFont="1" applyBorder="1" applyAlignment="1">
      <alignment horizontal="center" vertical="center" wrapText="1"/>
    </xf>
    <xf numFmtId="177" fontId="177" fillId="125" borderId="258" xfId="1" applyNumberFormat="1" applyFont="1" applyFill="1" applyBorder="1" applyAlignment="1">
      <alignment horizontal="center" vertical="center" wrapText="1"/>
    </xf>
    <xf numFmtId="177" fontId="177" fillId="125" borderId="259" xfId="1" applyNumberFormat="1" applyFont="1" applyFill="1" applyBorder="1" applyAlignment="1">
      <alignment horizontal="center" vertical="center" wrapText="1"/>
    </xf>
    <xf numFmtId="177" fontId="177" fillId="128" borderId="205" xfId="1" applyNumberFormat="1" applyFont="1" applyFill="1" applyBorder="1" applyAlignment="1">
      <alignment horizontal="center" vertical="center" wrapText="1"/>
    </xf>
    <xf numFmtId="177" fontId="29" fillId="3" borderId="642" xfId="1" applyNumberFormat="1" applyFont="1" applyFill="1" applyBorder="1" applyAlignment="1">
      <alignment horizontal="center" vertical="center" wrapText="1"/>
    </xf>
    <xf numFmtId="0" fontId="178" fillId="126" borderId="606" xfId="0" applyFont="1" applyFill="1" applyBorder="1" applyAlignment="1">
      <alignment horizontal="center" vertical="center"/>
    </xf>
    <xf numFmtId="0" fontId="172" fillId="0" borderId="0" xfId="0" applyFont="1" applyAlignment="1">
      <alignment horizontal="left" vertical="center"/>
    </xf>
    <xf numFmtId="0" fontId="177" fillId="126" borderId="224" xfId="0" applyFont="1" applyFill="1" applyBorder="1" applyAlignment="1">
      <alignment horizontal="center" vertical="center"/>
    </xf>
    <xf numFmtId="0" fontId="178" fillId="126" borderId="600" xfId="0" applyFont="1" applyFill="1" applyBorder="1" applyAlignment="1">
      <alignment horizontal="center" vertical="center"/>
    </xf>
    <xf numFmtId="38" fontId="177" fillId="126" borderId="224" xfId="0" applyNumberFormat="1" applyFont="1" applyFill="1" applyBorder="1" applyAlignment="1">
      <alignment horizontal="center" vertical="center"/>
    </xf>
    <xf numFmtId="223" fontId="168" fillId="3" borderId="227" xfId="0" applyNumberFormat="1" applyFont="1" applyFill="1" applyBorder="1" applyAlignment="1">
      <alignment horizontal="center" vertical="center"/>
    </xf>
    <xf numFmtId="38" fontId="168" fillId="3" borderId="227" xfId="2" applyNumberFormat="1" applyFont="1" applyFill="1" applyBorder="1" applyAlignment="1">
      <alignment horizontal="center" vertical="center"/>
    </xf>
    <xf numFmtId="223" fontId="187" fillId="3" borderId="227" xfId="2" applyNumberFormat="1" applyFont="1" applyFill="1" applyBorder="1" applyAlignment="1">
      <alignment horizontal="center" vertical="center"/>
    </xf>
    <xf numFmtId="223" fontId="58" fillId="0" borderId="608" xfId="2" applyNumberFormat="1" applyFont="1" applyBorder="1" applyAlignment="1">
      <alignment horizontal="center" vertical="center"/>
    </xf>
    <xf numFmtId="178" fontId="58" fillId="15" borderId="608" xfId="2" applyNumberFormat="1" applyFont="1" applyFill="1" applyBorder="1" applyAlignment="1">
      <alignment horizontal="center" vertical="center"/>
    </xf>
    <xf numFmtId="187" fontId="58" fillId="15" borderId="608" xfId="2" applyNumberFormat="1" applyFont="1" applyFill="1" applyBorder="1" applyAlignment="1">
      <alignment horizontal="center" vertical="center"/>
    </xf>
    <xf numFmtId="223" fontId="58" fillId="0" borderId="592" xfId="2" applyNumberFormat="1" applyFont="1" applyBorder="1" applyAlignment="1">
      <alignment horizontal="center" vertical="center"/>
    </xf>
    <xf numFmtId="38" fontId="58" fillId="7" borderId="608" xfId="2" applyNumberFormat="1" applyFont="1" applyFill="1" applyBorder="1" applyAlignment="1">
      <alignment horizontal="center" vertical="center"/>
    </xf>
    <xf numFmtId="38" fontId="58" fillId="0" borderId="608" xfId="2" applyNumberFormat="1" applyFont="1" applyFill="1" applyBorder="1" applyAlignment="1">
      <alignment horizontal="center" vertical="center"/>
    </xf>
    <xf numFmtId="38" fontId="58" fillId="0" borderId="592" xfId="2" applyNumberFormat="1" applyFont="1" applyFill="1" applyBorder="1" applyAlignment="1">
      <alignment horizontal="center" vertical="center"/>
    </xf>
    <xf numFmtId="0" fontId="178" fillId="127" borderId="599" xfId="0" applyFont="1" applyFill="1" applyBorder="1" applyAlignment="1">
      <alignment horizontal="center" vertical="center"/>
    </xf>
    <xf numFmtId="0" fontId="178" fillId="127" borderId="592" xfId="0" applyFont="1" applyFill="1" applyBorder="1" applyAlignment="1">
      <alignment horizontal="center" vertical="center"/>
    </xf>
    <xf numFmtId="223" fontId="58" fillId="0" borderId="515" xfId="0" applyNumberFormat="1" applyFont="1" applyBorder="1" applyAlignment="1">
      <alignment horizontal="center" vertical="center"/>
    </xf>
    <xf numFmtId="223" fontId="58" fillId="0" borderId="200" xfId="0" applyNumberFormat="1" applyFont="1" applyBorder="1" applyAlignment="1">
      <alignment horizontal="center" vertical="center"/>
    </xf>
    <xf numFmtId="223" fontId="58" fillId="0" borderId="592" xfId="0" applyNumberFormat="1" applyFont="1" applyBorder="1" applyAlignment="1">
      <alignment horizontal="center" vertical="center"/>
    </xf>
    <xf numFmtId="0" fontId="178" fillId="127" borderId="608" xfId="0" applyFont="1" applyFill="1" applyBorder="1" applyAlignment="1">
      <alignment horizontal="center" vertical="center"/>
    </xf>
    <xf numFmtId="223" fontId="58" fillId="0" borderId="608" xfId="0" applyNumberFormat="1" applyFont="1" applyBorder="1" applyAlignment="1">
      <alignment horizontal="center" vertical="center"/>
    </xf>
    <xf numFmtId="0" fontId="178" fillId="127" borderId="515" xfId="0" applyFont="1" applyFill="1" applyBorder="1" applyAlignment="1">
      <alignment horizontal="center" vertical="center"/>
    </xf>
    <xf numFmtId="223" fontId="58" fillId="0" borderId="227" xfId="0" applyNumberFormat="1" applyFont="1" applyBorder="1" applyAlignment="1">
      <alignment horizontal="center" vertical="center"/>
    </xf>
    <xf numFmtId="223" fontId="58" fillId="0" borderId="608" xfId="0" applyNumberFormat="1" applyFont="1" applyFill="1" applyBorder="1" applyAlignment="1">
      <alignment horizontal="center" vertical="center"/>
    </xf>
    <xf numFmtId="223" fontId="58" fillId="0" borderId="592" xfId="0" applyNumberFormat="1" applyFont="1" applyFill="1" applyBorder="1" applyAlignment="1">
      <alignment horizontal="center" vertical="center"/>
    </xf>
    <xf numFmtId="0" fontId="178" fillId="127" borderId="200" xfId="0" applyFont="1" applyFill="1" applyBorder="1" applyAlignment="1">
      <alignment horizontal="center" vertical="center" wrapText="1"/>
    </xf>
    <xf numFmtId="0" fontId="177" fillId="125" borderId="605" xfId="0" applyFont="1" applyFill="1" applyBorder="1" applyAlignment="1">
      <alignment horizontal="center" vertical="center" wrapText="1"/>
    </xf>
    <xf numFmtId="0" fontId="177" fillId="125" borderId="514" xfId="0" applyFont="1" applyFill="1" applyBorder="1" applyAlignment="1">
      <alignment horizontal="center" vertical="center" wrapText="1"/>
    </xf>
    <xf numFmtId="2" fontId="177" fillId="125" borderId="613" xfId="0" applyNumberFormat="1" applyFont="1" applyFill="1" applyBorder="1" applyAlignment="1">
      <alignment horizontal="center" vertical="center"/>
    </xf>
    <xf numFmtId="183" fontId="29" fillId="7" borderId="605" xfId="2" applyNumberFormat="1" applyFont="1" applyFill="1" applyBorder="1" applyAlignment="1">
      <alignment horizontal="center" vertical="center" wrapText="1"/>
    </xf>
    <xf numFmtId="2" fontId="177" fillId="125" borderId="605" xfId="0" applyNumberFormat="1" applyFont="1" applyFill="1" applyBorder="1" applyAlignment="1">
      <alignment horizontal="center" vertical="center"/>
    </xf>
    <xf numFmtId="4" fontId="58" fillId="7" borderId="332" xfId="2" applyNumberFormat="1" applyFont="1" applyFill="1" applyBorder="1" applyAlignment="1">
      <alignment horizontal="center" vertical="center"/>
    </xf>
    <xf numFmtId="178" fontId="29" fillId="0" borderId="612" xfId="0" applyNumberFormat="1" applyFont="1" applyBorder="1" applyAlignment="1">
      <alignment horizontal="center" vertical="center"/>
    </xf>
    <xf numFmtId="0" fontId="29" fillId="5" borderId="606" xfId="0" applyFont="1" applyFill="1" applyBorder="1" applyAlignment="1">
      <alignment horizontal="center" vertical="center" wrapText="1"/>
    </xf>
    <xf numFmtId="176" fontId="48" fillId="0" borderId="70" xfId="0" applyNumberFormat="1" applyFont="1" applyFill="1" applyBorder="1" applyAlignment="1">
      <alignment horizontal="center" vertical="center"/>
    </xf>
    <xf numFmtId="186" fontId="208" fillId="3" borderId="153" xfId="0" applyNumberFormat="1" applyFont="1" applyFill="1" applyBorder="1" applyAlignment="1">
      <alignment horizontal="right" vertical="center"/>
    </xf>
    <xf numFmtId="186" fontId="208" fillId="3" borderId="65" xfId="0" applyNumberFormat="1" applyFont="1" applyFill="1" applyBorder="1" applyAlignment="1">
      <alignment horizontal="right" vertical="center"/>
    </xf>
    <xf numFmtId="223" fontId="29" fillId="0" borderId="6" xfId="0" applyNumberFormat="1" applyFont="1" applyBorder="1" applyAlignment="1">
      <alignment horizontal="center" vertical="center"/>
    </xf>
    <xf numFmtId="4" fontId="170" fillId="7" borderId="0" xfId="0" applyNumberFormat="1" applyFont="1" applyFill="1" applyAlignment="1">
      <alignment horizontal="center" vertical="center"/>
    </xf>
    <xf numFmtId="183" fontId="170" fillId="7" borderId="0" xfId="0" applyNumberFormat="1" applyFont="1" applyFill="1" applyAlignment="1">
      <alignment horizontal="center" vertical="center"/>
    </xf>
    <xf numFmtId="9" fontId="187" fillId="0" borderId="120" xfId="2" applyNumberFormat="1" applyFont="1" applyFill="1" applyBorder="1" applyAlignment="1">
      <alignment horizontal="center" vertical="center"/>
    </xf>
    <xf numFmtId="9" fontId="187" fillId="0" borderId="6" xfId="2" applyNumberFormat="1" applyFont="1" applyFill="1" applyBorder="1" applyAlignment="1">
      <alignment horizontal="center" vertical="center"/>
    </xf>
    <xf numFmtId="38" fontId="58" fillId="7" borderId="606" xfId="2" applyNumberFormat="1" applyFont="1" applyFill="1" applyBorder="1" applyAlignment="1">
      <alignment horizontal="center" vertical="center"/>
    </xf>
    <xf numFmtId="38" fontId="58" fillId="15" borderId="613" xfId="2" applyNumberFormat="1" applyFont="1" applyFill="1" applyBorder="1" applyAlignment="1">
      <alignment horizontal="center" vertical="center"/>
    </xf>
    <xf numFmtId="38" fontId="58" fillId="0" borderId="613" xfId="2" applyNumberFormat="1" applyFont="1" applyBorder="1" applyAlignment="1">
      <alignment horizontal="center" vertical="center"/>
    </xf>
    <xf numFmtId="38" fontId="58" fillId="0" borderId="47" xfId="2" applyNumberFormat="1" applyFont="1" applyBorder="1" applyAlignment="1">
      <alignment horizontal="center" vertical="center"/>
    </xf>
    <xf numFmtId="38" fontId="58" fillId="15" borderId="516" xfId="2" applyNumberFormat="1" applyFont="1" applyFill="1" applyBorder="1" applyAlignment="1">
      <alignment horizontal="center" vertical="center"/>
    </xf>
    <xf numFmtId="38" fontId="58" fillId="15" borderId="23" xfId="2" applyNumberFormat="1" applyFont="1" applyFill="1" applyBorder="1" applyAlignment="1">
      <alignment horizontal="center" vertical="center"/>
    </xf>
    <xf numFmtId="183" fontId="58" fillId="15" borderId="602" xfId="2" applyNumberFormat="1" applyFont="1" applyFill="1" applyBorder="1" applyAlignment="1">
      <alignment horizontal="center" vertical="center"/>
    </xf>
    <xf numFmtId="38" fontId="58" fillId="15" borderId="84" xfId="2" applyNumberFormat="1" applyFont="1" applyFill="1" applyBorder="1" applyAlignment="1">
      <alignment horizontal="center" vertical="center"/>
    </xf>
    <xf numFmtId="0" fontId="58" fillId="15" borderId="602" xfId="2" applyNumberFormat="1" applyFont="1" applyFill="1" applyBorder="1" applyAlignment="1">
      <alignment vertical="center"/>
    </xf>
    <xf numFmtId="223" fontId="58" fillId="0" borderId="602" xfId="2" applyNumberFormat="1" applyFont="1" applyFill="1" applyBorder="1" applyAlignment="1">
      <alignment horizontal="center" vertical="center"/>
    </xf>
    <xf numFmtId="38" fontId="58" fillId="15" borderId="613" xfId="2" applyNumberFormat="1" applyFont="1" applyFill="1" applyBorder="1" applyAlignment="1">
      <alignment vertical="center"/>
    </xf>
    <xf numFmtId="223" fontId="58" fillId="0" borderId="84" xfId="2" applyNumberFormat="1" applyFont="1" applyFill="1" applyBorder="1" applyAlignment="1">
      <alignment horizontal="center" vertical="center"/>
    </xf>
    <xf numFmtId="187" fontId="58" fillId="15" borderId="84" xfId="2" applyNumberFormat="1" applyFont="1" applyFill="1" applyBorder="1" applyAlignment="1">
      <alignment horizontal="center" vertical="center"/>
    </xf>
    <xf numFmtId="38" fontId="58" fillId="7" borderId="613" xfId="2" applyNumberFormat="1" applyFont="1" applyFill="1" applyBorder="1" applyAlignment="1">
      <alignment horizontal="center" vertical="center"/>
    </xf>
    <xf numFmtId="187" fontId="58" fillId="15" borderId="516" xfId="2" applyNumberFormat="1" applyFont="1" applyFill="1" applyBorder="1" applyAlignment="1">
      <alignment horizontal="center" vertical="center"/>
    </xf>
    <xf numFmtId="223" fontId="58" fillId="7" borderId="23" xfId="2" applyNumberFormat="1" applyFont="1" applyFill="1" applyBorder="1" applyAlignment="1">
      <alignment horizontal="center" vertical="center"/>
    </xf>
    <xf numFmtId="38" fontId="58" fillId="15" borderId="602" xfId="2" applyNumberFormat="1" applyFont="1" applyFill="1" applyBorder="1" applyAlignment="1">
      <alignment horizontal="center" vertical="center"/>
    </xf>
    <xf numFmtId="223" fontId="58" fillId="7" borderId="84" xfId="2" applyNumberFormat="1" applyFont="1" applyFill="1" applyBorder="1" applyAlignment="1">
      <alignment horizontal="center" vertical="center"/>
    </xf>
    <xf numFmtId="187" fontId="58" fillId="7" borderId="602" xfId="2" applyNumberFormat="1" applyFont="1" applyFill="1" applyBorder="1" applyAlignment="1">
      <alignment horizontal="center" vertical="center"/>
    </xf>
    <xf numFmtId="223" fontId="172" fillId="0" borderId="286" xfId="0" applyNumberFormat="1" applyFont="1" applyBorder="1" applyAlignment="1">
      <alignment horizontal="center" vertical="center"/>
    </xf>
    <xf numFmtId="176" fontId="58" fillId="0" borderId="120" xfId="2" applyNumberFormat="1" applyFont="1" applyBorder="1" applyAlignment="1">
      <alignment horizontal="center" vertical="center"/>
    </xf>
    <xf numFmtId="4" fontId="58" fillId="0" borderId="513" xfId="2" applyNumberFormat="1" applyFont="1" applyBorder="1" applyAlignment="1">
      <alignment horizontal="center" vertical="center"/>
    </xf>
    <xf numFmtId="183" fontId="58" fillId="0" borderId="6" xfId="2" applyNumberFormat="1" applyFont="1" applyBorder="1" applyAlignment="1">
      <alignment horizontal="center" vertical="center"/>
    </xf>
    <xf numFmtId="4" fontId="58" fillId="0" borderId="606" xfId="2" applyNumberFormat="1" applyFont="1" applyBorder="1" applyAlignment="1">
      <alignment horizontal="center" vertical="center"/>
    </xf>
    <xf numFmtId="2" fontId="58" fillId="5" borderId="513" xfId="0" applyNumberFormat="1" applyFont="1" applyFill="1" applyBorder="1" applyAlignment="1">
      <alignment horizontal="center" vertical="center"/>
    </xf>
    <xf numFmtId="4" fontId="58" fillId="0" borderId="224" xfId="2" applyNumberFormat="1" applyFont="1" applyBorder="1" applyAlignment="1">
      <alignment horizontal="center" vertical="center"/>
    </xf>
    <xf numFmtId="3" fontId="58" fillId="0" borderId="6" xfId="2" applyNumberFormat="1" applyFont="1" applyBorder="1" applyAlignment="1">
      <alignment horizontal="center" vertical="center"/>
    </xf>
    <xf numFmtId="178" fontId="58" fillId="0" borderId="606" xfId="2" applyNumberFormat="1" applyFont="1" applyFill="1" applyBorder="1" applyAlignment="1">
      <alignment horizontal="center" vertical="center" wrapText="1"/>
    </xf>
    <xf numFmtId="4" fontId="58" fillId="0" borderId="600" xfId="2" applyNumberFormat="1" applyFont="1" applyBorder="1" applyAlignment="1">
      <alignment horizontal="center" vertical="center"/>
    </xf>
    <xf numFmtId="178" fontId="58" fillId="0" borderId="513" xfId="2" applyNumberFormat="1" applyFont="1" applyBorder="1" applyAlignment="1">
      <alignment horizontal="center" vertical="center"/>
    </xf>
    <xf numFmtId="178" fontId="58" fillId="0" borderId="6" xfId="2" applyNumberFormat="1" applyFont="1" applyBorder="1" applyAlignment="1">
      <alignment horizontal="center" vertical="center"/>
    </xf>
    <xf numFmtId="178" fontId="58" fillId="0" borderId="224" xfId="2" applyNumberFormat="1" applyFont="1" applyBorder="1" applyAlignment="1">
      <alignment horizontal="center" vertical="center"/>
    </xf>
    <xf numFmtId="4" fontId="58" fillId="0" borderId="120" xfId="2" applyNumberFormat="1" applyFont="1" applyBorder="1" applyAlignment="1">
      <alignment horizontal="center" vertical="center"/>
    </xf>
    <xf numFmtId="187" fontId="58" fillId="7" borderId="38" xfId="2" applyNumberFormat="1" applyFont="1" applyFill="1" applyBorder="1" applyAlignment="1">
      <alignment horizontal="center" vertical="center"/>
    </xf>
    <xf numFmtId="4" fontId="58" fillId="0" borderId="601" xfId="0" applyNumberFormat="1" applyFont="1" applyBorder="1" applyAlignment="1">
      <alignment horizontal="center" vertical="center"/>
    </xf>
    <xf numFmtId="187" fontId="58" fillId="15" borderId="613" xfId="2" applyNumberFormat="1" applyFont="1" applyFill="1" applyBorder="1" applyAlignment="1">
      <alignment horizontal="center" vertical="center"/>
    </xf>
    <xf numFmtId="38" fontId="58" fillId="0" borderId="613" xfId="2" applyNumberFormat="1" applyFont="1" applyFill="1" applyBorder="1" applyAlignment="1">
      <alignment horizontal="center" vertical="center"/>
    </xf>
    <xf numFmtId="38" fontId="58" fillId="5" borderId="350" xfId="2" applyNumberFormat="1" applyFont="1" applyFill="1" applyBorder="1" applyAlignment="1">
      <alignment horizontal="center" vertical="center"/>
    </xf>
    <xf numFmtId="38" fontId="58" fillId="15" borderId="47" xfId="2" applyNumberFormat="1" applyFont="1" applyFill="1" applyBorder="1" applyAlignment="1">
      <alignment horizontal="center" vertical="center"/>
    </xf>
    <xf numFmtId="187" fontId="58" fillId="0" borderId="606" xfId="2" applyNumberFormat="1" applyFont="1" applyBorder="1" applyAlignment="1">
      <alignment horizontal="center" vertical="center"/>
    </xf>
    <xf numFmtId="226" fontId="58" fillId="5" borderId="606" xfId="2" applyNumberFormat="1" applyFont="1" applyFill="1" applyBorder="1" applyAlignment="1">
      <alignment horizontal="center" vertical="center"/>
    </xf>
    <xf numFmtId="2" fontId="58" fillId="15" borderId="513" xfId="0" applyNumberFormat="1" applyFont="1" applyFill="1" applyBorder="1" applyAlignment="1">
      <alignment horizontal="center" vertical="center"/>
    </xf>
    <xf numFmtId="187" fontId="58" fillId="0" borderId="6" xfId="2" applyNumberFormat="1" applyFont="1" applyBorder="1" applyAlignment="1">
      <alignment horizontal="center" vertical="center"/>
    </xf>
    <xf numFmtId="226" fontId="58" fillId="0" borderId="600" xfId="2" applyNumberFormat="1" applyFont="1" applyBorder="1" applyAlignment="1">
      <alignment horizontal="center" vertical="center"/>
    </xf>
    <xf numFmtId="226" fontId="58" fillId="0" borderId="228" xfId="2" applyNumberFormat="1" applyFont="1" applyBorder="1" applyAlignment="1">
      <alignment horizontal="center" vertical="center"/>
    </xf>
    <xf numFmtId="10" fontId="187" fillId="3" borderId="0" xfId="0" applyNumberFormat="1" applyFont="1" applyFill="1" applyAlignment="1">
      <alignment horizontal="center" vertical="center"/>
    </xf>
    <xf numFmtId="226" fontId="29" fillId="0" borderId="226" xfId="2" applyNumberFormat="1" applyFont="1" applyFill="1" applyBorder="1" applyAlignment="1">
      <alignment horizontal="center" vertical="center" wrapText="1"/>
    </xf>
    <xf numFmtId="226" fontId="29" fillId="0" borderId="45" xfId="2" applyNumberFormat="1" applyFont="1" applyFill="1" applyBorder="1" applyAlignment="1">
      <alignment horizontal="center" vertical="center"/>
    </xf>
    <xf numFmtId="226" fontId="29" fillId="0" borderId="605" xfId="2" applyNumberFormat="1" applyFont="1" applyFill="1" applyBorder="1" applyAlignment="1">
      <alignment horizontal="center" vertical="center"/>
    </xf>
    <xf numFmtId="226" fontId="29" fillId="0" borderId="514" xfId="2" applyNumberFormat="1" applyFont="1" applyFill="1" applyBorder="1" applyAlignment="1">
      <alignment horizontal="center" vertical="center"/>
    </xf>
    <xf numFmtId="183" fontId="29" fillId="0" borderId="223" xfId="2" applyNumberFormat="1" applyFont="1" applyFill="1" applyBorder="1" applyAlignment="1">
      <alignment horizontal="center" vertical="center" wrapText="1"/>
    </xf>
    <xf numFmtId="183" fontId="29" fillId="0" borderId="512" xfId="2" applyNumberFormat="1" applyFont="1" applyFill="1" applyBorder="1" applyAlignment="1">
      <alignment horizontal="center" vertical="center"/>
    </xf>
    <xf numFmtId="183" fontId="177" fillId="125" borderId="119" xfId="2" applyNumberFormat="1" applyFont="1" applyFill="1" applyBorder="1" applyAlignment="1">
      <alignment horizontal="center" vertical="center" wrapText="1"/>
    </xf>
    <xf numFmtId="226" fontId="35" fillId="0" borderId="605" xfId="2" applyNumberFormat="1" applyFont="1" applyFill="1" applyBorder="1" applyAlignment="1">
      <alignment horizontal="center" vertical="center"/>
    </xf>
    <xf numFmtId="226" fontId="35" fillId="93" borderId="287" xfId="2" applyNumberFormat="1" applyFont="1" applyFill="1" applyBorder="1" applyAlignment="1">
      <alignment horizontal="center" vertical="center" wrapText="1"/>
    </xf>
    <xf numFmtId="226" fontId="35" fillId="93" borderId="285" xfId="2" applyNumberFormat="1" applyFont="1" applyFill="1" applyBorder="1" applyAlignment="1">
      <alignment horizontal="center" vertical="center" wrapText="1"/>
    </xf>
    <xf numFmtId="226" fontId="35" fillId="93" borderId="62" xfId="2" applyNumberFormat="1" applyFont="1" applyFill="1" applyBorder="1" applyAlignment="1">
      <alignment horizontal="center" vertical="center"/>
    </xf>
    <xf numFmtId="226" fontId="35" fillId="93" borderId="597" xfId="2" applyNumberFormat="1" applyFont="1" applyFill="1" applyBorder="1" applyAlignment="1">
      <alignment horizontal="center" vertical="center"/>
    </xf>
    <xf numFmtId="226" fontId="35" fillId="93" borderId="518" xfId="2" applyNumberFormat="1" applyFont="1" applyFill="1" applyBorder="1" applyAlignment="1">
      <alignment horizontal="center" vertical="center"/>
    </xf>
    <xf numFmtId="226" fontId="29" fillId="0" borderId="200" xfId="2" applyNumberFormat="1" applyFont="1" applyFill="1" applyBorder="1" applyAlignment="1">
      <alignment horizontal="center" vertical="center"/>
    </xf>
    <xf numFmtId="226" fontId="29" fillId="0" borderId="577" xfId="2" applyNumberFormat="1" applyFont="1" applyFill="1" applyBorder="1" applyAlignment="1">
      <alignment horizontal="center" vertical="center"/>
    </xf>
    <xf numFmtId="226" fontId="29" fillId="0" borderId="515" xfId="2" applyNumberFormat="1" applyFont="1" applyFill="1" applyBorder="1" applyAlignment="1">
      <alignment horizontal="center" vertical="center"/>
    </xf>
    <xf numFmtId="226" fontId="177" fillId="125" borderId="45" xfId="2" applyNumberFormat="1" applyFont="1" applyFill="1" applyBorder="1" applyAlignment="1">
      <alignment horizontal="center" vertical="center" wrapText="1"/>
    </xf>
    <xf numFmtId="226" fontId="177" fillId="125" borderId="62" xfId="2" applyNumberFormat="1" applyFont="1" applyFill="1" applyBorder="1" applyAlignment="1">
      <alignment horizontal="center" vertical="center" wrapText="1"/>
    </xf>
    <xf numFmtId="183" fontId="29" fillId="0" borderId="219" xfId="2" applyNumberFormat="1" applyFont="1" applyFill="1" applyBorder="1" applyAlignment="1">
      <alignment horizontal="center" vertical="center"/>
    </xf>
    <xf numFmtId="178" fontId="177" fillId="125" borderId="119" xfId="0" applyNumberFormat="1" applyFont="1" applyFill="1" applyBorder="1" applyAlignment="1">
      <alignment horizontal="center" vertical="center"/>
    </xf>
    <xf numFmtId="178" fontId="177" fillId="125" borderId="120" xfId="2" applyNumberFormat="1" applyFont="1" applyFill="1" applyBorder="1" applyAlignment="1">
      <alignment horizontal="center" vertical="center"/>
    </xf>
    <xf numFmtId="178" fontId="177" fillId="125" borderId="482" xfId="0" applyNumberFormat="1" applyFont="1" applyFill="1" applyBorder="1" applyAlignment="1">
      <alignment horizontal="center" vertical="center"/>
    </xf>
    <xf numFmtId="223" fontId="177" fillId="125" borderId="513" xfId="2" applyNumberFormat="1" applyFont="1" applyFill="1" applyBorder="1" applyAlignment="1">
      <alignment horizontal="center" vertical="center"/>
    </xf>
    <xf numFmtId="223" fontId="177" fillId="125" borderId="612" xfId="2" applyNumberFormat="1" applyFont="1" applyFill="1" applyBorder="1" applyAlignment="1">
      <alignment horizontal="center" vertical="center" wrapText="1"/>
    </xf>
    <xf numFmtId="183" fontId="177" fillId="125" borderId="120" xfId="2" applyNumberFormat="1" applyFont="1" applyFill="1" applyBorder="1" applyAlignment="1">
      <alignment horizontal="center" vertical="center" wrapText="1"/>
    </xf>
    <xf numFmtId="183" fontId="177" fillId="125" borderId="45" xfId="2" applyNumberFormat="1" applyFont="1" applyFill="1" applyBorder="1" applyAlignment="1">
      <alignment horizontal="center" vertical="center" wrapText="1"/>
    </xf>
    <xf numFmtId="183" fontId="177" fillId="125" borderId="62" xfId="2" applyNumberFormat="1" applyFont="1" applyFill="1" applyBorder="1" applyAlignment="1">
      <alignment horizontal="center" vertical="center" wrapText="1"/>
    </xf>
    <xf numFmtId="223" fontId="177" fillId="125" borderId="514" xfId="2" applyNumberFormat="1" applyFont="1" applyFill="1" applyBorder="1" applyAlignment="1">
      <alignment horizontal="center" vertical="center" wrapText="1"/>
    </xf>
    <xf numFmtId="243" fontId="177" fillId="125" borderId="435" xfId="2" applyNumberFormat="1" applyFont="1" applyFill="1" applyBorder="1" applyAlignment="1">
      <alignment horizontal="center" vertical="center" wrapText="1"/>
    </xf>
    <xf numFmtId="243" fontId="177" fillId="125" borderId="514" xfId="2" applyNumberFormat="1" applyFont="1" applyFill="1" applyBorder="1" applyAlignment="1">
      <alignment horizontal="center" vertical="center" wrapText="1"/>
    </xf>
    <xf numFmtId="183" fontId="58" fillId="0" borderId="591" xfId="2" applyNumberFormat="1" applyFont="1" applyFill="1" applyBorder="1" applyAlignment="1">
      <alignment horizontal="center" vertical="center"/>
    </xf>
    <xf numFmtId="226" fontId="35" fillId="0" borderId="328" xfId="2" applyNumberFormat="1" applyFont="1" applyFill="1" applyBorder="1" applyAlignment="1">
      <alignment horizontal="center" vertical="center"/>
    </xf>
    <xf numFmtId="226" fontId="177" fillId="125" borderId="45" xfId="2" applyNumberFormat="1" applyFont="1" applyFill="1" applyBorder="1" applyAlignment="1">
      <alignment horizontal="center" vertical="center"/>
    </xf>
    <xf numFmtId="179" fontId="177" fillId="125" borderId="62" xfId="0" applyNumberFormat="1" applyFont="1" applyFill="1" applyBorder="1" applyAlignment="1">
      <alignment horizontal="center" vertical="center"/>
    </xf>
    <xf numFmtId="226" fontId="35" fillId="0" borderId="38" xfId="2" applyNumberFormat="1" applyFont="1" applyFill="1" applyBorder="1" applyAlignment="1">
      <alignment horizontal="center" vertical="center"/>
    </xf>
    <xf numFmtId="226" fontId="35" fillId="0" borderId="601" xfId="2" applyNumberFormat="1" applyFont="1" applyFill="1" applyBorder="1" applyAlignment="1">
      <alignment horizontal="center" vertical="center"/>
    </xf>
    <xf numFmtId="226" fontId="29" fillId="0" borderId="38" xfId="2" applyNumberFormat="1" applyFont="1" applyFill="1" applyBorder="1" applyAlignment="1">
      <alignment horizontal="center" vertical="center"/>
    </xf>
    <xf numFmtId="183" fontId="177" fillId="125" borderId="46" xfId="2" applyNumberFormat="1" applyFont="1" applyFill="1" applyBorder="1" applyAlignment="1">
      <alignment horizontal="center" vertical="center" wrapText="1"/>
    </xf>
    <xf numFmtId="183" fontId="177" fillId="125" borderId="516" xfId="2" applyNumberFormat="1" applyFont="1" applyFill="1" applyBorder="1" applyAlignment="1">
      <alignment horizontal="center" vertical="center"/>
    </xf>
    <xf numFmtId="183" fontId="177" fillId="125" borderId="47" xfId="2" applyNumberFormat="1" applyFont="1" applyFill="1" applyBorder="1" applyAlignment="1">
      <alignment horizontal="center" vertical="center" wrapText="1"/>
    </xf>
    <xf numFmtId="243" fontId="177" fillId="125" borderId="516" xfId="2" applyNumberFormat="1" applyFont="1" applyFill="1" applyBorder="1" applyAlignment="1">
      <alignment horizontal="center" vertical="center" wrapText="1"/>
    </xf>
    <xf numFmtId="226" fontId="35" fillId="93" borderId="306" xfId="2" applyNumberFormat="1" applyFont="1" applyFill="1" applyBorder="1" applyAlignment="1">
      <alignment horizontal="center" vertical="center"/>
    </xf>
    <xf numFmtId="226" fontId="35" fillId="93" borderId="590" xfId="2" applyNumberFormat="1" applyFont="1" applyFill="1" applyBorder="1" applyAlignment="1">
      <alignment horizontal="center" vertical="center"/>
    </xf>
    <xf numFmtId="226" fontId="35" fillId="93" borderId="583" xfId="2" applyNumberFormat="1" applyFont="1" applyFill="1" applyBorder="1" applyAlignment="1">
      <alignment horizontal="center" vertical="center"/>
    </xf>
    <xf numFmtId="226" fontId="177" fillId="125" borderId="122" xfId="2" applyNumberFormat="1" applyFont="1" applyFill="1" applyBorder="1" applyAlignment="1">
      <alignment horizontal="center" vertical="center" wrapText="1"/>
    </xf>
    <xf numFmtId="179" fontId="177" fillId="125" borderId="122" xfId="0" applyNumberFormat="1" applyFont="1" applyFill="1" applyBorder="1" applyAlignment="1">
      <alignment horizontal="center" vertical="center"/>
    </xf>
    <xf numFmtId="226" fontId="35" fillId="93" borderId="403" xfId="2" applyNumberFormat="1" applyFont="1" applyFill="1" applyBorder="1" applyAlignment="1">
      <alignment horizontal="center" vertical="center"/>
    </xf>
    <xf numFmtId="183" fontId="177" fillId="125" borderId="518" xfId="2" applyNumberFormat="1" applyFont="1" applyFill="1" applyBorder="1" applyAlignment="1">
      <alignment horizontal="center" vertical="center"/>
    </xf>
    <xf numFmtId="243" fontId="177" fillId="125" borderId="518" xfId="2" applyNumberFormat="1" applyFont="1" applyFill="1" applyBorder="1" applyAlignment="1">
      <alignment horizontal="center" vertical="center" wrapText="1"/>
    </xf>
    <xf numFmtId="226" fontId="35" fillId="93" borderId="122" xfId="2" applyNumberFormat="1" applyFont="1" applyFill="1" applyBorder="1" applyAlignment="1">
      <alignment horizontal="center" vertical="center"/>
    </xf>
    <xf numFmtId="183" fontId="177" fillId="125" borderId="122" xfId="2" applyNumberFormat="1" applyFont="1" applyFill="1" applyBorder="1" applyAlignment="1">
      <alignment horizontal="center" vertical="center" wrapText="1"/>
    </xf>
    <xf numFmtId="183" fontId="177" fillId="125" borderId="583" xfId="2" applyNumberFormat="1" applyFont="1" applyFill="1" applyBorder="1" applyAlignment="1">
      <alignment horizontal="center" vertical="center"/>
    </xf>
    <xf numFmtId="243" fontId="177" fillId="125" borderId="583" xfId="2" applyNumberFormat="1" applyFont="1" applyFill="1" applyBorder="1" applyAlignment="1">
      <alignment horizontal="center" vertical="center" wrapText="1"/>
    </xf>
    <xf numFmtId="226" fontId="35" fillId="93" borderId="94" xfId="2" applyNumberFormat="1" applyFont="1" applyFill="1" applyBorder="1" applyAlignment="1">
      <alignment horizontal="center" vertical="center"/>
    </xf>
    <xf numFmtId="179" fontId="29" fillId="0" borderId="219" xfId="0" applyNumberFormat="1" applyFont="1" applyFill="1" applyBorder="1" applyAlignment="1">
      <alignment horizontal="center" vertical="center"/>
    </xf>
    <xf numFmtId="179" fontId="177" fillId="125" borderId="119" xfId="0" applyNumberFormat="1" applyFont="1" applyFill="1" applyBorder="1" applyAlignment="1">
      <alignment horizontal="center" vertical="center"/>
    </xf>
    <xf numFmtId="187" fontId="29" fillId="0" borderId="605" xfId="0" applyNumberFormat="1" applyFont="1" applyBorder="1" applyAlignment="1">
      <alignment horizontal="center" vertical="center"/>
    </xf>
    <xf numFmtId="187" fontId="177" fillId="125" borderId="605" xfId="2" applyNumberFormat="1" applyFont="1" applyFill="1" applyBorder="1" applyAlignment="1">
      <alignment horizontal="center" vertical="center" wrapText="1"/>
    </xf>
    <xf numFmtId="223" fontId="29" fillId="0" borderId="122" xfId="0" applyNumberFormat="1" applyFont="1" applyBorder="1" applyAlignment="1">
      <alignment horizontal="center" vertical="center"/>
    </xf>
    <xf numFmtId="226" fontId="177" fillId="125" borderId="514" xfId="2" applyNumberFormat="1" applyFont="1" applyFill="1" applyBorder="1" applyAlignment="1">
      <alignment horizontal="center" vertical="center"/>
    </xf>
    <xf numFmtId="183" fontId="177" fillId="125" borderId="62" xfId="0" applyNumberFormat="1" applyFont="1" applyFill="1" applyBorder="1" applyAlignment="1">
      <alignment horizontal="center" vertical="center"/>
    </xf>
    <xf numFmtId="183" fontId="177" fillId="125" borderId="119" xfId="0" applyNumberFormat="1" applyFont="1" applyFill="1" applyBorder="1" applyAlignment="1">
      <alignment horizontal="center" vertical="center"/>
    </xf>
    <xf numFmtId="183" fontId="58" fillId="0" borderId="6" xfId="2" applyNumberFormat="1" applyFont="1" applyFill="1" applyBorder="1" applyAlignment="1">
      <alignment horizontal="center" vertical="center"/>
    </xf>
    <xf numFmtId="183" fontId="58" fillId="0" borderId="38" xfId="2" applyNumberFormat="1" applyFont="1" applyFill="1" applyBorder="1" applyAlignment="1">
      <alignment horizontal="center" vertical="center"/>
    </xf>
    <xf numFmtId="183" fontId="172" fillId="0" borderId="23" xfId="2" applyNumberFormat="1" applyFont="1" applyFill="1" applyBorder="1" applyAlignment="1">
      <alignment horizontal="center" vertical="center"/>
    </xf>
    <xf numFmtId="183" fontId="58" fillId="0" borderId="605" xfId="2" applyNumberFormat="1" applyFont="1" applyFill="1" applyBorder="1" applyAlignment="1">
      <alignment horizontal="center" vertical="center"/>
    </xf>
    <xf numFmtId="183" fontId="35" fillId="0" borderId="613" xfId="0" applyNumberFormat="1" applyFont="1" applyBorder="1" applyAlignment="1">
      <alignment horizontal="center" vertical="center"/>
    </xf>
    <xf numFmtId="183" fontId="58" fillId="117" borderId="591" xfId="2" applyNumberFormat="1" applyFont="1" applyFill="1" applyBorder="1" applyAlignment="1">
      <alignment horizontal="center" vertical="center"/>
    </xf>
    <xf numFmtId="183" fontId="58" fillId="117" borderId="605" xfId="2" applyNumberFormat="1" applyFont="1" applyFill="1" applyBorder="1" applyAlignment="1">
      <alignment horizontal="center" vertical="center"/>
    </xf>
    <xf numFmtId="183" fontId="29" fillId="0" borderId="591" xfId="0" applyNumberFormat="1" applyFont="1" applyBorder="1" applyAlignment="1">
      <alignment horizontal="center" vertical="center"/>
    </xf>
    <xf numFmtId="183" fontId="172" fillId="0" borderId="594" xfId="2" applyNumberFormat="1" applyFont="1" applyFill="1" applyBorder="1" applyAlignment="1">
      <alignment horizontal="center" vertical="center"/>
    </xf>
    <xf numFmtId="183" fontId="58" fillId="0" borderId="587" xfId="2" applyNumberFormat="1" applyFont="1" applyFill="1" applyBorder="1" applyAlignment="1">
      <alignment horizontal="center" vertical="center"/>
    </xf>
    <xf numFmtId="183" fontId="35" fillId="0" borderId="594" xfId="0" applyNumberFormat="1" applyFont="1" applyFill="1" applyBorder="1" applyAlignment="1">
      <alignment horizontal="center" vertical="center"/>
    </xf>
    <xf numFmtId="226" fontId="35" fillId="117" borderId="612" xfId="0" applyNumberFormat="1" applyFont="1" applyFill="1" applyBorder="1" applyAlignment="1">
      <alignment horizontal="center" vertical="center"/>
    </xf>
    <xf numFmtId="231" fontId="172" fillId="0" borderId="47" xfId="2" applyNumberFormat="1" applyFont="1" applyFill="1" applyBorder="1" applyAlignment="1">
      <alignment horizontal="center" vertical="center"/>
    </xf>
    <xf numFmtId="227" fontId="177" fillId="125" borderId="366" xfId="2" applyNumberFormat="1" applyFont="1" applyFill="1" applyBorder="1" applyAlignment="1">
      <alignment horizontal="center" vertical="center"/>
    </xf>
    <xf numFmtId="227" fontId="230" fillId="15" borderId="403" xfId="0" applyNumberFormat="1" applyFont="1" applyFill="1" applyBorder="1" applyAlignment="1">
      <alignment horizontal="center" vertical="center"/>
    </xf>
    <xf numFmtId="227" fontId="230" fillId="15" borderId="597" xfId="0" applyNumberFormat="1" applyFont="1" applyFill="1" applyBorder="1" applyAlignment="1">
      <alignment horizontal="center" vertical="center"/>
    </xf>
    <xf numFmtId="3" fontId="168" fillId="125" borderId="108" xfId="2" applyNumberFormat="1" applyFont="1" applyFill="1" applyBorder="1" applyAlignment="1">
      <alignment horizontal="center" vertical="center" wrapText="1"/>
    </xf>
    <xf numFmtId="3" fontId="168" fillId="125" borderId="224" xfId="2" applyNumberFormat="1" applyFont="1" applyFill="1" applyBorder="1" applyAlignment="1">
      <alignment horizontal="center" vertical="center" wrapText="1"/>
    </xf>
    <xf numFmtId="10" fontId="58" fillId="0" borderId="0" xfId="0" applyNumberFormat="1" applyFont="1" applyFill="1" applyBorder="1" applyAlignment="1">
      <alignment horizontal="center" vertical="center"/>
    </xf>
    <xf numFmtId="183" fontId="58" fillId="0" borderId="0" xfId="0" applyNumberFormat="1" applyFont="1" applyAlignment="1">
      <alignment horizontal="center" vertical="center"/>
    </xf>
    <xf numFmtId="10" fontId="58" fillId="0" borderId="0" xfId="1" applyNumberFormat="1" applyFont="1" applyAlignment="1">
      <alignment horizontal="center" vertical="center"/>
    </xf>
    <xf numFmtId="0" fontId="177" fillId="125" borderId="605" xfId="0" applyFont="1" applyFill="1" applyBorder="1" applyAlignment="1">
      <alignment horizontal="center" vertical="center" wrapText="1"/>
    </xf>
    <xf numFmtId="0" fontId="177" fillId="125" borderId="514" xfId="0" applyFont="1" applyFill="1" applyBorder="1" applyAlignment="1">
      <alignment horizontal="center" vertical="center" wrapText="1"/>
    </xf>
    <xf numFmtId="0" fontId="147" fillId="11" borderId="0" xfId="3846" applyFont="1" applyFill="1">
      <protection locked="0"/>
    </xf>
    <xf numFmtId="0" fontId="147" fillId="12" borderId="0" xfId="3846" applyFont="1" applyFill="1">
      <protection locked="0"/>
    </xf>
    <xf numFmtId="2" fontId="177" fillId="125" borderId="601" xfId="0" applyNumberFormat="1" applyFont="1" applyFill="1" applyBorder="1" applyAlignment="1">
      <alignment horizontal="center" vertical="center"/>
    </xf>
    <xf numFmtId="183" fontId="177" fillId="125" borderId="514" xfId="0" applyNumberFormat="1" applyFont="1" applyFill="1" applyBorder="1" applyAlignment="1">
      <alignment horizontal="center" vertical="center"/>
    </xf>
    <xf numFmtId="183" fontId="29" fillId="0" borderId="601" xfId="0" applyNumberFormat="1" applyFont="1" applyBorder="1" applyAlignment="1">
      <alignment horizontal="center" vertical="center"/>
    </xf>
    <xf numFmtId="183" fontId="177" fillId="125" borderId="513" xfId="0" applyNumberFormat="1" applyFont="1" applyFill="1" applyBorder="1" applyAlignment="1">
      <alignment horizontal="center" vertical="center"/>
    </xf>
    <xf numFmtId="223" fontId="177" fillId="125" borderId="214" xfId="0" applyNumberFormat="1" applyFont="1" applyFill="1" applyBorder="1" applyAlignment="1">
      <alignment horizontal="center" vertical="center"/>
    </xf>
    <xf numFmtId="9" fontId="177" fillId="125" borderId="214" xfId="1" applyNumberFormat="1" applyFont="1" applyFill="1" applyBorder="1" applyAlignment="1">
      <alignment horizontal="center" vertical="center"/>
    </xf>
    <xf numFmtId="187" fontId="58" fillId="0" borderId="266" xfId="2" applyNumberFormat="1" applyFont="1" applyFill="1" applyBorder="1" applyAlignment="1">
      <alignment horizontal="center" vertical="center"/>
    </xf>
    <xf numFmtId="226" fontId="58" fillId="0" borderId="45" xfId="2" applyNumberFormat="1" applyFont="1" applyFill="1" applyBorder="1" applyAlignment="1">
      <alignment horizontal="center" vertical="center"/>
    </xf>
    <xf numFmtId="226" fontId="58" fillId="0" borderId="605" xfId="2" applyNumberFormat="1" applyFont="1" applyFill="1" applyBorder="1" applyAlignment="1">
      <alignment horizontal="center" vertical="center"/>
    </xf>
    <xf numFmtId="178" fontId="29" fillId="0" borderId="602" xfId="0" applyNumberFormat="1" applyFont="1" applyBorder="1" applyAlignment="1">
      <alignment horizontal="center" vertical="center"/>
    </xf>
    <xf numFmtId="181" fontId="0" fillId="0" borderId="0" xfId="0" applyNumberFormat="1" applyAlignment="1"/>
    <xf numFmtId="226" fontId="208" fillId="0" borderId="592" xfId="4124" applyNumberFormat="1" applyFont="1" applyFill="1" applyBorder="1" applyAlignment="1">
      <alignment horizontal="center" vertical="center"/>
    </xf>
    <xf numFmtId="183" fontId="28" fillId="7" borderId="606" xfId="2" applyNumberFormat="1" applyFont="1" applyFill="1" applyBorder="1" applyAlignment="1">
      <alignment horizontal="center" vertical="center"/>
    </xf>
    <xf numFmtId="183" fontId="28" fillId="3" borderId="606" xfId="0" applyNumberFormat="1" applyFont="1" applyFill="1" applyBorder="1" applyAlignment="1">
      <alignment horizontal="center" vertical="center"/>
    </xf>
    <xf numFmtId="181" fontId="28" fillId="7" borderId="606" xfId="2" applyNumberFormat="1" applyFont="1" applyFill="1" applyBorder="1" applyAlignment="1">
      <alignment horizontal="center" vertical="center"/>
    </xf>
    <xf numFmtId="181" fontId="28" fillId="3" borderId="606" xfId="2" applyNumberFormat="1" applyFont="1" applyFill="1" applyBorder="1" applyAlignment="1">
      <alignment horizontal="center" vertical="center"/>
    </xf>
    <xf numFmtId="0" fontId="29" fillId="7" borderId="0" xfId="0" applyFont="1" applyFill="1" applyBorder="1" applyAlignment="1">
      <alignment horizontal="center" vertical="center"/>
    </xf>
    <xf numFmtId="181" fontId="28" fillId="6" borderId="606" xfId="2" applyNumberFormat="1" applyFont="1" applyFill="1" applyBorder="1" applyAlignment="1">
      <alignment horizontal="center" vertical="center"/>
    </xf>
    <xf numFmtId="223" fontId="28" fillId="7" borderId="606" xfId="2" quotePrefix="1" applyNumberFormat="1" applyFont="1" applyFill="1" applyBorder="1" applyAlignment="1">
      <alignment horizontal="center" vertical="center"/>
    </xf>
    <xf numFmtId="2" fontId="0" fillId="0" borderId="606" xfId="0" applyNumberFormat="1" applyBorder="1" applyAlignment="1">
      <alignment horizontal="center" vertical="center"/>
    </xf>
    <xf numFmtId="178" fontId="0" fillId="0" borderId="606" xfId="0" applyNumberFormat="1" applyBorder="1" applyAlignment="1">
      <alignment horizontal="center" vertical="center"/>
    </xf>
    <xf numFmtId="183" fontId="0" fillId="0" borderId="606" xfId="0" applyNumberFormat="1" applyBorder="1" applyAlignment="1">
      <alignment horizontal="center" vertical="center"/>
    </xf>
    <xf numFmtId="189" fontId="0" fillId="0" borderId="606" xfId="0" applyNumberFormat="1" applyBorder="1" applyAlignment="1">
      <alignment horizontal="center" vertical="center"/>
    </xf>
    <xf numFmtId="0" fontId="0" fillId="0" borderId="606" xfId="0" applyFill="1" applyBorder="1" applyAlignment="1">
      <alignment horizontal="center" vertical="center"/>
    </xf>
    <xf numFmtId="0" fontId="0" fillId="3" borderId="606" xfId="0" applyFill="1" applyBorder="1" applyAlignment="1">
      <alignment horizontal="center" vertical="center"/>
    </xf>
    <xf numFmtId="41" fontId="0" fillId="3" borderId="606" xfId="2" applyFont="1" applyFill="1" applyBorder="1" applyAlignment="1">
      <alignment horizontal="center" vertical="center"/>
    </xf>
    <xf numFmtId="41" fontId="0" fillId="3" borderId="606" xfId="0" applyNumberFormat="1" applyFill="1" applyBorder="1" applyAlignment="1">
      <alignment horizontal="center" vertical="center"/>
    </xf>
    <xf numFmtId="187" fontId="0" fillId="0" borderId="606" xfId="0" applyNumberFormat="1" applyBorder="1" applyAlignment="1">
      <alignment horizontal="center" vertical="center"/>
    </xf>
    <xf numFmtId="232" fontId="0" fillId="0" borderId="606" xfId="0" applyNumberFormat="1" applyBorder="1" applyAlignment="1">
      <alignment horizontal="center" vertical="center"/>
    </xf>
    <xf numFmtId="183" fontId="58" fillId="3" borderId="607" xfId="2" applyNumberFormat="1" applyFont="1" applyFill="1" applyBorder="1" applyAlignment="1">
      <alignment horizontal="center" vertical="center"/>
    </xf>
    <xf numFmtId="0" fontId="179" fillId="0" borderId="606" xfId="0" applyFont="1" applyFill="1" applyBorder="1" applyAlignment="1">
      <alignment horizontal="center" vertical="center" wrapText="1" readingOrder="1"/>
    </xf>
    <xf numFmtId="0" fontId="35" fillId="0" borderId="0" xfId="0" applyFont="1" applyFill="1" applyBorder="1" applyAlignment="1">
      <alignment horizontal="center" vertical="center"/>
    </xf>
    <xf numFmtId="0" fontId="35" fillId="0" borderId="606" xfId="0" applyFont="1" applyFill="1" applyBorder="1" applyAlignment="1">
      <alignment horizontal="center" vertical="center"/>
    </xf>
    <xf numFmtId="223" fontId="192" fillId="0" borderId="606" xfId="2" applyNumberFormat="1" applyFont="1" applyFill="1" applyBorder="1" applyAlignment="1">
      <alignment horizontal="center" vertical="center" wrapText="1" readingOrder="1"/>
    </xf>
    <xf numFmtId="223" fontId="192" fillId="15" borderId="606" xfId="2" applyNumberFormat="1" applyFont="1" applyFill="1" applyBorder="1" applyAlignment="1">
      <alignment horizontal="center" vertical="center" wrapText="1" readingOrder="1"/>
    </xf>
    <xf numFmtId="38" fontId="58" fillId="15" borderId="214" xfId="0" applyNumberFormat="1" applyFont="1" applyFill="1" applyBorder="1" applyAlignment="1">
      <alignment horizontal="center" vertical="center"/>
    </xf>
    <xf numFmtId="3" fontId="58" fillId="15" borderId="214" xfId="0" applyNumberFormat="1" applyFont="1" applyFill="1" applyBorder="1" applyAlignment="1">
      <alignment horizontal="center" vertical="center"/>
    </xf>
    <xf numFmtId="38" fontId="58" fillId="15" borderId="606" xfId="0" applyNumberFormat="1" applyFont="1" applyFill="1" applyBorder="1" applyAlignment="1">
      <alignment horizontal="center" vertical="center"/>
    </xf>
    <xf numFmtId="3" fontId="58" fillId="15" borderId="606" xfId="0" applyNumberFormat="1" applyFont="1" applyFill="1" applyBorder="1" applyAlignment="1">
      <alignment horizontal="center" vertical="center"/>
    </xf>
    <xf numFmtId="223" fontId="35" fillId="0" borderId="606" xfId="0" applyNumberFormat="1" applyFont="1" applyFill="1" applyBorder="1" applyAlignment="1">
      <alignment horizontal="center" vertical="center"/>
    </xf>
    <xf numFmtId="223" fontId="35" fillId="3" borderId="214" xfId="0" applyNumberFormat="1" applyFont="1" applyFill="1" applyBorder="1" applyAlignment="1">
      <alignment horizontal="center" vertical="center"/>
    </xf>
    <xf numFmtId="0" fontId="58" fillId="0" borderId="605" xfId="0" applyFont="1" applyBorder="1" applyAlignment="1">
      <alignment horizontal="center" vertical="center"/>
    </xf>
    <xf numFmtId="0" fontId="172" fillId="15" borderId="23" xfId="0" quotePrefix="1" applyFont="1" applyFill="1" applyBorder="1" applyAlignment="1">
      <alignment horizontal="center" vertical="center"/>
    </xf>
    <xf numFmtId="3" fontId="58" fillId="0" borderId="613" xfId="0" applyNumberFormat="1" applyFont="1" applyBorder="1" applyAlignment="1">
      <alignment horizontal="center" vertical="center"/>
    </xf>
    <xf numFmtId="2" fontId="58" fillId="0" borderId="613" xfId="0" applyNumberFormat="1" applyFont="1" applyBorder="1" applyAlignment="1">
      <alignment horizontal="center" vertical="center"/>
    </xf>
    <xf numFmtId="4" fontId="58" fillId="0" borderId="613" xfId="0" applyNumberFormat="1" applyFont="1" applyBorder="1" applyAlignment="1">
      <alignment horizontal="center" vertical="center"/>
    </xf>
    <xf numFmtId="2" fontId="29" fillId="0" borderId="613" xfId="0" applyNumberFormat="1" applyFont="1" applyBorder="1" applyAlignment="1">
      <alignment horizontal="center" vertical="center"/>
    </xf>
    <xf numFmtId="187" fontId="58" fillId="0" borderId="597" xfId="2" applyNumberFormat="1" applyFont="1" applyBorder="1" applyAlignment="1">
      <alignment horizontal="center" vertical="center"/>
    </xf>
    <xf numFmtId="226" fontId="58" fillId="0" borderId="597" xfId="2" applyNumberFormat="1" applyFont="1" applyBorder="1" applyAlignment="1">
      <alignment horizontal="center" vertical="center"/>
    </xf>
    <xf numFmtId="0" fontId="58" fillId="15" borderId="606" xfId="0" applyFont="1" applyFill="1" applyBorder="1" applyAlignment="1">
      <alignment horizontal="center" vertical="center"/>
    </xf>
    <xf numFmtId="38" fontId="41" fillId="0" borderId="214" xfId="0" applyNumberFormat="1" applyFont="1" applyBorder="1" applyAlignment="1">
      <alignment horizontal="center" vertical="center"/>
    </xf>
    <xf numFmtId="38" fontId="41" fillId="0" borderId="214" xfId="0" quotePrefix="1" applyNumberFormat="1" applyFont="1" applyBorder="1" applyAlignment="1">
      <alignment horizontal="center" vertical="center"/>
    </xf>
    <xf numFmtId="38" fontId="36" fillId="15" borderId="222" xfId="0" applyNumberFormat="1" applyFont="1" applyFill="1" applyBorder="1" applyAlignment="1">
      <alignment horizontal="center" vertical="center"/>
    </xf>
    <xf numFmtId="9" fontId="29" fillId="0" borderId="257" xfId="1" applyFont="1" applyBorder="1" applyAlignment="1">
      <alignment horizontal="center" vertical="center" wrapText="1"/>
    </xf>
    <xf numFmtId="177" fontId="29" fillId="0" borderId="257" xfId="1" applyNumberFormat="1" applyFont="1" applyBorder="1" applyAlignment="1">
      <alignment horizontal="center" vertical="center" wrapText="1"/>
    </xf>
    <xf numFmtId="0" fontId="177" fillId="127" borderId="135" xfId="0" applyFont="1" applyFill="1" applyBorder="1" applyAlignment="1">
      <alignment horizontal="center" vertical="center"/>
    </xf>
    <xf numFmtId="0" fontId="177" fillId="127" borderId="327" xfId="0" applyFont="1" applyFill="1" applyBorder="1" applyAlignment="1">
      <alignment horizontal="center" vertical="center"/>
    </xf>
    <xf numFmtId="223" fontId="29" fillId="0" borderId="6" xfId="0" applyNumberFormat="1" applyFont="1" applyBorder="1" applyAlignment="1">
      <alignment horizontal="center" vertical="center"/>
    </xf>
    <xf numFmtId="223" fontId="58" fillId="0" borderId="606" xfId="2" applyNumberFormat="1" applyFont="1" applyBorder="1" applyAlignment="1">
      <alignment horizontal="center" vertical="center"/>
    </xf>
    <xf numFmtId="0" fontId="178" fillId="126" borderId="597" xfId="0" applyFont="1" applyFill="1" applyBorder="1" applyAlignment="1">
      <alignment horizontal="center" vertical="center"/>
    </xf>
    <xf numFmtId="226" fontId="58" fillId="0" borderId="610" xfId="0" applyNumberFormat="1" applyFont="1" applyBorder="1" applyAlignment="1">
      <alignment horizontal="center" vertical="center"/>
    </xf>
    <xf numFmtId="223" fontId="58" fillId="0" borderId="605" xfId="2" applyNumberFormat="1" applyFont="1" applyBorder="1" applyAlignment="1">
      <alignment horizontal="center" vertical="center"/>
    </xf>
    <xf numFmtId="9" fontId="58" fillId="0" borderId="605" xfId="1" applyFont="1" applyBorder="1" applyAlignment="1">
      <alignment horizontal="center" vertical="center"/>
    </xf>
    <xf numFmtId="223" fontId="58" fillId="0" borderId="513" xfId="2" applyNumberFormat="1" applyFont="1" applyBorder="1" applyAlignment="1">
      <alignment horizontal="center" vertical="center"/>
    </xf>
    <xf numFmtId="223" fontId="58" fillId="0" borderId="514" xfId="2" applyNumberFormat="1" applyFont="1" applyBorder="1" applyAlignment="1">
      <alignment horizontal="center" vertical="center"/>
    </xf>
    <xf numFmtId="0" fontId="178" fillId="126" borderId="598" xfId="0" applyFont="1" applyFill="1" applyBorder="1" applyAlignment="1">
      <alignment horizontal="center" vertical="center"/>
    </xf>
    <xf numFmtId="226" fontId="58" fillId="0" borderId="625" xfId="2" applyNumberFormat="1" applyFont="1" applyFill="1" applyBorder="1" applyAlignment="1">
      <alignment horizontal="center" vertical="center"/>
    </xf>
    <xf numFmtId="226" fontId="58" fillId="0" borderId="626" xfId="2" applyNumberFormat="1" applyFont="1" applyFill="1" applyBorder="1" applyAlignment="1">
      <alignment horizontal="center" vertical="center"/>
    </xf>
    <xf numFmtId="226" fontId="58" fillId="0" borderId="621" xfId="2" applyNumberFormat="1" applyFont="1" applyFill="1" applyBorder="1" applyAlignment="1">
      <alignment horizontal="center" vertical="center"/>
    </xf>
    <xf numFmtId="0" fontId="178" fillId="126" borderId="219" xfId="0" applyFont="1" applyFill="1" applyBorder="1" applyAlignment="1">
      <alignment horizontal="center" vertical="center"/>
    </xf>
    <xf numFmtId="187" fontId="58" fillId="0" borderId="37" xfId="2" applyNumberFormat="1" applyFont="1" applyFill="1" applyBorder="1" applyAlignment="1">
      <alignment horizontal="center" vertical="center"/>
    </xf>
    <xf numFmtId="187" fontId="58" fillId="15" borderId="6" xfId="2" applyNumberFormat="1" applyFont="1" applyFill="1" applyBorder="1" applyAlignment="1">
      <alignment horizontal="center" vertical="center"/>
    </xf>
    <xf numFmtId="187" fontId="58" fillId="3" borderId="38" xfId="2" applyNumberFormat="1" applyFont="1" applyFill="1" applyBorder="1" applyAlignment="1">
      <alignment horizontal="center" vertical="center"/>
    </xf>
    <xf numFmtId="0" fontId="178" fillId="126" borderId="62" xfId="0" applyFont="1" applyFill="1" applyBorder="1" applyAlignment="1">
      <alignment horizontal="center" vertical="center"/>
    </xf>
    <xf numFmtId="187" fontId="58" fillId="0" borderId="320" xfId="2" applyNumberFormat="1" applyFont="1" applyFill="1" applyBorder="1" applyAlignment="1">
      <alignment horizontal="center" vertical="center"/>
    </xf>
    <xf numFmtId="187" fontId="58" fillId="0" borderId="321" xfId="2" applyNumberFormat="1" applyFont="1" applyFill="1" applyBorder="1" applyAlignment="1">
      <alignment horizontal="center" vertical="center"/>
    </xf>
    <xf numFmtId="187" fontId="58" fillId="0" borderId="322" xfId="2" applyNumberFormat="1" applyFont="1" applyFill="1" applyBorder="1" applyAlignment="1">
      <alignment horizontal="center" vertical="center"/>
    </xf>
    <xf numFmtId="223" fontId="58" fillId="15" borderId="228" xfId="2" applyNumberFormat="1" applyFont="1" applyFill="1" applyBorder="1" applyAlignment="1">
      <alignment horizontal="center" vertical="center"/>
    </xf>
    <xf numFmtId="187" fontId="58" fillId="0" borderId="600" xfId="2" applyNumberFormat="1" applyFont="1" applyBorder="1" applyAlignment="1">
      <alignment horizontal="center" vertical="center"/>
    </xf>
    <xf numFmtId="187" fontId="58" fillId="15" borderId="600" xfId="2" applyNumberFormat="1" applyFont="1" applyFill="1" applyBorder="1" applyAlignment="1">
      <alignment horizontal="center" vertical="center"/>
    </xf>
    <xf numFmtId="179" fontId="0" fillId="0" borderId="606" xfId="0" applyNumberFormat="1" applyBorder="1" applyAlignment="1">
      <alignment horizontal="center" vertical="center"/>
    </xf>
    <xf numFmtId="223" fontId="177" fillId="125" borderId="514" xfId="2" applyNumberFormat="1" applyFont="1" applyFill="1" applyBorder="1" applyAlignment="1">
      <alignment horizontal="center" vertical="center"/>
    </xf>
    <xf numFmtId="0" fontId="219" fillId="127" borderId="108" xfId="0" applyFont="1" applyFill="1" applyBorder="1" applyAlignment="1">
      <alignment horizontal="center" vertical="center"/>
    </xf>
    <xf numFmtId="3" fontId="197" fillId="3" borderId="219" xfId="0" applyNumberFormat="1" applyFont="1" applyFill="1" applyBorder="1" applyAlignment="1">
      <alignment horizontal="center" vertical="center"/>
    </xf>
    <xf numFmtId="3" fontId="197" fillId="3" borderId="607" xfId="0" applyNumberFormat="1" applyFont="1" applyFill="1" applyBorder="1" applyAlignment="1">
      <alignment horizontal="center" vertical="center"/>
    </xf>
    <xf numFmtId="183" fontId="29" fillId="3" borderId="223" xfId="2" applyNumberFormat="1" applyFont="1" applyFill="1" applyBorder="1" applyAlignment="1">
      <alignment horizontal="center" vertical="center" wrapText="1"/>
    </xf>
    <xf numFmtId="183" fontId="29" fillId="3" borderId="119" xfId="2" applyNumberFormat="1" applyFont="1" applyFill="1" applyBorder="1" applyAlignment="1">
      <alignment horizontal="center" vertical="center"/>
    </xf>
    <xf numFmtId="183" fontId="29" fillId="3" borderId="607" xfId="2" applyNumberFormat="1" applyFont="1" applyFill="1" applyBorder="1" applyAlignment="1">
      <alignment horizontal="center" vertical="center"/>
    </xf>
    <xf numFmtId="183" fontId="29" fillId="3" borderId="512" xfId="2" applyNumberFormat="1" applyFont="1" applyFill="1" applyBorder="1" applyAlignment="1">
      <alignment horizontal="center" vertical="center"/>
    </xf>
    <xf numFmtId="183" fontId="29" fillId="3" borderId="219" xfId="2" applyNumberFormat="1" applyFont="1" applyFill="1" applyBorder="1" applyAlignment="1">
      <alignment horizontal="center" vertical="center"/>
    </xf>
    <xf numFmtId="179" fontId="29" fillId="3" borderId="219" xfId="0" applyNumberFormat="1" applyFont="1" applyFill="1" applyBorder="1" applyAlignment="1">
      <alignment horizontal="center" vertical="center"/>
    </xf>
    <xf numFmtId="3" fontId="29" fillId="3" borderId="119" xfId="2" applyNumberFormat="1" applyFont="1" applyFill="1" applyBorder="1" applyAlignment="1">
      <alignment horizontal="center" vertical="center" wrapText="1"/>
    </xf>
    <xf numFmtId="3" fontId="29" fillId="3" borderId="607" xfId="2" applyNumberFormat="1" applyFont="1" applyFill="1" applyBorder="1" applyAlignment="1">
      <alignment horizontal="center" vertical="center" wrapText="1"/>
    </xf>
    <xf numFmtId="187" fontId="29" fillId="3" borderId="219" xfId="2" applyNumberFormat="1" applyFont="1" applyFill="1" applyBorder="1" applyAlignment="1">
      <alignment horizontal="center" vertical="center"/>
    </xf>
    <xf numFmtId="231" fontId="29" fillId="3" borderId="607" xfId="2" applyNumberFormat="1" applyFont="1" applyFill="1" applyBorder="1" applyAlignment="1">
      <alignment horizontal="center" vertical="center"/>
    </xf>
    <xf numFmtId="187" fontId="29" fillId="3" borderId="607" xfId="2" applyNumberFormat="1" applyFont="1" applyFill="1" applyBorder="1" applyAlignment="1">
      <alignment horizontal="center" vertical="center"/>
    </xf>
    <xf numFmtId="231" fontId="29" fillId="3" borderId="512" xfId="2" applyNumberFormat="1" applyFont="1" applyFill="1" applyBorder="1" applyAlignment="1">
      <alignment horizontal="center" vertical="center"/>
    </xf>
    <xf numFmtId="178" fontId="58" fillId="3" borderId="119" xfId="2" applyNumberFormat="1" applyFont="1" applyFill="1" applyBorder="1" applyAlignment="1">
      <alignment horizontal="center" vertical="center"/>
    </xf>
    <xf numFmtId="178" fontId="58" fillId="3" borderId="607" xfId="2" applyNumberFormat="1" applyFont="1" applyFill="1" applyBorder="1" applyAlignment="1">
      <alignment horizontal="center" vertical="center"/>
    </xf>
    <xf numFmtId="179" fontId="58" fillId="3" borderId="119" xfId="2" applyNumberFormat="1" applyFont="1" applyFill="1" applyBorder="1" applyAlignment="1">
      <alignment horizontal="center" vertical="center"/>
    </xf>
    <xf numFmtId="179" fontId="58" fillId="3" borderId="607" xfId="2" applyNumberFormat="1" applyFont="1" applyFill="1" applyBorder="1" applyAlignment="1">
      <alignment horizontal="center" vertical="center"/>
    </xf>
    <xf numFmtId="179" fontId="58" fillId="3" borderId="512" xfId="2" applyNumberFormat="1" applyFont="1" applyFill="1" applyBorder="1" applyAlignment="1">
      <alignment horizontal="center" vertical="center"/>
    </xf>
    <xf numFmtId="179" fontId="29" fillId="3" borderId="119" xfId="2" applyNumberFormat="1" applyFont="1" applyFill="1" applyBorder="1" applyAlignment="1">
      <alignment horizontal="center" vertical="center" wrapText="1"/>
    </xf>
    <xf numFmtId="179" fontId="29" fillId="3" borderId="607" xfId="2" applyNumberFormat="1" applyFont="1" applyFill="1" applyBorder="1" applyAlignment="1">
      <alignment horizontal="center" vertical="center" wrapText="1"/>
    </xf>
    <xf numFmtId="179" fontId="29" fillId="3" borderId="599" xfId="2" applyNumberFormat="1" applyFont="1" applyFill="1" applyBorder="1" applyAlignment="1">
      <alignment horizontal="center" vertical="center" wrapText="1"/>
    </xf>
    <xf numFmtId="183" fontId="58" fillId="3" borderId="95" xfId="2" applyNumberFormat="1" applyFont="1" applyFill="1" applyBorder="1" applyAlignment="1">
      <alignment horizontal="center" vertical="center"/>
    </xf>
    <xf numFmtId="183" fontId="58" fillId="3" borderId="219" xfId="2" applyNumberFormat="1" applyFont="1" applyFill="1" applyBorder="1" applyAlignment="1">
      <alignment horizontal="center" vertical="center"/>
    </xf>
    <xf numFmtId="183" fontId="58" fillId="3" borderId="119" xfId="2" applyNumberFormat="1" applyFont="1" applyFill="1" applyBorder="1" applyAlignment="1">
      <alignment horizontal="center" vertical="center"/>
    </xf>
    <xf numFmtId="177" fontId="29" fillId="3" borderId="607" xfId="2" applyNumberFormat="1" applyFont="1" applyFill="1" applyBorder="1" applyAlignment="1">
      <alignment horizontal="center" vertical="center" wrapText="1"/>
    </xf>
    <xf numFmtId="187" fontId="29" fillId="3" borderId="119" xfId="2" applyNumberFormat="1" applyFont="1" applyFill="1" applyBorder="1" applyAlignment="1">
      <alignment horizontal="center" vertical="center" wrapText="1"/>
    </xf>
    <xf numFmtId="187" fontId="29" fillId="3" borderId="607" xfId="2" applyNumberFormat="1" applyFont="1" applyFill="1" applyBorder="1" applyAlignment="1">
      <alignment horizontal="center" vertical="center" wrapText="1"/>
    </xf>
    <xf numFmtId="187" fontId="29" fillId="3" borderId="599" xfId="2" applyNumberFormat="1" applyFont="1" applyFill="1" applyBorder="1" applyAlignment="1">
      <alignment horizontal="center" vertical="center" wrapText="1"/>
    </xf>
    <xf numFmtId="9" fontId="29" fillId="0" borderId="606" xfId="1" applyFont="1" applyBorder="1" applyAlignment="1">
      <alignment horizontal="center" vertical="center"/>
    </xf>
    <xf numFmtId="0" fontId="30" fillId="131" borderId="119" xfId="0" applyFont="1" applyFill="1" applyBorder="1" applyAlignment="1">
      <alignment horizontal="center" vertical="center"/>
    </xf>
    <xf numFmtId="0" fontId="30" fillId="131" borderId="120" xfId="0" applyFont="1" applyFill="1" applyBorder="1" applyAlignment="1">
      <alignment horizontal="center" vertical="center"/>
    </xf>
    <xf numFmtId="0" fontId="30" fillId="131" borderId="121" xfId="0" applyFont="1" applyFill="1" applyBorder="1" applyAlignment="1">
      <alignment horizontal="center" vertical="center"/>
    </xf>
    <xf numFmtId="10" fontId="226" fillId="134" borderId="120" xfId="1" applyNumberFormat="1" applyFont="1" applyFill="1" applyBorder="1" applyAlignment="1">
      <alignment horizontal="center" vertical="center"/>
    </xf>
    <xf numFmtId="10" fontId="213" fillId="140" borderId="605" xfId="0" applyNumberFormat="1" applyFont="1" applyFill="1" applyBorder="1" applyAlignment="1">
      <alignment horizontal="center" vertical="center"/>
    </xf>
    <xf numFmtId="10" fontId="260" fillId="131" borderId="513" xfId="1" applyNumberFormat="1" applyFont="1" applyFill="1" applyBorder="1" applyAlignment="1">
      <alignment horizontal="center" vertical="center"/>
    </xf>
    <xf numFmtId="179" fontId="261" fillId="0" borderId="6" xfId="0" applyNumberFormat="1" applyFont="1" applyFill="1" applyBorder="1" applyAlignment="1">
      <alignment horizontal="center" vertical="center"/>
    </xf>
    <xf numFmtId="10" fontId="213" fillId="0" borderId="38" xfId="0" applyNumberFormat="1" applyFont="1" applyBorder="1" applyAlignment="1">
      <alignment horizontal="center" vertical="center"/>
    </xf>
    <xf numFmtId="10" fontId="213" fillId="0" borderId="605" xfId="0" applyNumberFormat="1" applyFont="1" applyBorder="1" applyAlignment="1">
      <alignment horizontal="center" vertical="center"/>
    </xf>
    <xf numFmtId="10" fontId="213" fillId="0" borderId="45" xfId="0" applyNumberFormat="1" applyFont="1" applyBorder="1" applyAlignment="1">
      <alignment horizontal="center" vertical="center"/>
    </xf>
    <xf numFmtId="10" fontId="213" fillId="0" borderId="403" xfId="0" applyNumberFormat="1" applyFont="1" applyBorder="1" applyAlignment="1">
      <alignment horizontal="center" vertical="center"/>
    </xf>
    <xf numFmtId="10" fontId="213" fillId="0" borderId="597" xfId="0" applyNumberFormat="1" applyFont="1" applyBorder="1" applyAlignment="1">
      <alignment horizontal="center" vertical="center"/>
    </xf>
    <xf numFmtId="226" fontId="211" fillId="137" borderId="119" xfId="2" applyNumberFormat="1" applyFont="1" applyFill="1" applyBorder="1" applyAlignment="1">
      <alignment horizontal="center" vertical="center"/>
    </xf>
    <xf numFmtId="226" fontId="211" fillId="137" borderId="120" xfId="2" applyNumberFormat="1" applyFont="1" applyFill="1" applyBorder="1" applyAlignment="1">
      <alignment horizontal="center" vertical="center"/>
    </xf>
    <xf numFmtId="187" fontId="197" fillId="0" borderId="607" xfId="1" applyNumberFormat="1" applyFont="1" applyFill="1" applyBorder="1" applyAlignment="1">
      <alignment horizontal="center" vertical="center"/>
    </xf>
    <xf numFmtId="241" fontId="197" fillId="0" borderId="607" xfId="1" applyNumberFormat="1" applyFont="1" applyFill="1" applyBorder="1" applyAlignment="1">
      <alignment horizontal="center" vertical="center"/>
    </xf>
    <xf numFmtId="9" fontId="30" fillId="131" borderId="482" xfId="1" applyFont="1" applyFill="1" applyBorder="1" applyAlignment="1">
      <alignment horizontal="center" vertical="center"/>
    </xf>
    <xf numFmtId="0" fontId="30" fillId="131" borderId="122" xfId="0" applyFont="1" applyFill="1" applyBorder="1" applyAlignment="1">
      <alignment horizontal="center" vertical="center"/>
    </xf>
    <xf numFmtId="177" fontId="197" fillId="0" borderId="590" xfId="0" applyNumberFormat="1" applyFont="1" applyFill="1" applyBorder="1" applyAlignment="1">
      <alignment horizontal="center" vertical="center" wrapText="1"/>
    </xf>
    <xf numFmtId="241" fontId="230" fillId="4" borderId="590" xfId="1" applyNumberFormat="1" applyFont="1" applyFill="1" applyBorder="1" applyAlignment="1">
      <alignment horizontal="center" vertical="center"/>
    </xf>
    <xf numFmtId="10" fontId="30" fillId="131" borderId="583" xfId="1" applyNumberFormat="1" applyFont="1" applyFill="1" applyBorder="1" applyAlignment="1">
      <alignment horizontal="center" vertical="center"/>
    </xf>
    <xf numFmtId="0" fontId="0" fillId="0" borderId="605" xfId="0" applyBorder="1" applyAlignment="1">
      <alignment horizontal="center" vertical="center"/>
    </xf>
    <xf numFmtId="177" fontId="0" fillId="0" borderId="590" xfId="0" applyNumberFormat="1" applyBorder="1" applyAlignment="1">
      <alignment horizontal="center" vertical="center"/>
    </xf>
    <xf numFmtId="187" fontId="197" fillId="0" borderId="590" xfId="1" applyNumberFormat="1" applyFont="1" applyFill="1" applyBorder="1" applyAlignment="1">
      <alignment horizontal="center" vertical="center"/>
    </xf>
    <xf numFmtId="183" fontId="197" fillId="0" borderId="590" xfId="1" applyNumberFormat="1" applyFont="1" applyFill="1" applyBorder="1" applyAlignment="1">
      <alignment horizontal="center" vertical="center"/>
    </xf>
    <xf numFmtId="9" fontId="30" fillId="131" borderId="583" xfId="1" applyFont="1" applyFill="1" applyBorder="1" applyAlignment="1">
      <alignment horizontal="center" vertical="center"/>
    </xf>
    <xf numFmtId="0" fontId="177" fillId="125" borderId="605" xfId="0" applyFont="1" applyFill="1" applyBorder="1" applyAlignment="1">
      <alignment horizontal="center" vertical="center" wrapText="1"/>
    </xf>
    <xf numFmtId="0" fontId="177" fillId="125" borderId="514" xfId="0" applyFont="1" applyFill="1" applyBorder="1" applyAlignment="1">
      <alignment horizontal="center" vertical="center" wrapText="1"/>
    </xf>
    <xf numFmtId="4" fontId="29" fillId="7" borderId="605" xfId="12099" applyNumberFormat="1" applyFont="1" applyFill="1" applyBorder="1" applyAlignment="1">
      <alignment horizontal="center" vertical="center"/>
    </xf>
    <xf numFmtId="0" fontId="219" fillId="127" borderId="108" xfId="0" applyFont="1" applyFill="1" applyBorder="1" applyAlignment="1">
      <alignment horizontal="center" vertical="center"/>
    </xf>
    <xf numFmtId="223" fontId="29" fillId="0" borderId="6" xfId="0" applyNumberFormat="1" applyFont="1" applyBorder="1" applyAlignment="1">
      <alignment horizontal="center" vertical="center"/>
    </xf>
    <xf numFmtId="0" fontId="0" fillId="0" borderId="119" xfId="0" applyBorder="1" applyAlignment="1">
      <alignment horizontal="center" vertical="center"/>
    </xf>
    <xf numFmtId="0" fontId="0" fillId="0" borderId="512" xfId="0" applyBorder="1" applyAlignment="1">
      <alignment horizontal="center" vertical="center"/>
    </xf>
    <xf numFmtId="0" fontId="0" fillId="0" borderId="513" xfId="0" applyBorder="1" applyAlignment="1">
      <alignment horizontal="center" vertical="center"/>
    </xf>
    <xf numFmtId="0" fontId="0" fillId="0" borderId="513" xfId="0" applyBorder="1">
      <alignment vertical="center"/>
    </xf>
    <xf numFmtId="0" fontId="0" fillId="0" borderId="515" xfId="0" applyBorder="1">
      <alignment vertical="center"/>
    </xf>
    <xf numFmtId="0" fontId="0" fillId="0" borderId="219" xfId="0" applyBorder="1" applyAlignment="1">
      <alignment horizontal="center" vertical="center"/>
    </xf>
    <xf numFmtId="0" fontId="0" fillId="0" borderId="6" xfId="0" applyBorder="1" applyAlignment="1">
      <alignment horizontal="center" vertical="center"/>
    </xf>
    <xf numFmtId="0" fontId="0" fillId="0" borderId="6" xfId="0" applyBorder="1">
      <alignment vertical="center"/>
    </xf>
    <xf numFmtId="0" fontId="0" fillId="0" borderId="200" xfId="0" applyBorder="1">
      <alignment vertical="center"/>
    </xf>
    <xf numFmtId="0" fontId="46" fillId="93" borderId="312" xfId="0" applyFont="1" applyFill="1" applyBorder="1" applyAlignment="1">
      <alignment horizontal="center" vertical="center"/>
    </xf>
    <xf numFmtId="0" fontId="46" fillId="93" borderId="313" xfId="0" applyFont="1" applyFill="1" applyBorder="1" applyAlignment="1">
      <alignment horizontal="center" vertical="center"/>
    </xf>
    <xf numFmtId="0" fontId="46" fillId="93" borderId="314" xfId="0" applyFont="1" applyFill="1" applyBorder="1" applyAlignment="1">
      <alignment horizontal="center" vertical="center"/>
    </xf>
    <xf numFmtId="0" fontId="0" fillId="0" borderId="599" xfId="0" applyBorder="1" applyAlignment="1">
      <alignment horizontal="center" vertical="center"/>
    </xf>
    <xf numFmtId="0" fontId="0" fillId="0" borderId="600" xfId="0" applyBorder="1" applyAlignment="1">
      <alignment horizontal="center" vertical="center"/>
    </xf>
    <xf numFmtId="0" fontId="0" fillId="0" borderId="600" xfId="0" applyBorder="1">
      <alignment vertical="center"/>
    </xf>
    <xf numFmtId="0" fontId="0" fillId="0" borderId="592" xfId="0" applyBorder="1">
      <alignment vertical="center"/>
    </xf>
    <xf numFmtId="0" fontId="0" fillId="0" borderId="120" xfId="0" applyBorder="1">
      <alignment vertical="center"/>
    </xf>
    <xf numFmtId="0" fontId="0" fillId="0" borderId="121" xfId="0" applyBorder="1">
      <alignment vertical="center"/>
    </xf>
    <xf numFmtId="0" fontId="0" fillId="0" borderId="223" xfId="0" applyBorder="1" applyAlignment="1">
      <alignment horizontal="center" vertical="center"/>
    </xf>
    <xf numFmtId="0" fontId="0" fillId="0" borderId="224" xfId="0" applyBorder="1" applyAlignment="1">
      <alignment horizontal="center" vertical="center"/>
    </xf>
    <xf numFmtId="0" fontId="0" fillId="0" borderId="224" xfId="0" applyBorder="1">
      <alignment vertical="center"/>
    </xf>
    <xf numFmtId="0" fontId="0" fillId="0" borderId="227" xfId="0" applyBorder="1">
      <alignment vertical="center"/>
    </xf>
    <xf numFmtId="0" fontId="0" fillId="0" borderId="95" xfId="0" applyBorder="1" applyAlignment="1">
      <alignment horizontal="center" vertical="center"/>
    </xf>
    <xf numFmtId="0" fontId="0" fillId="0" borderId="228" xfId="0" applyBorder="1" applyAlignment="1">
      <alignment horizontal="center" vertical="center"/>
    </xf>
    <xf numFmtId="0" fontId="0" fillId="0" borderId="261" xfId="0" applyBorder="1" applyAlignment="1">
      <alignment horizontal="center" vertical="center"/>
    </xf>
    <xf numFmtId="0" fontId="0" fillId="0" borderId="228" xfId="0" applyBorder="1">
      <alignment vertical="center"/>
    </xf>
    <xf numFmtId="0" fontId="0" fillId="0" borderId="135" xfId="0" applyBorder="1">
      <alignment vertical="center"/>
    </xf>
    <xf numFmtId="0" fontId="0" fillId="0" borderId="38" xfId="0" applyBorder="1">
      <alignment vertical="center"/>
    </xf>
    <xf numFmtId="0" fontId="0" fillId="0" borderId="605" xfId="0" applyBorder="1">
      <alignment vertical="center"/>
    </xf>
    <xf numFmtId="0" fontId="0" fillId="0" borderId="601" xfId="0" applyBorder="1">
      <alignment vertical="center"/>
    </xf>
    <xf numFmtId="0" fontId="0" fillId="0" borderId="45" xfId="0" applyBorder="1">
      <alignment vertical="center"/>
    </xf>
    <xf numFmtId="0" fontId="0" fillId="0" borderId="514" xfId="0" applyBorder="1">
      <alignment vertical="center"/>
    </xf>
    <xf numFmtId="187" fontId="0" fillId="0" borderId="0" xfId="0" applyNumberFormat="1" applyBorder="1" applyAlignment="1">
      <alignment horizontal="center" vertical="center"/>
    </xf>
    <xf numFmtId="41" fontId="178" fillId="0" borderId="0" xfId="2" applyFont="1" applyFill="1" applyBorder="1" applyAlignment="1">
      <alignment horizontal="center" vertical="center"/>
    </xf>
    <xf numFmtId="3" fontId="58" fillId="0" borderId="0" xfId="2" applyNumberFormat="1" applyFont="1" applyFill="1" applyBorder="1" applyAlignment="1">
      <alignment horizontal="center" vertical="center"/>
    </xf>
    <xf numFmtId="186" fontId="58" fillId="0" borderId="0" xfId="2" applyNumberFormat="1" applyFont="1" applyFill="1" applyBorder="1" applyAlignment="1">
      <alignment horizontal="center" vertical="center"/>
    </xf>
    <xf numFmtId="227" fontId="173" fillId="0" borderId="0" xfId="2" applyNumberFormat="1" applyFont="1" applyFill="1" applyBorder="1" applyAlignment="1">
      <alignment horizontal="center" vertical="center"/>
    </xf>
    <xf numFmtId="4" fontId="173" fillId="0" borderId="0" xfId="2" applyNumberFormat="1" applyFont="1" applyFill="1" applyBorder="1" applyAlignment="1">
      <alignment horizontal="center" vertical="center"/>
    </xf>
    <xf numFmtId="4" fontId="29" fillId="0" borderId="0" xfId="2" applyNumberFormat="1" applyFont="1" applyFill="1" applyBorder="1" applyAlignment="1">
      <alignment horizontal="center" vertical="center"/>
    </xf>
    <xf numFmtId="4" fontId="58" fillId="0" borderId="0" xfId="2" applyNumberFormat="1" applyFont="1" applyFill="1" applyBorder="1" applyAlignment="1">
      <alignment horizontal="center" vertical="center"/>
    </xf>
    <xf numFmtId="38" fontId="29" fillId="0" borderId="0" xfId="2" applyNumberFormat="1" applyFont="1" applyFill="1" applyBorder="1" applyAlignment="1">
      <alignment horizontal="center" vertical="center"/>
    </xf>
    <xf numFmtId="9" fontId="29" fillId="0" borderId="0" xfId="1" applyFont="1" applyFill="1" applyBorder="1" applyAlignment="1">
      <alignment horizontal="center" vertical="center"/>
    </xf>
    <xf numFmtId="4" fontId="198" fillId="0" borderId="0" xfId="2" applyNumberFormat="1" applyFont="1" applyFill="1" applyBorder="1" applyAlignment="1">
      <alignment horizontal="center" vertical="center"/>
    </xf>
    <xf numFmtId="227" fontId="29" fillId="0" borderId="0" xfId="2" applyNumberFormat="1" applyFont="1" applyFill="1" applyBorder="1" applyAlignment="1">
      <alignment horizontal="center" vertical="center"/>
    </xf>
    <xf numFmtId="38" fontId="29" fillId="0" borderId="0" xfId="2" quotePrefix="1" applyNumberFormat="1" applyFont="1" applyFill="1" applyBorder="1" applyAlignment="1">
      <alignment horizontal="center" vertical="center"/>
    </xf>
    <xf numFmtId="40" fontId="29" fillId="0" borderId="0" xfId="2" applyNumberFormat="1" applyFont="1" applyFill="1" applyBorder="1" applyAlignment="1">
      <alignment horizontal="center" vertical="center"/>
    </xf>
    <xf numFmtId="40" fontId="29" fillId="0" borderId="0" xfId="2" quotePrefix="1" applyNumberFormat="1" applyFont="1" applyFill="1" applyBorder="1" applyAlignment="1">
      <alignment horizontal="center" vertical="center"/>
    </xf>
    <xf numFmtId="9" fontId="173" fillId="0" borderId="0" xfId="1" applyFont="1" applyFill="1" applyBorder="1" applyAlignment="1">
      <alignment horizontal="center" vertical="center"/>
    </xf>
    <xf numFmtId="228" fontId="173" fillId="0" borderId="0" xfId="2" applyNumberFormat="1" applyFont="1" applyFill="1" applyBorder="1" applyAlignment="1">
      <alignment horizontal="center" vertical="center"/>
    </xf>
    <xf numFmtId="228" fontId="58" fillId="0" borderId="0" xfId="2" applyNumberFormat="1" applyFont="1" applyFill="1" applyBorder="1" applyAlignment="1">
      <alignment horizontal="center" vertical="center"/>
    </xf>
    <xf numFmtId="228" fontId="198" fillId="0" borderId="0" xfId="2" applyNumberFormat="1" applyFont="1" applyFill="1" applyBorder="1" applyAlignment="1">
      <alignment horizontal="center" vertical="center"/>
    </xf>
    <xf numFmtId="228" fontId="29" fillId="0" borderId="0" xfId="2" applyNumberFormat="1" applyFont="1" applyFill="1" applyBorder="1" applyAlignment="1">
      <alignment horizontal="center" vertical="center"/>
    </xf>
    <xf numFmtId="187" fontId="172" fillId="0" borderId="0" xfId="2" applyNumberFormat="1" applyFont="1" applyFill="1" applyBorder="1" applyAlignment="1">
      <alignment horizontal="center" vertical="center" wrapText="1"/>
    </xf>
    <xf numFmtId="177" fontId="177" fillId="0" borderId="0" xfId="2" applyNumberFormat="1" applyFont="1" applyFill="1" applyBorder="1" applyAlignment="1">
      <alignment horizontal="center" vertical="center" wrapText="1"/>
    </xf>
    <xf numFmtId="186" fontId="177" fillId="0" borderId="0" xfId="2" applyNumberFormat="1" applyFont="1" applyFill="1" applyBorder="1" applyAlignment="1">
      <alignment horizontal="center" vertical="center" wrapText="1"/>
    </xf>
    <xf numFmtId="183" fontId="177" fillId="0" borderId="0" xfId="2" applyNumberFormat="1" applyFont="1" applyFill="1" applyBorder="1" applyAlignment="1">
      <alignment horizontal="center" vertical="center"/>
    </xf>
    <xf numFmtId="38" fontId="177" fillId="0" borderId="0" xfId="2" applyNumberFormat="1" applyFont="1" applyFill="1" applyBorder="1" applyAlignment="1">
      <alignment horizontal="center" vertical="center"/>
    </xf>
    <xf numFmtId="9" fontId="177" fillId="0" borderId="0" xfId="1" applyFont="1" applyFill="1" applyBorder="1" applyAlignment="1">
      <alignment horizontal="center" vertical="center"/>
    </xf>
    <xf numFmtId="178" fontId="177" fillId="0" borderId="0" xfId="2" applyNumberFormat="1" applyFont="1" applyFill="1" applyBorder="1" applyAlignment="1">
      <alignment horizontal="center" vertical="center"/>
    </xf>
    <xf numFmtId="179" fontId="29" fillId="0" borderId="0" xfId="0" applyNumberFormat="1" applyFont="1" applyFill="1" applyBorder="1" applyAlignment="1">
      <alignment horizontal="center" vertical="center"/>
    </xf>
    <xf numFmtId="9" fontId="187" fillId="0" borderId="0" xfId="0" applyNumberFormat="1" applyFont="1" applyFill="1" applyBorder="1" applyAlignment="1">
      <alignment horizontal="center" vertical="center"/>
    </xf>
    <xf numFmtId="176" fontId="29" fillId="0" borderId="0" xfId="0" applyNumberFormat="1" applyFont="1" applyFill="1" applyBorder="1" applyAlignment="1">
      <alignment horizontal="center" vertical="center"/>
    </xf>
    <xf numFmtId="9" fontId="29" fillId="0" borderId="0" xfId="0" applyNumberFormat="1" applyFont="1" applyFill="1" applyBorder="1" applyAlignment="1">
      <alignment horizontal="center" vertical="center"/>
    </xf>
    <xf numFmtId="0" fontId="178" fillId="0" borderId="0" xfId="0" applyFont="1" applyFill="1" applyBorder="1" applyAlignment="1">
      <alignment horizontal="center" vertical="center"/>
    </xf>
    <xf numFmtId="177" fontId="178" fillId="0" borderId="0" xfId="0" applyNumberFormat="1" applyFont="1" applyFill="1" applyBorder="1" applyAlignment="1">
      <alignment horizontal="center" vertical="center"/>
    </xf>
    <xf numFmtId="0" fontId="178" fillId="0" borderId="0" xfId="0" applyFont="1" applyFill="1" applyBorder="1">
      <alignment vertical="center"/>
    </xf>
    <xf numFmtId="3" fontId="29" fillId="0" borderId="0" xfId="0" applyNumberFormat="1" applyFont="1" applyFill="1" applyBorder="1" applyAlignment="1">
      <alignment horizontal="center" vertical="center"/>
    </xf>
    <xf numFmtId="177" fontId="29" fillId="0" borderId="0" xfId="0" applyNumberFormat="1" applyFont="1" applyFill="1" applyBorder="1">
      <alignment vertical="center"/>
    </xf>
    <xf numFmtId="0" fontId="177" fillId="0" borderId="0" xfId="0" applyFont="1" applyFill="1" applyBorder="1" applyAlignment="1">
      <alignment horizontal="center" vertical="center" wrapText="1"/>
    </xf>
    <xf numFmtId="178" fontId="29" fillId="0" borderId="0" xfId="0" applyNumberFormat="1" applyFont="1" applyFill="1" applyBorder="1" applyAlignment="1">
      <alignment horizontal="center" vertical="center"/>
    </xf>
    <xf numFmtId="183" fontId="29" fillId="0" borderId="0" xfId="0" applyNumberFormat="1" applyFont="1" applyFill="1" applyBorder="1" applyAlignment="1">
      <alignment horizontal="center" vertical="center"/>
    </xf>
    <xf numFmtId="228" fontId="29" fillId="0" borderId="0" xfId="0" applyNumberFormat="1" applyFont="1" applyFill="1" applyBorder="1" applyAlignment="1">
      <alignment horizontal="center" vertical="center"/>
    </xf>
    <xf numFmtId="0" fontId="177" fillId="127" borderId="6" xfId="0" applyFont="1" applyFill="1" applyBorder="1" applyAlignment="1">
      <alignment horizontal="center" vertical="center"/>
    </xf>
    <xf numFmtId="0" fontId="219" fillId="127" borderId="600" xfId="0" applyFont="1" applyFill="1" applyBorder="1" applyAlignment="1">
      <alignment horizontal="center" vertical="center"/>
    </xf>
    <xf numFmtId="0" fontId="219" fillId="127" borderId="6" xfId="0" applyFont="1" applyFill="1" applyBorder="1" applyAlignment="1">
      <alignment horizontal="center" vertical="center"/>
    </xf>
    <xf numFmtId="0" fontId="219" fillId="127" borderId="606" xfId="0" applyFont="1" applyFill="1" applyBorder="1" applyAlignment="1">
      <alignment horizontal="center" vertical="center"/>
    </xf>
    <xf numFmtId="0" fontId="177" fillId="125" borderId="285" xfId="0" applyFont="1" applyFill="1" applyBorder="1" applyAlignment="1">
      <alignment horizontal="center" vertical="center" wrapText="1"/>
    </xf>
    <xf numFmtId="0" fontId="177" fillId="125" borderId="223" xfId="0" applyFont="1" applyFill="1" applyBorder="1" applyAlignment="1">
      <alignment horizontal="center" vertical="center" wrapText="1"/>
    </xf>
    <xf numFmtId="0" fontId="177" fillId="125" borderId="224" xfId="0" applyFont="1" applyFill="1" applyBorder="1" applyAlignment="1">
      <alignment horizontal="center" vertical="center" wrapText="1"/>
    </xf>
    <xf numFmtId="0" fontId="177" fillId="127" borderId="606" xfId="0" applyFont="1" applyFill="1" applyBorder="1" applyAlignment="1">
      <alignment horizontal="center" vertical="center"/>
    </xf>
    <xf numFmtId="0" fontId="0" fillId="0" borderId="606" xfId="0" applyBorder="1" applyAlignment="1">
      <alignment horizontal="center" vertical="center"/>
    </xf>
    <xf numFmtId="0" fontId="219" fillId="0" borderId="0" xfId="0" applyFont="1" applyFill="1" applyBorder="1" applyAlignment="1">
      <alignment horizontal="center" vertical="center" wrapText="1"/>
    </xf>
    <xf numFmtId="223" fontId="226" fillId="0" borderId="0" xfId="0" applyNumberFormat="1" applyFont="1" applyFill="1" applyBorder="1" applyAlignment="1">
      <alignment horizontal="center" vertical="center"/>
    </xf>
    <xf numFmtId="187" fontId="168" fillId="0" borderId="0" xfId="0" applyNumberFormat="1" applyFont="1" applyBorder="1" applyAlignment="1">
      <alignment horizontal="center" vertical="center"/>
    </xf>
    <xf numFmtId="0" fontId="0" fillId="0" borderId="0" xfId="0" applyBorder="1" applyAlignment="1">
      <alignment horizontal="center" vertical="center"/>
    </xf>
    <xf numFmtId="0" fontId="0" fillId="0" borderId="0" xfId="0" applyFont="1" applyBorder="1">
      <alignment vertical="center"/>
    </xf>
    <xf numFmtId="0" fontId="206" fillId="3" borderId="606" xfId="0" applyFont="1" applyFill="1" applyBorder="1" applyAlignment="1">
      <alignment horizontal="center" vertical="center"/>
    </xf>
    <xf numFmtId="0" fontId="206" fillId="3" borderId="606" xfId="0" applyFont="1" applyFill="1" applyBorder="1" applyAlignment="1">
      <alignment horizontal="left" vertical="center"/>
    </xf>
    <xf numFmtId="3" fontId="58" fillId="0" borderId="0" xfId="0" applyNumberFormat="1" applyFont="1" applyAlignment="1">
      <alignment horizontal="center" vertical="center"/>
    </xf>
    <xf numFmtId="0" fontId="29" fillId="3" borderId="606" xfId="0" applyFont="1" applyFill="1" applyBorder="1" applyAlignment="1">
      <alignment horizontal="center" vertical="center"/>
    </xf>
    <xf numFmtId="0" fontId="58" fillId="3" borderId="606" xfId="0" applyFont="1" applyFill="1" applyBorder="1" applyAlignment="1">
      <alignment horizontal="center" vertical="center"/>
    </xf>
    <xf numFmtId="3" fontId="58" fillId="3" borderId="606" xfId="0" applyNumberFormat="1" applyFont="1" applyFill="1" applyBorder="1" applyAlignment="1">
      <alignment horizontal="center" vertical="center"/>
    </xf>
    <xf numFmtId="188" fontId="0" fillId="6" borderId="0" xfId="0" applyNumberFormat="1" applyFont="1" applyFill="1" applyAlignment="1">
      <alignment horizontal="center" vertical="center"/>
    </xf>
    <xf numFmtId="0" fontId="0" fillId="0" borderId="0" xfId="0" applyFont="1" applyAlignment="1">
      <alignment horizontal="center" vertical="center"/>
    </xf>
    <xf numFmtId="177" fontId="58" fillId="0" borderId="0" xfId="0" applyNumberFormat="1" applyFont="1" applyFill="1" applyBorder="1" applyAlignment="1">
      <alignment horizontal="center" vertical="center"/>
    </xf>
    <xf numFmtId="223" fontId="35" fillId="131" borderId="332" xfId="0" applyNumberFormat="1" applyFont="1" applyFill="1" applyBorder="1" applyAlignment="1">
      <alignment horizontal="center" vertical="center"/>
    </xf>
    <xf numFmtId="223" fontId="35" fillId="131" borderId="44" xfId="0" applyNumberFormat="1" applyFont="1" applyFill="1" applyBorder="1" applyAlignment="1">
      <alignment horizontal="center" vertical="center"/>
    </xf>
    <xf numFmtId="223" fontId="226" fillId="3" borderId="606" xfId="0" applyNumberFormat="1" applyFont="1" applyFill="1" applyBorder="1" applyAlignment="1">
      <alignment horizontal="center" vertical="center"/>
    </xf>
    <xf numFmtId="223" fontId="35" fillId="136" borderId="606" xfId="0" applyNumberFormat="1" applyFont="1" applyFill="1" applyBorder="1" applyAlignment="1">
      <alignment horizontal="center" vertical="center"/>
    </xf>
    <xf numFmtId="223" fontId="35" fillId="3" borderId="606" xfId="0" applyNumberFormat="1" applyFont="1" applyFill="1" applyBorder="1" applyAlignment="1">
      <alignment horizontal="center" vertical="center"/>
    </xf>
    <xf numFmtId="178" fontId="197" fillId="0" borderId="590" xfId="1" applyNumberFormat="1" applyFont="1" applyFill="1" applyBorder="1" applyAlignment="1">
      <alignment horizontal="center" vertical="center"/>
    </xf>
    <xf numFmtId="0" fontId="219" fillId="127" borderId="108" xfId="0" applyFont="1" applyFill="1" applyBorder="1" applyAlignment="1">
      <alignment horizontal="center" vertical="center"/>
    </xf>
    <xf numFmtId="223" fontId="35" fillId="0" borderId="0" xfId="0" applyNumberFormat="1" applyFont="1" applyAlignment="1">
      <alignment horizontal="center" vertical="center"/>
    </xf>
    <xf numFmtId="0" fontId="229" fillId="0" borderId="0" xfId="0" applyFont="1">
      <alignment vertical="center"/>
    </xf>
    <xf numFmtId="223" fontId="0" fillId="0" borderId="606" xfId="0" applyNumberFormat="1" applyBorder="1" applyAlignment="1">
      <alignment horizontal="center" vertical="center"/>
    </xf>
    <xf numFmtId="223" fontId="35" fillId="3" borderId="607" xfId="0" applyNumberFormat="1" applyFont="1" applyFill="1" applyBorder="1" applyAlignment="1">
      <alignment horizontal="center" vertical="center"/>
    </xf>
    <xf numFmtId="223" fontId="35" fillId="3" borderId="608" xfId="0" applyNumberFormat="1" applyFont="1" applyFill="1" applyBorder="1" applyAlignment="1">
      <alignment horizontal="center" vertical="center"/>
    </xf>
    <xf numFmtId="223" fontId="35" fillId="131" borderId="512" xfId="0" applyNumberFormat="1" applyFont="1" applyFill="1" applyBorder="1" applyAlignment="1">
      <alignment horizontal="center" vertical="center"/>
    </xf>
    <xf numFmtId="223" fontId="35" fillId="136" borderId="599" xfId="0" applyNumberFormat="1" applyFont="1" applyFill="1" applyBorder="1" applyAlignment="1">
      <alignment horizontal="center" vertical="center"/>
    </xf>
    <xf numFmtId="223" fontId="35" fillId="136" borderId="600" xfId="0" applyNumberFormat="1" applyFont="1" applyFill="1" applyBorder="1" applyAlignment="1">
      <alignment horizontal="center" vertical="center"/>
    </xf>
    <xf numFmtId="0" fontId="0" fillId="136" borderId="600" xfId="0" applyFont="1" applyFill="1" applyBorder="1">
      <alignment vertical="center"/>
    </xf>
    <xf numFmtId="223" fontId="35" fillId="3" borderId="119" xfId="0" applyNumberFormat="1" applyFont="1" applyFill="1" applyBorder="1" applyAlignment="1">
      <alignment horizontal="center" vertical="center"/>
    </xf>
    <xf numFmtId="223" fontId="35" fillId="135" borderId="608" xfId="0" applyNumberFormat="1" applyFont="1" applyFill="1" applyBorder="1" applyAlignment="1">
      <alignment horizontal="center" vertical="center"/>
    </xf>
    <xf numFmtId="223" fontId="35" fillId="116" borderId="515" xfId="0" applyNumberFormat="1" applyFont="1" applyFill="1" applyBorder="1" applyAlignment="1">
      <alignment horizontal="center" vertical="center"/>
    </xf>
    <xf numFmtId="223" fontId="35" fillId="135" borderId="590" xfId="0" applyNumberFormat="1" applyFont="1" applyFill="1" applyBorder="1" applyAlignment="1">
      <alignment horizontal="center" vertical="center"/>
    </xf>
    <xf numFmtId="223" fontId="35" fillId="116" borderId="583" xfId="0" applyNumberFormat="1" applyFont="1" applyFill="1" applyBorder="1" applyAlignment="1">
      <alignment horizontal="center" vertical="center"/>
    </xf>
    <xf numFmtId="223" fontId="35" fillId="135" borderId="612" xfId="0" applyNumberFormat="1" applyFont="1" applyFill="1" applyBorder="1" applyAlignment="1">
      <alignment horizontal="center" vertical="center"/>
    </xf>
    <xf numFmtId="223" fontId="35" fillId="116" borderId="509" xfId="0" applyNumberFormat="1" applyFont="1" applyFill="1" applyBorder="1" applyAlignment="1">
      <alignment horizontal="center" vertical="center"/>
    </xf>
    <xf numFmtId="223" fontId="172" fillId="0" borderId="121" xfId="2" applyNumberFormat="1" applyFont="1" applyFill="1" applyBorder="1" applyAlignment="1">
      <alignment horizontal="center" vertical="center"/>
    </xf>
    <xf numFmtId="223" fontId="172" fillId="0" borderId="200" xfId="2" applyNumberFormat="1" applyFont="1" applyFill="1" applyBorder="1" applyAlignment="1">
      <alignment horizontal="center" vertical="center"/>
    </xf>
    <xf numFmtId="223" fontId="35" fillId="117" borderId="608" xfId="0" applyNumberFormat="1" applyFont="1" applyFill="1" applyBorder="1" applyAlignment="1">
      <alignment horizontal="center" vertical="center"/>
    </xf>
    <xf numFmtId="223" fontId="35" fillId="0" borderId="608" xfId="0" applyNumberFormat="1" applyFont="1" applyFill="1" applyBorder="1" applyAlignment="1">
      <alignment horizontal="center" vertical="center"/>
    </xf>
    <xf numFmtId="223" fontId="35" fillId="0" borderId="592" xfId="0" applyNumberFormat="1" applyFont="1" applyBorder="1" applyAlignment="1">
      <alignment horizontal="center" vertical="center"/>
    </xf>
    <xf numFmtId="223" fontId="35" fillId="136" borderId="227" xfId="0" applyNumberFormat="1" applyFont="1" applyFill="1" applyBorder="1" applyAlignment="1">
      <alignment horizontal="center" vertical="center"/>
    </xf>
    <xf numFmtId="223" fontId="230" fillId="0" borderId="121" xfId="0" applyNumberFormat="1" applyFont="1" applyFill="1" applyBorder="1" applyAlignment="1">
      <alignment horizontal="center" vertical="center"/>
    </xf>
    <xf numFmtId="223" fontId="172" fillId="7" borderId="200" xfId="2" applyNumberFormat="1" applyFont="1" applyFill="1" applyBorder="1" applyAlignment="1">
      <alignment horizontal="center" vertical="center"/>
    </xf>
    <xf numFmtId="223" fontId="230" fillId="0" borderId="592" xfId="0" applyNumberFormat="1" applyFont="1" applyBorder="1" applyAlignment="1">
      <alignment horizontal="center" vertical="center"/>
    </xf>
    <xf numFmtId="223" fontId="35" fillId="131" borderId="227" xfId="0" applyNumberFormat="1" applyFont="1" applyFill="1" applyBorder="1" applyAlignment="1">
      <alignment horizontal="center" vertical="center"/>
    </xf>
    <xf numFmtId="223" fontId="35" fillId="117" borderId="515" xfId="0" applyNumberFormat="1" applyFont="1" applyFill="1" applyBorder="1" applyAlignment="1">
      <alignment horizontal="center" vertical="center"/>
    </xf>
    <xf numFmtId="223" fontId="35" fillId="0" borderId="327" xfId="0" applyNumberFormat="1" applyFont="1" applyFill="1" applyBorder="1" applyAlignment="1">
      <alignment horizontal="center" vertical="center"/>
    </xf>
    <xf numFmtId="223" fontId="230" fillId="0" borderId="608" xfId="0" applyNumberFormat="1" applyFont="1" applyFill="1" applyBorder="1" applyAlignment="1">
      <alignment horizontal="center" vertical="center"/>
    </xf>
    <xf numFmtId="223" fontId="230" fillId="0" borderId="592" xfId="0" applyNumberFormat="1" applyFont="1" applyFill="1" applyBorder="1" applyAlignment="1">
      <alignment horizontal="center" vertical="center"/>
    </xf>
    <xf numFmtId="223" fontId="230" fillId="0" borderId="515" xfId="0" applyNumberFormat="1" applyFont="1" applyFill="1" applyBorder="1" applyAlignment="1">
      <alignment horizontal="center" vertical="center"/>
    </xf>
    <xf numFmtId="223" fontId="35" fillId="0" borderId="515" xfId="0" applyNumberFormat="1" applyFont="1" applyBorder="1" applyAlignment="1">
      <alignment horizontal="center" vertical="center"/>
    </xf>
    <xf numFmtId="223" fontId="230" fillId="0" borderId="200" xfId="0" applyNumberFormat="1" applyFont="1" applyFill="1" applyBorder="1" applyAlignment="1">
      <alignment horizontal="center" vertical="center"/>
    </xf>
    <xf numFmtId="0" fontId="177" fillId="125" borderId="108" xfId="0" applyFont="1" applyFill="1" applyBorder="1" applyAlignment="1">
      <alignment horizontal="center" vertical="center" wrapText="1"/>
    </xf>
    <xf numFmtId="223" fontId="172" fillId="0" borderId="46" xfId="2" applyNumberFormat="1" applyFont="1" applyFill="1" applyBorder="1" applyAlignment="1">
      <alignment horizontal="center" vertical="center"/>
    </xf>
    <xf numFmtId="223" fontId="172" fillId="0" borderId="35" xfId="2" applyNumberFormat="1" applyFont="1" applyFill="1" applyBorder="1" applyAlignment="1">
      <alignment horizontal="center" vertical="center"/>
    </xf>
    <xf numFmtId="223" fontId="35" fillId="117" borderId="612" xfId="0" applyNumberFormat="1" applyFont="1" applyFill="1" applyBorder="1" applyAlignment="1">
      <alignment horizontal="center" vertical="center"/>
    </xf>
    <xf numFmtId="223" fontId="35" fillId="0" borderId="612" xfId="0" applyNumberFormat="1" applyFont="1" applyFill="1" applyBorder="1" applyAlignment="1">
      <alignment horizontal="center" vertical="center"/>
    </xf>
    <xf numFmtId="223" fontId="35" fillId="0" borderId="604" xfId="0" applyNumberFormat="1" applyFont="1" applyBorder="1" applyAlignment="1">
      <alignment horizontal="center" vertical="center"/>
    </xf>
    <xf numFmtId="223" fontId="35" fillId="136" borderId="108" xfId="0" applyNumberFormat="1" applyFont="1" applyFill="1" applyBorder="1" applyAlignment="1">
      <alignment horizontal="center" vertical="center"/>
    </xf>
    <xf numFmtId="223" fontId="172" fillId="7" borderId="35" xfId="2" applyNumberFormat="1" applyFont="1" applyFill="1" applyBorder="1" applyAlignment="1">
      <alignment horizontal="center" vertical="center"/>
    </xf>
    <xf numFmtId="223" fontId="230" fillId="0" borderId="604" xfId="0" applyNumberFormat="1" applyFont="1" applyBorder="1" applyAlignment="1">
      <alignment horizontal="center" vertical="center"/>
    </xf>
    <xf numFmtId="223" fontId="230" fillId="0" borderId="612" xfId="0" applyNumberFormat="1" applyFont="1" applyBorder="1" applyAlignment="1">
      <alignment horizontal="center" vertical="center"/>
    </xf>
    <xf numFmtId="223" fontId="35" fillId="117" borderId="509" xfId="0" applyNumberFormat="1" applyFont="1" applyFill="1" applyBorder="1" applyAlignment="1">
      <alignment horizontal="center" vertical="center"/>
    </xf>
    <xf numFmtId="223" fontId="230" fillId="0" borderId="612" xfId="0" applyNumberFormat="1" applyFont="1" applyFill="1" applyBorder="1" applyAlignment="1">
      <alignment horizontal="center" vertical="center"/>
    </xf>
    <xf numFmtId="223" fontId="230" fillId="0" borderId="509" xfId="0" applyNumberFormat="1" applyFont="1" applyFill="1" applyBorder="1" applyAlignment="1">
      <alignment horizontal="center" vertical="center"/>
    </xf>
    <xf numFmtId="223" fontId="35" fillId="131" borderId="108" xfId="0" applyNumberFormat="1" applyFont="1" applyFill="1" applyBorder="1" applyAlignment="1">
      <alignment horizontal="center" vertical="center"/>
    </xf>
    <xf numFmtId="223" fontId="230" fillId="0" borderId="35" xfId="0" applyNumberFormat="1" applyFont="1" applyFill="1" applyBorder="1" applyAlignment="1">
      <alignment horizontal="center" vertical="center"/>
    </xf>
    <xf numFmtId="223" fontId="35" fillId="0" borderId="509" xfId="0" applyNumberFormat="1" applyFont="1" applyBorder="1" applyAlignment="1">
      <alignment horizontal="center" vertical="center"/>
    </xf>
    <xf numFmtId="187" fontId="35" fillId="4" borderId="608" xfId="0" applyNumberFormat="1" applyFont="1" applyFill="1" applyBorder="1" applyAlignment="1">
      <alignment horizontal="center" vertical="center"/>
    </xf>
    <xf numFmtId="187" fontId="35" fillId="117" borderId="608" xfId="0" applyNumberFormat="1" applyFont="1" applyFill="1" applyBorder="1" applyAlignment="1">
      <alignment horizontal="center" vertical="center"/>
    </xf>
    <xf numFmtId="187" fontId="35" fillId="117" borderId="515" xfId="0" applyNumberFormat="1" applyFont="1" applyFill="1" applyBorder="1" applyAlignment="1">
      <alignment horizontal="center" vertical="center"/>
    </xf>
    <xf numFmtId="187" fontId="230" fillId="117" borderId="515" xfId="0" applyNumberFormat="1" applyFont="1" applyFill="1" applyBorder="1" applyAlignment="1">
      <alignment horizontal="center" vertical="center"/>
    </xf>
    <xf numFmtId="0" fontId="225" fillId="127" borderId="606" xfId="0" applyFont="1" applyFill="1" applyBorder="1" applyAlignment="1">
      <alignment horizontal="center" vertical="center"/>
    </xf>
    <xf numFmtId="183" fontId="197" fillId="0" borderId="606" xfId="0" applyNumberFormat="1" applyFont="1" applyFill="1" applyBorder="1" applyAlignment="1">
      <alignment horizontal="center" vertical="center"/>
    </xf>
    <xf numFmtId="183" fontId="197" fillId="0" borderId="600" xfId="0" applyNumberFormat="1" applyFont="1" applyFill="1" applyBorder="1" applyAlignment="1">
      <alignment horizontal="center" vertical="center"/>
    </xf>
    <xf numFmtId="3" fontId="197" fillId="0" borderId="605" xfId="0" applyNumberFormat="1" applyFont="1" applyFill="1" applyBorder="1" applyAlignment="1">
      <alignment horizontal="center" vertical="center"/>
    </xf>
    <xf numFmtId="183" fontId="197" fillId="0" borderId="605" xfId="0" applyNumberFormat="1" applyFont="1" applyFill="1" applyBorder="1" applyAlignment="1">
      <alignment horizontal="center" vertical="center"/>
    </xf>
    <xf numFmtId="183" fontId="197" fillId="0" borderId="601" xfId="0" applyNumberFormat="1" applyFont="1" applyFill="1" applyBorder="1" applyAlignment="1">
      <alignment horizontal="center" vertical="center"/>
    </xf>
    <xf numFmtId="179" fontId="197" fillId="0" borderId="604" xfId="0" applyNumberFormat="1" applyFont="1" applyFill="1" applyBorder="1" applyAlignment="1">
      <alignment horizontal="center" vertical="center"/>
    </xf>
    <xf numFmtId="177" fontId="197" fillId="0" borderId="604" xfId="0" applyNumberFormat="1" applyFont="1" applyFill="1" applyBorder="1" applyAlignment="1">
      <alignment horizontal="center" vertical="center"/>
    </xf>
    <xf numFmtId="177" fontId="197" fillId="0" borderId="601" xfId="0" applyNumberFormat="1" applyFont="1" applyFill="1" applyBorder="1" applyAlignment="1">
      <alignment horizontal="center" vertical="center"/>
    </xf>
    <xf numFmtId="226" fontId="35" fillId="4" borderId="608" xfId="0" applyNumberFormat="1" applyFont="1" applyFill="1" applyBorder="1" applyAlignment="1">
      <alignment horizontal="center" vertical="center"/>
    </xf>
    <xf numFmtId="3" fontId="29" fillId="0" borderId="613" xfId="0" applyNumberFormat="1" applyFont="1" applyBorder="1" applyAlignment="1">
      <alignment horizontal="center" vertical="center"/>
    </xf>
    <xf numFmtId="223" fontId="35" fillId="3" borderId="612" xfId="0" applyNumberFormat="1" applyFont="1" applyFill="1" applyBorder="1" applyAlignment="1">
      <alignment horizontal="center" vertical="center"/>
    </xf>
    <xf numFmtId="223" fontId="230" fillId="3" borderId="606" xfId="0" applyNumberFormat="1" applyFont="1" applyFill="1" applyBorder="1" applyAlignment="1">
      <alignment horizontal="center" vertical="center"/>
    </xf>
    <xf numFmtId="223" fontId="230" fillId="3" borderId="608" xfId="0" applyNumberFormat="1" applyFont="1" applyFill="1" applyBorder="1" applyAlignment="1">
      <alignment horizontal="center" vertical="center"/>
    </xf>
    <xf numFmtId="223" fontId="230" fillId="3" borderId="46" xfId="0" applyNumberFormat="1" applyFont="1" applyFill="1" applyBorder="1" applyAlignment="1">
      <alignment horizontal="center" vertical="center"/>
    </xf>
    <xf numFmtId="223" fontId="230" fillId="3" borderId="612" xfId="0" applyNumberFormat="1" applyFont="1" applyFill="1" applyBorder="1" applyAlignment="1">
      <alignment horizontal="center" vertical="center"/>
    </xf>
    <xf numFmtId="223" fontId="264" fillId="0" borderId="0" xfId="0" applyNumberFormat="1" applyFont="1" applyAlignment="1">
      <alignment horizontal="center" vertical="center"/>
    </xf>
    <xf numFmtId="223" fontId="46" fillId="0" borderId="0" xfId="0" applyNumberFormat="1" applyFont="1" applyAlignment="1">
      <alignment horizontal="center" vertical="center"/>
    </xf>
    <xf numFmtId="223" fontId="0" fillId="0" borderId="38" xfId="0" applyNumberFormat="1" applyFont="1" applyBorder="1" applyAlignment="1">
      <alignment horizontal="center" vertical="center"/>
    </xf>
    <xf numFmtId="223" fontId="29" fillId="125" borderId="612" xfId="0" applyNumberFormat="1" applyFont="1" applyFill="1" applyBorder="1" applyAlignment="1">
      <alignment horizontal="center" vertical="center"/>
    </xf>
    <xf numFmtId="177" fontId="0" fillId="0" borderId="38" xfId="0" applyNumberFormat="1" applyFont="1" applyBorder="1" applyAlignment="1">
      <alignment horizontal="center" vertical="center"/>
    </xf>
    <xf numFmtId="187" fontId="219" fillId="125" borderId="605" xfId="0" applyNumberFormat="1" applyFont="1" applyFill="1" applyBorder="1" applyAlignment="1">
      <alignment horizontal="center" vertical="center"/>
    </xf>
    <xf numFmtId="187" fontId="219" fillId="125" borderId="601" xfId="0" applyNumberFormat="1" applyFont="1" applyFill="1" applyBorder="1" applyAlignment="1">
      <alignment horizontal="center" vertical="center"/>
    </xf>
    <xf numFmtId="177" fontId="0" fillId="0" borderId="226" xfId="0" applyNumberFormat="1" applyFont="1" applyBorder="1" applyAlignment="1">
      <alignment horizontal="center" vertical="center"/>
    </xf>
    <xf numFmtId="177" fontId="0" fillId="0" borderId="45" xfId="0" applyNumberFormat="1" applyFont="1" applyBorder="1" applyAlignment="1">
      <alignment horizontal="center" vertical="center"/>
    </xf>
    <xf numFmtId="177" fontId="0" fillId="0" borderId="605" xfId="0" applyNumberFormat="1" applyFont="1" applyBorder="1" applyAlignment="1">
      <alignment horizontal="center" vertical="center"/>
    </xf>
    <xf numFmtId="223" fontId="177" fillId="125" borderId="605" xfId="2" applyNumberFormat="1" applyFont="1" applyFill="1" applyBorder="1" applyAlignment="1">
      <alignment horizontal="center" vertical="center" wrapText="1"/>
    </xf>
    <xf numFmtId="177" fontId="0" fillId="0" borderId="605" xfId="0" applyNumberFormat="1" applyFont="1" applyFill="1" applyBorder="1" applyAlignment="1">
      <alignment horizontal="center" vertical="center"/>
    </xf>
    <xf numFmtId="177" fontId="177" fillId="125" borderId="38" xfId="0" applyNumberFormat="1" applyFont="1" applyFill="1" applyBorder="1" applyAlignment="1">
      <alignment horizontal="center" vertical="center"/>
    </xf>
    <xf numFmtId="177" fontId="0" fillId="125" borderId="38" xfId="0" applyNumberFormat="1" applyFont="1" applyFill="1" applyBorder="1" applyAlignment="1">
      <alignment horizontal="center" vertical="center"/>
    </xf>
    <xf numFmtId="177" fontId="0" fillId="125" borderId="605" xfId="0" applyNumberFormat="1" applyFont="1" applyFill="1" applyBorder="1" applyAlignment="1">
      <alignment horizontal="center" vertical="center"/>
    </xf>
    <xf numFmtId="223" fontId="29" fillId="0" borderId="605" xfId="0" applyNumberFormat="1" applyFont="1" applyBorder="1" applyAlignment="1">
      <alignment horizontal="center" vertical="center"/>
    </xf>
    <xf numFmtId="223" fontId="29" fillId="125" borderId="605" xfId="0" applyNumberFormat="1" applyFont="1" applyFill="1" applyBorder="1" applyAlignment="1">
      <alignment horizontal="center" vertical="center"/>
    </xf>
    <xf numFmtId="223" fontId="177" fillId="125" borderId="601" xfId="2" applyNumberFormat="1" applyFont="1" applyFill="1" applyBorder="1" applyAlignment="1">
      <alignment horizontal="center" vertical="center" wrapText="1"/>
    </xf>
    <xf numFmtId="223" fontId="29" fillId="0" borderId="45" xfId="0" applyNumberFormat="1" applyFont="1" applyBorder="1" applyAlignment="1">
      <alignment horizontal="center" vertical="center"/>
    </xf>
    <xf numFmtId="223" fontId="29" fillId="0" borderId="45" xfId="2" applyNumberFormat="1" applyFont="1" applyFill="1" applyBorder="1" applyAlignment="1">
      <alignment horizontal="center" vertical="center" wrapText="1"/>
    </xf>
    <xf numFmtId="223" fontId="29" fillId="0" borderId="605" xfId="2" applyNumberFormat="1" applyFont="1" applyFill="1" applyBorder="1" applyAlignment="1">
      <alignment horizontal="center" vertical="center" wrapText="1"/>
    </xf>
    <xf numFmtId="223" fontId="29" fillId="0" borderId="601" xfId="2" applyNumberFormat="1" applyFont="1" applyFill="1" applyBorder="1" applyAlignment="1">
      <alignment horizontal="center" vertical="center" wrapText="1"/>
    </xf>
    <xf numFmtId="223" fontId="177" fillId="125" borderId="328" xfId="2" applyNumberFormat="1" applyFont="1" applyFill="1" applyBorder="1" applyAlignment="1">
      <alignment horizontal="center" vertical="center" wrapText="1"/>
    </xf>
    <xf numFmtId="223" fontId="29" fillId="0" borderId="38" xfId="0" applyNumberFormat="1" applyFont="1" applyBorder="1" applyAlignment="1">
      <alignment horizontal="center" vertical="center"/>
    </xf>
    <xf numFmtId="223" fontId="177" fillId="125" borderId="226" xfId="2" applyNumberFormat="1" applyFont="1" applyFill="1" applyBorder="1" applyAlignment="1">
      <alignment horizontal="center" vertical="center" wrapText="1"/>
    </xf>
    <xf numFmtId="223" fontId="177" fillId="125" borderId="516" xfId="2" applyNumberFormat="1" applyFont="1" applyFill="1" applyBorder="1" applyAlignment="1">
      <alignment horizontal="center" vertical="center"/>
    </xf>
    <xf numFmtId="223" fontId="177" fillId="125" borderId="622" xfId="0" applyNumberFormat="1" applyFont="1" applyFill="1" applyBorder="1" applyAlignment="1">
      <alignment horizontal="center" vertical="center"/>
    </xf>
    <xf numFmtId="187" fontId="29" fillId="0" borderId="612" xfId="0" applyNumberFormat="1" applyFont="1" applyBorder="1" applyAlignment="1">
      <alignment horizontal="center" vertical="center"/>
    </xf>
    <xf numFmtId="223" fontId="0" fillId="0" borderId="306" xfId="0" applyNumberFormat="1" applyFont="1" applyBorder="1" applyAlignment="1">
      <alignment horizontal="center" vertical="center"/>
    </xf>
    <xf numFmtId="223" fontId="239" fillId="125" borderId="306" xfId="0" applyNumberFormat="1" applyFont="1" applyFill="1" applyBorder="1" applyAlignment="1">
      <alignment horizontal="center" vertical="center"/>
    </xf>
    <xf numFmtId="223" fontId="239" fillId="117" borderId="306" xfId="0" applyNumberFormat="1" applyFont="1" applyFill="1" applyBorder="1" applyAlignment="1">
      <alignment horizontal="center" vertical="center"/>
    </xf>
    <xf numFmtId="223" fontId="226" fillId="3" borderId="605" xfId="0" applyNumberFormat="1" applyFont="1" applyFill="1" applyBorder="1" applyAlignment="1">
      <alignment horizontal="center" vertical="center"/>
    </xf>
    <xf numFmtId="0" fontId="0" fillId="136" borderId="601" xfId="0" applyFont="1" applyFill="1" applyBorder="1">
      <alignment vertical="center"/>
    </xf>
    <xf numFmtId="223" fontId="35" fillId="136" borderId="601" xfId="0" applyNumberFormat="1" applyFont="1" applyFill="1" applyBorder="1" applyAlignment="1">
      <alignment horizontal="center" vertical="center"/>
    </xf>
    <xf numFmtId="223" fontId="35" fillId="3" borderId="45" xfId="0" applyNumberFormat="1" applyFont="1" applyFill="1" applyBorder="1" applyAlignment="1">
      <alignment horizontal="center" vertical="center"/>
    </xf>
    <xf numFmtId="223" fontId="35" fillId="3" borderId="605" xfId="0" applyNumberFormat="1" applyFont="1" applyFill="1" applyBorder="1" applyAlignment="1">
      <alignment horizontal="center" vertical="center"/>
    </xf>
    <xf numFmtId="223" fontId="35" fillId="3" borderId="590" xfId="0" applyNumberFormat="1" applyFont="1" applyFill="1" applyBorder="1" applyAlignment="1">
      <alignment horizontal="center" vertical="center"/>
    </xf>
    <xf numFmtId="223" fontId="35" fillId="136" borderId="590" xfId="0" applyNumberFormat="1" applyFont="1" applyFill="1" applyBorder="1" applyAlignment="1">
      <alignment horizontal="center" vertical="center"/>
    </xf>
    <xf numFmtId="223" fontId="35" fillId="131" borderId="583" xfId="0" applyNumberFormat="1" applyFont="1" applyFill="1" applyBorder="1" applyAlignment="1">
      <alignment horizontal="center" vertical="center"/>
    </xf>
    <xf numFmtId="238" fontId="177" fillId="125" borderId="613" xfId="0" applyNumberFormat="1" applyFont="1" applyFill="1" applyBorder="1" applyAlignment="1">
      <alignment horizontal="center" vertical="center"/>
    </xf>
    <xf numFmtId="238" fontId="177" fillId="125" borderId="509" xfId="2" applyNumberFormat="1" applyFont="1" applyFill="1" applyBorder="1" applyAlignment="1">
      <alignment horizontal="center" vertical="center"/>
    </xf>
    <xf numFmtId="238" fontId="177" fillId="125" borderId="514" xfId="2" applyNumberFormat="1" applyFont="1" applyFill="1" applyBorder="1" applyAlignment="1">
      <alignment horizontal="center" vertical="center"/>
    </xf>
    <xf numFmtId="238" fontId="29" fillId="0" borderId="613" xfId="0" applyNumberFormat="1" applyFont="1" applyFill="1" applyBorder="1" applyAlignment="1">
      <alignment horizontal="center" vertical="center"/>
    </xf>
    <xf numFmtId="238" fontId="29" fillId="0" borderId="57" xfId="0" applyNumberFormat="1" applyFont="1" applyFill="1" applyBorder="1" applyAlignment="1">
      <alignment horizontal="center" vertical="center"/>
    </xf>
    <xf numFmtId="238" fontId="29" fillId="0" borderId="46" xfId="0" applyNumberFormat="1" applyFont="1" applyFill="1" applyBorder="1" applyAlignment="1">
      <alignment horizontal="center" vertical="center"/>
    </xf>
    <xf numFmtId="238" fontId="29" fillId="0" borderId="121" xfId="0" applyNumberFormat="1" applyFont="1" applyFill="1" applyBorder="1" applyAlignment="1">
      <alignment horizontal="center" vertical="center"/>
    </xf>
    <xf numFmtId="238" fontId="29" fillId="0" borderId="620" xfId="0" applyNumberFormat="1" applyFont="1" applyFill="1" applyBorder="1" applyAlignment="1">
      <alignment horizontal="center" vertical="center"/>
    </xf>
    <xf numFmtId="238" fontId="29" fillId="0" borderId="612" xfId="0" applyNumberFormat="1" applyFont="1" applyFill="1" applyBorder="1" applyAlignment="1">
      <alignment horizontal="center" vertical="center"/>
    </xf>
    <xf numFmtId="238" fontId="29" fillId="0" borderId="608" xfId="0" applyNumberFormat="1" applyFont="1" applyFill="1" applyBorder="1" applyAlignment="1">
      <alignment horizontal="center" vertical="center"/>
    </xf>
    <xf numFmtId="238" fontId="29" fillId="117" borderId="620" xfId="0" applyNumberFormat="1" applyFont="1" applyFill="1" applyBorder="1" applyAlignment="1">
      <alignment horizontal="center" vertical="center"/>
    </xf>
    <xf numFmtId="238" fontId="29" fillId="117" borderId="612" xfId="0" applyNumberFormat="1" applyFont="1" applyFill="1" applyBorder="1" applyAlignment="1">
      <alignment horizontal="center" vertical="center"/>
    </xf>
    <xf numFmtId="238" fontId="29" fillId="117" borderId="608" xfId="0" applyNumberFormat="1" applyFont="1" applyFill="1" applyBorder="1" applyAlignment="1">
      <alignment horizontal="center" vertical="center"/>
    </xf>
    <xf numFmtId="238" fontId="177" fillId="125" borderId="622" xfId="0" applyNumberFormat="1" applyFont="1" applyFill="1" applyBorder="1" applyAlignment="1">
      <alignment horizontal="center" vertical="center"/>
    </xf>
    <xf numFmtId="238" fontId="177" fillId="125" borderId="509" xfId="0" applyNumberFormat="1" applyFont="1" applyFill="1" applyBorder="1" applyAlignment="1">
      <alignment horizontal="center" vertical="center"/>
    </xf>
    <xf numFmtId="238" fontId="177" fillId="125" borderId="515" xfId="0" applyNumberFormat="1" applyFont="1" applyFill="1" applyBorder="1" applyAlignment="1">
      <alignment horizontal="center" vertical="center"/>
    </xf>
    <xf numFmtId="223" fontId="177" fillId="125" borderId="612" xfId="0" applyNumberFormat="1" applyFont="1" applyFill="1" applyBorder="1" applyAlignment="1">
      <alignment horizontal="center" vertical="center"/>
    </xf>
    <xf numFmtId="223" fontId="29" fillId="0" borderId="108" xfId="0" applyNumberFormat="1" applyFont="1" applyBorder="1" applyAlignment="1">
      <alignment horizontal="center" vertical="center"/>
    </xf>
    <xf numFmtId="238" fontId="177" fillId="125" borderId="612" xfId="0" applyNumberFormat="1" applyFont="1" applyFill="1" applyBorder="1" applyAlignment="1">
      <alignment horizontal="center" vertical="center"/>
    </xf>
    <xf numFmtId="238" fontId="29" fillId="0" borderId="45" xfId="0" applyNumberFormat="1" applyFont="1" applyFill="1" applyBorder="1" applyAlignment="1">
      <alignment horizontal="center" vertical="center"/>
    </xf>
    <xf numFmtId="238" fontId="29" fillId="0" borderId="605" xfId="0" applyNumberFormat="1" applyFont="1" applyFill="1" applyBorder="1" applyAlignment="1">
      <alignment horizontal="center" vertical="center"/>
    </xf>
    <xf numFmtId="238" fontId="29" fillId="117" borderId="605" xfId="0" applyNumberFormat="1" applyFont="1" applyFill="1" applyBorder="1" applyAlignment="1">
      <alignment horizontal="center" vertical="center"/>
    </xf>
    <xf numFmtId="238" fontId="177" fillId="125" borderId="514" xfId="0" applyNumberFormat="1" applyFont="1" applyFill="1" applyBorder="1" applyAlignment="1">
      <alignment horizontal="center" vertical="center"/>
    </xf>
    <xf numFmtId="238" fontId="29" fillId="0" borderId="612" xfId="0" applyNumberFormat="1" applyFont="1" applyBorder="1" applyAlignment="1">
      <alignment horizontal="center" vertical="center"/>
    </xf>
    <xf numFmtId="238" fontId="29" fillId="125" borderId="612" xfId="0" applyNumberFormat="1" applyFont="1" applyFill="1" applyBorder="1" applyAlignment="1">
      <alignment horizontal="center" vertical="center"/>
    </xf>
    <xf numFmtId="223" fontId="177" fillId="125" borderId="604" xfId="0" applyNumberFormat="1" applyFont="1" applyFill="1" applyBorder="1" applyAlignment="1">
      <alignment horizontal="center" vertical="center"/>
    </xf>
    <xf numFmtId="223" fontId="29" fillId="0" borderId="604" xfId="0" applyNumberFormat="1" applyFont="1" applyFill="1" applyBorder="1" applyAlignment="1">
      <alignment horizontal="center" vertical="center"/>
    </xf>
    <xf numFmtId="223" fontId="177" fillId="125" borderId="108" xfId="0" applyNumberFormat="1" applyFont="1" applyFill="1" applyBorder="1" applyAlignment="1">
      <alignment horizontal="center" vertical="center"/>
    </xf>
    <xf numFmtId="223" fontId="29" fillId="0" borderId="604" xfId="0" applyNumberFormat="1" applyFont="1" applyBorder="1" applyAlignment="1">
      <alignment horizontal="center" vertical="center"/>
    </xf>
    <xf numFmtId="223" fontId="177" fillId="125" borderId="285" xfId="0" applyNumberFormat="1" applyFont="1" applyFill="1" applyBorder="1" applyAlignment="1">
      <alignment horizontal="center" vertical="center"/>
    </xf>
    <xf numFmtId="223" fontId="186" fillId="0" borderId="62" xfId="0" applyNumberFormat="1" applyFont="1" applyBorder="1" applyAlignment="1">
      <alignment horizontal="center" vertical="center"/>
    </xf>
    <xf numFmtId="223" fontId="29" fillId="0" borderId="597" xfId="0" applyNumberFormat="1" applyFont="1" applyBorder="1" applyAlignment="1">
      <alignment horizontal="center" vertical="center"/>
    </xf>
    <xf numFmtId="223" fontId="186" fillId="0" borderId="597" xfId="0" applyNumberFormat="1" applyFont="1" applyBorder="1" applyAlignment="1">
      <alignment horizontal="center" vertical="center"/>
    </xf>
    <xf numFmtId="0" fontId="219" fillId="125" borderId="606" xfId="0" applyFont="1" applyFill="1" applyBorder="1" applyAlignment="1">
      <alignment horizontal="center" vertical="center" wrapText="1"/>
    </xf>
    <xf numFmtId="223" fontId="177" fillId="125" borderId="606" xfId="0" applyNumberFormat="1" applyFont="1" applyFill="1" applyBorder="1" applyAlignment="1">
      <alignment horizontal="center" vertical="center"/>
    </xf>
    <xf numFmtId="223" fontId="29" fillId="0" borderId="606" xfId="0" applyNumberFormat="1" applyFont="1" applyFill="1" applyBorder="1" applyAlignment="1">
      <alignment horizontal="center" vertical="center"/>
    </xf>
    <xf numFmtId="187" fontId="29" fillId="0" borderId="606" xfId="0" applyNumberFormat="1" applyFont="1" applyFill="1" applyBorder="1" applyAlignment="1">
      <alignment horizontal="center" vertical="center"/>
    </xf>
    <xf numFmtId="0" fontId="219" fillId="125" borderId="605" xfId="0" applyFont="1" applyFill="1" applyBorder="1" applyAlignment="1">
      <alignment horizontal="center" vertical="center" wrapText="1"/>
    </xf>
    <xf numFmtId="177" fontId="177" fillId="125" borderId="605" xfId="0" applyNumberFormat="1" applyFont="1" applyFill="1" applyBorder="1" applyAlignment="1">
      <alignment horizontal="center" vertical="center"/>
    </xf>
    <xf numFmtId="0" fontId="29" fillId="125" borderId="605" xfId="0" applyFont="1" applyFill="1" applyBorder="1" applyAlignment="1">
      <alignment horizontal="center" vertical="center"/>
    </xf>
    <xf numFmtId="187" fontId="29" fillId="0" borderId="605" xfId="0" applyNumberFormat="1" applyFont="1" applyFill="1" applyBorder="1" applyAlignment="1">
      <alignment horizontal="center" vertical="center"/>
    </xf>
    <xf numFmtId="223" fontId="29" fillId="0" borderId="605" xfId="0" applyNumberFormat="1" applyFont="1" applyFill="1" applyBorder="1" applyAlignment="1">
      <alignment horizontal="center" vertical="center"/>
    </xf>
    <xf numFmtId="0" fontId="219" fillId="125" borderId="122" xfId="0" applyFont="1" applyFill="1" applyBorder="1" applyAlignment="1">
      <alignment horizontal="center" vertical="center" wrapText="1"/>
    </xf>
    <xf numFmtId="223" fontId="219" fillId="125" borderId="122" xfId="0" applyNumberFormat="1" applyFont="1" applyFill="1" applyBorder="1" applyAlignment="1">
      <alignment horizontal="center" vertical="center" wrapText="1"/>
    </xf>
    <xf numFmtId="223" fontId="177" fillId="125" borderId="590" xfId="0" applyNumberFormat="1" applyFont="1" applyFill="1" applyBorder="1" applyAlignment="1">
      <alignment horizontal="center" vertical="center"/>
    </xf>
    <xf numFmtId="223" fontId="29" fillId="125" borderId="590" xfId="0" applyNumberFormat="1" applyFont="1" applyFill="1" applyBorder="1" applyAlignment="1">
      <alignment horizontal="center" vertical="center"/>
    </xf>
    <xf numFmtId="223" fontId="29" fillId="117" borderId="590" xfId="0" applyNumberFormat="1" applyFont="1" applyFill="1" applyBorder="1" applyAlignment="1">
      <alignment horizontal="center" vertical="center"/>
    </xf>
    <xf numFmtId="223" fontId="0" fillId="0" borderId="94" xfId="0" applyNumberFormat="1" applyFont="1" applyBorder="1" applyAlignment="1">
      <alignment horizontal="center" vertical="center"/>
    </xf>
    <xf numFmtId="187" fontId="29" fillId="0" borderId="604" xfId="0" applyNumberFormat="1" applyFont="1" applyBorder="1" applyAlignment="1">
      <alignment horizontal="center" vertical="center"/>
    </xf>
    <xf numFmtId="223" fontId="29" fillId="0" borderId="595" xfId="0" applyNumberFormat="1" applyFont="1" applyBorder="1" applyAlignment="1">
      <alignment horizontal="center" vertical="center"/>
    </xf>
    <xf numFmtId="223" fontId="186" fillId="0" borderId="595" xfId="0" applyNumberFormat="1" applyFont="1" applyBorder="1" applyAlignment="1">
      <alignment horizontal="center" vertical="center"/>
    </xf>
    <xf numFmtId="223" fontId="186" fillId="0" borderId="598" xfId="0" applyNumberFormat="1" applyFont="1" applyBorder="1" applyAlignment="1">
      <alignment horizontal="center" vertical="center"/>
    </xf>
    <xf numFmtId="223" fontId="29" fillId="0" borderId="600" xfId="0" applyNumberFormat="1" applyFont="1" applyBorder="1" applyAlignment="1">
      <alignment horizontal="center" vertical="center"/>
    </xf>
    <xf numFmtId="187" fontId="29" fillId="0" borderId="600" xfId="0" applyNumberFormat="1" applyFont="1" applyBorder="1" applyAlignment="1">
      <alignment horizontal="center" vertical="center"/>
    </xf>
    <xf numFmtId="187" fontId="29" fillId="0" borderId="601" xfId="0" applyNumberFormat="1" applyFont="1" applyBorder="1" applyAlignment="1">
      <alignment horizontal="center" vertical="center"/>
    </xf>
    <xf numFmtId="187" fontId="33" fillId="0" borderId="598" xfId="2" applyNumberFormat="1" applyFont="1" applyFill="1" applyBorder="1" applyAlignment="1">
      <alignment horizontal="center" vertical="center" wrapText="1"/>
    </xf>
    <xf numFmtId="187" fontId="33" fillId="0" borderId="599" xfId="2" applyNumberFormat="1" applyFont="1" applyFill="1" applyBorder="1" applyAlignment="1">
      <alignment horizontal="center" vertical="center" wrapText="1"/>
    </xf>
    <xf numFmtId="187" fontId="33" fillId="0" borderId="592" xfId="2" applyNumberFormat="1" applyFont="1" applyFill="1" applyBorder="1" applyAlignment="1">
      <alignment horizontal="center" vertical="center" wrapText="1"/>
    </xf>
    <xf numFmtId="187" fontId="29" fillId="0" borderId="592" xfId="0" applyNumberFormat="1" applyFont="1" applyBorder="1" applyAlignment="1">
      <alignment horizontal="center" vertical="center"/>
    </xf>
    <xf numFmtId="187" fontId="217" fillId="125" borderId="227" xfId="2" applyNumberFormat="1" applyFont="1" applyFill="1" applyBorder="1" applyAlignment="1">
      <alignment horizontal="center" vertical="center" wrapText="1"/>
    </xf>
    <xf numFmtId="223" fontId="239" fillId="125" borderId="224" xfId="0" applyNumberFormat="1" applyFont="1" applyFill="1" applyBorder="1" applyAlignment="1">
      <alignment horizontal="center" vertical="center"/>
    </xf>
    <xf numFmtId="223" fontId="177" fillId="125" borderId="224" xfId="0" applyNumberFormat="1" applyFont="1" applyFill="1" applyBorder="1" applyAlignment="1">
      <alignment horizontal="center" vertical="center"/>
    </xf>
    <xf numFmtId="0" fontId="219" fillId="125" borderId="366" xfId="0" applyFont="1" applyFill="1" applyBorder="1" applyAlignment="1">
      <alignment horizontal="center" vertical="center" wrapText="1"/>
    </xf>
    <xf numFmtId="223" fontId="35" fillId="0" borderId="518" xfId="0" applyNumberFormat="1" applyFont="1" applyBorder="1" applyAlignment="1">
      <alignment horizontal="center" vertical="center"/>
    </xf>
    <xf numFmtId="223" fontId="35" fillId="117" borderId="518" xfId="0" applyNumberFormat="1" applyFont="1" applyFill="1" applyBorder="1" applyAlignment="1">
      <alignment horizontal="center" vertical="center"/>
    </xf>
    <xf numFmtId="223" fontId="230" fillId="0" borderId="518" xfId="0" applyNumberFormat="1" applyFont="1" applyFill="1" applyBorder="1" applyAlignment="1">
      <alignment horizontal="center" vertical="center"/>
    </xf>
    <xf numFmtId="223" fontId="230" fillId="3" borderId="45" xfId="0" applyNumberFormat="1" applyFont="1" applyFill="1" applyBorder="1" applyAlignment="1">
      <alignment horizontal="center" vertical="center"/>
    </xf>
    <xf numFmtId="223" fontId="230" fillId="3" borderId="605" xfId="0" applyNumberFormat="1" applyFont="1" applyFill="1" applyBorder="1" applyAlignment="1">
      <alignment horizontal="center" vertical="center"/>
    </xf>
    <xf numFmtId="223" fontId="35" fillId="131" borderId="514" xfId="0" applyNumberFormat="1" applyFont="1" applyFill="1" applyBorder="1" applyAlignment="1">
      <alignment horizontal="center" vertical="center"/>
    </xf>
    <xf numFmtId="187" fontId="172" fillId="0" borderId="606" xfId="2" applyNumberFormat="1" applyFont="1" applyFill="1" applyBorder="1" applyAlignment="1">
      <alignment horizontal="center" vertical="center"/>
    </xf>
    <xf numFmtId="3" fontId="172" fillId="0" borderId="606" xfId="2" applyNumberFormat="1" applyFont="1" applyFill="1" applyBorder="1" applyAlignment="1">
      <alignment horizontal="center" vertical="center"/>
    </xf>
    <xf numFmtId="223" fontId="35" fillId="0" borderId="606" xfId="0" applyNumberFormat="1" applyFont="1" applyBorder="1" applyAlignment="1">
      <alignment horizontal="center" vertical="center"/>
    </xf>
    <xf numFmtId="187" fontId="35" fillId="117" borderId="606" xfId="0" applyNumberFormat="1" applyFont="1" applyFill="1" applyBorder="1" applyAlignment="1">
      <alignment horizontal="center" vertical="center"/>
    </xf>
    <xf numFmtId="187" fontId="35" fillId="136" borderId="606" xfId="0" applyNumberFormat="1" applyFont="1" applyFill="1" applyBorder="1" applyAlignment="1">
      <alignment horizontal="center" vertical="center"/>
    </xf>
    <xf numFmtId="223" fontId="230" fillId="0" borderId="606" xfId="0" applyNumberFormat="1" applyFont="1" applyFill="1" applyBorder="1" applyAlignment="1">
      <alignment horizontal="center" vertical="center"/>
    </xf>
    <xf numFmtId="187" fontId="172" fillId="7" borderId="606" xfId="2" applyNumberFormat="1" applyFont="1" applyFill="1" applyBorder="1" applyAlignment="1">
      <alignment horizontal="center" vertical="center"/>
    </xf>
    <xf numFmtId="3" fontId="230" fillId="0" borderId="606" xfId="0" applyNumberFormat="1" applyFont="1" applyBorder="1" applyAlignment="1">
      <alignment horizontal="center" vertical="center"/>
    </xf>
    <xf numFmtId="177" fontId="230" fillId="0" borderId="606" xfId="0" applyNumberFormat="1" applyFont="1" applyBorder="1" applyAlignment="1">
      <alignment horizontal="center" vertical="center"/>
    </xf>
    <xf numFmtId="177" fontId="230" fillId="0" borderId="606" xfId="0" applyNumberFormat="1" applyFont="1" applyFill="1" applyBorder="1" applyAlignment="1">
      <alignment horizontal="center" vertical="center"/>
    </xf>
    <xf numFmtId="3" fontId="230" fillId="0" borderId="606" xfId="0" applyNumberFormat="1" applyFont="1" applyFill="1" applyBorder="1" applyAlignment="1">
      <alignment horizontal="center" vertical="center"/>
    </xf>
    <xf numFmtId="187" fontId="230" fillId="0" borderId="606" xfId="0" applyNumberFormat="1" applyFont="1" applyFill="1" applyBorder="1" applyAlignment="1">
      <alignment horizontal="center" vertical="center"/>
    </xf>
    <xf numFmtId="187" fontId="226" fillId="3" borderId="606" xfId="0" applyNumberFormat="1" applyFont="1" applyFill="1" applyBorder="1" applyAlignment="1">
      <alignment horizontal="center" vertical="center"/>
    </xf>
    <xf numFmtId="187" fontId="172" fillId="0" borderId="605" xfId="2" applyNumberFormat="1" applyFont="1" applyFill="1" applyBorder="1" applyAlignment="1">
      <alignment horizontal="center" vertical="center"/>
    </xf>
    <xf numFmtId="3" fontId="172" fillId="0" borderId="605" xfId="2" applyNumberFormat="1" applyFont="1" applyFill="1" applyBorder="1" applyAlignment="1">
      <alignment horizontal="center" vertical="center"/>
    </xf>
    <xf numFmtId="187" fontId="35" fillId="0" borderId="605" xfId="0" applyNumberFormat="1" applyFont="1" applyBorder="1" applyAlignment="1">
      <alignment horizontal="center" vertical="center"/>
    </xf>
    <xf numFmtId="187" fontId="35" fillId="136" borderId="605" xfId="0" applyNumberFormat="1" applyFont="1" applyFill="1" applyBorder="1" applyAlignment="1">
      <alignment horizontal="center" vertical="center"/>
    </xf>
    <xf numFmtId="187" fontId="172" fillId="7" borderId="605" xfId="2" applyNumberFormat="1" applyFont="1" applyFill="1" applyBorder="1" applyAlignment="1">
      <alignment horizontal="center" vertical="center"/>
    </xf>
    <xf numFmtId="3" fontId="230" fillId="0" borderId="605" xfId="0" applyNumberFormat="1" applyFont="1" applyBorder="1" applyAlignment="1">
      <alignment horizontal="center" vertical="center"/>
    </xf>
    <xf numFmtId="177" fontId="230" fillId="0" borderId="605" xfId="0" applyNumberFormat="1" applyFont="1" applyBorder="1" applyAlignment="1">
      <alignment horizontal="center" vertical="center"/>
    </xf>
    <xf numFmtId="3" fontId="230" fillId="0" borderId="605" xfId="0" applyNumberFormat="1" applyFont="1" applyFill="1" applyBorder="1" applyAlignment="1">
      <alignment horizontal="center" vertical="center"/>
    </xf>
    <xf numFmtId="187" fontId="230" fillId="0" borderId="605" xfId="0" applyNumberFormat="1" applyFont="1" applyFill="1" applyBorder="1" applyAlignment="1">
      <alignment horizontal="center" vertical="center"/>
    </xf>
    <xf numFmtId="187" fontId="226" fillId="3" borderId="605" xfId="0" applyNumberFormat="1" applyFont="1" applyFill="1" applyBorder="1" applyAlignment="1">
      <alignment horizontal="center" vertical="center"/>
    </xf>
    <xf numFmtId="223" fontId="35" fillId="136" borderId="605" xfId="0" applyNumberFormat="1" applyFont="1" applyFill="1" applyBorder="1" applyAlignment="1">
      <alignment horizontal="center" vertical="center"/>
    </xf>
    <xf numFmtId="0" fontId="29" fillId="0" borderId="0" xfId="0" applyFont="1" applyBorder="1">
      <alignment vertical="center"/>
    </xf>
    <xf numFmtId="0" fontId="219" fillId="125" borderId="45" xfId="0" applyFont="1" applyFill="1" applyBorder="1" applyAlignment="1">
      <alignment horizontal="center" vertical="center" wrapText="1"/>
    </xf>
    <xf numFmtId="223" fontId="230" fillId="3" borderId="607" xfId="0" applyNumberFormat="1" applyFont="1" applyFill="1" applyBorder="1" applyAlignment="1">
      <alignment horizontal="center" vertical="center"/>
    </xf>
    <xf numFmtId="187" fontId="29" fillId="0" borderId="613" xfId="2" applyNumberFormat="1" applyFont="1" applyFill="1" applyBorder="1" applyAlignment="1">
      <alignment horizontal="center" vertical="center" wrapText="1"/>
    </xf>
    <xf numFmtId="3" fontId="58" fillId="0" borderId="62" xfId="2" applyNumberFormat="1" applyFont="1" applyFill="1" applyBorder="1" applyAlignment="1">
      <alignment horizontal="center" vertical="center"/>
    </xf>
    <xf numFmtId="223" fontId="230" fillId="3" borderId="590" xfId="0" applyNumberFormat="1" applyFont="1" applyFill="1" applyBorder="1" applyAlignment="1">
      <alignment horizontal="center" vertical="center"/>
    </xf>
    <xf numFmtId="223" fontId="35" fillId="136" borderId="595" xfId="0" applyNumberFormat="1" applyFont="1" applyFill="1" applyBorder="1" applyAlignment="1">
      <alignment horizontal="center" vertical="center"/>
    </xf>
    <xf numFmtId="223" fontId="35" fillId="3" borderId="122" xfId="0" applyNumberFormat="1" applyFont="1" applyFill="1" applyBorder="1" applyAlignment="1">
      <alignment horizontal="center" vertical="center"/>
    </xf>
    <xf numFmtId="0" fontId="219" fillId="125" borderId="119" xfId="0" applyFont="1" applyFill="1" applyBorder="1" applyAlignment="1">
      <alignment horizontal="center" vertical="center" wrapText="1"/>
    </xf>
    <xf numFmtId="187" fontId="29" fillId="125" borderId="606" xfId="0" applyNumberFormat="1" applyFont="1" applyFill="1" applyBorder="1" applyAlignment="1">
      <alignment horizontal="center" vertical="center"/>
    </xf>
    <xf numFmtId="187" fontId="29" fillId="125" borderId="605" xfId="0" applyNumberFormat="1" applyFont="1" applyFill="1" applyBorder="1" applyAlignment="1">
      <alignment horizontal="center" vertical="center"/>
    </xf>
    <xf numFmtId="187" fontId="0" fillId="0" borderId="606" xfId="0" applyNumberFormat="1" applyFill="1" applyBorder="1" applyAlignment="1">
      <alignment horizontal="center" vertical="center"/>
    </xf>
    <xf numFmtId="223" fontId="172" fillId="136" borderId="306" xfId="2" applyNumberFormat="1" applyFont="1" applyFill="1" applyBorder="1" applyAlignment="1">
      <alignment horizontal="center" vertical="center"/>
    </xf>
    <xf numFmtId="223" fontId="172" fillId="117" borderId="306" xfId="2" applyNumberFormat="1" applyFont="1" applyFill="1" applyBorder="1" applyAlignment="1">
      <alignment horizontal="center" vertical="center"/>
    </xf>
    <xf numFmtId="223" fontId="35" fillId="135" borderId="605" xfId="0" applyNumberFormat="1" applyFont="1" applyFill="1" applyBorder="1" applyAlignment="1">
      <alignment horizontal="center" vertical="center"/>
    </xf>
    <xf numFmtId="223" fontId="35" fillId="116" borderId="514" xfId="0" applyNumberFormat="1" applyFont="1" applyFill="1" applyBorder="1" applyAlignment="1">
      <alignment horizontal="center" vertical="center"/>
    </xf>
    <xf numFmtId="223" fontId="211" fillId="136" borderId="287" xfId="0" applyNumberFormat="1" applyFont="1" applyFill="1" applyBorder="1" applyAlignment="1">
      <alignment horizontal="center" vertical="center"/>
    </xf>
    <xf numFmtId="223" fontId="35" fillId="117" borderId="601" xfId="0" applyNumberFormat="1" applyFont="1" applyFill="1" applyBorder="1" applyAlignment="1">
      <alignment horizontal="center" vertical="center"/>
    </xf>
    <xf numFmtId="223" fontId="35" fillId="117" borderId="595" xfId="0" applyNumberFormat="1" applyFont="1" applyFill="1" applyBorder="1" applyAlignment="1">
      <alignment horizontal="center" vertical="center"/>
    </xf>
    <xf numFmtId="223" fontId="230" fillId="3" borderId="35" xfId="0" applyNumberFormat="1" applyFont="1" applyFill="1" applyBorder="1" applyAlignment="1">
      <alignment horizontal="center" vertical="center"/>
    </xf>
    <xf numFmtId="223" fontId="230" fillId="3" borderId="38" xfId="0" applyNumberFormat="1" applyFont="1" applyFill="1" applyBorder="1" applyAlignment="1">
      <alignment horizontal="center" vertical="center"/>
    </xf>
    <xf numFmtId="223" fontId="230" fillId="3" borderId="306" xfId="0" applyNumberFormat="1" applyFont="1" applyFill="1" applyBorder="1" applyAlignment="1">
      <alignment horizontal="center" vertical="center"/>
    </xf>
    <xf numFmtId="223" fontId="211" fillId="131" borderId="287" xfId="0" applyNumberFormat="1" applyFont="1" applyFill="1" applyBorder="1" applyAlignment="1">
      <alignment horizontal="center" vertical="center"/>
    </xf>
    <xf numFmtId="223" fontId="168" fillId="136" borderId="287" xfId="0" applyNumberFormat="1" applyFont="1" applyFill="1" applyBorder="1" applyAlignment="1">
      <alignment horizontal="center" vertical="center"/>
    </xf>
    <xf numFmtId="223" fontId="168" fillId="131" borderId="287" xfId="0" applyNumberFormat="1" applyFont="1" applyFill="1" applyBorder="1" applyAlignment="1">
      <alignment horizontal="center" vertical="center"/>
    </xf>
    <xf numFmtId="223" fontId="172" fillId="137" borderId="590" xfId="2" applyNumberFormat="1" applyFont="1" applyFill="1" applyBorder="1" applyAlignment="1">
      <alignment horizontal="center" vertical="center"/>
    </xf>
    <xf numFmtId="223" fontId="35" fillId="137" borderId="590" xfId="0" applyNumberFormat="1" applyFont="1" applyFill="1" applyBorder="1" applyAlignment="1">
      <alignment horizontal="center" vertical="center"/>
    </xf>
    <xf numFmtId="223" fontId="35" fillId="137" borderId="595" xfId="0" applyNumberFormat="1" applyFont="1" applyFill="1" applyBorder="1" applyAlignment="1">
      <alignment horizontal="center" vertical="center"/>
    </xf>
    <xf numFmtId="223" fontId="230" fillId="137" borderId="306" xfId="0" applyNumberFormat="1" applyFont="1" applyFill="1" applyBorder="1" applyAlignment="1">
      <alignment horizontal="center" vertical="center"/>
    </xf>
    <xf numFmtId="223" fontId="230" fillId="137" borderId="590" xfId="0" applyNumberFormat="1" applyFont="1" applyFill="1" applyBorder="1" applyAlignment="1">
      <alignment horizontal="center" vertical="center"/>
    </xf>
    <xf numFmtId="223" fontId="230" fillId="137" borderId="595" xfId="0" applyNumberFormat="1" applyFont="1" applyFill="1" applyBorder="1" applyAlignment="1">
      <alignment horizontal="center" vertical="center"/>
    </xf>
    <xf numFmtId="223" fontId="172" fillId="137" borderId="306" xfId="2" applyNumberFormat="1" applyFont="1" applyFill="1" applyBorder="1" applyAlignment="1">
      <alignment horizontal="center" vertical="center"/>
    </xf>
    <xf numFmtId="187" fontId="168" fillId="137" borderId="515" xfId="0" applyNumberFormat="1" applyFont="1" applyFill="1" applyBorder="1" applyAlignment="1">
      <alignment horizontal="center" vertical="center"/>
    </xf>
    <xf numFmtId="187" fontId="211" fillId="137" borderId="515" xfId="0" applyNumberFormat="1" applyFont="1" applyFill="1" applyBorder="1" applyAlignment="1">
      <alignment horizontal="center" vertical="center"/>
    </xf>
    <xf numFmtId="183" fontId="177" fillId="125" borderId="512" xfId="2" applyNumberFormat="1" applyFont="1" applyFill="1" applyBorder="1" applyAlignment="1">
      <alignment horizontal="center" vertical="center"/>
    </xf>
    <xf numFmtId="4" fontId="177" fillId="125" borderId="161" xfId="2" applyNumberFormat="1" applyFont="1" applyFill="1" applyBorder="1" applyAlignment="1">
      <alignment horizontal="center" vertical="center"/>
    </xf>
    <xf numFmtId="3" fontId="35" fillId="3" borderId="605" xfId="0" applyNumberFormat="1" applyFont="1" applyFill="1" applyBorder="1" applyAlignment="1">
      <alignment horizontal="center" vertical="center"/>
    </xf>
    <xf numFmtId="187" fontId="230" fillId="3" borderId="509" xfId="0" applyNumberFormat="1" applyFont="1" applyFill="1" applyBorder="1" applyAlignment="1">
      <alignment horizontal="center" vertical="center"/>
    </xf>
    <xf numFmtId="0" fontId="219" fillId="127" borderId="204" xfId="0" applyFont="1" applyFill="1" applyBorder="1" applyAlignment="1">
      <alignment horizontal="center" vertical="center"/>
    </xf>
    <xf numFmtId="0" fontId="177" fillId="125" borderId="366" xfId="0" applyFont="1" applyFill="1" applyBorder="1" applyAlignment="1">
      <alignment horizontal="center" vertical="center" wrapText="1"/>
    </xf>
    <xf numFmtId="187" fontId="35" fillId="117" borderId="607" xfId="0" applyNumberFormat="1" applyFont="1" applyFill="1" applyBorder="1" applyAlignment="1">
      <alignment horizontal="center" vertical="center"/>
    </xf>
    <xf numFmtId="187" fontId="35" fillId="117" borderId="620" xfId="0" applyNumberFormat="1" applyFont="1" applyFill="1" applyBorder="1" applyAlignment="1">
      <alignment horizontal="center" vertical="center"/>
    </xf>
    <xf numFmtId="187" fontId="35" fillId="117" borderId="512" xfId="0" applyNumberFormat="1" applyFont="1" applyFill="1" applyBorder="1" applyAlignment="1">
      <alignment horizontal="center" vertical="center"/>
    </xf>
    <xf numFmtId="187" fontId="35" fillId="117" borderId="622" xfId="0" applyNumberFormat="1" applyFont="1" applyFill="1" applyBorder="1" applyAlignment="1">
      <alignment horizontal="center" vertical="center"/>
    </xf>
    <xf numFmtId="187" fontId="230" fillId="117" borderId="512" xfId="0" applyNumberFormat="1" applyFont="1" applyFill="1" applyBorder="1" applyAlignment="1">
      <alignment horizontal="center" vertical="center"/>
    </xf>
    <xf numFmtId="187" fontId="230" fillId="117" borderId="622" xfId="0" applyNumberFormat="1" applyFont="1" applyFill="1" applyBorder="1" applyAlignment="1">
      <alignment horizontal="center" vertical="center"/>
    </xf>
    <xf numFmtId="223" fontId="265" fillId="3" borderId="607" xfId="0" applyNumberFormat="1" applyFont="1" applyFill="1" applyBorder="1" applyAlignment="1">
      <alignment horizontal="center" vertical="center"/>
    </xf>
    <xf numFmtId="223" fontId="35" fillId="135" borderId="607" xfId="0" applyNumberFormat="1" applyFont="1" applyFill="1" applyBorder="1" applyAlignment="1">
      <alignment horizontal="center" vertical="center"/>
    </xf>
    <xf numFmtId="223" fontId="35" fillId="116" borderId="512" xfId="0" applyNumberFormat="1" applyFont="1" applyFill="1" applyBorder="1" applyAlignment="1">
      <alignment horizontal="center" vertical="center"/>
    </xf>
    <xf numFmtId="0" fontId="219" fillId="125" borderId="57" xfId="0" applyFont="1" applyFill="1" applyBorder="1" applyAlignment="1">
      <alignment horizontal="center" vertical="center" wrapText="1"/>
    </xf>
    <xf numFmtId="223" fontId="230" fillId="3" borderId="620" xfId="0" applyNumberFormat="1" applyFont="1" applyFill="1" applyBorder="1" applyAlignment="1">
      <alignment horizontal="center" vertical="center"/>
    </xf>
    <xf numFmtId="223" fontId="35" fillId="135" borderId="620" xfId="0" applyNumberFormat="1" applyFont="1" applyFill="1" applyBorder="1" applyAlignment="1">
      <alignment horizontal="center" vertical="center"/>
    </xf>
    <xf numFmtId="223" fontId="35" fillId="3" borderId="620" xfId="0" applyNumberFormat="1" applyFont="1" applyFill="1" applyBorder="1" applyAlignment="1">
      <alignment horizontal="center" vertical="center"/>
    </xf>
    <xf numFmtId="223" fontId="35" fillId="116" borderId="622" xfId="0" applyNumberFormat="1" applyFont="1" applyFill="1" applyBorder="1" applyAlignment="1">
      <alignment horizontal="center" vertical="center"/>
    </xf>
    <xf numFmtId="0" fontId="219" fillId="125" borderId="108" xfId="0" applyFont="1" applyFill="1" applyBorder="1" applyAlignment="1">
      <alignment horizontal="center" vertical="center" wrapText="1"/>
    </xf>
    <xf numFmtId="0" fontId="177" fillId="125" borderId="605" xfId="0" applyFont="1" applyFill="1" applyBorder="1" applyAlignment="1">
      <alignment horizontal="center" vertical="center" wrapText="1"/>
    </xf>
    <xf numFmtId="0" fontId="177" fillId="125" borderId="514" xfId="0" applyFont="1" applyFill="1" applyBorder="1" applyAlignment="1">
      <alignment horizontal="center" vertical="center" wrapText="1"/>
    </xf>
    <xf numFmtId="0" fontId="219" fillId="125" borderId="266" xfId="0" applyFont="1" applyFill="1" applyBorder="1" applyAlignment="1">
      <alignment horizontal="center" vertical="center" wrapText="1"/>
    </xf>
    <xf numFmtId="223" fontId="230" fillId="131" borderId="108" xfId="0" applyNumberFormat="1" applyFont="1" applyFill="1" applyBorder="1" applyAlignment="1">
      <alignment horizontal="center" vertical="center"/>
    </xf>
    <xf numFmtId="223" fontId="35" fillId="136" borderId="604" xfId="0" applyNumberFormat="1" applyFont="1" applyFill="1" applyBorder="1" applyAlignment="1">
      <alignment horizontal="center" vertical="center"/>
    </xf>
    <xf numFmtId="223" fontId="172" fillId="0" borderId="120" xfId="2" applyNumberFormat="1" applyFont="1" applyFill="1" applyBorder="1" applyAlignment="1">
      <alignment horizontal="center" vertical="center"/>
    </xf>
    <xf numFmtId="223" fontId="172" fillId="0" borderId="6" xfId="2" applyNumberFormat="1" applyFont="1" applyFill="1" applyBorder="1" applyAlignment="1">
      <alignment horizontal="center" vertical="center"/>
    </xf>
    <xf numFmtId="223" fontId="35" fillId="117" borderId="606" xfId="0" applyNumberFormat="1" applyFont="1" applyFill="1" applyBorder="1" applyAlignment="1">
      <alignment horizontal="center" vertical="center"/>
    </xf>
    <xf numFmtId="223" fontId="35" fillId="0" borderId="513" xfId="0" applyNumberFormat="1" applyFont="1" applyBorder="1" applyAlignment="1">
      <alignment horizontal="center" vertical="center"/>
    </xf>
    <xf numFmtId="223" fontId="35" fillId="136" borderId="224" xfId="0" applyNumberFormat="1" applyFont="1" applyFill="1" applyBorder="1" applyAlignment="1">
      <alignment horizontal="center" vertical="center"/>
    </xf>
    <xf numFmtId="223" fontId="230" fillId="0" borderId="120" xfId="0" applyNumberFormat="1" applyFont="1" applyFill="1" applyBorder="1" applyAlignment="1">
      <alignment horizontal="center" vertical="center"/>
    </xf>
    <xf numFmtId="223" fontId="172" fillId="7" borderId="6" xfId="2" applyNumberFormat="1" applyFont="1" applyFill="1" applyBorder="1" applyAlignment="1">
      <alignment horizontal="center" vertical="center"/>
    </xf>
    <xf numFmtId="223" fontId="230" fillId="0" borderId="600" xfId="0" applyNumberFormat="1" applyFont="1" applyBorder="1" applyAlignment="1">
      <alignment horizontal="center" vertical="center"/>
    </xf>
    <xf numFmtId="223" fontId="230" fillId="0" borderId="606" xfId="0" applyNumberFormat="1" applyFont="1" applyBorder="1" applyAlignment="1">
      <alignment horizontal="center" vertical="center"/>
    </xf>
    <xf numFmtId="223" fontId="230" fillId="131" borderId="224" xfId="0" applyNumberFormat="1" applyFont="1" applyFill="1" applyBorder="1" applyAlignment="1">
      <alignment horizontal="center" vertical="center"/>
    </xf>
    <xf numFmtId="223" fontId="35" fillId="117" borderId="513" xfId="0" applyNumberFormat="1" applyFont="1" applyFill="1" applyBorder="1" applyAlignment="1">
      <alignment horizontal="center" vertical="center"/>
    </xf>
    <xf numFmtId="223" fontId="230" fillId="0" borderId="6" xfId="0" applyNumberFormat="1" applyFont="1" applyFill="1" applyBorder="1" applyAlignment="1">
      <alignment horizontal="center" vertical="center"/>
    </xf>
    <xf numFmtId="223" fontId="230" fillId="0" borderId="600" xfId="0" applyNumberFormat="1" applyFont="1" applyFill="1" applyBorder="1" applyAlignment="1">
      <alignment horizontal="center" vertical="center"/>
    </xf>
    <xf numFmtId="223" fontId="35" fillId="131" borderId="224" xfId="0" applyNumberFormat="1" applyFont="1" applyFill="1" applyBorder="1" applyAlignment="1">
      <alignment horizontal="center" vertical="center"/>
    </xf>
    <xf numFmtId="223" fontId="35" fillId="0" borderId="600" xfId="0" applyNumberFormat="1" applyFont="1" applyBorder="1" applyAlignment="1">
      <alignment horizontal="center" vertical="center"/>
    </xf>
    <xf numFmtId="223" fontId="230" fillId="0" borderId="513" xfId="0" applyNumberFormat="1" applyFont="1" applyFill="1" applyBorder="1" applyAlignment="1">
      <alignment horizontal="center" vertical="center"/>
    </xf>
    <xf numFmtId="0" fontId="177" fillId="125" borderId="613" xfId="0" quotePrefix="1" applyFont="1" applyFill="1" applyBorder="1" applyAlignment="1">
      <alignment horizontal="center" vertical="center"/>
    </xf>
    <xf numFmtId="183" fontId="58" fillId="0" borderId="613" xfId="2" applyNumberFormat="1" applyFont="1" applyBorder="1" applyAlignment="1">
      <alignment horizontal="center" vertical="center"/>
    </xf>
    <xf numFmtId="183" fontId="58" fillId="0" borderId="613" xfId="0" applyNumberFormat="1" applyFont="1" applyBorder="1" applyAlignment="1">
      <alignment horizontal="center" vertical="center"/>
    </xf>
    <xf numFmtId="2" fontId="58" fillId="0" borderId="602" xfId="0" applyNumberFormat="1" applyFont="1" applyBorder="1" applyAlignment="1">
      <alignment horizontal="center" vertical="center"/>
    </xf>
    <xf numFmtId="187" fontId="58" fillId="7" borderId="516" xfId="2" applyNumberFormat="1" applyFont="1" applyFill="1" applyBorder="1" applyAlignment="1">
      <alignment horizontal="center" vertical="center"/>
    </xf>
    <xf numFmtId="187" fontId="58" fillId="0" borderId="613" xfId="2" applyNumberFormat="1" applyFont="1" applyFill="1" applyBorder="1" applyAlignment="1">
      <alignment horizontal="center" vertical="center"/>
    </xf>
    <xf numFmtId="187" fontId="58" fillId="7" borderId="84" xfId="2" applyNumberFormat="1" applyFont="1" applyFill="1" applyBorder="1" applyAlignment="1">
      <alignment horizontal="center" vertical="center"/>
    </xf>
    <xf numFmtId="178" fontId="58" fillId="0" borderId="38" xfId="2" applyNumberFormat="1" applyFont="1" applyFill="1" applyBorder="1" applyAlignment="1">
      <alignment horizontal="center" vertical="center"/>
    </xf>
    <xf numFmtId="187" fontId="35" fillId="0" borderId="226" xfId="0" applyNumberFormat="1" applyFont="1" applyBorder="1" applyAlignment="1">
      <alignment horizontal="center" vertical="center"/>
    </xf>
    <xf numFmtId="183" fontId="58" fillId="7" borderId="602" xfId="2" applyNumberFormat="1" applyFont="1" applyFill="1" applyBorder="1" applyAlignment="1">
      <alignment horizontal="center" vertical="center"/>
    </xf>
    <xf numFmtId="183" fontId="58" fillId="7" borderId="47" xfId="2" applyNumberFormat="1" applyFont="1" applyFill="1" applyBorder="1" applyAlignment="1">
      <alignment horizontal="center" vertical="center"/>
    </xf>
    <xf numFmtId="183" fontId="58" fillId="7" borderId="516" xfId="2" applyNumberFormat="1" applyFont="1" applyFill="1" applyBorder="1" applyAlignment="1">
      <alignment horizontal="center" vertical="center"/>
    </xf>
    <xf numFmtId="183" fontId="58" fillId="0" borderId="350" xfId="0" applyNumberFormat="1" applyFont="1" applyBorder="1" applyAlignment="1">
      <alignment horizontal="center" vertical="center"/>
    </xf>
    <xf numFmtId="183" fontId="58" fillId="7" borderId="84" xfId="2" applyNumberFormat="1" applyFont="1" applyFill="1" applyBorder="1" applyAlignment="1">
      <alignment horizontal="center" vertical="center"/>
    </xf>
    <xf numFmtId="185" fontId="58" fillId="0" borderId="84" xfId="0" applyNumberFormat="1" applyFont="1" applyFill="1" applyBorder="1" applyAlignment="1">
      <alignment horizontal="center" vertical="center"/>
    </xf>
    <xf numFmtId="2" fontId="58" fillId="0" borderId="602" xfId="0" applyNumberFormat="1" applyFont="1" applyFill="1" applyBorder="1" applyAlignment="1">
      <alignment horizontal="center" vertical="center"/>
    </xf>
    <xf numFmtId="185" fontId="58" fillId="0" borderId="602" xfId="0" applyNumberFormat="1" applyFont="1" applyFill="1" applyBorder="1" applyAlignment="1">
      <alignment horizontal="center" vertical="center"/>
    </xf>
    <xf numFmtId="2" fontId="29" fillId="0" borderId="516" xfId="0" applyNumberFormat="1" applyFont="1" applyFill="1" applyBorder="1" applyAlignment="1">
      <alignment horizontal="center" vertical="center"/>
    </xf>
    <xf numFmtId="187" fontId="58" fillId="7" borderId="647" xfId="2" applyNumberFormat="1" applyFont="1" applyFill="1" applyBorder="1" applyAlignment="1">
      <alignment horizontal="center" vertical="center"/>
    </xf>
    <xf numFmtId="183" fontId="58" fillId="7" borderId="648" xfId="2" applyNumberFormat="1" applyFont="1" applyFill="1" applyBorder="1" applyAlignment="1">
      <alignment horizontal="center" vertical="center"/>
    </xf>
    <xf numFmtId="178" fontId="58" fillId="7" borderId="649" xfId="0" applyNumberFormat="1" applyFont="1" applyFill="1" applyBorder="1" applyAlignment="1">
      <alignment horizontal="center" vertical="center"/>
    </xf>
    <xf numFmtId="187" fontId="58" fillId="7" borderId="350" xfId="0" applyNumberFormat="1" applyFont="1" applyFill="1" applyBorder="1" applyAlignment="1">
      <alignment horizontal="center" vertical="center"/>
    </xf>
    <xf numFmtId="226" fontId="58" fillId="7" borderId="648" xfId="2" applyNumberFormat="1" applyFont="1" applyFill="1" applyBorder="1" applyAlignment="1">
      <alignment horizontal="center" vertical="center"/>
    </xf>
    <xf numFmtId="226" fontId="58" fillId="0" borderId="602" xfId="2" applyNumberFormat="1" applyFont="1" applyFill="1" applyBorder="1" applyAlignment="1">
      <alignment horizontal="center" vertical="center"/>
    </xf>
    <xf numFmtId="187" fontId="58" fillId="0" borderId="516" xfId="2" applyNumberFormat="1" applyFont="1" applyFill="1" applyBorder="1" applyAlignment="1">
      <alignment horizontal="center" vertical="center"/>
    </xf>
    <xf numFmtId="187" fontId="58" fillId="7" borderId="350" xfId="2" applyNumberFormat="1" applyFont="1" applyFill="1" applyBorder="1" applyAlignment="1">
      <alignment horizontal="center" vertical="center"/>
    </xf>
    <xf numFmtId="223" fontId="172" fillId="7" borderId="286" xfId="0" applyNumberFormat="1" applyFont="1" applyFill="1" applyBorder="1" applyAlignment="1">
      <alignment horizontal="center" vertical="center"/>
    </xf>
    <xf numFmtId="187" fontId="58" fillId="0" borderId="613" xfId="0" applyNumberFormat="1" applyFont="1" applyBorder="1" applyAlignment="1">
      <alignment horizontal="center" vertical="center"/>
    </xf>
    <xf numFmtId="3" fontId="58" fillId="0" borderId="35" xfId="0" applyNumberFormat="1" applyFont="1" applyBorder="1" applyAlignment="1">
      <alignment horizontal="center" vertical="center"/>
    </xf>
    <xf numFmtId="187" fontId="58" fillId="0" borderId="613" xfId="2" applyNumberFormat="1" applyFont="1" applyBorder="1" applyAlignment="1">
      <alignment horizontal="center" vertical="center"/>
    </xf>
    <xf numFmtId="226" fontId="58" fillId="0" borderId="602" xfId="2" applyNumberFormat="1" applyFont="1" applyBorder="1" applyAlignment="1">
      <alignment horizontal="center" vertical="center"/>
    </xf>
    <xf numFmtId="226" fontId="58" fillId="0" borderId="47" xfId="2" applyNumberFormat="1" applyFont="1" applyBorder="1" applyAlignment="1">
      <alignment horizontal="center" vertical="center"/>
    </xf>
    <xf numFmtId="226" fontId="58" fillId="0" borderId="516" xfId="2" applyNumberFormat="1" applyFont="1" applyBorder="1" applyAlignment="1">
      <alignment horizontal="center" vertical="center"/>
    </xf>
    <xf numFmtId="2" fontId="58" fillId="5" borderId="47" xfId="0" applyNumberFormat="1" applyFont="1" applyFill="1" applyBorder="1" applyAlignment="1">
      <alignment horizontal="center" vertical="center"/>
    </xf>
    <xf numFmtId="2" fontId="58" fillId="0" borderId="23" xfId="0" applyNumberFormat="1" applyFont="1" applyBorder="1" applyAlignment="1">
      <alignment horizontal="center" vertical="center"/>
    </xf>
    <xf numFmtId="2" fontId="58" fillId="0" borderId="23" xfId="0" applyNumberFormat="1" applyFont="1" applyFill="1" applyBorder="1" applyAlignment="1">
      <alignment horizontal="center" vertical="center"/>
    </xf>
    <xf numFmtId="178" fontId="58" fillId="0" borderId="602" xfId="0" applyNumberFormat="1" applyFont="1" applyFill="1" applyBorder="1" applyAlignment="1">
      <alignment horizontal="center" vertical="center"/>
    </xf>
    <xf numFmtId="226" fontId="58" fillId="7" borderId="350" xfId="2" applyNumberFormat="1" applyFont="1" applyFill="1" applyBorder="1" applyAlignment="1">
      <alignment horizontal="center" vertical="center"/>
    </xf>
    <xf numFmtId="187" fontId="58" fillId="0" borderId="23" xfId="2" applyNumberFormat="1" applyFont="1" applyFill="1" applyBorder="1" applyAlignment="1">
      <alignment horizontal="center" vertical="center"/>
    </xf>
    <xf numFmtId="187" fontId="58" fillId="0" borderId="84" xfId="2" applyNumberFormat="1" applyFont="1" applyFill="1" applyBorder="1" applyAlignment="1">
      <alignment horizontal="center" vertical="center"/>
    </xf>
    <xf numFmtId="226" fontId="58" fillId="0" borderId="132" xfId="2" applyNumberFormat="1" applyFont="1" applyBorder="1" applyAlignment="1">
      <alignment horizontal="center" vertical="center"/>
    </xf>
    <xf numFmtId="187" fontId="58" fillId="0" borderId="647" xfId="2" applyNumberFormat="1" applyFont="1" applyBorder="1" applyAlignment="1">
      <alignment horizontal="center" vertical="center"/>
    </xf>
    <xf numFmtId="226" fontId="58" fillId="0" borderId="648" xfId="2" applyNumberFormat="1" applyFont="1" applyBorder="1" applyAlignment="1">
      <alignment horizontal="center" vertical="center"/>
    </xf>
    <xf numFmtId="187" fontId="58" fillId="0" borderId="650" xfId="2" applyNumberFormat="1" applyFont="1" applyBorder="1" applyAlignment="1">
      <alignment horizontal="center" vertical="center"/>
    </xf>
    <xf numFmtId="187" fontId="58" fillId="0" borderId="84" xfId="2" applyNumberFormat="1" applyFont="1" applyBorder="1" applyAlignment="1">
      <alignment horizontal="center" vertical="center"/>
    </xf>
    <xf numFmtId="187" fontId="58" fillId="0" borderId="516" xfId="2" applyNumberFormat="1" applyFont="1" applyBorder="1" applyAlignment="1">
      <alignment horizontal="center" vertical="center"/>
    </xf>
    <xf numFmtId="0" fontId="177" fillId="125" borderId="602" xfId="0" quotePrefix="1" applyFont="1" applyFill="1" applyBorder="1" applyAlignment="1">
      <alignment horizontal="center" vertical="center"/>
    </xf>
    <xf numFmtId="187" fontId="58" fillId="0" borderId="47" xfId="2" applyNumberFormat="1" applyFont="1" applyBorder="1" applyAlignment="1">
      <alignment horizontal="center" vertical="center"/>
    </xf>
    <xf numFmtId="226" fontId="58" fillId="0" borderId="23" xfId="2" applyNumberFormat="1" applyFont="1" applyBorder="1" applyAlignment="1">
      <alignment horizontal="center" vertical="center"/>
    </xf>
    <xf numFmtId="226" fontId="58" fillId="5" borderId="47" xfId="2" applyNumberFormat="1" applyFont="1" applyFill="1" applyBorder="1" applyAlignment="1">
      <alignment horizontal="center" vertical="center"/>
    </xf>
    <xf numFmtId="2" fontId="58" fillId="5" borderId="613" xfId="0" applyNumberFormat="1" applyFont="1" applyFill="1" applyBorder="1" applyAlignment="1">
      <alignment horizontal="center" vertical="center"/>
    </xf>
    <xf numFmtId="226" fontId="58" fillId="5" borderId="613" xfId="2" applyNumberFormat="1" applyFont="1" applyFill="1" applyBorder="1" applyAlignment="1">
      <alignment horizontal="center" vertical="center"/>
    </xf>
    <xf numFmtId="185" fontId="58" fillId="0" borderId="613" xfId="0" applyNumberFormat="1" applyFont="1" applyFill="1" applyBorder="1" applyAlignment="1">
      <alignment horizontal="center" vertical="center"/>
    </xf>
    <xf numFmtId="226" fontId="58" fillId="7" borderId="47" xfId="2" applyNumberFormat="1" applyFont="1" applyFill="1" applyBorder="1" applyAlignment="1">
      <alignment horizontal="center" vertical="center"/>
    </xf>
    <xf numFmtId="187" fontId="58" fillId="0" borderId="602" xfId="2" applyNumberFormat="1" applyFont="1" applyFill="1" applyBorder="1" applyAlignment="1">
      <alignment horizontal="center" vertical="center"/>
    </xf>
    <xf numFmtId="187" fontId="58" fillId="0" borderId="350" xfId="2" applyNumberFormat="1" applyFont="1" applyFill="1" applyBorder="1" applyAlignment="1">
      <alignment horizontal="center" vertical="center"/>
    </xf>
    <xf numFmtId="187" fontId="58" fillId="0" borderId="602" xfId="2" applyNumberFormat="1" applyFont="1" applyBorder="1" applyAlignment="1">
      <alignment horizontal="center" vertical="center"/>
    </xf>
    <xf numFmtId="10" fontId="166" fillId="0" borderId="613" xfId="0" applyNumberFormat="1" applyFont="1" applyBorder="1" applyAlignment="1">
      <alignment horizontal="center" vertical="center" wrapText="1"/>
    </xf>
    <xf numFmtId="183" fontId="166" fillId="0" borderId="613" xfId="0" applyNumberFormat="1" applyFont="1" applyBorder="1" applyAlignment="1">
      <alignment horizontal="center" vertical="center" wrapText="1"/>
    </xf>
    <xf numFmtId="178" fontId="177" fillId="125" borderId="516" xfId="0" applyNumberFormat="1" applyFont="1" applyFill="1" applyBorder="1" applyAlignment="1">
      <alignment horizontal="center" vertical="center"/>
    </xf>
    <xf numFmtId="0" fontId="177" fillId="125" borderId="516" xfId="0" applyFont="1" applyFill="1" applyBorder="1" applyAlignment="1">
      <alignment horizontal="center" vertical="center"/>
    </xf>
    <xf numFmtId="183" fontId="29" fillId="0" borderId="613" xfId="0" applyNumberFormat="1" applyFont="1" applyBorder="1" applyAlignment="1">
      <alignment horizontal="center" vertical="center"/>
    </xf>
    <xf numFmtId="183" fontId="177" fillId="125" borderId="613" xfId="0" applyNumberFormat="1" applyFont="1" applyFill="1" applyBorder="1" applyAlignment="1">
      <alignment horizontal="center" vertical="center"/>
    </xf>
    <xf numFmtId="4" fontId="29" fillId="7" borderId="47" xfId="2" applyNumberFormat="1" applyFont="1" applyFill="1" applyBorder="1" applyAlignment="1">
      <alignment horizontal="center" vertical="center"/>
    </xf>
    <xf numFmtId="4" fontId="29" fillId="7" borderId="613" xfId="2" applyNumberFormat="1" applyFont="1" applyFill="1" applyBorder="1" applyAlignment="1">
      <alignment horizontal="center" vertical="center"/>
    </xf>
    <xf numFmtId="4" fontId="29" fillId="7" borderId="23" xfId="2" applyNumberFormat="1" applyFont="1" applyFill="1" applyBorder="1" applyAlignment="1">
      <alignment horizontal="center" vertical="center"/>
    </xf>
    <xf numFmtId="183" fontId="177" fillId="125" borderId="602" xfId="2" applyNumberFormat="1" applyFont="1" applyFill="1" applyBorder="1" applyAlignment="1">
      <alignment horizontal="center" vertical="center"/>
    </xf>
    <xf numFmtId="227" fontId="29" fillId="7" borderId="613" xfId="2" applyNumberFormat="1" applyFont="1" applyFill="1" applyBorder="1" applyAlignment="1">
      <alignment horizontal="center" vertical="center"/>
    </xf>
    <xf numFmtId="183" fontId="29" fillId="0" borderId="47" xfId="2" applyNumberFormat="1" applyFont="1" applyFill="1" applyBorder="1" applyAlignment="1">
      <alignment horizontal="center" vertical="center"/>
    </xf>
    <xf numFmtId="183" fontId="29" fillId="0" borderId="602" xfId="2" applyNumberFormat="1" applyFont="1" applyFill="1" applyBorder="1" applyAlignment="1">
      <alignment horizontal="center" vertical="center"/>
    </xf>
    <xf numFmtId="183" fontId="29" fillId="0" borderId="23" xfId="2" applyNumberFormat="1" applyFont="1" applyFill="1" applyBorder="1" applyAlignment="1">
      <alignment horizontal="center" vertical="center"/>
    </xf>
    <xf numFmtId="3" fontId="29" fillId="7" borderId="47" xfId="2" applyNumberFormat="1" applyFont="1" applyFill="1" applyBorder="1" applyAlignment="1">
      <alignment horizontal="center" vertical="center"/>
    </xf>
    <xf numFmtId="3" fontId="29" fillId="7" borderId="613" xfId="2" applyNumberFormat="1" applyFont="1" applyFill="1" applyBorder="1" applyAlignment="1">
      <alignment horizontal="center" vertical="center"/>
    </xf>
    <xf numFmtId="3" fontId="177" fillId="125" borderId="613" xfId="2" applyNumberFormat="1" applyFont="1" applyFill="1" applyBorder="1" applyAlignment="1">
      <alignment horizontal="center" vertical="center" wrapText="1"/>
    </xf>
    <xf numFmtId="3" fontId="177" fillId="125" borderId="516" xfId="2" applyNumberFormat="1" applyFont="1" applyFill="1" applyBorder="1" applyAlignment="1">
      <alignment horizontal="center" vertical="center" wrapText="1"/>
    </xf>
    <xf numFmtId="183" fontId="29" fillId="7" borderId="47" xfId="2" applyNumberFormat="1" applyFont="1" applyFill="1" applyBorder="1" applyAlignment="1">
      <alignment horizontal="center" vertical="center" wrapText="1"/>
    </xf>
    <xf numFmtId="183" fontId="29" fillId="7" borderId="613" xfId="2" applyNumberFormat="1" applyFont="1" applyFill="1" applyBorder="1" applyAlignment="1">
      <alignment horizontal="center" vertical="center" wrapText="1"/>
    </xf>
    <xf numFmtId="183" fontId="177" fillId="125" borderId="602" xfId="2" applyNumberFormat="1" applyFont="1" applyFill="1" applyBorder="1" applyAlignment="1">
      <alignment horizontal="center" vertical="center" wrapText="1"/>
    </xf>
    <xf numFmtId="177" fontId="29" fillId="7" borderId="613" xfId="0" applyNumberFormat="1" applyFont="1" applyFill="1" applyBorder="1" applyAlignment="1">
      <alignment horizontal="center" vertical="center"/>
    </xf>
    <xf numFmtId="177" fontId="29" fillId="7" borderId="602" xfId="0" applyNumberFormat="1" applyFont="1" applyFill="1" applyBorder="1" applyAlignment="1">
      <alignment horizontal="center" vertical="center"/>
    </xf>
    <xf numFmtId="0" fontId="29" fillId="5" borderId="613" xfId="0" applyFont="1" applyFill="1" applyBorder="1" applyAlignment="1">
      <alignment horizontal="center" vertical="center" wrapText="1"/>
    </xf>
    <xf numFmtId="178" fontId="29" fillId="0" borderId="613" xfId="0" applyNumberFormat="1" applyFont="1" applyBorder="1" applyAlignment="1">
      <alignment horizontal="center" vertical="center"/>
    </xf>
    <xf numFmtId="178" fontId="29" fillId="0" borderId="601" xfId="0" applyNumberFormat="1" applyFont="1" applyBorder="1" applyAlignment="1">
      <alignment horizontal="center" vertical="center"/>
    </xf>
    <xf numFmtId="3" fontId="29" fillId="0" borderId="253" xfId="0" applyNumberFormat="1" applyFont="1" applyBorder="1" applyAlignment="1">
      <alignment horizontal="center" vertical="center" wrapText="1"/>
    </xf>
    <xf numFmtId="185" fontId="177" fillId="125" borderId="253" xfId="0" applyNumberFormat="1" applyFont="1" applyFill="1" applyBorder="1" applyAlignment="1">
      <alignment horizontal="center" vertical="center" wrapText="1"/>
    </xf>
    <xf numFmtId="177" fontId="177" fillId="128" borderId="55" xfId="0" applyNumberFormat="1" applyFont="1" applyFill="1" applyBorder="1" applyAlignment="1">
      <alignment horizontal="center" vertical="center" wrapText="1"/>
    </xf>
    <xf numFmtId="223" fontId="29" fillId="0" borderId="6" xfId="0" applyNumberFormat="1" applyFont="1" applyBorder="1" applyAlignment="1">
      <alignment horizontal="center" vertical="center"/>
    </xf>
    <xf numFmtId="223" fontId="58" fillId="0" borderId="120" xfId="2" applyNumberFormat="1" applyFont="1" applyFill="1" applyBorder="1" applyAlignment="1">
      <alignment horizontal="center" vertical="center"/>
    </xf>
    <xf numFmtId="223" fontId="58" fillId="0" borderId="606" xfId="2" applyNumberFormat="1" applyFont="1" applyFill="1" applyBorder="1" applyAlignment="1">
      <alignment horizontal="center" vertical="center"/>
    </xf>
    <xf numFmtId="223" fontId="29" fillId="125" borderId="5" xfId="0" applyNumberFormat="1" applyFont="1" applyFill="1" applyBorder="1" applyAlignment="1">
      <alignment horizontal="center" vertical="center"/>
    </xf>
    <xf numFmtId="223" fontId="29" fillId="0" borderId="224" xfId="0" applyNumberFormat="1" applyFont="1" applyBorder="1" applyAlignment="1">
      <alignment horizontal="center" vertical="center"/>
    </xf>
    <xf numFmtId="238" fontId="177" fillId="125" borderId="606" xfId="0" applyNumberFormat="1" applyFont="1" applyFill="1" applyBorder="1" applyAlignment="1">
      <alignment horizontal="center" vertical="center"/>
    </xf>
    <xf numFmtId="238" fontId="177" fillId="125" borderId="513" xfId="2" applyNumberFormat="1" applyFont="1" applyFill="1" applyBorder="1" applyAlignment="1">
      <alignment horizontal="center" vertical="center"/>
    </xf>
    <xf numFmtId="238" fontId="29" fillId="0" borderId="606" xfId="0" applyNumberFormat="1" applyFont="1" applyFill="1" applyBorder="1" applyAlignment="1">
      <alignment horizontal="center" vertical="center"/>
    </xf>
    <xf numFmtId="238" fontId="29" fillId="117" borderId="606" xfId="0" applyNumberFormat="1" applyFont="1" applyFill="1" applyBorder="1" applyAlignment="1">
      <alignment horizontal="center" vertical="center"/>
    </xf>
    <xf numFmtId="238" fontId="29" fillId="125" borderId="5" xfId="0" applyNumberFormat="1" applyFont="1" applyFill="1" applyBorder="1" applyAlignment="1">
      <alignment horizontal="center" vertical="center"/>
    </xf>
    <xf numFmtId="238" fontId="29" fillId="0" borderId="120" xfId="0" applyNumberFormat="1" applyFont="1" applyFill="1" applyBorder="1" applyAlignment="1">
      <alignment horizontal="center" vertical="center"/>
    </xf>
    <xf numFmtId="238" fontId="177" fillId="125" borderId="513" xfId="0" applyNumberFormat="1" applyFont="1" applyFill="1" applyBorder="1" applyAlignment="1">
      <alignment horizontal="center" vertical="center"/>
    </xf>
    <xf numFmtId="223" fontId="29" fillId="0" borderId="120" xfId="0" applyNumberFormat="1" applyFont="1" applyFill="1" applyBorder="1" applyAlignment="1">
      <alignment horizontal="center" vertical="center"/>
    </xf>
    <xf numFmtId="223" fontId="29" fillId="0" borderId="600" xfId="0" applyNumberFormat="1" applyFont="1" applyFill="1" applyBorder="1" applyAlignment="1">
      <alignment horizontal="center" vertical="center"/>
    </xf>
    <xf numFmtId="223" fontId="29" fillId="0" borderId="513" xfId="0" applyNumberFormat="1" applyFont="1" applyFill="1" applyBorder="1" applyAlignment="1">
      <alignment horizontal="center" vertical="center"/>
    </xf>
    <xf numFmtId="223" fontId="186" fillId="0" borderId="120" xfId="0" applyNumberFormat="1" applyFont="1" applyBorder="1" applyAlignment="1">
      <alignment horizontal="center" vertical="center"/>
    </xf>
    <xf numFmtId="223" fontId="186" fillId="0" borderId="606" xfId="0" applyNumberFormat="1" applyFont="1" applyBorder="1" applyAlignment="1">
      <alignment horizontal="center" vertical="center"/>
    </xf>
    <xf numFmtId="223" fontId="186" fillId="0" borderId="600" xfId="0" applyNumberFormat="1" applyFont="1" applyBorder="1" applyAlignment="1">
      <alignment horizontal="center" vertical="center"/>
    </xf>
    <xf numFmtId="187" fontId="211" fillId="137" borderId="608" xfId="0" applyNumberFormat="1" applyFont="1" applyFill="1" applyBorder="1" applyAlignment="1">
      <alignment horizontal="center" vertical="center"/>
    </xf>
    <xf numFmtId="183" fontId="35" fillId="4" borderId="608" xfId="0" applyNumberFormat="1" applyFont="1" applyFill="1" applyBorder="1" applyAlignment="1">
      <alignment horizontal="center" vertical="center"/>
    </xf>
    <xf numFmtId="179" fontId="230" fillId="118" borderId="45" xfId="1" applyNumberFormat="1" applyFont="1" applyFill="1" applyBorder="1" applyAlignment="1">
      <alignment horizontal="center" vertical="center"/>
    </xf>
    <xf numFmtId="179" fontId="226" fillId="118" borderId="120" xfId="1" applyNumberFormat="1" applyFont="1" applyFill="1" applyBorder="1" applyAlignment="1">
      <alignment horizontal="center" vertical="center"/>
    </xf>
    <xf numFmtId="179" fontId="230" fillId="118" borderId="46" xfId="1" applyNumberFormat="1" applyFont="1" applyFill="1" applyBorder="1" applyAlignment="1">
      <alignment horizontal="center" vertical="center"/>
    </xf>
    <xf numFmtId="0" fontId="230" fillId="143" borderId="605" xfId="0" applyFont="1" applyFill="1" applyBorder="1" applyAlignment="1">
      <alignment horizontal="center" vertical="center"/>
    </xf>
    <xf numFmtId="177" fontId="0" fillId="0" borderId="612" xfId="0" applyNumberFormat="1" applyBorder="1" applyAlignment="1">
      <alignment horizontal="center" vertical="center"/>
    </xf>
    <xf numFmtId="177" fontId="0" fillId="0" borderId="601" xfId="0" applyNumberFormat="1" applyBorder="1" applyAlignment="1">
      <alignment horizontal="center" vertical="center"/>
    </xf>
    <xf numFmtId="0" fontId="230" fillId="143" borderId="612" xfId="0" applyFont="1" applyFill="1" applyBorder="1" applyAlignment="1">
      <alignment horizontal="center" vertical="center"/>
    </xf>
    <xf numFmtId="10" fontId="230" fillId="141" borderId="612" xfId="1" applyNumberFormat="1" applyFont="1" applyFill="1" applyBorder="1" applyAlignment="1">
      <alignment horizontal="center" vertical="center"/>
    </xf>
    <xf numFmtId="177" fontId="0" fillId="0" borderId="604" xfId="0" applyNumberFormat="1" applyBorder="1" applyAlignment="1">
      <alignment horizontal="center" vertical="center"/>
    </xf>
    <xf numFmtId="10" fontId="230" fillId="141" borderId="46" xfId="1" applyNumberFormat="1" applyFont="1" applyFill="1" applyBorder="1" applyAlignment="1">
      <alignment horizontal="center" vertical="center"/>
    </xf>
    <xf numFmtId="10" fontId="30" fillId="141" borderId="601" xfId="1" applyNumberFormat="1" applyFont="1" applyFill="1" applyBorder="1" applyAlignment="1">
      <alignment horizontal="center" vertical="center"/>
    </xf>
    <xf numFmtId="240" fontId="230" fillId="141" borderId="514" xfId="0" applyNumberFormat="1" applyFont="1" applyFill="1" applyBorder="1" applyAlignment="1">
      <alignment horizontal="center" vertical="center"/>
    </xf>
    <xf numFmtId="10" fontId="30" fillId="141" borderId="605" xfId="1" applyNumberFormat="1" applyFont="1" applyFill="1" applyBorder="1" applyAlignment="1">
      <alignment horizontal="center" vertical="center"/>
    </xf>
    <xf numFmtId="0" fontId="230" fillId="143" borderId="122" xfId="0" applyFont="1" applyFill="1" applyBorder="1" applyAlignment="1">
      <alignment horizontal="center" vertical="center"/>
    </xf>
    <xf numFmtId="10" fontId="230" fillId="141" borderId="590" xfId="1" applyNumberFormat="1" applyFont="1" applyFill="1" applyBorder="1" applyAlignment="1">
      <alignment horizontal="center" vertical="center"/>
    </xf>
    <xf numFmtId="177" fontId="0" fillId="0" borderId="583" xfId="0" applyNumberFormat="1" applyBorder="1" applyAlignment="1">
      <alignment horizontal="center" vertical="center"/>
    </xf>
    <xf numFmtId="10" fontId="230" fillId="141" borderId="122" xfId="1" applyNumberFormat="1" applyFont="1" applyFill="1" applyBorder="1" applyAlignment="1">
      <alignment horizontal="center" vertical="center"/>
    </xf>
    <xf numFmtId="10" fontId="30" fillId="141" borderId="595" xfId="1" applyNumberFormat="1" applyFont="1" applyFill="1" applyBorder="1" applyAlignment="1">
      <alignment horizontal="center" vertical="center"/>
    </xf>
    <xf numFmtId="240" fontId="230" fillId="141" borderId="583" xfId="0" applyNumberFormat="1" applyFont="1" applyFill="1" applyBorder="1" applyAlignment="1">
      <alignment horizontal="center" vertical="center"/>
    </xf>
    <xf numFmtId="0" fontId="230" fillId="136" borderId="226" xfId="0" applyFont="1" applyFill="1" applyBorder="1" applyAlignment="1">
      <alignment horizontal="center" vertical="center"/>
    </xf>
    <xf numFmtId="10" fontId="197" fillId="0" borderId="38" xfId="1" applyNumberFormat="1" applyFont="1" applyFill="1" applyBorder="1" applyAlignment="1">
      <alignment horizontal="center" vertical="center"/>
    </xf>
    <xf numFmtId="10" fontId="197" fillId="0" borderId="605" xfId="1" applyNumberFormat="1" applyFont="1" applyFill="1" applyBorder="1" applyAlignment="1">
      <alignment horizontal="center" vertical="center"/>
    </xf>
    <xf numFmtId="10" fontId="197" fillId="0" borderId="601" xfId="1" applyNumberFormat="1" applyFont="1" applyFill="1" applyBorder="1" applyAlignment="1">
      <alignment horizontal="center" vertical="center"/>
    </xf>
    <xf numFmtId="10" fontId="230" fillId="134" borderId="45" xfId="1" applyNumberFormat="1" applyFont="1" applyFill="1" applyBorder="1" applyAlignment="1">
      <alignment horizontal="center" vertical="center"/>
    </xf>
    <xf numFmtId="240" fontId="230" fillId="134" borderId="514" xfId="0" applyNumberFormat="1" applyFont="1" applyFill="1" applyBorder="1" applyAlignment="1">
      <alignment horizontal="center" vertical="center"/>
    </xf>
    <xf numFmtId="0" fontId="230" fillId="136" borderId="287" xfId="0" applyFont="1" applyFill="1" applyBorder="1" applyAlignment="1">
      <alignment horizontal="center" vertical="center"/>
    </xf>
    <xf numFmtId="10" fontId="197" fillId="0" borderId="306" xfId="1" applyNumberFormat="1" applyFont="1" applyFill="1" applyBorder="1" applyAlignment="1">
      <alignment horizontal="center" vertical="center"/>
    </xf>
    <xf numFmtId="10" fontId="197" fillId="0" borderId="590" xfId="1" applyNumberFormat="1" applyFont="1" applyFill="1" applyBorder="1" applyAlignment="1">
      <alignment horizontal="center" vertical="center"/>
    </xf>
    <xf numFmtId="10" fontId="197" fillId="0" borderId="595" xfId="1" applyNumberFormat="1" applyFont="1" applyFill="1" applyBorder="1" applyAlignment="1">
      <alignment horizontal="center" vertical="center"/>
    </xf>
    <xf numFmtId="10" fontId="230" fillId="134" borderId="122" xfId="1" applyNumberFormat="1" applyFont="1" applyFill="1" applyBorder="1" applyAlignment="1">
      <alignment horizontal="center" vertical="center"/>
    </xf>
    <xf numFmtId="240" fontId="230" fillId="134" borderId="583" xfId="0" applyNumberFormat="1" applyFont="1" applyFill="1" applyBorder="1" applyAlignment="1">
      <alignment horizontal="center" vertical="center"/>
    </xf>
    <xf numFmtId="0" fontId="230" fillId="142" borderId="287" xfId="0" applyFont="1" applyFill="1" applyBorder="1" applyAlignment="1">
      <alignment horizontal="center" vertical="center"/>
    </xf>
    <xf numFmtId="179" fontId="197" fillId="0" borderId="590" xfId="0" applyNumberFormat="1" applyFont="1" applyFill="1" applyBorder="1" applyAlignment="1">
      <alignment horizontal="center" vertical="center"/>
    </xf>
    <xf numFmtId="179" fontId="230" fillId="118" borderId="122" xfId="1" applyNumberFormat="1" applyFont="1" applyFill="1" applyBorder="1" applyAlignment="1">
      <alignment horizontal="center" vertical="center"/>
    </xf>
    <xf numFmtId="240" fontId="230" fillId="118" borderId="583" xfId="0" applyNumberFormat="1" applyFont="1" applyFill="1" applyBorder="1" applyAlignment="1">
      <alignment horizontal="center" vertical="center"/>
    </xf>
    <xf numFmtId="0" fontId="230" fillId="139" borderId="287" xfId="0" applyFont="1" applyFill="1" applyBorder="1" applyAlignment="1">
      <alignment horizontal="center" vertical="center"/>
    </xf>
    <xf numFmtId="10" fontId="213" fillId="0" borderId="306" xfId="0" applyNumberFormat="1" applyFont="1" applyBorder="1" applyAlignment="1">
      <alignment horizontal="center" vertical="center"/>
    </xf>
    <xf numFmtId="10" fontId="213" fillId="0" borderId="590" xfId="0" applyNumberFormat="1" applyFont="1" applyBorder="1" applyAlignment="1">
      <alignment horizontal="center" vertical="center"/>
    </xf>
    <xf numFmtId="10" fontId="0" fillId="0" borderId="590" xfId="0" applyNumberFormat="1" applyBorder="1" applyAlignment="1">
      <alignment horizontal="center" vertical="center"/>
    </xf>
    <xf numFmtId="10" fontId="0" fillId="140" borderId="590" xfId="0" applyNumberFormat="1" applyFill="1" applyBorder="1" applyAlignment="1">
      <alignment horizontal="center" vertical="center"/>
    </xf>
    <xf numFmtId="240" fontId="30" fillId="139" borderId="583" xfId="0" applyNumberFormat="1" applyFont="1" applyFill="1" applyBorder="1" applyAlignment="1">
      <alignment horizontal="center" vertical="center"/>
    </xf>
    <xf numFmtId="0" fontId="230" fillId="131" borderId="514" xfId="0" applyFont="1" applyFill="1" applyBorder="1" applyAlignment="1">
      <alignment horizontal="center" vertical="center"/>
    </xf>
    <xf numFmtId="187" fontId="44" fillId="0" borderId="46" xfId="0" applyNumberFormat="1" applyFont="1" applyBorder="1" applyAlignment="1">
      <alignment horizontal="center" vertical="center"/>
    </xf>
    <xf numFmtId="187" fontId="44" fillId="0" borderId="612" xfId="0" applyNumberFormat="1" applyFont="1" applyBorder="1" applyAlignment="1">
      <alignment horizontal="center" vertical="center"/>
    </xf>
    <xf numFmtId="0" fontId="196" fillId="0" borderId="605" xfId="0" applyFont="1" applyBorder="1" applyAlignment="1">
      <alignment horizontal="center" vertical="center"/>
    </xf>
    <xf numFmtId="187" fontId="44" fillId="0" borderId="605" xfId="0" applyNumberFormat="1" applyFont="1" applyBorder="1" applyAlignment="1">
      <alignment horizontal="center" vertical="center"/>
    </xf>
    <xf numFmtId="177" fontId="44" fillId="0" borderId="605" xfId="0" applyNumberFormat="1" applyFont="1" applyBorder="1" applyAlignment="1">
      <alignment horizontal="center" vertical="center"/>
    </xf>
    <xf numFmtId="0" fontId="44" fillId="4" borderId="45" xfId="0" applyFont="1" applyFill="1" applyBorder="1">
      <alignment vertical="center"/>
    </xf>
    <xf numFmtId="177" fontId="230" fillId="4" borderId="605" xfId="2" applyNumberFormat="1" applyFont="1" applyFill="1" applyBorder="1" applyAlignment="1">
      <alignment horizontal="center" vertical="center"/>
    </xf>
    <xf numFmtId="0" fontId="230" fillId="131" borderId="287" xfId="0" applyFont="1" applyFill="1" applyBorder="1" applyAlignment="1">
      <alignment horizontal="center" vertical="center"/>
    </xf>
    <xf numFmtId="187" fontId="44" fillId="0" borderId="122" xfId="0" applyNumberFormat="1" applyFont="1" applyBorder="1" applyAlignment="1">
      <alignment horizontal="center" vertical="center"/>
    </xf>
    <xf numFmtId="187" fontId="44" fillId="0" borderId="590" xfId="0" applyNumberFormat="1" applyFont="1" applyBorder="1" applyAlignment="1">
      <alignment horizontal="center" vertical="center"/>
    </xf>
    <xf numFmtId="187" fontId="44" fillId="0" borderId="583" xfId="0" applyNumberFormat="1" applyFont="1" applyBorder="1" applyAlignment="1">
      <alignment horizontal="center" vertical="center"/>
    </xf>
    <xf numFmtId="187" fontId="248" fillId="4" borderId="122" xfId="0" applyNumberFormat="1" applyFont="1" applyFill="1" applyBorder="1" applyAlignment="1">
      <alignment horizontal="center" vertical="center"/>
    </xf>
    <xf numFmtId="177" fontId="236" fillId="4" borderId="595" xfId="2" applyNumberFormat="1" applyFont="1" applyFill="1" applyBorder="1" applyAlignment="1">
      <alignment horizontal="center" vertical="center"/>
    </xf>
    <xf numFmtId="240" fontId="230" fillId="4" borderId="583" xfId="0" applyNumberFormat="1" applyFont="1" applyFill="1" applyBorder="1" applyAlignment="1">
      <alignment horizontal="center" vertical="center"/>
    </xf>
    <xf numFmtId="0" fontId="230" fillId="138" borderId="514" xfId="0" applyFont="1" applyFill="1" applyBorder="1" applyAlignment="1">
      <alignment horizontal="center" vertical="center"/>
    </xf>
    <xf numFmtId="177" fontId="0" fillId="0" borderId="38" xfId="0" applyNumberFormat="1" applyBorder="1" applyAlignment="1">
      <alignment horizontal="center" vertical="center"/>
    </xf>
    <xf numFmtId="226" fontId="168" fillId="137" borderId="45" xfId="2" applyNumberFormat="1" applyFont="1" applyFill="1" applyBorder="1" applyAlignment="1">
      <alignment horizontal="center" vertical="center"/>
    </xf>
    <xf numFmtId="240" fontId="35" fillId="137" borderId="605" xfId="0" applyNumberFormat="1" applyFont="1" applyFill="1" applyBorder="1" applyAlignment="1">
      <alignment horizontal="center" vertical="center"/>
    </xf>
    <xf numFmtId="179" fontId="46" fillId="138" borderId="514" xfId="0" applyNumberFormat="1" applyFont="1" applyFill="1" applyBorder="1" applyAlignment="1">
      <alignment horizontal="center" vertical="center"/>
    </xf>
    <xf numFmtId="240" fontId="35" fillId="137" borderId="328" xfId="0" applyNumberFormat="1" applyFont="1" applyFill="1" applyBorder="1" applyAlignment="1">
      <alignment horizontal="center" vertical="center"/>
    </xf>
    <xf numFmtId="176" fontId="35" fillId="138" borderId="514" xfId="0" applyNumberFormat="1" applyFont="1" applyFill="1" applyBorder="1" applyAlignment="1">
      <alignment horizontal="center" vertical="center"/>
    </xf>
    <xf numFmtId="0" fontId="230" fillId="138" borderId="287" xfId="0" applyFont="1" applyFill="1" applyBorder="1" applyAlignment="1">
      <alignment horizontal="center" vertical="center"/>
    </xf>
    <xf numFmtId="177" fontId="0" fillId="0" borderId="306" xfId="0" applyNumberFormat="1" applyBorder="1" applyAlignment="1">
      <alignment horizontal="center" vertical="center"/>
    </xf>
    <xf numFmtId="177" fontId="0" fillId="0" borderId="595" xfId="0" applyNumberFormat="1" applyBorder="1" applyAlignment="1">
      <alignment horizontal="center" vertical="center"/>
    </xf>
    <xf numFmtId="226" fontId="168" fillId="137" borderId="122" xfId="2" applyNumberFormat="1" applyFont="1" applyFill="1" applyBorder="1" applyAlignment="1">
      <alignment horizontal="center" vertical="center"/>
    </xf>
    <xf numFmtId="240" fontId="35" fillId="137" borderId="590" xfId="0" applyNumberFormat="1" applyFont="1" applyFill="1" applyBorder="1" applyAlignment="1">
      <alignment horizontal="center" vertical="center"/>
    </xf>
    <xf numFmtId="179" fontId="46" fillId="138" borderId="583" xfId="0" applyNumberFormat="1" applyFont="1" applyFill="1" applyBorder="1" applyAlignment="1">
      <alignment horizontal="center" vertical="center"/>
    </xf>
    <xf numFmtId="240" fontId="35" fillId="137" borderId="94" xfId="0" applyNumberFormat="1" applyFont="1" applyFill="1" applyBorder="1" applyAlignment="1">
      <alignment horizontal="center" vertical="center"/>
    </xf>
    <xf numFmtId="176" fontId="35" fillId="138" borderId="583" xfId="0" applyNumberFormat="1" applyFont="1" applyFill="1" applyBorder="1" applyAlignment="1">
      <alignment horizontal="center" vertical="center"/>
    </xf>
    <xf numFmtId="226" fontId="35" fillId="137" borderId="605" xfId="2" applyNumberFormat="1" applyFont="1" applyFill="1" applyBorder="1" applyAlignment="1">
      <alignment horizontal="center" vertical="center"/>
    </xf>
    <xf numFmtId="226" fontId="35" fillId="137" borderId="514" xfId="2" applyNumberFormat="1" applyFont="1" applyFill="1" applyBorder="1" applyAlignment="1">
      <alignment horizontal="center" vertical="center"/>
    </xf>
    <xf numFmtId="240" fontId="35" fillId="137" borderId="514" xfId="0" applyNumberFormat="1" applyFont="1" applyFill="1" applyBorder="1" applyAlignment="1">
      <alignment horizontal="center" vertical="center"/>
    </xf>
    <xf numFmtId="226" fontId="35" fillId="137" borderId="590" xfId="2" applyNumberFormat="1" applyFont="1" applyFill="1" applyBorder="1" applyAlignment="1">
      <alignment horizontal="center" vertical="center"/>
    </xf>
    <xf numFmtId="226" fontId="35" fillId="137" borderId="583" xfId="2" applyNumberFormat="1" applyFont="1" applyFill="1" applyBorder="1" applyAlignment="1">
      <alignment horizontal="center" vertical="center"/>
    </xf>
    <xf numFmtId="240" fontId="35" fillId="137" borderId="583" xfId="0" applyNumberFormat="1" applyFont="1" applyFill="1" applyBorder="1" applyAlignment="1">
      <alignment horizontal="center" vertical="center"/>
    </xf>
    <xf numFmtId="0" fontId="58" fillId="0" borderId="0" xfId="0" applyFont="1" applyFill="1" applyBorder="1" applyAlignment="1">
      <alignment horizontal="center" vertical="center"/>
    </xf>
    <xf numFmtId="10" fontId="230" fillId="4" borderId="605" xfId="1" applyNumberFormat="1" applyFont="1" applyFill="1" applyBorder="1" applyAlignment="1">
      <alignment horizontal="center" vertical="center"/>
    </xf>
    <xf numFmtId="10" fontId="230" fillId="4" borderId="45" xfId="1" applyNumberFormat="1" applyFont="1" applyFill="1" applyBorder="1" applyAlignment="1">
      <alignment horizontal="center" vertical="center"/>
    </xf>
    <xf numFmtId="177" fontId="0" fillId="0" borderId="605" xfId="0" applyNumberFormat="1" applyFill="1" applyBorder="1" applyAlignment="1">
      <alignment horizontal="center" vertical="center"/>
    </xf>
    <xf numFmtId="177" fontId="0" fillId="0" borderId="601" xfId="0" applyNumberFormat="1" applyFill="1" applyBorder="1" applyAlignment="1">
      <alignment horizontal="center" vertical="center"/>
    </xf>
    <xf numFmtId="10" fontId="30" fillId="4" borderId="601" xfId="1" applyNumberFormat="1" applyFont="1" applyFill="1" applyBorder="1" applyAlignment="1">
      <alignment horizontal="center" vertical="center"/>
    </xf>
    <xf numFmtId="0" fontId="29" fillId="0" borderId="613" xfId="0" applyFont="1" applyBorder="1" applyAlignment="1">
      <alignment horizontal="center" vertical="center"/>
    </xf>
    <xf numFmtId="0" fontId="29" fillId="0" borderId="0" xfId="0" applyFont="1" applyFill="1" applyBorder="1" applyAlignment="1">
      <alignment horizontal="center" vertical="center"/>
    </xf>
    <xf numFmtId="0" fontId="29" fillId="7" borderId="0" xfId="0" applyFont="1" applyFill="1" applyBorder="1" applyAlignment="1">
      <alignment horizontal="center" vertical="center"/>
    </xf>
    <xf numFmtId="0" fontId="177" fillId="0" borderId="0" xfId="0" applyFont="1" applyFill="1" applyBorder="1" applyAlignment="1">
      <alignment horizontal="center" vertical="center" wrapText="1"/>
    </xf>
    <xf numFmtId="0" fontId="177" fillId="125" borderId="607" xfId="0" applyFont="1" applyFill="1" applyBorder="1" applyAlignment="1">
      <alignment horizontal="center" vertical="center"/>
    </xf>
    <xf numFmtId="0" fontId="177" fillId="125" borderId="607" xfId="0" applyFont="1" applyFill="1" applyBorder="1" applyAlignment="1">
      <alignment horizontal="center" vertical="center" wrapText="1"/>
    </xf>
    <xf numFmtId="0" fontId="29" fillId="0" borderId="0" xfId="0" applyFont="1" applyAlignment="1">
      <alignment horizontal="center" vertical="center"/>
    </xf>
    <xf numFmtId="0" fontId="37" fillId="0" borderId="0" xfId="0" applyFont="1" applyFill="1" applyBorder="1" applyAlignment="1">
      <alignment horizontal="center" vertical="center"/>
    </xf>
    <xf numFmtId="0" fontId="28" fillId="0" borderId="0" xfId="0" applyFont="1" applyFill="1" applyBorder="1" applyAlignment="1">
      <alignment horizontal="center" vertical="center"/>
    </xf>
    <xf numFmtId="41" fontId="37" fillId="0" borderId="0" xfId="0" applyNumberFormat="1" applyFont="1" applyFill="1" applyBorder="1" applyAlignment="1">
      <alignment horizontal="center" vertical="center"/>
    </xf>
    <xf numFmtId="3" fontId="40" fillId="0" borderId="0" xfId="3799" applyNumberFormat="1" applyFont="1" applyFill="1" applyBorder="1" applyAlignment="1">
      <alignment horizontal="center" vertical="center" wrapText="1"/>
    </xf>
    <xf numFmtId="0" fontId="37" fillId="15" borderId="605" xfId="0" applyFont="1" applyFill="1" applyBorder="1" applyAlignment="1">
      <alignment horizontal="center" vertical="center"/>
    </xf>
    <xf numFmtId="177" fontId="229" fillId="3" borderId="605" xfId="3" quotePrefix="1" applyNumberFormat="1" applyFont="1" applyFill="1" applyBorder="1" applyAlignment="1">
      <alignment horizontal="center" vertical="center"/>
    </xf>
    <xf numFmtId="177" fontId="37" fillId="0" borderId="0" xfId="0" applyNumberFormat="1" applyFont="1" applyFill="1" applyBorder="1" applyAlignment="1">
      <alignment horizontal="center" vertical="center"/>
    </xf>
    <xf numFmtId="0" fontId="177" fillId="125" borderId="611" xfId="0" applyFont="1" applyFill="1" applyBorder="1" applyAlignment="1">
      <alignment horizontal="center" vertical="center"/>
    </xf>
    <xf numFmtId="183" fontId="58" fillId="0" borderId="627" xfId="2" applyNumberFormat="1" applyFont="1" applyBorder="1" applyAlignment="1">
      <alignment horizontal="center" vertical="center"/>
    </xf>
    <xf numFmtId="187" fontId="58" fillId="0" borderId="500" xfId="2" applyNumberFormat="1" applyFont="1" applyFill="1" applyBorder="1" applyAlignment="1">
      <alignment horizontal="center" vertical="center"/>
    </xf>
    <xf numFmtId="226" fontId="58" fillId="0" borderId="627" xfId="2" applyNumberFormat="1" applyFont="1" applyFill="1" applyBorder="1" applyAlignment="1">
      <alignment horizontal="center" vertical="center"/>
    </xf>
    <xf numFmtId="187" fontId="58" fillId="0" borderId="611" xfId="2" applyNumberFormat="1" applyFont="1" applyFill="1" applyBorder="1" applyAlignment="1">
      <alignment horizontal="center" vertical="center"/>
    </xf>
    <xf numFmtId="0" fontId="28" fillId="3" borderId="606" xfId="0" applyFont="1" applyFill="1" applyBorder="1" applyAlignment="1" applyProtection="1">
      <alignment horizontal="center" vertical="center"/>
      <protection locked="0"/>
    </xf>
    <xf numFmtId="187" fontId="28" fillId="7" borderId="606" xfId="2" applyNumberFormat="1" applyFont="1" applyFill="1" applyBorder="1" applyAlignment="1">
      <alignment horizontal="center" vertical="center"/>
    </xf>
    <xf numFmtId="187" fontId="28" fillId="114" borderId="606" xfId="2" applyNumberFormat="1" applyFont="1" applyFill="1" applyBorder="1" applyAlignment="1">
      <alignment horizontal="center" vertical="center"/>
    </xf>
    <xf numFmtId="187" fontId="28" fillId="116" borderId="606" xfId="2" applyNumberFormat="1" applyFont="1" applyFill="1" applyBorder="1" applyAlignment="1">
      <alignment horizontal="center" vertical="center"/>
    </xf>
    <xf numFmtId="223" fontId="28" fillId="116" borderId="606" xfId="2" applyNumberFormat="1" applyFont="1" applyFill="1" applyBorder="1" applyAlignment="1">
      <alignment horizontal="center" vertical="center"/>
    </xf>
    <xf numFmtId="232" fontId="28" fillId="7" borderId="606" xfId="0" applyNumberFormat="1" applyFont="1" applyFill="1" applyBorder="1" applyAlignment="1">
      <alignment horizontal="center" vertical="center"/>
    </xf>
    <xf numFmtId="176" fontId="28" fillId="7" borderId="606" xfId="0" applyNumberFormat="1" applyFont="1" applyFill="1" applyBorder="1" applyAlignment="1">
      <alignment horizontal="center" vertical="center"/>
    </xf>
    <xf numFmtId="43" fontId="28" fillId="7" borderId="606" xfId="0" applyNumberFormat="1" applyFont="1" applyFill="1" applyBorder="1" applyAlignment="1">
      <alignment horizontal="center" vertical="center"/>
    </xf>
    <xf numFmtId="176" fontId="31" fillId="6" borderId="606" xfId="0" applyNumberFormat="1" applyFont="1" applyFill="1" applyBorder="1" applyAlignment="1">
      <alignment horizontal="center" vertical="center"/>
    </xf>
    <xf numFmtId="176" fontId="31" fillId="7" borderId="606" xfId="0" applyNumberFormat="1" applyFont="1" applyFill="1" applyBorder="1" applyAlignment="1">
      <alignment horizontal="center" vertical="center"/>
    </xf>
    <xf numFmtId="10" fontId="28" fillId="7" borderId="606" xfId="1" quotePrefix="1" applyNumberFormat="1" applyFont="1" applyFill="1" applyBorder="1" applyAlignment="1">
      <alignment horizontal="center" vertical="center"/>
    </xf>
    <xf numFmtId="10" fontId="28" fillId="5" borderId="606" xfId="1" applyNumberFormat="1" applyFont="1" applyFill="1" applyBorder="1" applyAlignment="1">
      <alignment horizontal="center" vertical="center"/>
    </xf>
    <xf numFmtId="10" fontId="28" fillId="7" borderId="606" xfId="1" applyNumberFormat="1" applyFont="1" applyFill="1" applyBorder="1" applyAlignment="1">
      <alignment horizontal="center" vertical="center"/>
    </xf>
    <xf numFmtId="10" fontId="28" fillId="6" borderId="606" xfId="1" applyNumberFormat="1" applyFont="1" applyFill="1" applyBorder="1" applyAlignment="1">
      <alignment horizontal="center" vertical="center"/>
    </xf>
    <xf numFmtId="10" fontId="28" fillId="0" borderId="606" xfId="1" applyNumberFormat="1" applyFont="1" applyFill="1" applyBorder="1" applyAlignment="1">
      <alignment horizontal="center" vertical="center"/>
    </xf>
    <xf numFmtId="183" fontId="28" fillId="6" borderId="606" xfId="2" applyNumberFormat="1" applyFont="1" applyFill="1" applyBorder="1" applyAlignment="1">
      <alignment horizontal="center" vertical="center"/>
    </xf>
    <xf numFmtId="0" fontId="28" fillId="7" borderId="604" xfId="0" quotePrefix="1" applyFont="1" applyFill="1" applyBorder="1" applyAlignment="1">
      <alignment horizontal="center" vertical="center"/>
    </xf>
    <xf numFmtId="40" fontId="28" fillId="7" borderId="606" xfId="3" quotePrefix="1" applyNumberFormat="1" applyFont="1" applyFill="1" applyBorder="1" applyAlignment="1">
      <alignment horizontal="center" vertical="center"/>
    </xf>
    <xf numFmtId="38" fontId="28" fillId="6" borderId="606" xfId="3" quotePrefix="1" applyNumberFormat="1" applyFont="1" applyFill="1" applyBorder="1" applyAlignment="1">
      <alignment horizontal="center" vertical="center"/>
    </xf>
    <xf numFmtId="42" fontId="28" fillId="7" borderId="606" xfId="3" quotePrefix="1" applyFont="1" applyFill="1" applyBorder="1" applyAlignment="1">
      <alignment horizontal="center" vertical="center"/>
    </xf>
    <xf numFmtId="42" fontId="28" fillId="6" borderId="606" xfId="3" quotePrefix="1" applyFont="1" applyFill="1" applyBorder="1" applyAlignment="1">
      <alignment horizontal="center" vertical="center"/>
    </xf>
    <xf numFmtId="42" fontId="31" fillId="6" borderId="606" xfId="3" quotePrefix="1" applyFont="1" applyFill="1" applyBorder="1" applyAlignment="1">
      <alignment horizontal="center" vertical="center"/>
    </xf>
    <xf numFmtId="223" fontId="28" fillId="7" borderId="0" xfId="1" quotePrefix="1" applyNumberFormat="1" applyFont="1" applyFill="1" applyBorder="1" applyAlignment="1">
      <alignment horizontal="center" vertical="center"/>
    </xf>
    <xf numFmtId="223" fontId="28" fillId="7" borderId="612" xfId="1" quotePrefix="1" applyNumberFormat="1" applyFont="1" applyFill="1" applyBorder="1" applyAlignment="1">
      <alignment horizontal="center" vertical="center"/>
    </xf>
    <xf numFmtId="41" fontId="31" fillId="7" borderId="471" xfId="2" applyFont="1" applyFill="1" applyBorder="1" applyAlignment="1">
      <alignment horizontal="center" vertical="center"/>
    </xf>
    <xf numFmtId="177" fontId="37" fillId="3" borderId="604" xfId="0" applyNumberFormat="1" applyFont="1" applyFill="1" applyBorder="1" applyAlignment="1">
      <alignment horizontal="center" vertical="center"/>
    </xf>
    <xf numFmtId="177" fontId="37" fillId="3" borderId="0" xfId="0" applyNumberFormat="1" applyFont="1" applyFill="1" applyBorder="1" applyAlignment="1">
      <alignment horizontal="center" vertical="center"/>
    </xf>
    <xf numFmtId="177" fontId="37" fillId="3" borderId="35" xfId="0" applyNumberFormat="1" applyFont="1" applyFill="1" applyBorder="1" applyAlignment="1">
      <alignment horizontal="center" vertical="center"/>
    </xf>
    <xf numFmtId="187" fontId="58" fillId="7" borderId="612" xfId="2" applyNumberFormat="1" applyFont="1" applyFill="1" applyBorder="1" applyAlignment="1">
      <alignment horizontal="center" vertical="center"/>
    </xf>
    <xf numFmtId="187" fontId="58" fillId="0" borderId="612" xfId="2" applyNumberFormat="1" applyFont="1" applyFill="1" applyBorder="1" applyAlignment="1">
      <alignment horizontal="center" vertical="center"/>
    </xf>
    <xf numFmtId="187" fontId="177" fillId="125" borderId="592" xfId="2" applyNumberFormat="1" applyFont="1" applyFill="1" applyBorder="1" applyAlignment="1">
      <alignment horizontal="center" vertical="center" wrapText="1"/>
    </xf>
    <xf numFmtId="183" fontId="58" fillId="7" borderId="605" xfId="2" applyNumberFormat="1" applyFont="1" applyFill="1" applyBorder="1" applyAlignment="1">
      <alignment horizontal="center" vertical="center" wrapText="1"/>
    </xf>
    <xf numFmtId="187" fontId="58" fillId="0" borderId="327" xfId="2" applyNumberFormat="1" applyFont="1" applyFill="1" applyBorder="1" applyAlignment="1">
      <alignment horizontal="center" vertical="center"/>
    </xf>
    <xf numFmtId="183" fontId="58" fillId="7" borderId="609" xfId="2" applyNumberFormat="1" applyFont="1" applyFill="1" applyBorder="1" applyAlignment="1">
      <alignment horizontal="center" vertical="center"/>
    </xf>
    <xf numFmtId="187" fontId="58" fillId="7" borderId="621" xfId="2" applyNumberFormat="1" applyFont="1" applyFill="1" applyBorder="1" applyAlignment="1">
      <alignment horizontal="center" vertical="center"/>
    </xf>
    <xf numFmtId="186" fontId="44" fillId="0" borderId="612" xfId="4124" applyNumberFormat="1" applyFont="1" applyFill="1" applyBorder="1" applyAlignment="1">
      <alignment horizontal="center" vertical="center"/>
    </xf>
    <xf numFmtId="187" fontId="58" fillId="7" borderId="621" xfId="2" applyNumberFormat="1" applyFont="1" applyFill="1" applyBorder="1" applyAlignment="1">
      <alignment horizontal="center" vertical="center" wrapText="1"/>
    </xf>
    <xf numFmtId="183" fontId="58" fillId="93" borderId="621" xfId="0" applyNumberFormat="1" applyFont="1" applyFill="1" applyBorder="1" applyAlignment="1">
      <alignment horizontal="center" vertical="center"/>
    </xf>
    <xf numFmtId="176" fontId="58" fillId="0" borderId="448" xfId="0" applyNumberFormat="1" applyFont="1" applyBorder="1" applyAlignment="1">
      <alignment horizontal="center" vertical="center"/>
    </xf>
    <xf numFmtId="183" fontId="58" fillId="0" borderId="621" xfId="2" applyNumberFormat="1" applyFont="1" applyFill="1" applyBorder="1" applyAlignment="1">
      <alignment horizontal="center" vertical="center"/>
    </xf>
    <xf numFmtId="178" fontId="58" fillId="0" borderId="621" xfId="2" applyNumberFormat="1" applyFont="1" applyFill="1" applyBorder="1" applyAlignment="1">
      <alignment horizontal="center" vertical="center"/>
    </xf>
    <xf numFmtId="183" fontId="58" fillId="7" borderId="621" xfId="0" applyNumberFormat="1" applyFont="1" applyFill="1" applyBorder="1" applyAlignment="1">
      <alignment horizontal="center" vertical="center"/>
    </xf>
    <xf numFmtId="226" fontId="29" fillId="7" borderId="621" xfId="2" applyNumberFormat="1" applyFont="1" applyFill="1" applyBorder="1" applyAlignment="1">
      <alignment horizontal="center" vertical="center"/>
    </xf>
    <xf numFmtId="226" fontId="29" fillId="0" borderId="621" xfId="2" applyNumberFormat="1" applyFont="1" applyFill="1" applyBorder="1" applyAlignment="1">
      <alignment horizontal="center" vertical="center"/>
    </xf>
    <xf numFmtId="186" fontId="44" fillId="0" borderId="585" xfId="4124" applyNumberFormat="1" applyFont="1" applyFill="1" applyBorder="1" applyAlignment="1">
      <alignment horizontal="center" vertical="center"/>
    </xf>
    <xf numFmtId="183" fontId="58" fillId="0" borderId="612" xfId="2" applyNumberFormat="1" applyFont="1" applyBorder="1" applyAlignment="1">
      <alignment horizontal="center" vertical="center"/>
    </xf>
    <xf numFmtId="226" fontId="58" fillId="0" borderId="605" xfId="0" applyNumberFormat="1" applyFont="1" applyBorder="1" applyAlignment="1">
      <alignment horizontal="center" vertical="center"/>
    </xf>
    <xf numFmtId="226" fontId="58" fillId="0" borderId="651" xfId="2" applyNumberFormat="1" applyFont="1" applyBorder="1" applyAlignment="1">
      <alignment horizontal="center" vertical="center"/>
    </xf>
    <xf numFmtId="226" fontId="58" fillId="0" borderId="611" xfId="0" applyNumberFormat="1" applyFont="1" applyBorder="1" applyAlignment="1">
      <alignment horizontal="center" vertical="center"/>
    </xf>
    <xf numFmtId="187" fontId="58" fillId="0" borderId="611" xfId="0" applyNumberFormat="1" applyFont="1" applyBorder="1" applyAlignment="1">
      <alignment horizontal="center" vertical="center"/>
    </xf>
    <xf numFmtId="2" fontId="29" fillId="0" borderId="627" xfId="0" applyNumberFormat="1" applyFont="1" applyFill="1" applyBorder="1" applyAlignment="1">
      <alignment horizontal="center" vertical="center"/>
    </xf>
    <xf numFmtId="176" fontId="29" fillId="15" borderId="498" xfId="0" applyNumberFormat="1" applyFont="1" applyFill="1" applyBorder="1" applyAlignment="1">
      <alignment horizontal="center" vertical="center"/>
    </xf>
    <xf numFmtId="1" fontId="58" fillId="0" borderId="501" xfId="0" applyNumberFormat="1" applyFont="1" applyFill="1" applyBorder="1" applyAlignment="1">
      <alignment horizontal="center" vertical="center"/>
    </xf>
    <xf numFmtId="1" fontId="58" fillId="0" borderId="611" xfId="0" applyNumberFormat="1" applyFont="1" applyFill="1" applyBorder="1" applyAlignment="1">
      <alignment horizontal="center" vertical="center"/>
    </xf>
    <xf numFmtId="2" fontId="58" fillId="0" borderId="651" xfId="0" applyNumberFormat="1" applyFont="1" applyBorder="1" applyAlignment="1">
      <alignment horizontal="center" vertical="center"/>
    </xf>
    <xf numFmtId="2" fontId="58" fillId="0" borderId="627" xfId="0" applyNumberFormat="1" applyFont="1" applyBorder="1" applyAlignment="1">
      <alignment horizontal="center" vertical="center"/>
    </xf>
    <xf numFmtId="2" fontId="58" fillId="0" borderId="501" xfId="0" applyNumberFormat="1" applyFont="1" applyBorder="1" applyAlignment="1">
      <alignment horizontal="center" vertical="center"/>
    </xf>
    <xf numFmtId="177" fontId="58" fillId="0" borderId="611" xfId="0" applyNumberFormat="1" applyFont="1" applyBorder="1" applyAlignment="1">
      <alignment horizontal="center" vertical="center"/>
    </xf>
    <xf numFmtId="2" fontId="58" fillId="0" borderId="611" xfId="0" applyNumberFormat="1" applyFont="1" applyBorder="1" applyAlignment="1">
      <alignment horizontal="center" vertical="center"/>
    </xf>
    <xf numFmtId="2" fontId="58" fillId="0" borderId="498" xfId="0" applyNumberFormat="1" applyFont="1" applyBorder="1" applyAlignment="1">
      <alignment horizontal="center" vertical="center"/>
    </xf>
    <xf numFmtId="185" fontId="58" fillId="0" borderId="500" xfId="0" applyNumberFormat="1" applyFont="1" applyFill="1" applyBorder="1" applyAlignment="1">
      <alignment horizontal="center" vertical="center"/>
    </xf>
    <xf numFmtId="3" fontId="58" fillId="0" borderId="504" xfId="0" applyNumberFormat="1" applyFont="1" applyFill="1" applyBorder="1" applyAlignment="1">
      <alignment horizontal="center" vertical="center"/>
    </xf>
    <xf numFmtId="3" fontId="58" fillId="0" borderId="651" xfId="0" applyNumberFormat="1" applyFont="1" applyBorder="1" applyAlignment="1">
      <alignment horizontal="center" vertical="center"/>
    </xf>
    <xf numFmtId="3" fontId="58" fillId="0" borderId="611" xfId="0" applyNumberFormat="1" applyFont="1" applyBorder="1" applyAlignment="1">
      <alignment horizontal="center" vertical="center"/>
    </xf>
    <xf numFmtId="3" fontId="58" fillId="0" borderId="627" xfId="0" applyNumberFormat="1" applyFont="1" applyBorder="1" applyAlignment="1">
      <alignment horizontal="center" vertical="center"/>
    </xf>
    <xf numFmtId="3" fontId="58" fillId="0" borderId="503" xfId="0" applyNumberFormat="1" applyFont="1" applyBorder="1" applyAlignment="1">
      <alignment horizontal="center" vertical="center"/>
    </xf>
    <xf numFmtId="3" fontId="58" fillId="0" borderId="498" xfId="0" applyNumberFormat="1" applyFont="1" applyBorder="1" applyAlignment="1">
      <alignment horizontal="center" vertical="center"/>
    </xf>
    <xf numFmtId="187" fontId="172" fillId="15" borderId="504" xfId="0" applyNumberFormat="1" applyFont="1" applyFill="1" applyBorder="1" applyAlignment="1">
      <alignment horizontal="center" vertical="center"/>
    </xf>
    <xf numFmtId="3" fontId="58" fillId="0" borderId="514" xfId="0" applyNumberFormat="1" applyFont="1" applyBorder="1" applyAlignment="1">
      <alignment horizontal="center" vertical="center" wrapText="1"/>
    </xf>
    <xf numFmtId="183" fontId="58" fillId="0" borderId="621" xfId="2" applyNumberFormat="1" applyFont="1" applyBorder="1" applyAlignment="1">
      <alignment horizontal="center" vertical="center"/>
    </xf>
    <xf numFmtId="226" fontId="58" fillId="0" borderId="448" xfId="2" applyNumberFormat="1" applyFont="1" applyBorder="1" applyAlignment="1">
      <alignment horizontal="center" vertical="center"/>
    </xf>
    <xf numFmtId="226" fontId="58" fillId="0" borderId="609" xfId="0" applyNumberFormat="1" applyFont="1" applyBorder="1" applyAlignment="1">
      <alignment horizontal="center" vertical="center"/>
    </xf>
    <xf numFmtId="187" fontId="58" fillId="0" borderId="609" xfId="0" applyNumberFormat="1" applyFont="1" applyBorder="1" applyAlignment="1">
      <alignment horizontal="center" vertical="center"/>
    </xf>
    <xf numFmtId="2" fontId="29" fillId="0" borderId="609" xfId="0" applyNumberFormat="1" applyFont="1" applyFill="1" applyBorder="1" applyAlignment="1">
      <alignment horizontal="center" vertical="center"/>
    </xf>
    <xf numFmtId="176" fontId="29" fillId="15" borderId="448" xfId="0" applyNumberFormat="1" applyFont="1" applyFill="1" applyBorder="1" applyAlignment="1">
      <alignment horizontal="center" vertical="center"/>
    </xf>
    <xf numFmtId="1" fontId="58" fillId="0" borderId="609" xfId="0" applyNumberFormat="1" applyFont="1" applyFill="1" applyBorder="1" applyAlignment="1">
      <alignment horizontal="center" vertical="center"/>
    </xf>
    <xf numFmtId="2" fontId="58" fillId="0" borderId="26" xfId="0" applyNumberFormat="1" applyFont="1" applyBorder="1" applyAlignment="1">
      <alignment horizontal="center" vertical="center"/>
    </xf>
    <xf numFmtId="2" fontId="58" fillId="0" borderId="621" xfId="0" applyNumberFormat="1" applyFont="1" applyBorder="1" applyAlignment="1">
      <alignment horizontal="center" vertical="center"/>
    </xf>
    <xf numFmtId="2" fontId="58" fillId="0" borderId="322" xfId="0" applyNumberFormat="1" applyFont="1" applyBorder="1" applyAlignment="1">
      <alignment horizontal="center" vertical="center"/>
    </xf>
    <xf numFmtId="177" fontId="58" fillId="0" borderId="609" xfId="0" applyNumberFormat="1" applyFont="1" applyBorder="1" applyAlignment="1">
      <alignment horizontal="center" vertical="center"/>
    </xf>
    <xf numFmtId="2" fontId="58" fillId="0" borderId="609" xfId="0" applyNumberFormat="1" applyFont="1" applyBorder="1" applyAlignment="1">
      <alignment horizontal="center" vertical="center"/>
    </xf>
    <xf numFmtId="2" fontId="58" fillId="0" borderId="448" xfId="0" applyNumberFormat="1" applyFont="1" applyBorder="1" applyAlignment="1">
      <alignment horizontal="center" vertical="center"/>
    </xf>
    <xf numFmtId="185" fontId="58" fillId="0" borderId="294" xfId="0" applyNumberFormat="1" applyFont="1" applyFill="1" applyBorder="1" applyAlignment="1">
      <alignment horizontal="center" vertical="center"/>
    </xf>
    <xf numFmtId="3" fontId="58" fillId="0" borderId="268" xfId="0" applyNumberFormat="1" applyFont="1" applyFill="1" applyBorder="1" applyAlignment="1">
      <alignment horizontal="center" vertical="center"/>
    </xf>
    <xf numFmtId="3" fontId="58" fillId="0" borderId="26" xfId="0" applyNumberFormat="1" applyFont="1" applyBorder="1" applyAlignment="1">
      <alignment horizontal="center" vertical="center"/>
    </xf>
    <xf numFmtId="3" fontId="58" fillId="0" borderId="609" xfId="0" applyNumberFormat="1" applyFont="1" applyBorder="1" applyAlignment="1">
      <alignment horizontal="center" vertical="center"/>
    </xf>
    <xf numFmtId="3" fontId="58" fillId="0" borderId="621" xfId="0" applyNumberFormat="1" applyFont="1" applyBorder="1" applyAlignment="1">
      <alignment horizontal="center" vertical="center"/>
    </xf>
    <xf numFmtId="3" fontId="58" fillId="0" borderId="349" xfId="0" applyNumberFormat="1" applyFont="1" applyBorder="1" applyAlignment="1">
      <alignment horizontal="center" vertical="center"/>
    </xf>
    <xf numFmtId="3" fontId="58" fillId="0" borderId="448" xfId="0" applyNumberFormat="1" applyFont="1" applyBorder="1" applyAlignment="1">
      <alignment horizontal="center" vertical="center"/>
    </xf>
    <xf numFmtId="187" fontId="172" fillId="15" borderId="268" xfId="0" applyNumberFormat="1" applyFont="1" applyFill="1" applyBorder="1" applyAlignment="1">
      <alignment horizontal="center" vertical="center"/>
    </xf>
    <xf numFmtId="226" fontId="58" fillId="0" borderId="621" xfId="2" applyNumberFormat="1" applyFont="1" applyBorder="1" applyAlignment="1">
      <alignment horizontal="center" vertical="center"/>
    </xf>
    <xf numFmtId="183" fontId="58" fillId="0" borderId="621" xfId="0" applyNumberFormat="1" applyFont="1" applyBorder="1" applyAlignment="1">
      <alignment horizontal="center" vertical="center"/>
    </xf>
    <xf numFmtId="183" fontId="58" fillId="0" borderId="621" xfId="0" applyNumberFormat="1" applyFont="1" applyFill="1" applyBorder="1" applyAlignment="1">
      <alignment horizontal="center" vertical="center"/>
    </xf>
    <xf numFmtId="187" fontId="58" fillId="7" borderId="609" xfId="2" applyNumberFormat="1" applyFont="1" applyFill="1" applyBorder="1" applyAlignment="1">
      <alignment horizontal="center" vertical="center" wrapText="1"/>
    </xf>
    <xf numFmtId="187" fontId="58" fillId="0" borderId="621" xfId="2" applyNumberFormat="1" applyFont="1" applyFill="1" applyBorder="1" applyAlignment="1">
      <alignment horizontal="center" vertical="center"/>
    </xf>
    <xf numFmtId="226" fontId="29" fillId="7" borderId="609" xfId="2" applyNumberFormat="1" applyFont="1" applyFill="1" applyBorder="1" applyAlignment="1">
      <alignment horizontal="center" vertical="center"/>
    </xf>
    <xf numFmtId="183" fontId="58" fillId="0" borderId="609" xfId="0" applyNumberFormat="1" applyFont="1" applyBorder="1" applyAlignment="1">
      <alignment horizontal="center" vertical="center"/>
    </xf>
    <xf numFmtId="183" fontId="58" fillId="0" borderId="609" xfId="0" applyNumberFormat="1" applyFont="1" applyFill="1" applyBorder="1" applyAlignment="1">
      <alignment horizontal="center" vertical="center"/>
    </xf>
    <xf numFmtId="187" fontId="58" fillId="0" borderId="346" xfId="2" applyNumberFormat="1" applyFont="1" applyBorder="1" applyAlignment="1">
      <alignment horizontal="center" vertical="center"/>
    </xf>
    <xf numFmtId="226" fontId="58" fillId="7" borderId="349" xfId="2" applyNumberFormat="1" applyFont="1" applyFill="1" applyBorder="1" applyAlignment="1">
      <alignment horizontal="center" vertical="center"/>
    </xf>
    <xf numFmtId="226" fontId="58" fillId="7" borderId="503" xfId="2" applyNumberFormat="1" applyFont="1" applyFill="1" applyBorder="1" applyAlignment="1">
      <alignment horizontal="center" vertical="center"/>
    </xf>
    <xf numFmtId="187" fontId="58" fillId="0" borderId="651" xfId="2" applyNumberFormat="1" applyFont="1" applyFill="1" applyBorder="1" applyAlignment="1">
      <alignment horizontal="center" vertical="center"/>
    </xf>
    <xf numFmtId="226" fontId="58" fillId="0" borderId="611" xfId="2" applyNumberFormat="1" applyFont="1" applyBorder="1" applyAlignment="1">
      <alignment horizontal="center" vertical="center"/>
    </xf>
    <xf numFmtId="178" fontId="58" fillId="0" borderId="627" xfId="2" applyNumberFormat="1" applyFont="1" applyFill="1" applyBorder="1" applyAlignment="1">
      <alignment horizontal="center" vertical="center"/>
    </xf>
    <xf numFmtId="187" fontId="58" fillId="0" borderId="627" xfId="2" applyNumberFormat="1" applyFont="1" applyFill="1" applyBorder="1" applyAlignment="1">
      <alignment horizontal="center" vertical="center"/>
    </xf>
    <xf numFmtId="187" fontId="58" fillId="0" borderId="500" xfId="2" applyNumberFormat="1" applyFont="1" applyBorder="1" applyAlignment="1">
      <alignment horizontal="center" vertical="center"/>
    </xf>
    <xf numFmtId="187" fontId="58" fillId="0" borderId="498" xfId="2" applyNumberFormat="1" applyFont="1" applyBorder="1" applyAlignment="1">
      <alignment horizontal="center" vertical="center"/>
    </xf>
    <xf numFmtId="176" fontId="58" fillId="0" borderId="609" xfId="0" applyNumberFormat="1" applyFont="1" applyBorder="1" applyAlignment="1">
      <alignment horizontal="center" vertical="center"/>
    </xf>
    <xf numFmtId="176" fontId="58" fillId="0" borderId="609" xfId="0" applyNumberFormat="1" applyFont="1" applyFill="1" applyBorder="1" applyAlignment="1">
      <alignment horizontal="center" vertical="center"/>
    </xf>
    <xf numFmtId="176" fontId="58" fillId="5" borderId="609" xfId="0" applyNumberFormat="1" applyFont="1" applyFill="1" applyBorder="1" applyAlignment="1">
      <alignment horizontal="center" vertical="center"/>
    </xf>
    <xf numFmtId="2" fontId="58" fillId="0" borderId="609" xfId="0" applyNumberFormat="1" applyFont="1" applyFill="1" applyBorder="1" applyAlignment="1">
      <alignment horizontal="center" vertical="center"/>
    </xf>
    <xf numFmtId="2" fontId="58" fillId="0" borderId="448" xfId="0" applyNumberFormat="1" applyFont="1" applyFill="1" applyBorder="1" applyAlignment="1">
      <alignment horizontal="center" vertical="center"/>
    </xf>
    <xf numFmtId="0" fontId="177" fillId="125" borderId="627" xfId="0" applyFont="1" applyFill="1" applyBorder="1" applyAlignment="1">
      <alignment horizontal="center" vertical="center"/>
    </xf>
    <xf numFmtId="2" fontId="58" fillId="5" borderId="501" xfId="0" applyNumberFormat="1" applyFont="1" applyFill="1" applyBorder="1" applyAlignment="1">
      <alignment horizontal="center" vertical="center"/>
    </xf>
    <xf numFmtId="176" fontId="58" fillId="0" borderId="611" xfId="0" applyNumberFormat="1" applyFont="1" applyBorder="1" applyAlignment="1">
      <alignment horizontal="center" vertical="center"/>
    </xf>
    <xf numFmtId="176" fontId="58" fillId="0" borderId="611" xfId="0" applyNumberFormat="1" applyFont="1" applyFill="1" applyBorder="1" applyAlignment="1">
      <alignment horizontal="center" vertical="center"/>
    </xf>
    <xf numFmtId="176" fontId="58" fillId="5" borderId="611" xfId="0" applyNumberFormat="1" applyFont="1" applyFill="1" applyBorder="1" applyAlignment="1">
      <alignment horizontal="center" vertical="center"/>
    </xf>
    <xf numFmtId="226" fontId="58" fillId="7" borderId="627" xfId="2" applyNumberFormat="1" applyFont="1" applyFill="1" applyBorder="1" applyAlignment="1">
      <alignment horizontal="center" vertical="center"/>
    </xf>
    <xf numFmtId="187" fontId="58" fillId="0" borderId="501" xfId="2" applyNumberFormat="1" applyFont="1" applyFill="1" applyBorder="1" applyAlignment="1">
      <alignment horizontal="center" vertical="center"/>
    </xf>
    <xf numFmtId="223" fontId="58" fillId="0" borderId="498" xfId="2" applyNumberFormat="1" applyFont="1" applyBorder="1" applyAlignment="1">
      <alignment horizontal="center" vertical="center"/>
    </xf>
    <xf numFmtId="38" fontId="172" fillId="0" borderId="504" xfId="2" applyNumberFormat="1" applyFont="1" applyBorder="1" applyAlignment="1">
      <alignment horizontal="center" vertical="center"/>
    </xf>
    <xf numFmtId="0" fontId="177" fillId="125" borderId="472" xfId="0" applyFont="1" applyFill="1" applyBorder="1" applyAlignment="1">
      <alignment horizontal="center" vertical="center"/>
    </xf>
    <xf numFmtId="187" fontId="58" fillId="7" borderId="639" xfId="2" applyNumberFormat="1" applyFont="1" applyFill="1" applyBorder="1" applyAlignment="1">
      <alignment horizontal="center" vertical="center"/>
    </xf>
    <xf numFmtId="178" fontId="58" fillId="0" borderId="601" xfId="2" applyNumberFormat="1" applyFont="1" applyFill="1" applyBorder="1" applyAlignment="1">
      <alignment horizontal="center" vertical="center"/>
    </xf>
    <xf numFmtId="226" fontId="58" fillId="0" borderId="605" xfId="0" applyNumberFormat="1" applyFont="1" applyFill="1" applyBorder="1" applyAlignment="1">
      <alignment horizontal="center" vertical="center"/>
    </xf>
    <xf numFmtId="226" fontId="46" fillId="15" borderId="605" xfId="0" applyNumberFormat="1" applyFont="1" applyFill="1" applyBorder="1" applyAlignment="1">
      <alignment horizontal="center" vertical="center"/>
    </xf>
    <xf numFmtId="187" fontId="46" fillId="15" borderId="605" xfId="0" applyNumberFormat="1" applyFont="1" applyFill="1" applyBorder="1" applyAlignment="1">
      <alignment horizontal="center" vertical="center"/>
    </xf>
    <xf numFmtId="226" fontId="46" fillId="15" borderId="601" xfId="0" applyNumberFormat="1" applyFont="1" applyFill="1" applyBorder="1" applyAlignment="1">
      <alignment horizontal="center" vertical="center"/>
    </xf>
    <xf numFmtId="183" fontId="58" fillId="0" borderId="592" xfId="2" applyNumberFormat="1" applyFont="1" applyFill="1" applyBorder="1" applyAlignment="1">
      <alignment horizontal="center" vertical="center"/>
    </xf>
    <xf numFmtId="178" fontId="58" fillId="0" borderId="592" xfId="2" applyNumberFormat="1" applyFont="1" applyFill="1" applyBorder="1" applyAlignment="1">
      <alignment horizontal="center" vertical="center"/>
    </xf>
    <xf numFmtId="226" fontId="58" fillId="0" borderId="608" xfId="0" applyNumberFormat="1" applyFont="1" applyFill="1" applyBorder="1" applyAlignment="1">
      <alignment horizontal="center" vertical="center"/>
    </xf>
    <xf numFmtId="1" fontId="58" fillId="0" borderId="608" xfId="0" applyNumberFormat="1" applyFont="1" applyFill="1" applyBorder="1" applyAlignment="1">
      <alignment horizontal="center" vertical="center"/>
    </xf>
    <xf numFmtId="226" fontId="58" fillId="0" borderId="592" xfId="0" applyNumberFormat="1" applyFont="1" applyFill="1" applyBorder="1" applyAlignment="1">
      <alignment horizontal="center" vertical="center"/>
    </xf>
    <xf numFmtId="226" fontId="46" fillId="15" borderId="608" xfId="0" applyNumberFormat="1" applyFont="1" applyFill="1" applyBorder="1" applyAlignment="1">
      <alignment horizontal="center" vertical="center"/>
    </xf>
    <xf numFmtId="187" fontId="46" fillId="15" borderId="608" xfId="0" applyNumberFormat="1" applyFont="1" applyFill="1" applyBorder="1" applyAlignment="1">
      <alignment horizontal="center" vertical="center"/>
    </xf>
    <xf numFmtId="226" fontId="46" fillId="15" borderId="592" xfId="0" applyNumberFormat="1" applyFont="1" applyFill="1" applyBorder="1" applyAlignment="1">
      <alignment horizontal="center" vertical="center"/>
    </xf>
    <xf numFmtId="178" fontId="58" fillId="0" borderId="121" xfId="2" applyNumberFormat="1" applyFont="1" applyFill="1" applyBorder="1" applyAlignment="1">
      <alignment horizontal="center" vertical="center"/>
    </xf>
    <xf numFmtId="0" fontId="179" fillId="15" borderId="612" xfId="0" applyFont="1" applyFill="1" applyBorder="1" applyAlignment="1">
      <alignment horizontal="center" vertical="center" wrapText="1"/>
    </xf>
    <xf numFmtId="10" fontId="29" fillId="0" borderId="605" xfId="0" applyNumberFormat="1" applyFont="1" applyFill="1" applyBorder="1" applyAlignment="1">
      <alignment horizontal="center" vertical="center" wrapText="1"/>
    </xf>
    <xf numFmtId="183" fontId="29" fillId="0" borderId="605" xfId="0" applyNumberFormat="1" applyFont="1" applyFill="1" applyBorder="1" applyAlignment="1">
      <alignment horizontal="center" vertical="center" wrapText="1"/>
    </xf>
    <xf numFmtId="0" fontId="166" fillId="0" borderId="608" xfId="0" applyFont="1" applyBorder="1" applyAlignment="1">
      <alignment horizontal="center" vertical="center" wrapText="1"/>
    </xf>
    <xf numFmtId="0" fontId="166" fillId="0" borderId="601" xfId="0" applyFont="1" applyBorder="1" applyAlignment="1">
      <alignment horizontal="center" vertical="center" wrapText="1"/>
    </xf>
    <xf numFmtId="0" fontId="166" fillId="0" borderId="328" xfId="0" applyFont="1" applyBorder="1" applyAlignment="1">
      <alignment horizontal="center" vertical="center" wrapText="1"/>
    </xf>
    <xf numFmtId="0" fontId="29" fillId="0" borderId="612" xfId="0" applyFont="1" applyBorder="1" applyAlignment="1">
      <alignment horizontal="center" vertical="center" wrapText="1"/>
    </xf>
    <xf numFmtId="0" fontId="35" fillId="6" borderId="612" xfId="0" applyFont="1" applyFill="1" applyBorder="1" applyAlignment="1">
      <alignment horizontal="center" vertical="center"/>
    </xf>
    <xf numFmtId="0" fontId="166" fillId="0" borderId="607" xfId="0" applyFont="1" applyBorder="1" applyAlignment="1">
      <alignment horizontal="center" vertical="center" wrapText="1"/>
    </xf>
    <xf numFmtId="228" fontId="166" fillId="0" borderId="608" xfId="0" applyNumberFormat="1" applyFont="1" applyBorder="1" applyAlignment="1">
      <alignment horizontal="center" vertical="center" wrapText="1"/>
    </xf>
    <xf numFmtId="230" fontId="35" fillId="6" borderId="515" xfId="0" applyNumberFormat="1" applyFont="1" applyFill="1" applyBorder="1" applyAlignment="1">
      <alignment horizontal="center" vertical="center"/>
    </xf>
    <xf numFmtId="0" fontId="35" fillId="6" borderId="608" xfId="0" applyFont="1" applyFill="1" applyBorder="1" applyAlignment="1">
      <alignment horizontal="center" vertical="center"/>
    </xf>
    <xf numFmtId="0" fontId="166" fillId="0" borderId="599" xfId="0" applyFont="1" applyBorder="1" applyAlignment="1">
      <alignment horizontal="center" vertical="center" wrapText="1"/>
    </xf>
    <xf numFmtId="228" fontId="166" fillId="0" borderId="592" xfId="0" applyNumberFormat="1" applyFont="1" applyBorder="1" applyAlignment="1">
      <alignment horizontal="center" vertical="center" wrapText="1"/>
    </xf>
    <xf numFmtId="0" fontId="166" fillId="0" borderId="592" xfId="0" applyFont="1" applyBorder="1" applyAlignment="1">
      <alignment horizontal="center" vertical="center" wrapText="1"/>
    </xf>
    <xf numFmtId="0" fontId="178" fillId="127" borderId="653" xfId="0" applyFont="1" applyFill="1" applyBorder="1" applyAlignment="1">
      <alignment horizontal="center" vertical="center" wrapText="1" readingOrder="1"/>
    </xf>
    <xf numFmtId="0" fontId="178" fillId="127" borderId="255" xfId="0" applyFont="1" applyFill="1" applyBorder="1" applyAlignment="1">
      <alignment horizontal="center" vertical="center" wrapText="1" readingOrder="1"/>
    </xf>
    <xf numFmtId="0" fontId="177" fillId="125" borderId="255" xfId="0" applyFont="1" applyFill="1" applyBorder="1" applyAlignment="1">
      <alignment horizontal="center" vertical="center" wrapText="1" readingOrder="1"/>
    </xf>
    <xf numFmtId="0" fontId="178" fillId="127" borderId="255" xfId="0" applyFont="1" applyFill="1" applyBorder="1" applyAlignment="1">
      <alignment horizontal="center" vertical="center" wrapText="1"/>
    </xf>
    <xf numFmtId="0" fontId="178" fillId="127" borderId="479" xfId="0" applyFont="1" applyFill="1" applyBorder="1" applyAlignment="1">
      <alignment horizontal="center" vertical="center" wrapText="1"/>
    </xf>
    <xf numFmtId="0" fontId="177" fillId="125" borderId="256" xfId="0" applyFont="1" applyFill="1" applyBorder="1" applyAlignment="1">
      <alignment horizontal="center" vertical="center" wrapText="1"/>
    </xf>
    <xf numFmtId="0" fontId="177" fillId="125" borderId="121" xfId="0" applyFont="1" applyFill="1" applyBorder="1" applyAlignment="1">
      <alignment horizontal="center" vertical="center" wrapText="1" readingOrder="1"/>
    </xf>
    <xf numFmtId="0" fontId="177" fillId="125" borderId="119" xfId="0" applyFont="1" applyFill="1" applyBorder="1" applyAlignment="1">
      <alignment horizontal="center" vertical="center" wrapText="1" readingOrder="1"/>
    </xf>
    <xf numFmtId="185" fontId="166" fillId="0" borderId="607" xfId="0" applyNumberFormat="1" applyFont="1" applyBorder="1" applyAlignment="1">
      <alignment horizontal="center" vertical="center" wrapText="1"/>
    </xf>
    <xf numFmtId="185" fontId="177" fillId="125" borderId="607" xfId="0" applyNumberFormat="1" applyFont="1" applyFill="1" applyBorder="1" applyAlignment="1">
      <alignment horizontal="center" vertical="center" wrapText="1"/>
    </xf>
    <xf numFmtId="177" fontId="177" fillId="128" borderId="512" xfId="0" applyNumberFormat="1" applyFont="1" applyFill="1" applyBorder="1" applyAlignment="1">
      <alignment horizontal="center" vertical="center" wrapText="1"/>
    </xf>
    <xf numFmtId="0" fontId="177" fillId="125" borderId="45" xfId="0" applyFont="1" applyFill="1" applyBorder="1" applyAlignment="1">
      <alignment horizontal="center" vertical="center" wrapText="1" readingOrder="1"/>
    </xf>
    <xf numFmtId="38" fontId="166" fillId="0" borderId="605" xfId="1" applyNumberFormat="1" applyFont="1" applyBorder="1" applyAlignment="1">
      <alignment horizontal="center" vertical="center" wrapText="1"/>
    </xf>
    <xf numFmtId="38" fontId="177" fillId="125" borderId="605" xfId="1" applyNumberFormat="1" applyFont="1" applyFill="1" applyBorder="1" applyAlignment="1">
      <alignment horizontal="center" vertical="center" wrapText="1"/>
    </xf>
    <xf numFmtId="38" fontId="177" fillId="128" borderId="514" xfId="0" applyNumberFormat="1" applyFont="1" applyFill="1" applyBorder="1" applyAlignment="1">
      <alignment horizontal="center" vertical="center" wrapText="1"/>
    </xf>
    <xf numFmtId="0" fontId="177" fillId="125" borderId="47" xfId="0" applyFont="1" applyFill="1" applyBorder="1" applyAlignment="1">
      <alignment horizontal="center" vertical="center" wrapText="1" readingOrder="1"/>
    </xf>
    <xf numFmtId="0" fontId="29" fillId="0" borderId="607" xfId="0" applyFont="1" applyBorder="1" applyAlignment="1">
      <alignment horizontal="center" vertical="center"/>
    </xf>
    <xf numFmtId="0" fontId="177" fillId="145" borderId="512" xfId="0" applyFont="1" applyFill="1" applyBorder="1" applyAlignment="1">
      <alignment horizontal="center" vertical="center"/>
    </xf>
    <xf numFmtId="223" fontId="177" fillId="145" borderId="515" xfId="0" applyNumberFormat="1" applyFont="1" applyFill="1" applyBorder="1" applyAlignment="1">
      <alignment horizontal="center" vertical="center"/>
    </xf>
    <xf numFmtId="0" fontId="177" fillId="145" borderId="516" xfId="0" applyFont="1" applyFill="1" applyBorder="1" applyAlignment="1">
      <alignment horizontal="center" vertical="center"/>
    </xf>
    <xf numFmtId="177" fontId="29" fillId="7" borderId="607" xfId="0" applyNumberFormat="1" applyFont="1" applyFill="1" applyBorder="1" applyAlignment="1">
      <alignment horizontal="center" vertical="center"/>
    </xf>
    <xf numFmtId="177" fontId="29" fillId="7" borderId="608" xfId="0" applyNumberFormat="1" applyFont="1" applyFill="1" applyBorder="1" applyAlignment="1">
      <alignment horizontal="center" vertical="center"/>
    </xf>
    <xf numFmtId="179" fontId="28" fillId="6" borderId="606" xfId="2" applyNumberFormat="1" applyFont="1" applyFill="1" applyBorder="1" applyAlignment="1">
      <alignment horizontal="center" vertical="center"/>
    </xf>
    <xf numFmtId="2" fontId="58" fillId="5" borderId="600" xfId="0" applyNumberFormat="1" applyFont="1" applyFill="1" applyBorder="1" applyAlignment="1">
      <alignment horizontal="center" vertical="center"/>
    </xf>
    <xf numFmtId="178" fontId="58" fillId="7" borderId="606" xfId="2" applyNumberFormat="1" applyFont="1" applyFill="1" applyBorder="1" applyAlignment="1">
      <alignment horizontal="center" vertical="center"/>
    </xf>
    <xf numFmtId="187" fontId="58" fillId="0" borderId="606" xfId="2" applyNumberFormat="1" applyFont="1" applyFill="1" applyBorder="1" applyAlignment="1">
      <alignment horizontal="center" vertical="center"/>
    </xf>
    <xf numFmtId="178" fontId="58" fillId="0" borderId="621" xfId="2" applyNumberFormat="1" applyFont="1" applyBorder="1" applyAlignment="1">
      <alignment horizontal="center" vertical="center"/>
    </xf>
    <xf numFmtId="183" fontId="58" fillId="5" borderId="621" xfId="2" applyNumberFormat="1" applyFont="1" applyFill="1" applyBorder="1" applyAlignment="1">
      <alignment horizontal="center" vertical="center"/>
    </xf>
    <xf numFmtId="226" fontId="58" fillId="7" borderId="609" xfId="2" applyNumberFormat="1" applyFont="1" applyFill="1" applyBorder="1" applyAlignment="1">
      <alignment horizontal="center" vertical="center"/>
    </xf>
    <xf numFmtId="231" fontId="58" fillId="7" borderId="609" xfId="2" applyNumberFormat="1" applyFont="1" applyFill="1" applyBorder="1" applyAlignment="1">
      <alignment horizontal="center" vertical="center"/>
    </xf>
    <xf numFmtId="231" fontId="58" fillId="0" borderId="609" xfId="2" applyNumberFormat="1" applyFont="1" applyFill="1" applyBorder="1" applyAlignment="1">
      <alignment horizontal="center" vertical="center"/>
    </xf>
    <xf numFmtId="178" fontId="58" fillId="7" borderId="621" xfId="2" applyNumberFormat="1" applyFont="1" applyFill="1" applyBorder="1" applyAlignment="1">
      <alignment horizontal="center" vertical="center"/>
    </xf>
    <xf numFmtId="38" fontId="166" fillId="0" borderId="448" xfId="1" applyNumberFormat="1" applyFont="1" applyBorder="1" applyAlignment="1">
      <alignment horizontal="center" vertical="center" wrapText="1"/>
    </xf>
    <xf numFmtId="3" fontId="58" fillId="0" borderId="612" xfId="2" applyNumberFormat="1" applyFont="1" applyBorder="1" applyAlignment="1">
      <alignment horizontal="center" vertical="center"/>
    </xf>
    <xf numFmtId="183" fontId="58" fillId="0" borderId="612" xfId="0" applyNumberFormat="1" applyFont="1" applyBorder="1" applyAlignment="1">
      <alignment horizontal="center" vertical="center"/>
    </xf>
    <xf numFmtId="226" fontId="58" fillId="7" borderId="612" xfId="2" applyNumberFormat="1" applyFont="1" applyFill="1" applyBorder="1" applyAlignment="1">
      <alignment horizontal="center" vertical="center"/>
    </xf>
    <xf numFmtId="178" fontId="58" fillId="7" borderId="612" xfId="2" applyNumberFormat="1" applyFont="1" applyFill="1" applyBorder="1" applyAlignment="1">
      <alignment horizontal="center" vertical="center"/>
    </xf>
    <xf numFmtId="178" fontId="58" fillId="0" borderId="612" xfId="2" applyNumberFormat="1" applyFont="1" applyFill="1" applyBorder="1" applyAlignment="1">
      <alignment horizontal="center" vertical="center"/>
    </xf>
    <xf numFmtId="187" fontId="58" fillId="7" borderId="46" xfId="2" applyNumberFormat="1" applyFont="1" applyFill="1" applyBorder="1" applyAlignment="1">
      <alignment horizontal="center" vertical="center"/>
    </xf>
    <xf numFmtId="187" fontId="58" fillId="4" borderId="576" xfId="2" applyNumberFormat="1" applyFont="1" applyFill="1" applyBorder="1" applyAlignment="1">
      <alignment horizontal="center" vertical="center"/>
    </xf>
    <xf numFmtId="187" fontId="58" fillId="4" borderId="577" xfId="2" applyNumberFormat="1" applyFont="1" applyFill="1" applyBorder="1" applyAlignment="1">
      <alignment horizontal="center" vertical="center"/>
    </xf>
    <xf numFmtId="183" fontId="58" fillId="4" borderId="576" xfId="2" applyNumberFormat="1" applyFont="1" applyFill="1" applyBorder="1" applyAlignment="1">
      <alignment horizontal="center" vertical="center"/>
    </xf>
    <xf numFmtId="183" fontId="58" fillId="4" borderId="577" xfId="2" applyNumberFormat="1" applyFont="1" applyFill="1" applyBorder="1" applyAlignment="1">
      <alignment horizontal="center" vertical="center"/>
    </xf>
    <xf numFmtId="187" fontId="29" fillId="4" borderId="467" xfId="2" applyNumberFormat="1" applyFont="1" applyFill="1" applyBorder="1" applyAlignment="1">
      <alignment horizontal="center" vertical="center"/>
    </xf>
    <xf numFmtId="187" fontId="58" fillId="4" borderId="434" xfId="2" applyNumberFormat="1" applyFont="1" applyFill="1" applyBorder="1" applyAlignment="1">
      <alignment horizontal="center" vertical="center"/>
    </xf>
    <xf numFmtId="183" fontId="58" fillId="4" borderId="119" xfId="2" applyNumberFormat="1" applyFont="1" applyFill="1" applyBorder="1" applyAlignment="1">
      <alignment horizontal="center" vertical="center"/>
    </xf>
    <xf numFmtId="183" fontId="58" fillId="4" borderId="121" xfId="2" applyNumberFormat="1" applyFont="1" applyFill="1" applyBorder="1" applyAlignment="1">
      <alignment horizontal="center" vertical="center"/>
    </xf>
    <xf numFmtId="178" fontId="29" fillId="4" borderId="512" xfId="2" applyNumberFormat="1" applyFont="1" applyFill="1" applyBorder="1" applyAlignment="1">
      <alignment horizontal="center" vertical="center"/>
    </xf>
    <xf numFmtId="228" fontId="58" fillId="4" borderId="515" xfId="2" applyNumberFormat="1" applyFont="1" applyFill="1" applyBorder="1" applyAlignment="1">
      <alignment horizontal="center" vertical="center"/>
    </xf>
    <xf numFmtId="187" fontId="58" fillId="4" borderId="261" xfId="2" applyNumberFormat="1" applyFont="1" applyFill="1" applyBorder="1" applyAlignment="1">
      <alignment horizontal="center" vertical="center" wrapText="1"/>
    </xf>
    <xf numFmtId="187" fontId="58" fillId="4" borderId="135" xfId="2" applyNumberFormat="1" applyFont="1" applyFill="1" applyBorder="1" applyAlignment="1">
      <alignment horizontal="center" vertical="center" wrapText="1"/>
    </xf>
    <xf numFmtId="187" fontId="58" fillId="4" borderId="607" xfId="2" applyNumberFormat="1" applyFont="1" applyFill="1" applyBorder="1" applyAlignment="1">
      <alignment horizontal="center" vertical="center" wrapText="1"/>
    </xf>
    <xf numFmtId="187" fontId="58" fillId="4" borderId="608" xfId="2" applyNumberFormat="1" applyFont="1" applyFill="1" applyBorder="1" applyAlignment="1">
      <alignment horizontal="center" vertical="center" wrapText="1"/>
    </xf>
    <xf numFmtId="231" fontId="58" fillId="4" borderId="95" xfId="2" applyNumberFormat="1" applyFont="1" applyFill="1" applyBorder="1" applyAlignment="1">
      <alignment horizontal="center" vertical="center" wrapText="1"/>
    </xf>
    <xf numFmtId="178" fontId="58" fillId="4" borderId="607" xfId="2" applyNumberFormat="1" applyFont="1" applyFill="1" applyBorder="1" applyAlignment="1">
      <alignment horizontal="center" vertical="center"/>
    </xf>
    <xf numFmtId="183" fontId="58" fillId="4" borderId="518" xfId="0" applyNumberFormat="1" applyFont="1" applyFill="1" applyBorder="1" applyAlignment="1">
      <alignment horizontal="center" vertical="center"/>
    </xf>
    <xf numFmtId="183" fontId="58" fillId="4" borderId="515" xfId="0" applyNumberFormat="1" applyFont="1" applyFill="1" applyBorder="1" applyAlignment="1">
      <alignment horizontal="center" vertical="center"/>
    </xf>
    <xf numFmtId="178" fontId="29" fillId="4" borderId="219" xfId="2" applyNumberFormat="1" applyFont="1" applyFill="1" applyBorder="1" applyAlignment="1">
      <alignment horizontal="center" vertical="center"/>
    </xf>
    <xf numFmtId="228" fontId="29" fillId="4" borderId="200" xfId="2" applyNumberFormat="1" applyFont="1" applyFill="1" applyBorder="1" applyAlignment="1">
      <alignment horizontal="center" vertical="center"/>
    </xf>
    <xf numFmtId="183" fontId="29" fillId="4" borderId="494" xfId="2" applyNumberFormat="1" applyFont="1" applyFill="1" applyBorder="1" applyAlignment="1">
      <alignment horizontal="center" vertical="center"/>
    </xf>
    <xf numFmtId="183" fontId="29" fillId="4" borderId="445" xfId="2" applyNumberFormat="1" applyFont="1" applyFill="1" applyBorder="1" applyAlignment="1">
      <alignment horizontal="center" vertical="center"/>
    </xf>
    <xf numFmtId="178" fontId="29" fillId="4" borderId="494" xfId="2" applyNumberFormat="1" applyFont="1" applyFill="1" applyBorder="1" applyAlignment="1">
      <alignment horizontal="center" vertical="center"/>
    </xf>
    <xf numFmtId="183" fontId="29" fillId="4" borderId="482" xfId="2" applyNumberFormat="1" applyFont="1" applyFill="1" applyBorder="1" applyAlignment="1">
      <alignment horizontal="center" vertical="center"/>
    </xf>
    <xf numFmtId="183" fontId="58" fillId="4" borderId="581" xfId="2" applyNumberFormat="1" applyFont="1" applyFill="1" applyBorder="1" applyAlignment="1">
      <alignment horizontal="center" vertical="center"/>
    </xf>
    <xf numFmtId="183" fontId="58" fillId="4" borderId="305" xfId="2" applyNumberFormat="1" applyFont="1" applyFill="1" applyBorder="1" applyAlignment="1">
      <alignment horizontal="center" vertical="center"/>
    </xf>
    <xf numFmtId="187" fontId="29" fillId="4" borderId="219" xfId="2" applyNumberFormat="1" applyFont="1" applyFill="1" applyBorder="1" applyAlignment="1">
      <alignment horizontal="center" vertical="center"/>
    </xf>
    <xf numFmtId="187" fontId="58" fillId="4" borderId="200" xfId="2" applyNumberFormat="1" applyFont="1" applyFill="1" applyBorder="1" applyAlignment="1">
      <alignment horizontal="center" vertical="center"/>
    </xf>
    <xf numFmtId="183" fontId="58" fillId="4" borderId="582" xfId="2" applyNumberFormat="1" applyFont="1" applyFill="1" applyBorder="1" applyAlignment="1">
      <alignment horizontal="center" vertical="center"/>
    </xf>
    <xf numFmtId="183" fontId="58" fillId="4" borderId="293" xfId="2" applyNumberFormat="1" applyFont="1" applyFill="1" applyBorder="1" applyAlignment="1">
      <alignment horizontal="center" vertical="center"/>
    </xf>
    <xf numFmtId="178" fontId="58" fillId="4" borderId="95" xfId="0" applyNumberFormat="1" applyFont="1" applyFill="1" applyBorder="1" applyAlignment="1">
      <alignment horizontal="center" vertical="center"/>
    </xf>
    <xf numFmtId="183" fontId="58" fillId="4" borderId="327" xfId="2" applyNumberFormat="1" applyFont="1" applyFill="1" applyBorder="1" applyAlignment="1">
      <alignment horizontal="center" vertical="center"/>
    </xf>
    <xf numFmtId="187" fontId="58" fillId="4" borderId="119" xfId="0" applyNumberFormat="1" applyFont="1" applyFill="1" applyBorder="1" applyAlignment="1">
      <alignment horizontal="center" vertical="center"/>
    </xf>
    <xf numFmtId="226" fontId="58" fillId="4" borderId="494" xfId="2" applyNumberFormat="1" applyFont="1" applyFill="1" applyBorder="1" applyAlignment="1">
      <alignment horizontal="center" vertical="center"/>
    </xf>
    <xf numFmtId="183" fontId="58" fillId="4" borderId="445" xfId="2" applyNumberFormat="1" applyFont="1" applyFill="1" applyBorder="1" applyAlignment="1">
      <alignment horizontal="center" vertical="center"/>
    </xf>
    <xf numFmtId="187" fontId="29" fillId="4" borderId="482" xfId="2" applyNumberFormat="1" applyFont="1" applyFill="1" applyBorder="1" applyAlignment="1">
      <alignment horizontal="center" vertical="center"/>
    </xf>
    <xf numFmtId="178" fontId="58" fillId="4" borderId="444" xfId="2" applyNumberFormat="1" applyFont="1" applyFill="1" applyBorder="1" applyAlignment="1">
      <alignment horizontal="center" vertical="center"/>
    </xf>
    <xf numFmtId="187" fontId="58" fillId="4" borderId="95" xfId="2" applyNumberFormat="1" applyFont="1" applyFill="1" applyBorder="1" applyAlignment="1">
      <alignment horizontal="center" vertical="center"/>
    </xf>
    <xf numFmtId="178" fontId="58" fillId="4" borderId="327" xfId="2" applyNumberFormat="1" applyFont="1" applyFill="1" applyBorder="1" applyAlignment="1">
      <alignment horizontal="center" vertical="center"/>
    </xf>
    <xf numFmtId="187" fontId="58" fillId="4" borderId="119" xfId="2" applyNumberFormat="1" applyFont="1" applyFill="1" applyBorder="1" applyAlignment="1">
      <alignment horizontal="center" vertical="center"/>
    </xf>
    <xf numFmtId="231" fontId="58" fillId="4" borderId="121" xfId="2" applyNumberFormat="1" applyFont="1" applyFill="1" applyBorder="1" applyAlignment="1">
      <alignment horizontal="center" vertical="center"/>
    </xf>
    <xf numFmtId="187" fontId="58" fillId="4" borderId="482" xfId="2" applyNumberFormat="1" applyFont="1" applyFill="1" applyBorder="1" applyAlignment="1">
      <alignment horizontal="center" vertical="center"/>
    </xf>
    <xf numFmtId="187" fontId="58" fillId="4" borderId="444" xfId="2" applyNumberFormat="1" applyFont="1" applyFill="1" applyBorder="1" applyAlignment="1">
      <alignment horizontal="center" vertical="center"/>
    </xf>
    <xf numFmtId="187" fontId="172" fillId="4" borderId="285" xfId="0" applyNumberFormat="1" applyFont="1" applyFill="1" applyBorder="1" applyAlignment="1">
      <alignment horizontal="center" vertical="center"/>
    </xf>
    <xf numFmtId="187" fontId="172" fillId="4" borderId="227" xfId="0" applyNumberFormat="1" applyFont="1" applyFill="1" applyBorder="1" applyAlignment="1">
      <alignment horizontal="center" vertical="center"/>
    </xf>
    <xf numFmtId="183" fontId="58" fillId="4" borderId="467" xfId="2" applyNumberFormat="1" applyFont="1" applyFill="1" applyBorder="1" applyAlignment="1">
      <alignment horizontal="center" vertical="center"/>
    </xf>
    <xf numFmtId="183" fontId="58" fillId="4" borderId="434" xfId="2" applyNumberFormat="1" applyFont="1" applyFill="1" applyBorder="1" applyAlignment="1">
      <alignment horizontal="center" vertical="center"/>
    </xf>
    <xf numFmtId="226" fontId="58" fillId="4" borderId="512" xfId="2" applyNumberFormat="1" applyFont="1" applyFill="1" applyBorder="1" applyAlignment="1">
      <alignment horizontal="center" vertical="center"/>
    </xf>
    <xf numFmtId="226" fontId="58" fillId="4" borderId="515" xfId="2" applyNumberFormat="1" applyFont="1" applyFill="1" applyBorder="1" applyAlignment="1">
      <alignment horizontal="center" vertical="center"/>
    </xf>
    <xf numFmtId="226" fontId="58" fillId="4" borderId="119" xfId="2" applyNumberFormat="1" applyFont="1" applyFill="1" applyBorder="1" applyAlignment="1">
      <alignment horizontal="center" vertical="center"/>
    </xf>
    <xf numFmtId="226" fontId="58" fillId="4" borderId="121" xfId="2" applyNumberFormat="1" applyFont="1" applyFill="1" applyBorder="1" applyAlignment="1">
      <alignment horizontal="center" vertical="center"/>
    </xf>
    <xf numFmtId="226" fontId="29" fillId="4" borderId="576" xfId="2" applyNumberFormat="1" applyFont="1" applyFill="1" applyBorder="1" applyAlignment="1">
      <alignment horizontal="center" vertical="center"/>
    </xf>
    <xf numFmtId="226" fontId="58" fillId="4" borderId="577" xfId="2" applyNumberFormat="1" applyFont="1" applyFill="1" applyBorder="1" applyAlignment="1">
      <alignment horizontal="center" vertical="center"/>
    </xf>
    <xf numFmtId="226" fontId="58" fillId="4" borderId="577" xfId="0" applyNumberFormat="1" applyFont="1" applyFill="1" applyBorder="1" applyAlignment="1">
      <alignment horizontal="center" vertical="center"/>
    </xf>
    <xf numFmtId="2" fontId="29" fillId="4" borderId="518" xfId="0" applyNumberFormat="1" applyFont="1" applyFill="1" applyBorder="1" applyAlignment="1">
      <alignment horizontal="center" vertical="center"/>
    </xf>
    <xf numFmtId="1" fontId="29" fillId="4" borderId="119" xfId="0" applyNumberFormat="1" applyFont="1" applyFill="1" applyBorder="1" applyAlignment="1">
      <alignment horizontal="center" vertical="center"/>
    </xf>
    <xf numFmtId="230" fontId="58" fillId="4" borderId="121" xfId="0" applyNumberFormat="1" applyFont="1" applyFill="1" applyBorder="1" applyAlignment="1">
      <alignment horizontal="center" vertical="center"/>
    </xf>
    <xf numFmtId="176" fontId="29" fillId="4" borderId="576" xfId="0" applyNumberFormat="1" applyFont="1" applyFill="1" applyBorder="1" applyAlignment="1">
      <alignment horizontal="center" vertical="center"/>
    </xf>
    <xf numFmtId="1" fontId="58" fillId="4" borderId="576" xfId="0" applyNumberFormat="1" applyFont="1" applyFill="1" applyBorder="1" applyAlignment="1">
      <alignment horizontal="center" vertical="center"/>
    </xf>
    <xf numFmtId="230" fontId="58" fillId="4" borderId="577" xfId="0" applyNumberFormat="1" applyFont="1" applyFill="1" applyBorder="1" applyAlignment="1">
      <alignment horizontal="center" vertical="center"/>
    </xf>
    <xf numFmtId="176" fontId="58" fillId="4" borderId="576" xfId="0" applyNumberFormat="1" applyFont="1" applyFill="1" applyBorder="1" applyAlignment="1">
      <alignment horizontal="center" vertical="center"/>
    </xf>
    <xf numFmtId="176" fontId="58" fillId="4" borderId="512" xfId="0" applyNumberFormat="1" applyFont="1" applyFill="1" applyBorder="1" applyAlignment="1">
      <alignment horizontal="center" vertical="center"/>
    </xf>
    <xf numFmtId="2" fontId="58" fillId="4" borderId="219" xfId="0" applyNumberFormat="1" applyFont="1" applyFill="1" applyBorder="1" applyAlignment="1">
      <alignment horizontal="center" vertical="center"/>
    </xf>
    <xf numFmtId="2" fontId="58" fillId="4" borderId="200" xfId="0" applyNumberFormat="1" applyFont="1" applyFill="1" applyBorder="1" applyAlignment="1">
      <alignment horizontal="center" vertical="center"/>
    </xf>
    <xf numFmtId="2" fontId="58" fillId="4" borderId="467" xfId="0" applyNumberFormat="1" applyFont="1" applyFill="1" applyBorder="1" applyAlignment="1">
      <alignment horizontal="center" vertical="center"/>
    </xf>
    <xf numFmtId="2" fontId="58" fillId="4" borderId="434" xfId="0" applyNumberFormat="1" applyFont="1" applyFill="1" applyBorder="1" applyAlignment="1">
      <alignment horizontal="center" vertical="center"/>
    </xf>
    <xf numFmtId="2" fontId="58" fillId="4" borderId="119" xfId="0" applyNumberFormat="1" applyFont="1" applyFill="1" applyBorder="1" applyAlignment="1">
      <alignment horizontal="center" vertical="center"/>
    </xf>
    <xf numFmtId="2" fontId="58" fillId="4" borderId="121" xfId="0" applyNumberFormat="1" applyFont="1" applyFill="1" applyBorder="1" applyAlignment="1">
      <alignment horizontal="center" vertical="center"/>
    </xf>
    <xf numFmtId="177" fontId="58" fillId="4" borderId="576" xfId="0" applyNumberFormat="1" applyFont="1" applyFill="1" applyBorder="1" applyAlignment="1">
      <alignment horizontal="center" vertical="center"/>
    </xf>
    <xf numFmtId="177" fontId="58" fillId="4" borderId="577" xfId="0" applyNumberFormat="1" applyFont="1" applyFill="1" applyBorder="1" applyAlignment="1">
      <alignment horizontal="center" vertical="center"/>
    </xf>
    <xf numFmtId="2" fontId="58" fillId="4" borderId="576" xfId="0" applyNumberFormat="1" applyFont="1" applyFill="1" applyBorder="1" applyAlignment="1">
      <alignment horizontal="center" vertical="center"/>
    </xf>
    <xf numFmtId="2" fontId="58" fillId="4" borderId="577" xfId="0" applyNumberFormat="1" applyFont="1" applyFill="1" applyBorder="1" applyAlignment="1">
      <alignment horizontal="center" vertical="center"/>
    </xf>
    <xf numFmtId="225" fontId="58" fillId="4" borderId="576" xfId="0" applyNumberFormat="1" applyFont="1" applyFill="1" applyBorder="1" applyAlignment="1">
      <alignment horizontal="center" vertical="center"/>
    </xf>
    <xf numFmtId="225" fontId="58" fillId="4" borderId="577" xfId="0" applyNumberFormat="1" applyFont="1" applyFill="1" applyBorder="1" applyAlignment="1">
      <alignment horizontal="center" vertical="center"/>
    </xf>
    <xf numFmtId="0" fontId="58" fillId="4" borderId="512" xfId="0" applyFont="1" applyFill="1" applyBorder="1" applyAlignment="1">
      <alignment horizontal="center" vertical="center"/>
    </xf>
    <xf numFmtId="0" fontId="58" fillId="4" borderId="515" xfId="0" applyFont="1" applyFill="1" applyBorder="1" applyAlignment="1">
      <alignment horizontal="center" vertical="center"/>
    </xf>
    <xf numFmtId="0" fontId="58" fillId="4" borderId="219" xfId="0" applyFont="1" applyFill="1" applyBorder="1" applyAlignment="1">
      <alignment horizontal="center" vertical="center"/>
    </xf>
    <xf numFmtId="0" fontId="58" fillId="4" borderId="200" xfId="0" applyFont="1" applyFill="1" applyBorder="1" applyAlignment="1">
      <alignment horizontal="center" vertical="center"/>
    </xf>
    <xf numFmtId="0" fontId="58" fillId="4" borderId="467" xfId="0" applyFont="1" applyFill="1" applyBorder="1" applyAlignment="1">
      <alignment horizontal="center" vertical="center"/>
    </xf>
    <xf numFmtId="0" fontId="58" fillId="4" borderId="434" xfId="0" applyFont="1" applyFill="1" applyBorder="1" applyAlignment="1">
      <alignment horizontal="center" vertical="center"/>
    </xf>
    <xf numFmtId="0" fontId="58" fillId="4" borderId="119" xfId="0" applyFont="1" applyFill="1" applyBorder="1" applyAlignment="1">
      <alignment horizontal="center" vertical="center"/>
    </xf>
    <xf numFmtId="0" fontId="58" fillId="4" borderId="121" xfId="0" applyFont="1" applyFill="1" applyBorder="1" applyAlignment="1">
      <alignment horizontal="center" vertical="center"/>
    </xf>
    <xf numFmtId="2" fontId="58" fillId="4" borderId="512" xfId="0" applyNumberFormat="1" applyFont="1" applyFill="1" applyBorder="1" applyAlignment="1">
      <alignment horizontal="center" vertical="center"/>
    </xf>
    <xf numFmtId="185" fontId="29" fillId="4" borderId="95" xfId="0" applyNumberFormat="1" applyFont="1" applyFill="1" applyBorder="1" applyAlignment="1">
      <alignment horizontal="center" vertical="center"/>
    </xf>
    <xf numFmtId="0" fontId="58" fillId="4" borderId="327" xfId="0" applyFont="1" applyFill="1" applyBorder="1" applyAlignment="1">
      <alignment horizontal="center" vertical="center"/>
    </xf>
    <xf numFmtId="3" fontId="29" fillId="4" borderId="223" xfId="0" applyNumberFormat="1" applyFont="1" applyFill="1" applyBorder="1" applyAlignment="1">
      <alignment horizontal="center" vertical="center"/>
    </xf>
    <xf numFmtId="177" fontId="58" fillId="4" borderId="227" xfId="0" applyNumberFormat="1" applyFont="1" applyFill="1" applyBorder="1" applyAlignment="1">
      <alignment horizontal="center" vertical="center"/>
    </xf>
    <xf numFmtId="3" fontId="29" fillId="4" borderId="219" xfId="0" applyNumberFormat="1" applyFont="1" applyFill="1" applyBorder="1" applyAlignment="1">
      <alignment horizontal="center" vertical="center"/>
    </xf>
    <xf numFmtId="3" fontId="29" fillId="4" borderId="576" xfId="0" applyNumberFormat="1" applyFont="1" applyFill="1" applyBorder="1" applyAlignment="1">
      <alignment horizontal="center" vertical="center"/>
    </xf>
    <xf numFmtId="3" fontId="58" fillId="4" borderId="467" xfId="0" applyNumberFormat="1" applyFont="1" applyFill="1" applyBorder="1" applyAlignment="1">
      <alignment horizontal="center" vertical="center"/>
    </xf>
    <xf numFmtId="3" fontId="58" fillId="4" borderId="119" xfId="0" applyNumberFormat="1" applyFont="1" applyFill="1" applyBorder="1" applyAlignment="1">
      <alignment horizontal="center" vertical="center"/>
    </xf>
    <xf numFmtId="227" fontId="58" fillId="4" borderId="121" xfId="0" applyNumberFormat="1" applyFont="1" applyFill="1" applyBorder="1" applyAlignment="1">
      <alignment horizontal="center" vertical="center"/>
    </xf>
    <xf numFmtId="3" fontId="58" fillId="4" borderId="512" xfId="0" applyNumberFormat="1" applyFont="1" applyFill="1" applyBorder="1" applyAlignment="1">
      <alignment horizontal="center" vertical="center"/>
    </xf>
    <xf numFmtId="3" fontId="58" fillId="4" borderId="515" xfId="0" applyNumberFormat="1" applyFont="1" applyFill="1" applyBorder="1" applyAlignment="1">
      <alignment horizontal="center" vertical="center"/>
    </xf>
    <xf numFmtId="187" fontId="58" fillId="4" borderId="607" xfId="2" applyNumberFormat="1" applyFont="1" applyFill="1" applyBorder="1" applyAlignment="1">
      <alignment horizontal="center" vertical="center"/>
    </xf>
    <xf numFmtId="187" fontId="58" fillId="4" borderId="608" xfId="2" applyNumberFormat="1" applyFont="1" applyFill="1" applyBorder="1" applyAlignment="1">
      <alignment horizontal="center" vertical="center"/>
    </xf>
    <xf numFmtId="183" fontId="58" fillId="4" borderId="607" xfId="2" applyNumberFormat="1" applyFont="1" applyFill="1" applyBorder="1" applyAlignment="1">
      <alignment horizontal="center" vertical="center"/>
    </xf>
    <xf numFmtId="183" fontId="58" fillId="4" borderId="608" xfId="2" applyNumberFormat="1" applyFont="1" applyFill="1" applyBorder="1" applyAlignment="1">
      <alignment horizontal="center" vertical="center"/>
    </xf>
    <xf numFmtId="226" fontId="58" fillId="4" borderId="607" xfId="2" applyNumberFormat="1" applyFont="1" applyFill="1" applyBorder="1" applyAlignment="1">
      <alignment horizontal="center" vertical="center"/>
    </xf>
    <xf numFmtId="226" fontId="29" fillId="4" borderId="607" xfId="2" applyNumberFormat="1" applyFont="1" applyFill="1" applyBorder="1" applyAlignment="1">
      <alignment horizontal="center" vertical="center"/>
    </xf>
    <xf numFmtId="187" fontId="29" fillId="4" borderId="119" xfId="2" applyNumberFormat="1" applyFont="1" applyFill="1" applyBorder="1" applyAlignment="1">
      <alignment horizontal="center" vertical="center" wrapText="1"/>
    </xf>
    <xf numFmtId="226" fontId="29" fillId="4" borderId="599" xfId="2" applyNumberFormat="1" applyFont="1" applyFill="1" applyBorder="1" applyAlignment="1">
      <alignment horizontal="center" vertical="center"/>
    </xf>
    <xf numFmtId="226" fontId="58" fillId="4" borderId="608" xfId="2" applyNumberFormat="1" applyFont="1" applyFill="1" applyBorder="1" applyAlignment="1">
      <alignment horizontal="center" vertical="center" wrapText="1"/>
    </xf>
    <xf numFmtId="183" fontId="29" fillId="4" borderId="599" xfId="2" applyNumberFormat="1" applyFont="1" applyFill="1" applyBorder="1" applyAlignment="1">
      <alignment horizontal="center" vertical="center"/>
    </xf>
    <xf numFmtId="183" fontId="58" fillId="4" borderId="327" xfId="2" applyNumberFormat="1" applyFont="1" applyFill="1" applyBorder="1" applyAlignment="1">
      <alignment horizontal="center" vertical="center" wrapText="1"/>
    </xf>
    <xf numFmtId="226" fontId="58" fillId="4" borderId="327" xfId="2" applyNumberFormat="1" applyFont="1" applyFill="1" applyBorder="1" applyAlignment="1">
      <alignment horizontal="center" vertical="center" wrapText="1"/>
    </xf>
    <xf numFmtId="226" fontId="58" fillId="4" borderId="592" xfId="2" applyNumberFormat="1" applyFont="1" applyFill="1" applyBorder="1" applyAlignment="1">
      <alignment horizontal="center" vertical="center" wrapText="1"/>
    </xf>
    <xf numFmtId="178" fontId="29" fillId="4" borderId="599" xfId="2" applyNumberFormat="1" applyFont="1" applyFill="1" applyBorder="1" applyAlignment="1">
      <alignment horizontal="center" vertical="center"/>
    </xf>
    <xf numFmtId="226" fontId="29" fillId="4" borderId="592" xfId="2" applyNumberFormat="1" applyFont="1" applyFill="1" applyBorder="1" applyAlignment="1">
      <alignment horizontal="center" vertical="center"/>
    </xf>
    <xf numFmtId="187" fontId="58" fillId="4" borderId="610" xfId="2" applyNumberFormat="1" applyFont="1" applyFill="1" applyBorder="1" applyAlignment="1">
      <alignment horizontal="center" vertical="center" wrapText="1"/>
    </xf>
    <xf numFmtId="183" fontId="29" fillId="4" borderId="608" xfId="2" applyNumberFormat="1" applyFont="1" applyFill="1" applyBorder="1" applyAlignment="1">
      <alignment horizontal="center" vertical="center"/>
    </xf>
    <xf numFmtId="178" fontId="29" fillId="4" borderId="607" xfId="2" applyNumberFormat="1" applyFont="1" applyFill="1" applyBorder="1" applyAlignment="1">
      <alignment horizontal="center" vertical="center"/>
    </xf>
    <xf numFmtId="228" fontId="29" fillId="4" borderId="608" xfId="2" applyNumberFormat="1" applyFont="1" applyFill="1" applyBorder="1" applyAlignment="1">
      <alignment horizontal="center" vertical="center"/>
    </xf>
    <xf numFmtId="226" fontId="58" fillId="4" borderId="261" xfId="2" applyNumberFormat="1" applyFont="1" applyFill="1" applyBorder="1" applyAlignment="1">
      <alignment horizontal="center" vertical="center"/>
    </xf>
    <xf numFmtId="226" fontId="58" fillId="4" borderId="135" xfId="2" applyNumberFormat="1" applyFont="1" applyFill="1" applyBorder="1" applyAlignment="1">
      <alignment horizontal="center" vertical="center"/>
    </xf>
    <xf numFmtId="187" fontId="58" fillId="4" borderId="219" xfId="2" applyNumberFormat="1" applyFont="1" applyFill="1" applyBorder="1" applyAlignment="1">
      <alignment horizontal="center" vertical="center"/>
    </xf>
    <xf numFmtId="226" fontId="58" fillId="4" borderId="131" xfId="2" applyNumberFormat="1" applyFont="1" applyFill="1" applyBorder="1" applyAlignment="1">
      <alignment horizontal="center" vertical="center"/>
    </xf>
    <xf numFmtId="226" fontId="58" fillId="4" borderId="136" xfId="2" applyNumberFormat="1" applyFont="1" applyFill="1" applyBorder="1" applyAlignment="1">
      <alignment horizontal="center" vertical="center"/>
    </xf>
    <xf numFmtId="231" fontId="58" fillId="4" borderId="200" xfId="2" applyNumberFormat="1" applyFont="1" applyFill="1" applyBorder="1" applyAlignment="1">
      <alignment horizontal="center" vertical="center"/>
    </xf>
    <xf numFmtId="187" fontId="58" fillId="4" borderId="285" xfId="0" applyNumberFormat="1" applyFont="1" applyFill="1" applyBorder="1" applyAlignment="1">
      <alignment horizontal="center" vertical="center"/>
    </xf>
    <xf numFmtId="187" fontId="58" fillId="4" borderId="227" xfId="0" applyNumberFormat="1" applyFont="1" applyFill="1" applyBorder="1" applyAlignment="1">
      <alignment horizontal="center" vertical="center"/>
    </xf>
    <xf numFmtId="183" fontId="29" fillId="7" borderId="5" xfId="2" applyNumberFormat="1" applyFont="1" applyFill="1" applyBorder="1" applyAlignment="1">
      <alignment horizontal="center" vertical="center"/>
    </xf>
    <xf numFmtId="183" fontId="58" fillId="93" borderId="600" xfId="0" applyNumberFormat="1" applyFont="1" applyFill="1" applyBorder="1" applyAlignment="1">
      <alignment horizontal="center" vertical="center"/>
    </xf>
    <xf numFmtId="185" fontId="58" fillId="0" borderId="606" xfId="0" applyNumberFormat="1" applyFont="1" applyFill="1" applyBorder="1" applyAlignment="1">
      <alignment horizontal="center" vertical="center"/>
    </xf>
    <xf numFmtId="2" fontId="29" fillId="0" borderId="600" xfId="0" applyNumberFormat="1" applyFont="1" applyBorder="1" applyAlignment="1">
      <alignment horizontal="center" vertical="center"/>
    </xf>
    <xf numFmtId="178" fontId="58" fillId="0" borderId="600" xfId="0" applyNumberFormat="1" applyFont="1" applyFill="1" applyBorder="1" applyAlignment="1">
      <alignment horizontal="center" vertical="center"/>
    </xf>
    <xf numFmtId="187" fontId="58" fillId="4" borderId="121" xfId="2" applyNumberFormat="1" applyFont="1" applyFill="1" applyBorder="1" applyAlignment="1">
      <alignment horizontal="center" vertical="center"/>
    </xf>
    <xf numFmtId="226" fontId="58" fillId="4" borderId="608" xfId="2" applyNumberFormat="1" applyFont="1" applyFill="1" applyBorder="1" applyAlignment="1">
      <alignment horizontal="center" vertical="center"/>
    </xf>
    <xf numFmtId="226" fontId="58" fillId="4" borderId="219" xfId="2" applyNumberFormat="1" applyFont="1" applyFill="1" applyBorder="1" applyAlignment="1">
      <alignment horizontal="center" vertical="center"/>
    </xf>
    <xf numFmtId="226" fontId="58" fillId="4" borderId="200" xfId="2" applyNumberFormat="1" applyFont="1" applyFill="1" applyBorder="1" applyAlignment="1">
      <alignment horizontal="center" vertical="center"/>
    </xf>
    <xf numFmtId="226" fontId="58" fillId="4" borderId="467" xfId="2" applyNumberFormat="1" applyFont="1" applyFill="1" applyBorder="1" applyAlignment="1">
      <alignment horizontal="center" vertical="center"/>
    </xf>
    <xf numFmtId="226" fontId="58" fillId="4" borderId="434" xfId="2" applyNumberFormat="1" applyFont="1" applyFill="1" applyBorder="1" applyAlignment="1">
      <alignment horizontal="center" vertical="center"/>
    </xf>
    <xf numFmtId="226" fontId="58" fillId="4" borderId="576" xfId="2" applyNumberFormat="1" applyFont="1" applyFill="1" applyBorder="1" applyAlignment="1">
      <alignment horizontal="center" vertical="center"/>
    </xf>
    <xf numFmtId="2" fontId="58" fillId="4" borderId="597" xfId="0" applyNumberFormat="1" applyFont="1" applyFill="1" applyBorder="1" applyAlignment="1">
      <alignment horizontal="center" vertical="center"/>
    </xf>
    <xf numFmtId="2" fontId="58" fillId="4" borderId="608" xfId="0" applyNumberFormat="1" applyFont="1" applyFill="1" applyBorder="1" applyAlignment="1">
      <alignment horizontal="center" vertical="center"/>
    </xf>
    <xf numFmtId="2" fontId="58" fillId="4" borderId="518" xfId="0" applyNumberFormat="1" applyFont="1" applyFill="1" applyBorder="1" applyAlignment="1">
      <alignment horizontal="center" vertical="center"/>
    </xf>
    <xf numFmtId="2" fontId="58" fillId="4" borderId="515" xfId="0" applyNumberFormat="1" applyFont="1" applyFill="1" applyBorder="1" applyAlignment="1">
      <alignment horizontal="center" vertical="center"/>
    </xf>
    <xf numFmtId="178" fontId="29" fillId="4" borderId="200" xfId="2" applyNumberFormat="1" applyFont="1" applyFill="1" applyBorder="1" applyAlignment="1">
      <alignment horizontal="center" vertical="center"/>
    </xf>
    <xf numFmtId="226" fontId="29" fillId="4" borderId="494" xfId="2" applyNumberFormat="1" applyFont="1" applyFill="1" applyBorder="1" applyAlignment="1">
      <alignment horizontal="center" vertical="center"/>
    </xf>
    <xf numFmtId="228" fontId="29" fillId="4" borderId="445" xfId="2" applyNumberFormat="1" applyFont="1" applyFill="1" applyBorder="1" applyAlignment="1">
      <alignment horizontal="center" vertical="center"/>
    </xf>
    <xf numFmtId="187" fontId="58" fillId="4" borderId="512" xfId="2" applyNumberFormat="1" applyFont="1" applyFill="1" applyBorder="1" applyAlignment="1">
      <alignment horizontal="center" vertical="center"/>
    </xf>
    <xf numFmtId="187" fontId="58" fillId="4" borderId="515" xfId="2" applyNumberFormat="1" applyFont="1" applyFill="1" applyBorder="1" applyAlignment="1">
      <alignment horizontal="center" vertical="center"/>
    </xf>
    <xf numFmtId="187" fontId="58" fillId="4" borderId="494" xfId="2" applyNumberFormat="1" applyFont="1" applyFill="1" applyBorder="1" applyAlignment="1">
      <alignment horizontal="center" vertical="center"/>
    </xf>
    <xf numFmtId="187" fontId="58" fillId="4" borderId="445" xfId="2" applyNumberFormat="1" applyFont="1" applyFill="1" applyBorder="1" applyAlignment="1">
      <alignment horizontal="center" vertical="center"/>
    </xf>
    <xf numFmtId="187" fontId="58" fillId="4" borderId="467" xfId="2" applyNumberFormat="1" applyFont="1" applyFill="1" applyBorder="1" applyAlignment="1">
      <alignment horizontal="center" vertical="center"/>
    </xf>
    <xf numFmtId="226" fontId="58" fillId="4" borderId="445" xfId="2" applyNumberFormat="1" applyFont="1" applyFill="1" applyBorder="1" applyAlignment="1">
      <alignment horizontal="center" vertical="center"/>
    </xf>
    <xf numFmtId="183" fontId="29" fillId="4" borderId="200" xfId="2" applyNumberFormat="1" applyFont="1" applyFill="1" applyBorder="1" applyAlignment="1">
      <alignment horizontal="center" vertical="center"/>
    </xf>
    <xf numFmtId="38" fontId="172" fillId="4" borderId="285" xfId="2" applyNumberFormat="1" applyFont="1" applyFill="1" applyBorder="1" applyAlignment="1">
      <alignment horizontal="center" vertical="center"/>
    </xf>
    <xf numFmtId="38" fontId="172" fillId="4" borderId="227" xfId="2" applyNumberFormat="1" applyFont="1" applyFill="1" applyBorder="1" applyAlignment="1">
      <alignment horizontal="center" vertical="center"/>
    </xf>
    <xf numFmtId="0" fontId="58" fillId="0" borderId="0" xfId="0" applyFont="1" applyFill="1" applyBorder="1" applyAlignment="1">
      <alignment horizontal="center" vertical="center"/>
    </xf>
    <xf numFmtId="226" fontId="29" fillId="4" borderId="597" xfId="2" applyNumberFormat="1" applyFont="1" applyFill="1" applyBorder="1" applyAlignment="1">
      <alignment horizontal="center" vertical="center"/>
    </xf>
    <xf numFmtId="226" fontId="29" fillId="4" borderId="608" xfId="2" applyNumberFormat="1" applyFont="1" applyFill="1" applyBorder="1" applyAlignment="1">
      <alignment horizontal="center" vertical="center"/>
    </xf>
    <xf numFmtId="187" fontId="29" fillId="4" borderId="200" xfId="2" applyNumberFormat="1" applyFont="1" applyFill="1" applyBorder="1" applyAlignment="1">
      <alignment horizontal="center" vertical="center"/>
    </xf>
    <xf numFmtId="0" fontId="219" fillId="125" borderId="108" xfId="0" applyFont="1" applyFill="1" applyBorder="1" applyAlignment="1">
      <alignment horizontal="center" vertical="center" wrapText="1"/>
    </xf>
    <xf numFmtId="187" fontId="0" fillId="0" borderId="0" xfId="0" applyNumberFormat="1" applyBorder="1" applyAlignment="1">
      <alignment horizontal="center" vertical="center"/>
    </xf>
    <xf numFmtId="38" fontId="58" fillId="0" borderId="602" xfId="2" applyNumberFormat="1" applyFont="1" applyFill="1" applyBorder="1" applyAlignment="1">
      <alignment horizontal="center" vertical="center"/>
    </xf>
    <xf numFmtId="223" fontId="58" fillId="0" borderId="600" xfId="0" applyNumberFormat="1" applyFont="1" applyBorder="1" applyAlignment="1">
      <alignment horizontal="center" vertical="center"/>
    </xf>
    <xf numFmtId="38" fontId="58" fillId="7" borderId="513" xfId="2" applyNumberFormat="1" applyFont="1" applyFill="1" applyBorder="1" applyAlignment="1">
      <alignment horizontal="center" vertical="center"/>
    </xf>
    <xf numFmtId="223" fontId="58" fillId="0" borderId="608" xfId="0" applyNumberFormat="1" applyFont="1" applyBorder="1" applyAlignment="1">
      <alignment horizontal="center" vertical="center"/>
    </xf>
    <xf numFmtId="185" fontId="28" fillId="5" borderId="214" xfId="0" applyNumberFormat="1" applyFont="1" applyFill="1" applyBorder="1" applyAlignment="1">
      <alignment horizontal="center" vertical="center"/>
    </xf>
    <xf numFmtId="183" fontId="58" fillId="0" borderId="625" xfId="2" applyNumberFormat="1" applyFont="1" applyBorder="1" applyAlignment="1">
      <alignment horizontal="center" vertical="center"/>
    </xf>
    <xf numFmtId="183" fontId="58" fillId="0" borderId="626" xfId="2" applyNumberFormat="1" applyFont="1" applyBorder="1" applyAlignment="1">
      <alignment horizontal="center" vertical="center"/>
    </xf>
    <xf numFmtId="178" fontId="58" fillId="15" borderId="626" xfId="2" applyNumberFormat="1" applyFont="1" applyFill="1" applyBorder="1" applyAlignment="1">
      <alignment horizontal="center" vertical="center"/>
    </xf>
    <xf numFmtId="178" fontId="58" fillId="0" borderId="626" xfId="2" applyNumberFormat="1" applyFont="1" applyBorder="1" applyAlignment="1">
      <alignment horizontal="center" vertical="center"/>
    </xf>
    <xf numFmtId="178" fontId="58" fillId="4" borderId="599" xfId="2" applyNumberFormat="1" applyFont="1" applyFill="1" applyBorder="1" applyAlignment="1">
      <alignment horizontal="center" vertical="center"/>
    </xf>
    <xf numFmtId="183" fontId="58" fillId="15" borderId="599" xfId="2" applyNumberFormat="1" applyFont="1" applyFill="1" applyBorder="1" applyAlignment="1">
      <alignment horizontal="center" vertical="center"/>
    </xf>
    <xf numFmtId="187" fontId="28" fillId="116" borderId="606" xfId="1" applyNumberFormat="1" applyFont="1" applyFill="1" applyBorder="1" applyAlignment="1">
      <alignment horizontal="center" vertical="center"/>
    </xf>
    <xf numFmtId="176" fontId="28" fillId="7" borderId="606" xfId="4" applyNumberFormat="1" applyFont="1" applyFill="1" applyBorder="1" applyAlignment="1">
      <alignment horizontal="center" vertical="center"/>
    </xf>
    <xf numFmtId="38" fontId="28" fillId="6" borderId="606" xfId="2" quotePrefix="1" applyNumberFormat="1" applyFont="1" applyFill="1" applyBorder="1" applyAlignment="1">
      <alignment horizontal="center" vertical="center"/>
    </xf>
    <xf numFmtId="38" fontId="28" fillId="7" borderId="606" xfId="2" quotePrefix="1" applyNumberFormat="1" applyFont="1" applyFill="1" applyBorder="1" applyAlignment="1">
      <alignment horizontal="center" vertical="center" wrapText="1"/>
    </xf>
    <xf numFmtId="187" fontId="28" fillId="7" borderId="606" xfId="3" quotePrefix="1" applyNumberFormat="1" applyFont="1" applyFill="1" applyBorder="1" applyAlignment="1">
      <alignment horizontal="center" vertical="center"/>
    </xf>
    <xf numFmtId="187" fontId="28" fillId="7" borderId="606" xfId="3" applyNumberFormat="1" applyFont="1" applyFill="1" applyBorder="1" applyAlignment="1">
      <alignment horizontal="center" vertical="center"/>
    </xf>
    <xf numFmtId="187" fontId="31" fillId="6" borderId="606" xfId="3" quotePrefix="1" applyNumberFormat="1" applyFont="1" applyFill="1" applyBorder="1" applyAlignment="1">
      <alignment horizontal="center" vertical="center"/>
    </xf>
    <xf numFmtId="223" fontId="28" fillId="7" borderId="279" xfId="3" applyNumberFormat="1" applyFont="1" applyFill="1" applyBorder="1" applyAlignment="1">
      <alignment horizontal="center" vertical="center"/>
    </xf>
    <xf numFmtId="223" fontId="28" fillId="7" borderId="279" xfId="3" quotePrefix="1" applyNumberFormat="1" applyFont="1" applyFill="1" applyBorder="1" applyAlignment="1">
      <alignment horizontal="center" vertical="center"/>
    </xf>
    <xf numFmtId="223" fontId="29" fillId="0" borderId="6" xfId="0" applyNumberFormat="1" applyFont="1" applyBorder="1" applyAlignment="1">
      <alignment horizontal="center" vertical="center"/>
    </xf>
    <xf numFmtId="187" fontId="29" fillId="4" borderId="597" xfId="0" applyNumberFormat="1" applyFont="1" applyFill="1" applyBorder="1" applyAlignment="1">
      <alignment horizontal="center" vertical="center"/>
    </xf>
    <xf numFmtId="2" fontId="29" fillId="4" borderId="598" xfId="0" applyNumberFormat="1" applyFont="1" applyFill="1" applyBorder="1" applyAlignment="1">
      <alignment horizontal="center" vertical="center"/>
    </xf>
    <xf numFmtId="187" fontId="29" fillId="4" borderId="608" xfId="0" applyNumberFormat="1" applyFont="1" applyFill="1" applyBorder="1" applyAlignment="1">
      <alignment horizontal="center" vertical="center"/>
    </xf>
    <xf numFmtId="2" fontId="29" fillId="4" borderId="608" xfId="0" applyNumberFormat="1" applyFont="1" applyFill="1" applyBorder="1" applyAlignment="1">
      <alignment horizontal="center" vertical="center"/>
    </xf>
    <xf numFmtId="231" fontId="58" fillId="4" borderId="608" xfId="2" applyNumberFormat="1" applyFont="1" applyFill="1" applyBorder="1" applyAlignment="1">
      <alignment horizontal="center" vertical="center" wrapText="1"/>
    </xf>
    <xf numFmtId="183" fontId="58" fillId="93" borderId="598" xfId="0" applyNumberFormat="1" applyFont="1" applyFill="1" applyBorder="1" applyAlignment="1">
      <alignment horizontal="center" vertical="center"/>
    </xf>
    <xf numFmtId="183" fontId="58" fillId="93" borderId="608" xfId="0" applyNumberFormat="1" applyFont="1" applyFill="1" applyBorder="1" applyAlignment="1">
      <alignment horizontal="center" vertical="center"/>
    </xf>
    <xf numFmtId="0" fontId="58" fillId="0" borderId="227" xfId="0" applyFont="1" applyBorder="1" applyAlignment="1">
      <alignment horizontal="center" vertical="center"/>
    </xf>
    <xf numFmtId="38" fontId="58" fillId="7" borderId="598" xfId="2" applyNumberFormat="1" applyFont="1" applyFill="1" applyBorder="1" applyAlignment="1">
      <alignment horizontal="center" vertical="center"/>
    </xf>
    <xf numFmtId="38" fontId="58" fillId="7" borderId="605" xfId="2" applyNumberFormat="1" applyFont="1" applyFill="1" applyBorder="1" applyAlignment="1">
      <alignment horizontal="center" vertical="center"/>
    </xf>
    <xf numFmtId="38" fontId="58" fillId="0" borderId="598" xfId="2" applyNumberFormat="1" applyFont="1" applyFill="1" applyBorder="1" applyAlignment="1">
      <alignment horizontal="center" vertical="center"/>
    </xf>
    <xf numFmtId="38" fontId="58" fillId="0" borderId="605" xfId="2" applyNumberFormat="1" applyFont="1" applyFill="1" applyBorder="1" applyAlignment="1">
      <alignment horizontal="center" vertical="center"/>
    </xf>
    <xf numFmtId="38" fontId="58" fillId="0" borderId="518" xfId="2" applyNumberFormat="1" applyFont="1" applyFill="1" applyBorder="1" applyAlignment="1">
      <alignment horizontal="center" vertical="center"/>
    </xf>
    <xf numFmtId="38" fontId="58" fillId="7" borderId="307" xfId="2" applyNumberFormat="1" applyFont="1" applyFill="1" applyBorder="1" applyAlignment="1">
      <alignment horizontal="center" vertical="center"/>
    </xf>
    <xf numFmtId="223" fontId="58" fillId="0" borderId="601" xfId="0" applyNumberFormat="1" applyFont="1" applyBorder="1" applyAlignment="1">
      <alignment horizontal="center" vertical="center"/>
    </xf>
    <xf numFmtId="223" fontId="58" fillId="0" borderId="514" xfId="0" applyNumberFormat="1" applyFont="1" applyBorder="1" applyAlignment="1">
      <alignment horizontal="center" vertical="center"/>
    </xf>
    <xf numFmtId="223" fontId="58" fillId="0" borderId="45" xfId="0" applyNumberFormat="1" applyFont="1" applyBorder="1" applyAlignment="1">
      <alignment horizontal="center" vertical="center"/>
    </xf>
    <xf numFmtId="38" fontId="58" fillId="0" borderId="598" xfId="2" applyNumberFormat="1" applyFont="1" applyBorder="1" applyAlignment="1">
      <alignment horizontal="center" vertical="center"/>
    </xf>
    <xf numFmtId="38" fontId="58" fillId="0" borderId="597" xfId="2" applyNumberFormat="1" applyFont="1" applyFill="1" applyBorder="1" applyAlignment="1">
      <alignment horizontal="center" vertical="center"/>
    </xf>
    <xf numFmtId="38" fontId="58" fillId="0" borderId="518" xfId="2" applyNumberFormat="1" applyFont="1" applyBorder="1" applyAlignment="1">
      <alignment horizontal="center" vertical="center"/>
    </xf>
    <xf numFmtId="0" fontId="177" fillId="127" borderId="592" xfId="0" applyFont="1" applyFill="1" applyBorder="1" applyAlignment="1">
      <alignment horizontal="center" vertical="center"/>
    </xf>
    <xf numFmtId="38" fontId="58" fillId="7" borderId="160" xfId="2" applyNumberFormat="1" applyFont="1" applyFill="1" applyBorder="1" applyAlignment="1">
      <alignment horizontal="center" vertical="center"/>
    </xf>
    <xf numFmtId="223" fontId="58" fillId="0" borderId="600" xfId="0" applyNumberFormat="1" applyFont="1" applyBorder="1" applyAlignment="1">
      <alignment horizontal="center" vertical="center"/>
    </xf>
    <xf numFmtId="0" fontId="46" fillId="6" borderId="606" xfId="0" applyFont="1" applyFill="1" applyBorder="1" applyAlignment="1">
      <alignment horizontal="center" vertical="center"/>
    </xf>
    <xf numFmtId="9" fontId="58" fillId="0" borderId="600" xfId="1" applyFont="1" applyBorder="1" applyAlignment="1">
      <alignment horizontal="center" vertical="center"/>
    </xf>
    <xf numFmtId="0" fontId="178" fillId="127" borderId="592" xfId="0" applyFont="1" applyFill="1" applyBorder="1" applyAlignment="1">
      <alignment horizontal="center" vertical="center"/>
    </xf>
    <xf numFmtId="0" fontId="0" fillId="0" borderId="606" xfId="0" applyBorder="1" applyAlignment="1">
      <alignment horizontal="center" vertical="center"/>
    </xf>
    <xf numFmtId="3" fontId="177" fillId="125" borderId="366" xfId="2" applyNumberFormat="1" applyFont="1" applyFill="1" applyBorder="1" applyAlignment="1">
      <alignment horizontal="center" vertical="center" wrapText="1"/>
    </xf>
    <xf numFmtId="0" fontId="29" fillId="7" borderId="606" xfId="0" applyFont="1" applyFill="1" applyBorder="1">
      <alignment vertical="center"/>
    </xf>
    <xf numFmtId="223" fontId="0" fillId="0" borderId="35" xfId="0" applyNumberFormat="1" applyFont="1" applyBorder="1" applyAlignment="1">
      <alignment horizontal="center" vertical="center"/>
    </xf>
    <xf numFmtId="223" fontId="0" fillId="0" borderId="108" xfId="0" applyNumberFormat="1" applyFont="1" applyBorder="1" applyAlignment="1">
      <alignment horizontal="center" vertical="center"/>
    </xf>
    <xf numFmtId="223" fontId="29" fillId="0" borderId="227" xfId="0" applyNumberFormat="1" applyFont="1" applyBorder="1" applyAlignment="1">
      <alignment horizontal="center" vertical="center"/>
    </xf>
    <xf numFmtId="223" fontId="0" fillId="0" borderId="46" xfId="0" applyNumberFormat="1" applyFont="1" applyBorder="1" applyAlignment="1">
      <alignment horizontal="center" vertical="center"/>
    </xf>
    <xf numFmtId="223" fontId="0" fillId="0" borderId="612" xfId="0" applyNumberFormat="1" applyFont="1" applyBorder="1" applyAlignment="1">
      <alignment horizontal="center" vertical="center"/>
    </xf>
    <xf numFmtId="223" fontId="0" fillId="0" borderId="612" xfId="0" applyNumberFormat="1" applyFont="1" applyFill="1" applyBorder="1" applyAlignment="1">
      <alignment horizontal="center" vertical="center"/>
    </xf>
    <xf numFmtId="223" fontId="29" fillId="0" borderId="46" xfId="2" applyNumberFormat="1" applyFont="1" applyFill="1" applyBorder="1" applyAlignment="1">
      <alignment horizontal="center" vertical="center" wrapText="1"/>
    </xf>
    <xf numFmtId="223" fontId="29" fillId="0" borderId="45" xfId="0" applyNumberFormat="1" applyFont="1" applyFill="1" applyBorder="1" applyAlignment="1">
      <alignment horizontal="center" vertical="center"/>
    </xf>
    <xf numFmtId="223" fontId="29" fillId="117" borderId="612" xfId="2" applyNumberFormat="1" applyFont="1" applyFill="1" applyBorder="1" applyAlignment="1">
      <alignment horizontal="center" vertical="center" wrapText="1"/>
    </xf>
    <xf numFmtId="223" fontId="29" fillId="117" borderId="605" xfId="0" applyNumberFormat="1" applyFont="1" applyFill="1" applyBorder="1" applyAlignment="1">
      <alignment horizontal="center" vertical="center"/>
    </xf>
    <xf numFmtId="223" fontId="177" fillId="125" borderId="509" xfId="2" applyNumberFormat="1" applyFont="1" applyFill="1" applyBorder="1" applyAlignment="1">
      <alignment horizontal="center" vertical="center" wrapText="1"/>
    </xf>
    <xf numFmtId="223" fontId="177" fillId="125" borderId="514" xfId="0" applyNumberFormat="1" applyFont="1" applyFill="1" applyBorder="1" applyAlignment="1">
      <alignment horizontal="center" vertical="center"/>
    </xf>
    <xf numFmtId="177" fontId="219" fillId="125" borderId="578" xfId="0" applyNumberFormat="1" applyFont="1" applyFill="1" applyBorder="1" applyAlignment="1">
      <alignment horizontal="center" vertical="center"/>
    </xf>
    <xf numFmtId="243" fontId="177" fillId="125" borderId="513" xfId="2" applyNumberFormat="1" applyFont="1" applyFill="1" applyBorder="1" applyAlignment="1">
      <alignment horizontal="center" vertical="center" wrapText="1"/>
    </xf>
    <xf numFmtId="226" fontId="29" fillId="0" borderId="35" xfId="2" applyNumberFormat="1" applyFont="1" applyFill="1" applyBorder="1" applyAlignment="1">
      <alignment horizontal="center" vertical="center"/>
    </xf>
    <xf numFmtId="226" fontId="29" fillId="0" borderId="612" xfId="2" applyNumberFormat="1" applyFont="1" applyFill="1" applyBorder="1" applyAlignment="1">
      <alignment horizontal="center" vertical="center"/>
    </xf>
    <xf numFmtId="226" fontId="29" fillId="0" borderId="509" xfId="2" applyNumberFormat="1" applyFont="1" applyFill="1" applyBorder="1" applyAlignment="1">
      <alignment horizontal="center" vertical="center"/>
    </xf>
    <xf numFmtId="226" fontId="177" fillId="125" borderId="46" xfId="2" applyNumberFormat="1" applyFont="1" applyFill="1" applyBorder="1" applyAlignment="1">
      <alignment horizontal="center" vertical="center" wrapText="1"/>
    </xf>
    <xf numFmtId="243" fontId="177" fillId="125" borderId="509" xfId="2" applyNumberFormat="1" applyFont="1" applyFill="1" applyBorder="1" applyAlignment="1">
      <alignment horizontal="center" vertical="center" wrapText="1"/>
    </xf>
    <xf numFmtId="226" fontId="29" fillId="0" borderId="120" xfId="2" applyNumberFormat="1" applyFont="1" applyFill="1" applyBorder="1" applyAlignment="1">
      <alignment horizontal="center" vertical="center"/>
    </xf>
    <xf numFmtId="226" fontId="29" fillId="0" borderId="606" xfId="2" applyNumberFormat="1" applyFont="1" applyFill="1" applyBorder="1" applyAlignment="1">
      <alignment horizontal="center" vertical="center"/>
    </xf>
    <xf numFmtId="226" fontId="29" fillId="0" borderId="513" xfId="2" applyNumberFormat="1" applyFont="1" applyFill="1" applyBorder="1" applyAlignment="1">
      <alignment horizontal="center" vertical="center"/>
    </xf>
    <xf numFmtId="226" fontId="177" fillId="125" borderId="120" xfId="2" applyNumberFormat="1" applyFont="1" applyFill="1" applyBorder="1" applyAlignment="1">
      <alignment horizontal="center" vertical="center" wrapText="1"/>
    </xf>
    <xf numFmtId="0" fontId="46" fillId="6" borderId="606" xfId="0" applyFont="1" applyFill="1" applyBorder="1" applyAlignment="1">
      <alignment horizontal="center" vertical="center"/>
    </xf>
    <xf numFmtId="0" fontId="0" fillId="0" borderId="606" xfId="0" applyBorder="1" applyAlignment="1">
      <alignment horizontal="center" vertical="center"/>
    </xf>
    <xf numFmtId="187" fontId="58" fillId="4" borderId="598" xfId="2" applyNumberFormat="1" applyFont="1" applyFill="1" applyBorder="1" applyAlignment="1">
      <alignment horizontal="center" vertical="center" wrapText="1"/>
    </xf>
    <xf numFmtId="183" fontId="29" fillId="4" borderId="515" xfId="2" applyNumberFormat="1" applyFont="1" applyFill="1" applyBorder="1" applyAlignment="1">
      <alignment horizontal="center" vertical="center"/>
    </xf>
    <xf numFmtId="183" fontId="29" fillId="7" borderId="597" xfId="2" applyNumberFormat="1" applyFont="1" applyFill="1" applyBorder="1" applyAlignment="1">
      <alignment horizontal="center" vertical="center"/>
    </xf>
    <xf numFmtId="226" fontId="29" fillId="7" borderId="598" xfId="2" applyNumberFormat="1" applyFont="1" applyFill="1" applyBorder="1" applyAlignment="1">
      <alignment horizontal="center" vertical="center"/>
    </xf>
    <xf numFmtId="183" fontId="29" fillId="7" borderId="601" xfId="2" applyNumberFormat="1" applyFont="1" applyFill="1" applyBorder="1" applyAlignment="1">
      <alignment horizontal="center" vertical="center"/>
    </xf>
    <xf numFmtId="183" fontId="29" fillId="7" borderId="62" xfId="2" applyNumberFormat="1" applyFont="1" applyFill="1" applyBorder="1" applyAlignment="1">
      <alignment horizontal="center" vertical="center"/>
    </xf>
    <xf numFmtId="183" fontId="29" fillId="7" borderId="45" xfId="2" applyNumberFormat="1" applyFont="1" applyFill="1" applyBorder="1" applyAlignment="1">
      <alignment horizontal="center" vertical="center"/>
    </xf>
    <xf numFmtId="183" fontId="29" fillId="7" borderId="518" xfId="2" applyNumberFormat="1" applyFont="1" applyFill="1" applyBorder="1" applyAlignment="1">
      <alignment horizontal="center" vertical="center"/>
    </xf>
    <xf numFmtId="183" fontId="29" fillId="7" borderId="514" xfId="2" applyNumberFormat="1" applyFont="1" applyFill="1" applyBorder="1" applyAlignment="1">
      <alignment horizontal="center" vertical="center"/>
    </xf>
    <xf numFmtId="230" fontId="58" fillId="4" borderId="515" xfId="0" applyNumberFormat="1" applyFont="1" applyFill="1" applyBorder="1" applyAlignment="1">
      <alignment horizontal="center" vertical="center"/>
    </xf>
    <xf numFmtId="228" fontId="29" fillId="4" borderId="515" xfId="2" applyNumberFormat="1" applyFont="1" applyFill="1" applyBorder="1" applyAlignment="1">
      <alignment horizontal="center" vertical="center"/>
    </xf>
    <xf numFmtId="38" fontId="172" fillId="0" borderId="662" xfId="2" applyNumberFormat="1" applyFont="1" applyBorder="1" applyAlignment="1">
      <alignment horizontal="center" vertical="center"/>
    </xf>
    <xf numFmtId="0" fontId="177" fillId="125" borderId="600" xfId="0" quotePrefix="1" applyFont="1" applyFill="1" applyBorder="1" applyAlignment="1">
      <alignment horizontal="center" vertical="center"/>
    </xf>
    <xf numFmtId="2" fontId="58" fillId="5" borderId="606" xfId="0" applyNumberFormat="1" applyFont="1" applyFill="1" applyBorder="1" applyAlignment="1">
      <alignment horizontal="center" vertical="center"/>
    </xf>
    <xf numFmtId="187" fontId="58" fillId="0" borderId="600" xfId="2" applyNumberFormat="1" applyFont="1" applyFill="1" applyBorder="1" applyAlignment="1">
      <alignment horizontal="center" vertical="center"/>
    </xf>
    <xf numFmtId="183" fontId="58" fillId="0" borderId="610" xfId="0" applyNumberFormat="1" applyFont="1" applyBorder="1" applyAlignment="1">
      <alignment horizontal="center" vertical="center"/>
    </xf>
    <xf numFmtId="2" fontId="58" fillId="0" borderId="599" xfId="0" applyNumberFormat="1" applyFont="1" applyBorder="1" applyAlignment="1">
      <alignment horizontal="center" vertical="center"/>
    </xf>
    <xf numFmtId="183" fontId="58" fillId="0" borderId="600" xfId="0" applyNumberFormat="1" applyFont="1" applyBorder="1" applyAlignment="1">
      <alignment horizontal="center" vertical="center"/>
    </xf>
    <xf numFmtId="183" fontId="58" fillId="4" borderId="599" xfId="2" applyNumberFormat="1" applyFont="1" applyFill="1" applyBorder="1" applyAlignment="1">
      <alignment horizontal="center" vertical="center"/>
    </xf>
    <xf numFmtId="183" fontId="58" fillId="7" borderId="610" xfId="0" applyNumberFormat="1" applyFont="1" applyFill="1" applyBorder="1" applyAlignment="1">
      <alignment horizontal="center" vertical="center"/>
    </xf>
    <xf numFmtId="183" fontId="58" fillId="7" borderId="508" xfId="2" applyNumberFormat="1" applyFont="1" applyFill="1" applyBorder="1" applyAlignment="1">
      <alignment horizontal="center" vertical="center"/>
    </xf>
    <xf numFmtId="38" fontId="58" fillId="7" borderId="605" xfId="0" applyNumberFormat="1" applyFont="1" applyFill="1" applyBorder="1" applyAlignment="1">
      <alignment horizontal="center" vertical="center"/>
    </xf>
    <xf numFmtId="9" fontId="58" fillId="7" borderId="605" xfId="1" applyFont="1" applyFill="1" applyBorder="1" applyAlignment="1">
      <alignment horizontal="center" vertical="center"/>
    </xf>
    <xf numFmtId="0" fontId="177" fillId="125" borderId="119" xfId="0" applyFont="1" applyFill="1" applyBorder="1" applyAlignment="1">
      <alignment horizontal="center" vertical="center"/>
    </xf>
    <xf numFmtId="0" fontId="177" fillId="125" borderId="121" xfId="0" applyFont="1" applyFill="1" applyBorder="1" applyAlignment="1">
      <alignment horizontal="center" vertical="center"/>
    </xf>
    <xf numFmtId="0" fontId="177" fillId="127" borderId="161" xfId="0" applyFont="1" applyFill="1" applyBorder="1" applyAlignment="1">
      <alignment horizontal="center" vertical="center"/>
    </xf>
    <xf numFmtId="0" fontId="58" fillId="0" borderId="200" xfId="0" applyFont="1" applyFill="1" applyBorder="1" applyAlignment="1">
      <alignment horizontal="center" vertical="center"/>
    </xf>
    <xf numFmtId="38" fontId="58" fillId="0" borderId="23" xfId="2" applyNumberFormat="1" applyFont="1" applyFill="1" applyBorder="1" applyAlignment="1">
      <alignment horizontal="center" vertical="center"/>
    </xf>
    <xf numFmtId="0" fontId="29" fillId="0" borderId="0" xfId="0" applyFont="1" applyAlignment="1">
      <alignment horizontal="center" vertical="center"/>
    </xf>
    <xf numFmtId="0" fontId="172" fillId="15" borderId="45" xfId="0" applyFont="1" applyFill="1" applyBorder="1" applyAlignment="1">
      <alignment horizontal="center" vertical="center"/>
    </xf>
    <xf numFmtId="0" fontId="172" fillId="15" borderId="605" xfId="0" applyFont="1" applyFill="1" applyBorder="1" applyAlignment="1">
      <alignment horizontal="center" vertical="center"/>
    </xf>
    <xf numFmtId="178" fontId="58" fillId="7" borderId="38" xfId="2" applyNumberFormat="1" applyFont="1" applyFill="1" applyBorder="1" applyAlignment="1">
      <alignment horizontal="center" vertical="center"/>
    </xf>
    <xf numFmtId="178" fontId="58" fillId="0" borderId="606" xfId="2" quotePrefix="1" applyNumberFormat="1" applyFont="1" applyFill="1" applyBorder="1" applyAlignment="1">
      <alignment horizontal="center" vertical="center"/>
    </xf>
    <xf numFmtId="223" fontId="211" fillId="3" borderId="224" xfId="0" applyNumberFormat="1" applyFont="1" applyFill="1" applyBorder="1" applyAlignment="1">
      <alignment horizontal="center" vertical="center"/>
    </xf>
    <xf numFmtId="223" fontId="211" fillId="3" borderId="286" xfId="2" applyNumberFormat="1" applyFont="1" applyFill="1" applyBorder="1" applyAlignment="1">
      <alignment horizontal="center" vertical="center"/>
    </xf>
    <xf numFmtId="38" fontId="211" fillId="3" borderId="286" xfId="2" applyNumberFormat="1" applyFont="1" applyFill="1" applyBorder="1" applyAlignment="1">
      <alignment horizontal="center" vertical="center"/>
    </xf>
    <xf numFmtId="3" fontId="29" fillId="0" borderId="121" xfId="2" applyNumberFormat="1" applyFont="1" applyFill="1" applyBorder="1" applyAlignment="1">
      <alignment horizontal="center" vertical="center"/>
    </xf>
    <xf numFmtId="183" fontId="29" fillId="0" borderId="200" xfId="2" applyNumberFormat="1" applyFont="1" applyFill="1" applyBorder="1" applyAlignment="1">
      <alignment horizontal="center" vertical="center"/>
    </xf>
    <xf numFmtId="183" fontId="29" fillId="0" borderId="608" xfId="0" applyNumberFormat="1" applyFont="1" applyFill="1" applyBorder="1" applyAlignment="1">
      <alignment horizontal="center" vertical="center"/>
    </xf>
    <xf numFmtId="3" fontId="29" fillId="0" borderId="608" xfId="0" applyNumberFormat="1" applyFont="1" applyFill="1" applyBorder="1" applyAlignment="1">
      <alignment horizontal="center" vertical="center"/>
    </xf>
    <xf numFmtId="187" fontId="29" fillId="0" borderId="608" xfId="2" applyNumberFormat="1" applyFont="1" applyFill="1" applyBorder="1" applyAlignment="1">
      <alignment horizontal="center" vertical="center" wrapText="1"/>
    </xf>
    <xf numFmtId="3" fontId="197" fillId="0" borderId="608" xfId="0" applyNumberFormat="1" applyFont="1" applyFill="1" applyBorder="1" applyAlignment="1">
      <alignment horizontal="center" vertical="center"/>
    </xf>
    <xf numFmtId="3" fontId="197" fillId="0" borderId="515" xfId="0" applyNumberFormat="1" applyFont="1" applyFill="1" applyBorder="1" applyAlignment="1">
      <alignment horizontal="center" vertical="center"/>
    </xf>
    <xf numFmtId="176" fontId="197" fillId="0" borderId="121" xfId="0" applyNumberFormat="1" applyFont="1" applyFill="1" applyBorder="1" applyAlignment="1">
      <alignment horizontal="center" vertical="center"/>
    </xf>
    <xf numFmtId="183" fontId="58" fillId="7" borderId="200" xfId="2" applyNumberFormat="1" applyFont="1" applyFill="1" applyBorder="1" applyAlignment="1">
      <alignment horizontal="center" vertical="center"/>
    </xf>
    <xf numFmtId="179" fontId="197" fillId="0" borderId="592" xfId="0" applyNumberFormat="1" applyFont="1" applyBorder="1" applyAlignment="1">
      <alignment horizontal="center" vertical="center"/>
    </xf>
    <xf numFmtId="177" fontId="197" fillId="0" borderId="608" xfId="0" applyNumberFormat="1" applyFont="1" applyBorder="1" applyAlignment="1">
      <alignment horizontal="center" vertical="center"/>
    </xf>
    <xf numFmtId="3" fontId="226" fillId="117" borderId="608" xfId="0" applyNumberFormat="1" applyFont="1" applyFill="1" applyBorder="1" applyAlignment="1">
      <alignment horizontal="center" vertical="center"/>
    </xf>
    <xf numFmtId="3" fontId="227" fillId="117" borderId="515" xfId="0" applyNumberFormat="1" applyFont="1" applyFill="1" applyBorder="1" applyAlignment="1">
      <alignment horizontal="center" vertical="center"/>
    </xf>
    <xf numFmtId="187" fontId="197" fillId="117" borderId="515" xfId="0" applyNumberFormat="1" applyFont="1" applyFill="1" applyBorder="1" applyAlignment="1">
      <alignment horizontal="center" vertical="center"/>
    </xf>
    <xf numFmtId="183" fontId="197" fillId="0" borderId="592" xfId="0" applyNumberFormat="1" applyFont="1" applyFill="1" applyBorder="1" applyAlignment="1">
      <alignment horizontal="center" vertical="center"/>
    </xf>
    <xf numFmtId="3" fontId="197" fillId="0" borderId="601" xfId="0" applyNumberFormat="1" applyFont="1" applyFill="1" applyBorder="1" applyAlignment="1">
      <alignment horizontal="center" vertical="center"/>
    </xf>
    <xf numFmtId="183" fontId="197" fillId="0" borderId="200" xfId="0" applyNumberFormat="1" applyFont="1" applyFill="1" applyBorder="1" applyAlignment="1">
      <alignment horizontal="center" vertical="center"/>
    </xf>
    <xf numFmtId="179" fontId="197" fillId="0" borderId="592" xfId="0" applyNumberFormat="1" applyFont="1" applyFill="1" applyBorder="1" applyAlignment="1">
      <alignment horizontal="center" vertical="center"/>
    </xf>
    <xf numFmtId="177" fontId="197" fillId="0" borderId="592" xfId="0" applyNumberFormat="1" applyFont="1" applyFill="1" applyBorder="1" applyAlignment="1">
      <alignment horizontal="center" vertical="center"/>
    </xf>
    <xf numFmtId="179" fontId="197" fillId="0" borderId="608" xfId="0" applyNumberFormat="1" applyFont="1" applyFill="1" applyBorder="1" applyAlignment="1">
      <alignment horizontal="center" vertical="center"/>
    </xf>
    <xf numFmtId="187" fontId="197" fillId="0" borderId="592" xfId="0" applyNumberFormat="1" applyFont="1" applyFill="1" applyBorder="1" applyAlignment="1">
      <alignment horizontal="center" vertical="center"/>
    </xf>
    <xf numFmtId="187" fontId="197" fillId="0" borderId="608" xfId="0" applyNumberFormat="1" applyFont="1" applyFill="1" applyBorder="1" applyAlignment="1">
      <alignment horizontal="center" vertical="center"/>
    </xf>
    <xf numFmtId="3" fontId="29" fillId="0" borderId="45" xfId="2" applyNumberFormat="1" applyFont="1" applyFill="1" applyBorder="1" applyAlignment="1">
      <alignment horizontal="center" vertical="center"/>
    </xf>
    <xf numFmtId="183" fontId="29" fillId="0" borderId="605" xfId="0" applyNumberFormat="1" applyFont="1" applyFill="1" applyBorder="1" applyAlignment="1">
      <alignment horizontal="center" vertical="center"/>
    </xf>
    <xf numFmtId="3" fontId="29" fillId="0" borderId="605" xfId="0" applyNumberFormat="1" applyFont="1" applyFill="1" applyBorder="1" applyAlignment="1">
      <alignment horizontal="center" vertical="center"/>
    </xf>
    <xf numFmtId="187" fontId="172" fillId="93" borderId="119" xfId="2" applyNumberFormat="1" applyFont="1" applyFill="1" applyBorder="1" applyAlignment="1">
      <alignment horizontal="center" vertical="center"/>
    </xf>
    <xf numFmtId="187" fontId="172" fillId="93" borderId="57" xfId="2" applyNumberFormat="1" applyFont="1" applyFill="1" applyBorder="1" applyAlignment="1">
      <alignment horizontal="center" vertical="center"/>
    </xf>
    <xf numFmtId="183" fontId="172" fillId="93" borderId="219" xfId="2" applyNumberFormat="1" applyFont="1" applyFill="1" applyBorder="1" applyAlignment="1">
      <alignment horizontal="center" vertical="center"/>
    </xf>
    <xf numFmtId="183" fontId="172" fillId="93" borderId="646" xfId="2" applyNumberFormat="1" applyFont="1" applyFill="1" applyBorder="1" applyAlignment="1">
      <alignment horizontal="center" vertical="center"/>
    </xf>
    <xf numFmtId="183" fontId="35" fillId="93" borderId="607" xfId="0" applyNumberFormat="1" applyFont="1" applyFill="1" applyBorder="1" applyAlignment="1">
      <alignment horizontal="center" vertical="center"/>
    </xf>
    <xf numFmtId="183" fontId="35" fillId="93" borderId="620" xfId="0" applyNumberFormat="1" applyFont="1" applyFill="1" applyBorder="1" applyAlignment="1">
      <alignment horizontal="center" vertical="center"/>
    </xf>
    <xf numFmtId="183" fontId="29" fillId="117" borderId="605" xfId="2" applyNumberFormat="1" applyFont="1" applyFill="1" applyBorder="1" applyAlignment="1">
      <alignment horizontal="center" vertical="center"/>
    </xf>
    <xf numFmtId="3" fontId="226" fillId="117" borderId="605" xfId="0" applyNumberFormat="1" applyFont="1" applyFill="1" applyBorder="1" applyAlignment="1">
      <alignment horizontal="center" vertical="center"/>
    </xf>
    <xf numFmtId="3" fontId="227" fillId="117" borderId="514" xfId="0" applyNumberFormat="1" applyFont="1" applyFill="1" applyBorder="1" applyAlignment="1">
      <alignment horizontal="center" vertical="center"/>
    </xf>
    <xf numFmtId="3" fontId="35" fillId="93" borderId="62" xfId="2" applyNumberFormat="1" applyFont="1" applyFill="1" applyBorder="1" applyAlignment="1">
      <alignment horizontal="center" vertical="center" wrapText="1"/>
    </xf>
    <xf numFmtId="3" fontId="35" fillId="93" borderId="597" xfId="2" applyNumberFormat="1" applyFont="1" applyFill="1" applyBorder="1" applyAlignment="1">
      <alignment horizontal="center" vertical="center" wrapText="1"/>
    </xf>
    <xf numFmtId="187" fontId="35" fillId="93" borderId="403" xfId="2" applyNumberFormat="1" applyFont="1" applyFill="1" applyBorder="1" applyAlignment="1">
      <alignment horizontal="center" vertical="center"/>
    </xf>
    <xf numFmtId="231" fontId="35" fillId="93" borderId="597" xfId="2" applyNumberFormat="1" applyFont="1" applyFill="1" applyBorder="1" applyAlignment="1">
      <alignment horizontal="center" vertical="center"/>
    </xf>
    <xf numFmtId="187" fontId="35" fillId="93" borderId="597" xfId="2" applyNumberFormat="1" applyFont="1" applyFill="1" applyBorder="1" applyAlignment="1">
      <alignment horizontal="center" vertical="center"/>
    </xf>
    <xf numFmtId="231" fontId="35" fillId="93" borderId="518" xfId="2" applyNumberFormat="1" applyFont="1" applyFill="1" applyBorder="1" applyAlignment="1">
      <alignment horizontal="center" vertical="center"/>
    </xf>
    <xf numFmtId="183" fontId="172" fillId="93" borderId="62" xfId="2" applyNumberFormat="1" applyFont="1" applyFill="1" applyBorder="1" applyAlignment="1">
      <alignment horizontal="center" vertical="center"/>
    </xf>
    <xf numFmtId="183" fontId="172" fillId="93" borderId="122" xfId="2" applyNumberFormat="1" applyFont="1" applyFill="1" applyBorder="1" applyAlignment="1">
      <alignment horizontal="center" vertical="center"/>
    </xf>
    <xf numFmtId="3" fontId="172" fillId="93" borderId="597" xfId="2" applyNumberFormat="1" applyFont="1" applyFill="1" applyBorder="1" applyAlignment="1">
      <alignment horizontal="center" vertical="center"/>
    </xf>
    <xf numFmtId="183" fontId="172" fillId="93" borderId="590" xfId="2" applyNumberFormat="1" applyFont="1" applyFill="1" applyBorder="1" applyAlignment="1">
      <alignment horizontal="center" vertical="center"/>
    </xf>
    <xf numFmtId="179" fontId="172" fillId="93" borderId="597" xfId="2" applyNumberFormat="1" applyFont="1" applyFill="1" applyBorder="1" applyAlignment="1">
      <alignment horizontal="center" vertical="center"/>
    </xf>
    <xf numFmtId="183" fontId="172" fillId="93" borderId="583" xfId="2" applyNumberFormat="1" applyFont="1" applyFill="1" applyBorder="1" applyAlignment="1">
      <alignment horizontal="center" vertical="center"/>
    </xf>
    <xf numFmtId="3" fontId="172" fillId="93" borderId="62" xfId="2" applyNumberFormat="1" applyFont="1" applyFill="1" applyBorder="1" applyAlignment="1">
      <alignment horizontal="center" vertical="center"/>
    </xf>
    <xf numFmtId="179" fontId="35" fillId="93" borderId="62" xfId="2" applyNumberFormat="1" applyFont="1" applyFill="1" applyBorder="1" applyAlignment="1">
      <alignment horizontal="center" vertical="center" wrapText="1"/>
    </xf>
    <xf numFmtId="179" fontId="35" fillId="93" borderId="45" xfId="2" applyNumberFormat="1" applyFont="1" applyFill="1" applyBorder="1" applyAlignment="1">
      <alignment horizontal="center" vertical="center" wrapText="1"/>
    </xf>
    <xf numFmtId="179" fontId="35" fillId="93" borderId="597" xfId="2" applyNumberFormat="1" applyFont="1" applyFill="1" applyBorder="1" applyAlignment="1">
      <alignment horizontal="center" vertical="center" wrapText="1"/>
    </xf>
    <xf numFmtId="179" fontId="35" fillId="93" borderId="605" xfId="2" applyNumberFormat="1" applyFont="1" applyFill="1" applyBorder="1" applyAlignment="1">
      <alignment horizontal="center" vertical="center" wrapText="1"/>
    </xf>
    <xf numFmtId="179" fontId="35" fillId="93" borderId="598" xfId="2" applyNumberFormat="1" applyFont="1" applyFill="1" applyBorder="1" applyAlignment="1">
      <alignment horizontal="center" vertical="center" wrapText="1"/>
    </xf>
    <xf numFmtId="179" fontId="35" fillId="93" borderId="601" xfId="2" applyNumberFormat="1" applyFont="1" applyFill="1" applyBorder="1" applyAlignment="1">
      <alignment horizontal="center" vertical="center" wrapText="1"/>
    </xf>
    <xf numFmtId="183" fontId="172" fillId="93" borderId="307" xfId="2" applyNumberFormat="1" applyFont="1" applyFill="1" applyBorder="1" applyAlignment="1">
      <alignment horizontal="center" vertical="center"/>
    </xf>
    <xf numFmtId="183" fontId="172" fillId="93" borderId="597" xfId="2" applyNumberFormat="1" applyFont="1" applyFill="1" applyBorder="1" applyAlignment="1">
      <alignment horizontal="center" vertical="center"/>
    </xf>
    <xf numFmtId="183" fontId="172" fillId="93" borderId="403" xfId="2" applyNumberFormat="1" applyFont="1" applyFill="1" applyBorder="1" applyAlignment="1">
      <alignment horizontal="center" vertical="center"/>
    </xf>
    <xf numFmtId="177" fontId="35" fillId="93" borderId="597" xfId="2" applyNumberFormat="1" applyFont="1" applyFill="1" applyBorder="1" applyAlignment="1">
      <alignment horizontal="center" vertical="center" wrapText="1"/>
    </xf>
    <xf numFmtId="187" fontId="35" fillId="93" borderId="62" xfId="2" applyNumberFormat="1" applyFont="1" applyFill="1" applyBorder="1" applyAlignment="1">
      <alignment horizontal="center" vertical="center" wrapText="1"/>
    </xf>
    <xf numFmtId="187" fontId="35" fillId="93" borderId="597" xfId="2" applyNumberFormat="1" applyFont="1" applyFill="1" applyBorder="1" applyAlignment="1">
      <alignment horizontal="center" vertical="center" wrapText="1"/>
    </xf>
    <xf numFmtId="187" fontId="35" fillId="93" borderId="598" xfId="2" applyNumberFormat="1" applyFont="1" applyFill="1" applyBorder="1" applyAlignment="1">
      <alignment horizontal="center" vertical="center" wrapText="1"/>
    </xf>
    <xf numFmtId="187" fontId="33" fillId="93" borderId="403" xfId="2" applyNumberFormat="1" applyFont="1" applyFill="1" applyBorder="1" applyAlignment="1">
      <alignment horizontal="center" vertical="center" wrapText="1"/>
    </xf>
    <xf numFmtId="187" fontId="33" fillId="93" borderId="597" xfId="2" applyNumberFormat="1" applyFont="1" applyFill="1" applyBorder="1" applyAlignment="1">
      <alignment horizontal="center" vertical="center" wrapText="1"/>
    </xf>
    <xf numFmtId="187" fontId="33" fillId="93" borderId="598" xfId="2" applyNumberFormat="1" applyFont="1" applyFill="1" applyBorder="1" applyAlignment="1">
      <alignment horizontal="center" vertical="center" wrapText="1"/>
    </xf>
    <xf numFmtId="3" fontId="35" fillId="93" borderId="597" xfId="0" applyNumberFormat="1" applyFont="1" applyFill="1" applyBorder="1" applyAlignment="1">
      <alignment horizontal="center" vertical="center"/>
    </xf>
    <xf numFmtId="3" fontId="35" fillId="93" borderId="608" xfId="0" applyNumberFormat="1" applyFont="1" applyFill="1" applyBorder="1" applyAlignment="1">
      <alignment horizontal="center" vertical="center"/>
    </xf>
    <xf numFmtId="187" fontId="35" fillId="93" borderId="607" xfId="0" applyNumberFormat="1" applyFont="1" applyFill="1" applyBorder="1" applyAlignment="1">
      <alignment horizontal="center" vertical="center"/>
    </xf>
    <xf numFmtId="187" fontId="35" fillId="93" borderId="620" xfId="0" applyNumberFormat="1" applyFont="1" applyFill="1" applyBorder="1" applyAlignment="1">
      <alignment horizontal="center" vertical="center"/>
    </xf>
    <xf numFmtId="231" fontId="35" fillId="93" borderId="620" xfId="0" applyNumberFormat="1" applyFont="1" applyFill="1" applyBorder="1" applyAlignment="1">
      <alignment horizontal="center" vertical="center"/>
    </xf>
    <xf numFmtId="187" fontId="35" fillId="93" borderId="512" xfId="0" applyNumberFormat="1" applyFont="1" applyFill="1" applyBorder="1" applyAlignment="1">
      <alignment horizontal="center" vertical="center"/>
    </xf>
    <xf numFmtId="231" fontId="35" fillId="93" borderId="622" xfId="0" applyNumberFormat="1" applyFont="1" applyFill="1" applyBorder="1" applyAlignment="1">
      <alignment horizontal="center" vertical="center"/>
    </xf>
    <xf numFmtId="176" fontId="230" fillId="93" borderId="119" xfId="0" applyNumberFormat="1" applyFont="1" applyFill="1" applyBorder="1" applyAlignment="1">
      <alignment horizontal="center" vertical="center"/>
    </xf>
    <xf numFmtId="176" fontId="230" fillId="93" borderId="57" xfId="0" applyNumberFormat="1" applyFont="1" applyFill="1" applyBorder="1" applyAlignment="1">
      <alignment horizontal="center" vertical="center"/>
    </xf>
    <xf numFmtId="179" fontId="230" fillId="93" borderId="599" xfId="0" applyNumberFormat="1" applyFont="1" applyFill="1" applyBorder="1" applyAlignment="1">
      <alignment horizontal="center" vertical="center"/>
    </xf>
    <xf numFmtId="179" fontId="230" fillId="93" borderId="603" xfId="0" applyNumberFormat="1" applyFont="1" applyFill="1" applyBorder="1" applyAlignment="1">
      <alignment horizontal="center" vertical="center"/>
    </xf>
    <xf numFmtId="177" fontId="230" fillId="93" borderId="607" xfId="0" applyNumberFormat="1" applyFont="1" applyFill="1" applyBorder="1" applyAlignment="1">
      <alignment horizontal="center" vertical="center"/>
    </xf>
    <xf numFmtId="177" fontId="230" fillId="93" borderId="620" xfId="0" applyNumberFormat="1" applyFont="1" applyFill="1" applyBorder="1" applyAlignment="1">
      <alignment horizontal="center" vertical="center"/>
    </xf>
    <xf numFmtId="231" fontId="172" fillId="93" borderId="57" xfId="2" applyNumberFormat="1" applyFont="1" applyFill="1" applyBorder="1" applyAlignment="1">
      <alignment horizontal="center" vertical="center"/>
    </xf>
    <xf numFmtId="179" fontId="230" fillId="93" borderId="607" xfId="0" applyNumberFormat="1" applyFont="1" applyFill="1" applyBorder="1" applyAlignment="1">
      <alignment horizontal="center" vertical="center"/>
    </xf>
    <xf numFmtId="179" fontId="230" fillId="93" borderId="620" xfId="0" applyNumberFormat="1" applyFont="1" applyFill="1" applyBorder="1" applyAlignment="1">
      <alignment horizontal="center" vertical="center"/>
    </xf>
    <xf numFmtId="187" fontId="230" fillId="93" borderId="599" xfId="0" applyNumberFormat="1" applyFont="1" applyFill="1" applyBorder="1" applyAlignment="1">
      <alignment horizontal="center" vertical="center"/>
    </xf>
    <xf numFmtId="187" fontId="230" fillId="93" borderId="603" xfId="0" applyNumberFormat="1" applyFont="1" applyFill="1" applyBorder="1" applyAlignment="1">
      <alignment horizontal="center" vertical="center"/>
    </xf>
    <xf numFmtId="187" fontId="230" fillId="93" borderId="607" xfId="0" applyNumberFormat="1" applyFont="1" applyFill="1" applyBorder="1" applyAlignment="1">
      <alignment horizontal="center" vertical="center"/>
    </xf>
    <xf numFmtId="187" fontId="230" fillId="93" borderId="620" xfId="0" applyNumberFormat="1" applyFont="1" applyFill="1" applyBorder="1" applyAlignment="1">
      <alignment horizontal="center" vertical="center"/>
    </xf>
    <xf numFmtId="183" fontId="172" fillId="93" borderId="607" xfId="2" applyNumberFormat="1" applyFont="1" applyFill="1" applyBorder="1" applyAlignment="1">
      <alignment horizontal="center" vertical="center"/>
    </xf>
    <xf numFmtId="183" fontId="172" fillId="93" borderId="620" xfId="2" applyNumberFormat="1" applyFont="1" applyFill="1" applyBorder="1" applyAlignment="1">
      <alignment horizontal="center" vertical="center"/>
    </xf>
    <xf numFmtId="183" fontId="35" fillId="93" borderId="599" xfId="0" applyNumberFormat="1" applyFont="1" applyFill="1" applyBorder="1" applyAlignment="1">
      <alignment horizontal="center" vertical="center"/>
    </xf>
    <xf numFmtId="183" fontId="35" fillId="93" borderId="603" xfId="0" applyNumberFormat="1" applyFont="1" applyFill="1" applyBorder="1" applyAlignment="1">
      <alignment horizontal="center" vertical="center"/>
    </xf>
    <xf numFmtId="223" fontId="230" fillId="93" borderId="512" xfId="0" applyNumberFormat="1" applyFont="1" applyFill="1" applyBorder="1" applyAlignment="1">
      <alignment horizontal="center" vertical="center"/>
    </xf>
    <xf numFmtId="223" fontId="230" fillId="93" borderId="622" xfId="0" applyNumberFormat="1" applyFont="1" applyFill="1" applyBorder="1" applyAlignment="1">
      <alignment horizontal="center" vertical="center"/>
    </xf>
    <xf numFmtId="3" fontId="35" fillId="93" borderId="607" xfId="0" applyNumberFormat="1" applyFont="1" applyFill="1" applyBorder="1" applyAlignment="1">
      <alignment horizontal="center" vertical="center"/>
    </xf>
    <xf numFmtId="3" fontId="35" fillId="93" borderId="620" xfId="0" applyNumberFormat="1" applyFont="1" applyFill="1" applyBorder="1" applyAlignment="1">
      <alignment horizontal="center" vertical="center"/>
    </xf>
    <xf numFmtId="179" fontId="230" fillId="93" borderId="119" xfId="0" applyNumberFormat="1" applyFont="1" applyFill="1" applyBorder="1" applyAlignment="1">
      <alignment horizontal="center" vertical="center"/>
    </xf>
    <xf numFmtId="179" fontId="230" fillId="93" borderId="57" xfId="0" applyNumberFormat="1" applyFont="1" applyFill="1" applyBorder="1" applyAlignment="1">
      <alignment horizontal="center" vertical="center"/>
    </xf>
    <xf numFmtId="183" fontId="230" fillId="93" borderId="219" xfId="0" applyNumberFormat="1" applyFont="1" applyFill="1" applyBorder="1" applyAlignment="1">
      <alignment horizontal="center" vertical="center"/>
    </xf>
    <xf numFmtId="183" fontId="230" fillId="93" borderId="646" xfId="0" applyNumberFormat="1" applyFont="1" applyFill="1" applyBorder="1" applyAlignment="1">
      <alignment horizontal="center" vertical="center"/>
    </xf>
    <xf numFmtId="183" fontId="230" fillId="93" borderId="599" xfId="0" applyNumberFormat="1" applyFont="1" applyFill="1" applyBorder="1" applyAlignment="1">
      <alignment horizontal="center" vertical="center"/>
    </xf>
    <xf numFmtId="183" fontId="230" fillId="93" borderId="603" xfId="0" applyNumberFormat="1" applyFont="1" applyFill="1" applyBorder="1" applyAlignment="1">
      <alignment horizontal="center" vertical="center"/>
    </xf>
    <xf numFmtId="177" fontId="230" fillId="93" borderId="599" xfId="0" applyNumberFormat="1" applyFont="1" applyFill="1" applyBorder="1" applyAlignment="1">
      <alignment horizontal="center" vertical="center"/>
    </xf>
    <xf numFmtId="177" fontId="230" fillId="93" borderId="603" xfId="0" applyNumberFormat="1" applyFont="1" applyFill="1" applyBorder="1" applyAlignment="1">
      <alignment horizontal="center" vertical="center"/>
    </xf>
    <xf numFmtId="187" fontId="197" fillId="0" borderId="601" xfId="0" applyNumberFormat="1" applyFont="1" applyFill="1" applyBorder="1" applyAlignment="1">
      <alignment horizontal="center" vertical="center"/>
    </xf>
    <xf numFmtId="187" fontId="197" fillId="0" borderId="605" xfId="0" applyNumberFormat="1" applyFont="1" applyFill="1" applyBorder="1" applyAlignment="1">
      <alignment horizontal="center" vertical="center"/>
    </xf>
    <xf numFmtId="223" fontId="197" fillId="0" borderId="514" xfId="0" applyNumberFormat="1" applyFont="1" applyFill="1" applyBorder="1" applyAlignment="1">
      <alignment horizontal="center" vertical="center"/>
    </xf>
    <xf numFmtId="179" fontId="197" fillId="0" borderId="45" xfId="0" applyNumberFormat="1" applyFont="1" applyFill="1" applyBorder="1" applyAlignment="1">
      <alignment horizontal="center" vertical="center"/>
    </xf>
    <xf numFmtId="179" fontId="197" fillId="0" borderId="200" xfId="0" applyNumberFormat="1" applyFont="1" applyFill="1" applyBorder="1" applyAlignment="1">
      <alignment horizontal="center" vertical="center"/>
    </xf>
    <xf numFmtId="3" fontId="197" fillId="0" borderId="592" xfId="0" applyNumberFormat="1" applyFont="1" applyFill="1" applyBorder="1" applyAlignment="1">
      <alignment horizontal="center" vertical="center"/>
    </xf>
    <xf numFmtId="3" fontId="58" fillId="4" borderId="200" xfId="0" applyNumberFormat="1" applyFont="1" applyFill="1" applyBorder="1" applyAlignment="1">
      <alignment horizontal="center" vertical="center"/>
    </xf>
    <xf numFmtId="3" fontId="58" fillId="4" borderId="577" xfId="0" applyNumberFormat="1" applyFont="1" applyFill="1" applyBorder="1" applyAlignment="1">
      <alignment horizontal="center" vertical="center"/>
    </xf>
    <xf numFmtId="3" fontId="58" fillId="4" borderId="434" xfId="0" applyNumberFormat="1" applyFont="1" applyFill="1" applyBorder="1" applyAlignment="1">
      <alignment horizontal="center" vertical="center"/>
    </xf>
    <xf numFmtId="226" fontId="168" fillId="93" borderId="597" xfId="2" applyNumberFormat="1" applyFont="1" applyFill="1" applyBorder="1" applyAlignment="1">
      <alignment horizontal="center" vertical="center"/>
    </xf>
    <xf numFmtId="231" fontId="29" fillId="0" borderId="38" xfId="2" applyNumberFormat="1" applyFont="1" applyFill="1" applyBorder="1" applyAlignment="1">
      <alignment horizontal="center" vertical="center"/>
    </xf>
    <xf numFmtId="187" fontId="29" fillId="0" borderId="605" xfId="2" applyNumberFormat="1" applyFont="1" applyFill="1" applyBorder="1" applyAlignment="1">
      <alignment horizontal="center" vertical="center"/>
    </xf>
    <xf numFmtId="231" fontId="29" fillId="0" borderId="605" xfId="2" applyNumberFormat="1" applyFont="1" applyFill="1" applyBorder="1" applyAlignment="1">
      <alignment horizontal="center" vertical="center"/>
    </xf>
    <xf numFmtId="187" fontId="29" fillId="0" borderId="121" xfId="2" applyNumberFormat="1" applyFont="1" applyFill="1" applyBorder="1" applyAlignment="1">
      <alignment horizontal="center" vertical="center"/>
    </xf>
    <xf numFmtId="187" fontId="29" fillId="0" borderId="608" xfId="2" applyNumberFormat="1" applyFont="1" applyFill="1" applyBorder="1" applyAlignment="1">
      <alignment horizontal="center" vertical="center"/>
    </xf>
    <xf numFmtId="231" fontId="29" fillId="0" borderId="608" xfId="2" applyNumberFormat="1" applyFont="1" applyFill="1" applyBorder="1" applyAlignment="1">
      <alignment horizontal="center" vertical="center"/>
    </xf>
    <xf numFmtId="187" fontId="177" fillId="125" borderId="608" xfId="2" applyNumberFormat="1" applyFont="1" applyFill="1" applyBorder="1" applyAlignment="1">
      <alignment horizontal="center" vertical="center"/>
    </xf>
    <xf numFmtId="179" fontId="168" fillId="93" borderId="597" xfId="2" applyNumberFormat="1" applyFont="1" applyFill="1" applyBorder="1" applyAlignment="1">
      <alignment horizontal="center" vertical="center" wrapText="1"/>
    </xf>
    <xf numFmtId="177" fontId="187" fillId="0" borderId="35" xfId="0" applyNumberFormat="1" applyFont="1" applyBorder="1" applyAlignment="1">
      <alignment horizontal="center" vertical="center"/>
    </xf>
    <xf numFmtId="177" fontId="187" fillId="0" borderId="6" xfId="0" applyNumberFormat="1" applyFont="1" applyBorder="1" applyAlignment="1">
      <alignment horizontal="center" vertical="center"/>
    </xf>
    <xf numFmtId="223" fontId="187" fillId="0" borderId="608" xfId="0" applyNumberFormat="1" applyFont="1" applyBorder="1" applyAlignment="1">
      <alignment horizontal="center" vertical="center"/>
    </xf>
    <xf numFmtId="183" fontId="168" fillId="93" borderId="403" xfId="2" applyNumberFormat="1" applyFont="1" applyFill="1" applyBorder="1" applyAlignment="1">
      <alignment horizontal="center" vertical="center"/>
    </xf>
    <xf numFmtId="177" fontId="240" fillId="0" borderId="600" xfId="0" applyNumberFormat="1" applyFont="1" applyBorder="1" applyAlignment="1">
      <alignment horizontal="center" vertical="center"/>
    </xf>
    <xf numFmtId="177" fontId="210" fillId="0" borderId="5" xfId="0" applyNumberFormat="1" applyFont="1" applyBorder="1" applyAlignment="1">
      <alignment horizontal="center" vertical="center"/>
    </xf>
    <xf numFmtId="187" fontId="243" fillId="0" borderId="6" xfId="4124" applyNumberFormat="1" applyFont="1" applyFill="1" applyBorder="1" applyAlignment="1">
      <alignment horizontal="center" vertical="center"/>
    </xf>
    <xf numFmtId="226" fontId="208" fillId="0" borderId="327" xfId="4124" applyNumberFormat="1" applyFont="1" applyFill="1" applyBorder="1" applyAlignment="1">
      <alignment horizontal="center" vertical="center"/>
    </xf>
    <xf numFmtId="177" fontId="46" fillId="0" borderId="606" xfId="0" applyNumberFormat="1" applyFont="1" applyBorder="1" applyAlignment="1">
      <alignment horizontal="center" vertical="center"/>
    </xf>
    <xf numFmtId="187" fontId="35" fillId="3" borderId="606" xfId="0" applyNumberFormat="1" applyFont="1" applyFill="1" applyBorder="1" applyAlignment="1">
      <alignment horizontal="center" vertical="center"/>
    </xf>
    <xf numFmtId="223" fontId="28" fillId="7" borderId="606" xfId="3" quotePrefix="1" applyNumberFormat="1" applyFont="1" applyFill="1" applyBorder="1" applyAlignment="1">
      <alignment horizontal="center" vertical="center"/>
    </xf>
    <xf numFmtId="223" fontId="28" fillId="6" borderId="606" xfId="3" quotePrefix="1" applyNumberFormat="1" applyFont="1" applyFill="1" applyBorder="1" applyAlignment="1">
      <alignment horizontal="center" vertical="center"/>
    </xf>
    <xf numFmtId="187" fontId="58" fillId="7" borderId="625" xfId="2" applyNumberFormat="1" applyFont="1" applyFill="1" applyBorder="1" applyAlignment="1">
      <alignment horizontal="center" vertical="center"/>
    </xf>
    <xf numFmtId="187" fontId="58" fillId="7" borderId="626" xfId="2" applyNumberFormat="1" applyFont="1" applyFill="1" applyBorder="1" applyAlignment="1">
      <alignment horizontal="center" vertical="center"/>
    </xf>
    <xf numFmtId="187" fontId="58" fillId="4" borderId="599" xfId="2" applyNumberFormat="1" applyFont="1" applyFill="1" applyBorder="1" applyAlignment="1">
      <alignment horizontal="center" vertical="center"/>
    </xf>
    <xf numFmtId="187" fontId="58" fillId="4" borderId="592" xfId="2" applyNumberFormat="1" applyFont="1" applyFill="1" applyBorder="1" applyAlignment="1">
      <alignment horizontal="center" vertical="center"/>
    </xf>
    <xf numFmtId="187" fontId="58" fillId="7" borderId="604" xfId="2" applyNumberFormat="1" applyFont="1" applyFill="1" applyBorder="1" applyAlignment="1">
      <alignment horizontal="center" vertical="center"/>
    </xf>
    <xf numFmtId="187" fontId="58" fillId="7" borderId="600" xfId="2" applyNumberFormat="1" applyFont="1" applyFill="1" applyBorder="1" applyAlignment="1">
      <alignment horizontal="center" vertical="center"/>
    </xf>
    <xf numFmtId="226" fontId="58" fillId="0" borderId="321" xfId="2" applyNumberFormat="1" applyFont="1" applyFill="1" applyBorder="1" applyAlignment="1">
      <alignment horizontal="center" vertical="center"/>
    </xf>
    <xf numFmtId="187" fontId="58" fillId="0" borderId="45" xfId="2" applyNumberFormat="1" applyFont="1" applyFill="1" applyBorder="1" applyAlignment="1">
      <alignment horizontal="center" vertical="center"/>
    </xf>
    <xf numFmtId="187" fontId="58" fillId="0" borderId="120" xfId="2" applyNumberFormat="1" applyFont="1" applyFill="1" applyBorder="1" applyAlignment="1">
      <alignment horizontal="center" vertical="center"/>
    </xf>
    <xf numFmtId="187" fontId="58" fillId="0" borderId="47" xfId="2" applyNumberFormat="1" applyFont="1" applyFill="1" applyBorder="1" applyAlignment="1">
      <alignment horizontal="center" vertical="center"/>
    </xf>
    <xf numFmtId="223" fontId="58" fillId="15" borderId="120" xfId="0" applyNumberFormat="1" applyFont="1" applyFill="1" applyBorder="1" applyAlignment="1">
      <alignment horizontal="center" vertical="center"/>
    </xf>
    <xf numFmtId="0" fontId="58" fillId="0" borderId="121" xfId="0" applyFont="1" applyFill="1" applyBorder="1" applyAlignment="1">
      <alignment horizontal="center" vertical="center" wrapText="1"/>
    </xf>
    <xf numFmtId="187" fontId="58" fillId="0" borderId="610" xfId="2" applyNumberFormat="1" applyFont="1" applyFill="1" applyBorder="1" applyAlignment="1">
      <alignment horizontal="center" vertical="center"/>
    </xf>
    <xf numFmtId="0" fontId="178" fillId="126" borderId="50" xfId="0" applyFont="1" applyFill="1" applyBorder="1" applyAlignment="1">
      <alignment horizontal="center" vertical="center"/>
    </xf>
    <xf numFmtId="187" fontId="58" fillId="0" borderId="344" xfId="2" applyNumberFormat="1" applyFont="1" applyFill="1" applyBorder="1" applyAlignment="1">
      <alignment horizontal="center" vertical="center"/>
    </xf>
    <xf numFmtId="187" fontId="58" fillId="0" borderId="345" xfId="2" applyNumberFormat="1" applyFont="1" applyFill="1" applyBorder="1" applyAlignment="1">
      <alignment horizontal="center" vertical="center"/>
    </xf>
    <xf numFmtId="187" fontId="58" fillId="0" borderId="346" xfId="2" applyNumberFormat="1" applyFont="1" applyFill="1" applyBorder="1" applyAlignment="1">
      <alignment horizontal="center" vertical="center"/>
    </xf>
    <xf numFmtId="187" fontId="58" fillId="0" borderId="204" xfId="2" applyNumberFormat="1" applyFont="1" applyFill="1" applyBorder="1" applyAlignment="1">
      <alignment horizontal="center" vertical="center"/>
    </xf>
    <xf numFmtId="187" fontId="58" fillId="0" borderId="160" xfId="2" applyNumberFormat="1" applyFont="1" applyFill="1" applyBorder="1" applyAlignment="1">
      <alignment horizontal="center" vertical="center"/>
    </xf>
    <xf numFmtId="187" fontId="58" fillId="0" borderId="210" xfId="2" applyNumberFormat="1" applyFont="1" applyFill="1" applyBorder="1" applyAlignment="1">
      <alignment horizontal="center" vertical="center"/>
    </xf>
    <xf numFmtId="187" fontId="58" fillId="0" borderId="209" xfId="2" applyNumberFormat="1" applyFont="1" applyFill="1" applyBorder="1" applyAlignment="1">
      <alignment horizontal="center" vertical="center"/>
    </xf>
    <xf numFmtId="38" fontId="58" fillId="15" borderId="209" xfId="2" applyNumberFormat="1" applyFont="1" applyFill="1" applyBorder="1" applyAlignment="1">
      <alignment horizontal="center" vertical="center"/>
    </xf>
    <xf numFmtId="38" fontId="58" fillId="15" borderId="210" xfId="2" applyNumberFormat="1" applyFont="1" applyFill="1" applyBorder="1" applyAlignment="1">
      <alignment horizontal="center" vertical="center"/>
    </xf>
    <xf numFmtId="3" fontId="58" fillId="15" borderId="210" xfId="2" quotePrefix="1" applyNumberFormat="1" applyFont="1" applyFill="1" applyBorder="1" applyAlignment="1">
      <alignment horizontal="center" vertical="center"/>
    </xf>
    <xf numFmtId="223" fontId="58" fillId="15" borderId="210" xfId="0" applyNumberFormat="1" applyFont="1" applyFill="1" applyBorder="1" applyAlignment="1">
      <alignment horizontal="center" vertical="center"/>
    </xf>
    <xf numFmtId="9" fontId="58" fillId="15" borderId="210" xfId="1" applyFont="1" applyFill="1" applyBorder="1" applyAlignment="1">
      <alignment horizontal="center" vertical="center"/>
    </xf>
    <xf numFmtId="0" fontId="58" fillId="0" borderId="161" xfId="0" applyFont="1" applyFill="1" applyBorder="1" applyAlignment="1">
      <alignment horizontal="center" vertical="center"/>
    </xf>
    <xf numFmtId="187" fontId="58" fillId="0" borderId="612" xfId="2" applyNumberFormat="1" applyFont="1" applyBorder="1" applyAlignment="1">
      <alignment horizontal="center" vertical="center"/>
    </xf>
    <xf numFmtId="178" fontId="58" fillId="0" borderId="604" xfId="0" applyNumberFormat="1" applyFont="1" applyFill="1" applyBorder="1" applyAlignment="1">
      <alignment horizontal="center" vertical="center"/>
    </xf>
    <xf numFmtId="226" fontId="58" fillId="4" borderId="403" xfId="2" applyNumberFormat="1" applyFont="1" applyFill="1" applyBorder="1" applyAlignment="1">
      <alignment horizontal="center" vertical="center"/>
    </xf>
    <xf numFmtId="187" fontId="29" fillId="4" borderId="512" xfId="2" applyNumberFormat="1" applyFont="1" applyFill="1" applyBorder="1" applyAlignment="1">
      <alignment horizontal="center" vertical="center"/>
    </xf>
    <xf numFmtId="3" fontId="58" fillId="0" borderId="6" xfId="2" quotePrefix="1" applyNumberFormat="1" applyFont="1" applyFill="1" applyBorder="1" applyAlignment="1">
      <alignment horizontal="center" vertical="center"/>
    </xf>
    <xf numFmtId="9" fontId="58" fillId="0" borderId="6" xfId="1" applyFont="1" applyFill="1" applyBorder="1" applyAlignment="1">
      <alignment horizontal="center" vertical="center"/>
    </xf>
    <xf numFmtId="187" fontId="58" fillId="4" borderId="159" xfId="2" applyNumberFormat="1" applyFont="1" applyFill="1" applyBorder="1" applyAlignment="1">
      <alignment horizontal="center" vertical="center"/>
    </xf>
    <xf numFmtId="187" fontId="58" fillId="4" borderId="161" xfId="2" applyNumberFormat="1" applyFont="1" applyFill="1" applyBorder="1" applyAlignment="1">
      <alignment horizontal="center" vertical="center"/>
    </xf>
    <xf numFmtId="187" fontId="58" fillId="0" borderId="210" xfId="2" applyNumberFormat="1" applyFont="1" applyBorder="1" applyAlignment="1">
      <alignment horizontal="center" vertical="center"/>
    </xf>
    <xf numFmtId="226" fontId="58" fillId="0" borderId="606" xfId="2" applyNumberFormat="1" applyFont="1" applyFill="1" applyBorder="1" applyAlignment="1">
      <alignment horizontal="center" vertical="center"/>
    </xf>
    <xf numFmtId="0" fontId="172" fillId="15" borderId="62" xfId="0" applyFont="1" applyFill="1" applyBorder="1" applyAlignment="1">
      <alignment horizontal="center" vertical="center"/>
    </xf>
    <xf numFmtId="0" fontId="172" fillId="15" borderId="597" xfId="0" applyFont="1" applyFill="1" applyBorder="1" applyAlignment="1">
      <alignment horizontal="center" vertical="center"/>
    </xf>
    <xf numFmtId="177" fontId="58" fillId="0" borderId="518" xfId="0" applyNumberFormat="1" applyFont="1" applyBorder="1" applyAlignment="1">
      <alignment horizontal="center" vertical="center"/>
    </xf>
    <xf numFmtId="177" fontId="58" fillId="0" borderId="514" xfId="0" applyNumberFormat="1" applyFont="1" applyBorder="1" applyAlignment="1">
      <alignment horizontal="center" vertical="center"/>
    </xf>
    <xf numFmtId="0" fontId="172" fillId="15" borderId="122" xfId="0" applyFont="1" applyFill="1" applyBorder="1" applyAlignment="1">
      <alignment horizontal="center" vertical="center"/>
    </xf>
    <xf numFmtId="0" fontId="172" fillId="15" borderId="590" xfId="0" applyFont="1" applyFill="1" applyBorder="1" applyAlignment="1">
      <alignment horizontal="center" vertical="center"/>
    </xf>
    <xf numFmtId="187" fontId="58" fillId="0" borderId="590" xfId="2" applyNumberFormat="1" applyFont="1" applyBorder="1" applyAlignment="1">
      <alignment horizontal="center" vertical="center"/>
    </xf>
    <xf numFmtId="183" fontId="58" fillId="0" borderId="590" xfId="2" applyNumberFormat="1" applyFont="1" applyBorder="1" applyAlignment="1">
      <alignment horizontal="center" vertical="center"/>
    </xf>
    <xf numFmtId="226" fontId="58" fillId="0" borderId="590" xfId="2" applyNumberFormat="1" applyFont="1" applyBorder="1" applyAlignment="1">
      <alignment horizontal="center" vertical="center"/>
    </xf>
    <xf numFmtId="2" fontId="58" fillId="0" borderId="590" xfId="0" applyNumberFormat="1" applyFont="1" applyBorder="1" applyAlignment="1">
      <alignment horizontal="center" vertical="center"/>
    </xf>
    <xf numFmtId="185" fontId="58" fillId="0" borderId="590" xfId="0" applyNumberFormat="1" applyFont="1" applyBorder="1" applyAlignment="1">
      <alignment horizontal="center" vertical="center"/>
    </xf>
    <xf numFmtId="177" fontId="58" fillId="0" borderId="590" xfId="0" applyNumberFormat="1" applyFont="1" applyBorder="1" applyAlignment="1">
      <alignment horizontal="center" vertical="center"/>
    </xf>
    <xf numFmtId="177" fontId="58" fillId="0" borderId="583" xfId="0" applyNumberFormat="1" applyFont="1" applyBorder="1" applyAlignment="1">
      <alignment horizontal="center" vertical="center"/>
    </xf>
    <xf numFmtId="0" fontId="177" fillId="125" borderId="224" xfId="0" applyFont="1" applyFill="1" applyBorder="1" applyAlignment="1">
      <alignment horizontal="center" vertical="center" wrapText="1"/>
    </xf>
    <xf numFmtId="223" fontId="166" fillId="0" borderId="254" xfId="0" applyNumberFormat="1" applyFont="1" applyBorder="1" applyAlignment="1">
      <alignment horizontal="center" vertical="center" wrapText="1"/>
    </xf>
    <xf numFmtId="223" fontId="166" fillId="0" borderId="255" xfId="0" applyNumberFormat="1" applyFont="1" applyBorder="1" applyAlignment="1">
      <alignment horizontal="center" vertical="center" wrapText="1"/>
    </xf>
    <xf numFmtId="223" fontId="177" fillId="125" borderId="255" xfId="0" applyNumberFormat="1" applyFont="1" applyFill="1" applyBorder="1" applyAlignment="1">
      <alignment horizontal="center" vertical="center" wrapText="1"/>
    </xf>
    <xf numFmtId="223" fontId="166" fillId="16" borderId="255" xfId="0" applyNumberFormat="1" applyFont="1" applyFill="1" applyBorder="1" applyAlignment="1">
      <alignment horizontal="center" vertical="center" wrapText="1"/>
    </xf>
    <xf numFmtId="223" fontId="166" fillId="16" borderId="479" xfId="0" applyNumberFormat="1" applyFont="1" applyFill="1" applyBorder="1" applyAlignment="1">
      <alignment horizontal="center" vertical="center" wrapText="1"/>
    </xf>
    <xf numFmtId="223" fontId="177" fillId="125" borderId="256" xfId="0" applyNumberFormat="1" applyFont="1" applyFill="1" applyBorder="1" applyAlignment="1">
      <alignment horizontal="center" vertical="center" wrapText="1" readingOrder="1"/>
    </xf>
    <xf numFmtId="223" fontId="177" fillId="128" borderId="55" xfId="0" applyNumberFormat="1" applyFont="1" applyFill="1" applyBorder="1" applyAlignment="1">
      <alignment horizontal="center" vertical="center" wrapText="1"/>
    </xf>
    <xf numFmtId="223" fontId="35" fillId="0" borderId="5" xfId="0" applyNumberFormat="1" applyFont="1" applyFill="1" applyBorder="1" applyAlignment="1">
      <alignment horizontal="center" vertical="center"/>
    </xf>
    <xf numFmtId="223" fontId="35" fillId="135" borderId="606" xfId="0" applyNumberFormat="1" applyFont="1" applyFill="1" applyBorder="1" applyAlignment="1">
      <alignment horizontal="center" vertical="center"/>
    </xf>
    <xf numFmtId="223" fontId="35" fillId="116" borderId="513" xfId="0" applyNumberFormat="1" applyFont="1" applyFill="1" applyBorder="1" applyAlignment="1">
      <alignment horizontal="center" vertical="center"/>
    </xf>
    <xf numFmtId="187" fontId="35" fillId="4" borderId="612" xfId="0" applyNumberFormat="1" applyFont="1" applyFill="1" applyBorder="1" applyAlignment="1">
      <alignment horizontal="center" vertical="center"/>
    </xf>
    <xf numFmtId="228" fontId="211" fillId="4" borderId="46" xfId="2" applyNumberFormat="1" applyFont="1" applyFill="1" applyBorder="1" applyAlignment="1">
      <alignment horizontal="center" vertical="center"/>
    </xf>
    <xf numFmtId="226" fontId="211" fillId="4" borderId="35" xfId="2" applyNumberFormat="1" applyFont="1" applyFill="1" applyBorder="1" applyAlignment="1">
      <alignment horizontal="center" vertical="center"/>
    </xf>
    <xf numFmtId="226" fontId="211" fillId="4" borderId="612" xfId="0" applyNumberFormat="1" applyFont="1" applyFill="1" applyBorder="1" applyAlignment="1">
      <alignment horizontal="center" vertical="center"/>
    </xf>
    <xf numFmtId="226" fontId="168" fillId="4" borderId="612" xfId="0" applyNumberFormat="1" applyFont="1" applyFill="1" applyBorder="1" applyAlignment="1">
      <alignment horizontal="center" vertical="center"/>
    </xf>
    <xf numFmtId="187" fontId="168" fillId="4" borderId="612" xfId="0" applyNumberFormat="1" applyFont="1" applyFill="1" applyBorder="1" applyAlignment="1">
      <alignment horizontal="center" vertical="center"/>
    </xf>
    <xf numFmtId="187" fontId="211" fillId="4" borderId="612" xfId="0" applyNumberFormat="1" applyFont="1" applyFill="1" applyBorder="1" applyAlignment="1">
      <alignment horizontal="center" vertical="center"/>
    </xf>
    <xf numFmtId="231" fontId="211" fillId="4" borderId="612" xfId="0" applyNumberFormat="1" applyFont="1" applyFill="1" applyBorder="1" applyAlignment="1">
      <alignment horizontal="center" vertical="center"/>
    </xf>
    <xf numFmtId="187" fontId="211" fillId="4" borderId="604" xfId="0" applyNumberFormat="1" applyFont="1" applyFill="1" applyBorder="1" applyAlignment="1">
      <alignment horizontal="center" vertical="center"/>
    </xf>
    <xf numFmtId="176" fontId="226" fillId="4" borderId="46" xfId="0" applyNumberFormat="1" applyFont="1" applyFill="1" applyBorder="1" applyAlignment="1">
      <alignment horizontal="center" vertical="center"/>
    </xf>
    <xf numFmtId="183" fontId="211" fillId="4" borderId="35" xfId="2" applyNumberFormat="1" applyFont="1" applyFill="1" applyBorder="1" applyAlignment="1">
      <alignment horizontal="center" vertical="center"/>
    </xf>
    <xf numFmtId="179" fontId="226" fillId="4" borderId="604" xfId="0" applyNumberFormat="1" applyFont="1" applyFill="1" applyBorder="1" applyAlignment="1">
      <alignment horizontal="center" vertical="center"/>
    </xf>
    <xf numFmtId="177" fontId="227" fillId="4" borderId="612" xfId="0" applyNumberFormat="1" applyFont="1" applyFill="1" applyBorder="1" applyAlignment="1">
      <alignment horizontal="center" vertical="center"/>
    </xf>
    <xf numFmtId="226" fontId="35" fillId="4" borderId="612" xfId="0" applyNumberFormat="1" applyFont="1" applyFill="1" applyBorder="1" applyAlignment="1">
      <alignment horizontal="center" vertical="center"/>
    </xf>
    <xf numFmtId="231" fontId="168" fillId="4" borderId="612" xfId="0" applyNumberFormat="1" applyFont="1" applyFill="1" applyBorder="1" applyAlignment="1">
      <alignment horizontal="center" vertical="center"/>
    </xf>
    <xf numFmtId="176" fontId="227" fillId="4" borderId="0" xfId="0" applyNumberFormat="1" applyFont="1" applyFill="1" applyBorder="1" applyAlignment="1">
      <alignment horizontal="center" vertical="center"/>
    </xf>
    <xf numFmtId="179" fontId="227" fillId="4" borderId="612" xfId="0" applyNumberFormat="1" applyFont="1" applyFill="1" applyBorder="1" applyAlignment="1">
      <alignment horizontal="center" vertical="center"/>
    </xf>
    <xf numFmtId="187" fontId="227" fillId="4" borderId="604" xfId="0" applyNumberFormat="1" applyFont="1" applyFill="1" applyBorder="1" applyAlignment="1">
      <alignment horizontal="center" vertical="center"/>
    </xf>
    <xf numFmtId="228" fontId="35" fillId="4" borderId="46" xfId="2" applyNumberFormat="1" applyFont="1" applyFill="1" applyBorder="1" applyAlignment="1">
      <alignment horizontal="center" vertical="center"/>
    </xf>
    <xf numFmtId="183" fontId="211" fillId="4" borderId="612" xfId="0" applyNumberFormat="1" applyFont="1" applyFill="1" applyBorder="1" applyAlignment="1">
      <alignment horizontal="center" vertical="center"/>
    </xf>
    <xf numFmtId="183" fontId="168" fillId="4" borderId="612" xfId="0" applyNumberFormat="1" applyFont="1" applyFill="1" applyBorder="1" applyAlignment="1">
      <alignment horizontal="center" vertical="center"/>
    </xf>
    <xf numFmtId="183" fontId="168" fillId="4" borderId="612" xfId="2" applyNumberFormat="1" applyFont="1" applyFill="1" applyBorder="1" applyAlignment="1">
      <alignment horizontal="center" vertical="center"/>
    </xf>
    <xf numFmtId="183" fontId="211" fillId="4" borderId="612" xfId="2" applyNumberFormat="1" applyFont="1" applyFill="1" applyBorder="1" applyAlignment="1">
      <alignment horizontal="center" vertical="center"/>
    </xf>
    <xf numFmtId="183" fontId="35" fillId="4" borderId="612" xfId="0" applyNumberFormat="1" applyFont="1" applyFill="1" applyBorder="1" applyAlignment="1">
      <alignment horizontal="center" vertical="center"/>
    </xf>
    <xf numFmtId="176" fontId="226" fillId="4" borderId="35" xfId="0" applyNumberFormat="1" applyFont="1" applyFill="1" applyBorder="1" applyAlignment="1">
      <alignment horizontal="center" vertical="center"/>
    </xf>
    <xf numFmtId="183" fontId="211" fillId="4" borderId="604" xfId="0" applyNumberFormat="1" applyFont="1" applyFill="1" applyBorder="1" applyAlignment="1">
      <alignment horizontal="center" vertical="center"/>
    </xf>
    <xf numFmtId="223" fontId="227" fillId="4" borderId="509" xfId="0" applyNumberFormat="1" applyFont="1" applyFill="1" applyBorder="1" applyAlignment="1">
      <alignment horizontal="center" vertical="center"/>
    </xf>
    <xf numFmtId="3" fontId="211" fillId="4" borderId="612" xfId="0" applyNumberFormat="1" applyFont="1" applyFill="1" applyBorder="1" applyAlignment="1">
      <alignment horizontal="center" vertical="center"/>
    </xf>
    <xf numFmtId="179" fontId="226" fillId="4" borderId="612" xfId="0" applyNumberFormat="1" applyFont="1" applyFill="1" applyBorder="1" applyAlignment="1">
      <alignment horizontal="center" vertical="center"/>
    </xf>
    <xf numFmtId="183" fontId="226" fillId="4" borderId="612" xfId="0" applyNumberFormat="1" applyFont="1" applyFill="1" applyBorder="1" applyAlignment="1">
      <alignment horizontal="center" vertical="center"/>
    </xf>
    <xf numFmtId="183" fontId="227" fillId="4" borderId="604" xfId="0" applyNumberFormat="1" applyFont="1" applyFill="1" applyBorder="1" applyAlignment="1">
      <alignment horizontal="center" vertical="center"/>
    </xf>
    <xf numFmtId="179" fontId="227" fillId="4" borderId="604" xfId="0" applyNumberFormat="1" applyFont="1" applyFill="1" applyBorder="1" applyAlignment="1">
      <alignment horizontal="center" vertical="center"/>
    </xf>
    <xf numFmtId="177" fontId="226" fillId="4" borderId="604" xfId="0" applyNumberFormat="1" applyFont="1" applyFill="1" applyBorder="1" applyAlignment="1">
      <alignment horizontal="center" vertical="center"/>
    </xf>
    <xf numFmtId="228" fontId="168" fillId="4" borderId="46" xfId="2" applyNumberFormat="1" applyFont="1" applyFill="1" applyBorder="1" applyAlignment="1">
      <alignment horizontal="center" vertical="center"/>
    </xf>
    <xf numFmtId="231" fontId="211" fillId="4" borderId="509" xfId="0" applyNumberFormat="1" applyFont="1" applyFill="1" applyBorder="1" applyAlignment="1">
      <alignment horizontal="center" vertical="center"/>
    </xf>
    <xf numFmtId="183" fontId="226" fillId="4" borderId="35" xfId="0" applyNumberFormat="1" applyFont="1" applyFill="1" applyBorder="1" applyAlignment="1">
      <alignment horizontal="center" vertical="center"/>
    </xf>
    <xf numFmtId="183" fontId="226" fillId="4" borderId="604" xfId="0" applyNumberFormat="1" applyFont="1" applyFill="1" applyBorder="1" applyAlignment="1">
      <alignment horizontal="center" vertical="center"/>
    </xf>
    <xf numFmtId="0" fontId="219" fillId="125" borderId="223" xfId="0" applyFont="1" applyFill="1" applyBorder="1" applyAlignment="1">
      <alignment horizontal="center" vertical="center" wrapText="1"/>
    </xf>
    <xf numFmtId="179" fontId="230" fillId="4" borderId="119" xfId="0" applyNumberFormat="1" applyFont="1" applyFill="1" applyBorder="1" applyAlignment="1">
      <alignment horizontal="center" vertical="center"/>
    </xf>
    <xf numFmtId="179" fontId="230" fillId="4" borderId="121" xfId="0" applyNumberFormat="1" applyFont="1" applyFill="1" applyBorder="1" applyAlignment="1">
      <alignment horizontal="center" vertical="center"/>
    </xf>
    <xf numFmtId="183" fontId="230" fillId="4" borderId="219" xfId="0" applyNumberFormat="1" applyFont="1" applyFill="1" applyBorder="1" applyAlignment="1">
      <alignment horizontal="center" vertical="center"/>
    </xf>
    <xf numFmtId="183" fontId="230" fillId="4" borderId="200" xfId="0" applyNumberFormat="1" applyFont="1" applyFill="1" applyBorder="1" applyAlignment="1">
      <alignment horizontal="center" vertical="center"/>
    </xf>
    <xf numFmtId="183" fontId="230" fillId="4" borderId="599" xfId="0" applyNumberFormat="1" applyFont="1" applyFill="1" applyBorder="1" applyAlignment="1">
      <alignment horizontal="center" vertical="center"/>
    </xf>
    <xf numFmtId="183" fontId="230" fillId="4" borderId="592" xfId="0" applyNumberFormat="1" applyFont="1" applyFill="1" applyBorder="1" applyAlignment="1">
      <alignment horizontal="center" vertical="center"/>
    </xf>
    <xf numFmtId="179" fontId="230" fillId="4" borderId="599" xfId="0" applyNumberFormat="1" applyFont="1" applyFill="1" applyBorder="1" applyAlignment="1">
      <alignment horizontal="center" vertical="center"/>
    </xf>
    <xf numFmtId="179" fontId="230" fillId="4" borderId="592" xfId="0" applyNumberFormat="1" applyFont="1" applyFill="1" applyBorder="1" applyAlignment="1">
      <alignment horizontal="center" vertical="center"/>
    </xf>
    <xf numFmtId="177" fontId="230" fillId="4" borderId="599" xfId="0" applyNumberFormat="1" applyFont="1" applyFill="1" applyBorder="1" applyAlignment="1">
      <alignment horizontal="center" vertical="center"/>
    </xf>
    <xf numFmtId="177" fontId="230" fillId="4" borderId="592" xfId="0" applyNumberFormat="1" applyFont="1" applyFill="1" applyBorder="1" applyAlignment="1">
      <alignment horizontal="center" vertical="center"/>
    </xf>
    <xf numFmtId="187" fontId="172" fillId="4" borderId="119" xfId="2" applyNumberFormat="1" applyFont="1" applyFill="1" applyBorder="1" applyAlignment="1">
      <alignment horizontal="center" vertical="center"/>
    </xf>
    <xf numFmtId="228" fontId="172" fillId="4" borderId="121" xfId="2" applyNumberFormat="1" applyFont="1" applyFill="1" applyBorder="1" applyAlignment="1">
      <alignment horizontal="center" vertical="center"/>
    </xf>
    <xf numFmtId="187" fontId="35" fillId="4" borderId="607" xfId="0" applyNumberFormat="1" applyFont="1" applyFill="1" applyBorder="1" applyAlignment="1">
      <alignment horizontal="center" vertical="center"/>
    </xf>
    <xf numFmtId="3" fontId="35" fillId="4" borderId="607" xfId="0" applyNumberFormat="1" applyFont="1" applyFill="1" applyBorder="1" applyAlignment="1">
      <alignment horizontal="center" vertical="center"/>
    </xf>
    <xf numFmtId="3" fontId="35" fillId="4" borderId="608" xfId="0" applyNumberFormat="1" applyFont="1" applyFill="1" applyBorder="1" applyAlignment="1">
      <alignment horizontal="center" vertical="center"/>
    </xf>
    <xf numFmtId="231" fontId="35" fillId="4" borderId="608" xfId="0" applyNumberFormat="1" applyFont="1" applyFill="1" applyBorder="1" applyAlignment="1">
      <alignment horizontal="center" vertical="center"/>
    </xf>
    <xf numFmtId="187" fontId="35" fillId="4" borderId="512" xfId="0" applyNumberFormat="1" applyFont="1" applyFill="1" applyBorder="1" applyAlignment="1">
      <alignment horizontal="center" vertical="center"/>
    </xf>
    <xf numFmtId="231" fontId="35" fillId="4" borderId="515" xfId="0" applyNumberFormat="1" applyFont="1" applyFill="1" applyBorder="1" applyAlignment="1">
      <alignment horizontal="center" vertical="center"/>
    </xf>
    <xf numFmtId="183" fontId="230" fillId="4" borderId="607" xfId="0" applyNumberFormat="1" applyFont="1" applyFill="1" applyBorder="1" applyAlignment="1">
      <alignment horizontal="center" vertical="center"/>
    </xf>
    <xf numFmtId="183" fontId="230" fillId="4" borderId="608" xfId="0" applyNumberFormat="1" applyFont="1" applyFill="1" applyBorder="1" applyAlignment="1">
      <alignment horizontal="center" vertical="center"/>
    </xf>
    <xf numFmtId="176" fontId="230" fillId="4" borderId="119" xfId="0" applyNumberFormat="1" applyFont="1" applyFill="1" applyBorder="1" applyAlignment="1">
      <alignment horizontal="center" vertical="center"/>
    </xf>
    <xf numFmtId="176" fontId="230" fillId="4" borderId="121" xfId="0" applyNumberFormat="1" applyFont="1" applyFill="1" applyBorder="1" applyAlignment="1">
      <alignment horizontal="center" vertical="center"/>
    </xf>
    <xf numFmtId="183" fontId="35" fillId="4" borderId="607" xfId="0" applyNumberFormat="1" applyFont="1" applyFill="1" applyBorder="1" applyAlignment="1">
      <alignment horizontal="center" vertical="center"/>
    </xf>
    <xf numFmtId="183" fontId="35" fillId="4" borderId="599" xfId="0" applyNumberFormat="1" applyFont="1" applyFill="1" applyBorder="1" applyAlignment="1">
      <alignment horizontal="center" vertical="center"/>
    </xf>
    <xf numFmtId="183" fontId="35" fillId="4" borderId="592" xfId="0" applyNumberFormat="1" applyFont="1" applyFill="1" applyBorder="1" applyAlignment="1">
      <alignment horizontal="center" vertical="center"/>
    </xf>
    <xf numFmtId="223" fontId="230" fillId="4" borderId="512" xfId="0" applyNumberFormat="1" applyFont="1" applyFill="1" applyBorder="1" applyAlignment="1">
      <alignment horizontal="center" vertical="center"/>
    </xf>
    <xf numFmtId="223" fontId="230" fillId="4" borderId="515" xfId="0" applyNumberFormat="1" applyFont="1" applyFill="1" applyBorder="1" applyAlignment="1">
      <alignment horizontal="center" vertical="center"/>
    </xf>
    <xf numFmtId="183" fontId="172" fillId="4" borderId="608" xfId="2" applyNumberFormat="1" applyFont="1" applyFill="1" applyBorder="1" applyAlignment="1">
      <alignment horizontal="center" vertical="center"/>
    </xf>
    <xf numFmtId="176" fontId="230" fillId="4" borderId="261" xfId="0" applyNumberFormat="1" applyFont="1" applyFill="1" applyBorder="1" applyAlignment="1">
      <alignment horizontal="center" vertical="center"/>
    </xf>
    <xf numFmtId="176" fontId="230" fillId="4" borderId="135" xfId="0" applyNumberFormat="1" applyFont="1" applyFill="1" applyBorder="1" applyAlignment="1">
      <alignment horizontal="center" vertical="center"/>
    </xf>
    <xf numFmtId="179" fontId="230" fillId="4" borderId="607" xfId="0" applyNumberFormat="1" applyFont="1" applyFill="1" applyBorder="1" applyAlignment="1">
      <alignment horizontal="center" vertical="center"/>
    </xf>
    <xf numFmtId="179" fontId="230" fillId="4" borderId="608" xfId="0" applyNumberFormat="1" applyFont="1" applyFill="1" applyBorder="1" applyAlignment="1">
      <alignment horizontal="center" vertical="center"/>
    </xf>
    <xf numFmtId="187" fontId="230" fillId="4" borderId="599" xfId="0" applyNumberFormat="1" applyFont="1" applyFill="1" applyBorder="1" applyAlignment="1">
      <alignment horizontal="center" vertical="center"/>
    </xf>
    <xf numFmtId="187" fontId="230" fillId="4" borderId="592" xfId="0" applyNumberFormat="1" applyFont="1" applyFill="1" applyBorder="1" applyAlignment="1">
      <alignment horizontal="center" vertical="center"/>
    </xf>
    <xf numFmtId="183" fontId="172" fillId="4" borderId="219" xfId="2" applyNumberFormat="1" applyFont="1" applyFill="1" applyBorder="1" applyAlignment="1">
      <alignment horizontal="center" vertical="center"/>
    </xf>
    <xf numFmtId="183" fontId="172" fillId="4" borderId="200" xfId="2" applyNumberFormat="1" applyFont="1" applyFill="1" applyBorder="1" applyAlignment="1">
      <alignment horizontal="center" vertical="center"/>
    </xf>
    <xf numFmtId="177" fontId="230" fillId="4" borderId="607" xfId="0" applyNumberFormat="1" applyFont="1" applyFill="1" applyBorder="1" applyAlignment="1">
      <alignment horizontal="center" vertical="center"/>
    </xf>
    <xf numFmtId="177" fontId="230" fillId="4" borderId="608" xfId="0" applyNumberFormat="1" applyFont="1" applyFill="1" applyBorder="1" applyAlignment="1">
      <alignment horizontal="center" vertical="center"/>
    </xf>
    <xf numFmtId="226" fontId="172" fillId="4" borderId="200" xfId="2" applyNumberFormat="1" applyFont="1" applyFill="1" applyBorder="1" applyAlignment="1">
      <alignment horizontal="center" vertical="center"/>
    </xf>
    <xf numFmtId="3" fontId="202" fillId="3" borderId="269" xfId="0" applyNumberFormat="1" applyFont="1" applyFill="1" applyBorder="1" applyAlignment="1">
      <alignment horizontal="center" vertical="center"/>
    </xf>
    <xf numFmtId="3" fontId="202" fillId="3" borderId="497" xfId="0" applyNumberFormat="1" applyFont="1" applyFill="1" applyBorder="1" applyAlignment="1">
      <alignment horizontal="center" vertical="center"/>
    </xf>
    <xf numFmtId="226" fontId="35" fillId="4" borderId="607" xfId="0" applyNumberFormat="1" applyFont="1" applyFill="1" applyBorder="1" applyAlignment="1">
      <alignment horizontal="center" vertical="center"/>
    </xf>
    <xf numFmtId="4" fontId="58" fillId="0" borderId="607" xfId="2" applyNumberFormat="1" applyFont="1" applyFill="1" applyBorder="1" applyAlignment="1">
      <alignment horizontal="center" vertical="center"/>
    </xf>
    <xf numFmtId="4" fontId="58" fillId="117" borderId="607" xfId="2" applyNumberFormat="1" applyFont="1" applyFill="1" applyBorder="1" applyAlignment="1">
      <alignment horizontal="center" vertical="center"/>
    </xf>
    <xf numFmtId="4" fontId="29" fillId="0" borderId="607" xfId="0" applyNumberFormat="1" applyFont="1" applyBorder="1" applyAlignment="1">
      <alignment horizontal="center" vertical="center"/>
    </xf>
    <xf numFmtId="183" fontId="58" fillId="0" borderId="606" xfId="2" applyNumberFormat="1" applyFont="1" applyFill="1" applyBorder="1" applyAlignment="1">
      <alignment horizontal="center" vertical="center"/>
    </xf>
    <xf numFmtId="183" fontId="58" fillId="117" borderId="606" xfId="2" applyNumberFormat="1" applyFont="1" applyFill="1" applyBorder="1" applyAlignment="1">
      <alignment horizontal="center" vertical="center"/>
    </xf>
    <xf numFmtId="183" fontId="29" fillId="0" borderId="606" xfId="0" applyNumberFormat="1" applyFont="1" applyFill="1" applyBorder="1" applyAlignment="1">
      <alignment horizontal="center" vertical="center"/>
    </xf>
    <xf numFmtId="179" fontId="58" fillId="117" borderId="607" xfId="2" applyNumberFormat="1" applyFont="1" applyFill="1" applyBorder="1" applyAlignment="1">
      <alignment horizontal="center" vertical="center"/>
    </xf>
    <xf numFmtId="179" fontId="29" fillId="0" borderId="607" xfId="0" applyNumberFormat="1" applyFont="1" applyBorder="1" applyAlignment="1">
      <alignment horizontal="center" vertical="center"/>
    </xf>
    <xf numFmtId="187" fontId="58" fillId="0" borderId="46" xfId="2" applyNumberFormat="1" applyFont="1" applyFill="1" applyBorder="1" applyAlignment="1">
      <alignment horizontal="center" vertical="center"/>
    </xf>
    <xf numFmtId="187" fontId="29" fillId="0" borderId="612" xfId="0" applyNumberFormat="1" applyFont="1" applyFill="1" applyBorder="1" applyAlignment="1">
      <alignment horizontal="center" vertical="center"/>
    </xf>
    <xf numFmtId="187" fontId="29" fillId="0" borderId="604" xfId="0" applyNumberFormat="1" applyFont="1" applyFill="1" applyBorder="1" applyAlignment="1">
      <alignment horizontal="center" vertical="center"/>
    </xf>
    <xf numFmtId="177" fontId="197" fillId="0" borderId="605" xfId="0" applyNumberFormat="1" applyFont="1" applyFill="1" applyBorder="1" applyAlignment="1">
      <alignment horizontal="center" vertical="center"/>
    </xf>
    <xf numFmtId="187" fontId="29" fillId="0" borderId="46" xfId="2" applyNumberFormat="1" applyFont="1" applyFill="1" applyBorder="1" applyAlignment="1">
      <alignment horizontal="center" vertical="center"/>
    </xf>
    <xf numFmtId="183" fontId="29" fillId="0" borderId="601" xfId="0" applyNumberFormat="1" applyFont="1" applyFill="1" applyBorder="1" applyAlignment="1">
      <alignment horizontal="center" vertical="center"/>
    </xf>
    <xf numFmtId="183" fontId="29" fillId="0" borderId="612" xfId="0" applyNumberFormat="1" applyFont="1" applyFill="1" applyBorder="1" applyAlignment="1">
      <alignment horizontal="center" vertical="center"/>
    </xf>
    <xf numFmtId="183" fontId="197" fillId="0" borderId="612" xfId="0" applyNumberFormat="1" applyFont="1" applyFill="1" applyBorder="1" applyAlignment="1">
      <alignment horizontal="center" vertical="center"/>
    </xf>
    <xf numFmtId="183" fontId="197" fillId="0" borderId="604" xfId="0" applyNumberFormat="1" applyFont="1" applyFill="1" applyBorder="1" applyAlignment="1">
      <alignment horizontal="center" vertical="center"/>
    </xf>
    <xf numFmtId="3" fontId="29" fillId="0" borderId="612" xfId="0" applyNumberFormat="1" applyFont="1" applyFill="1" applyBorder="1" applyAlignment="1">
      <alignment horizontal="center" vertical="center"/>
    </xf>
    <xf numFmtId="187" fontId="29" fillId="0" borderId="509" xfId="0" applyNumberFormat="1" applyFont="1" applyFill="1" applyBorder="1" applyAlignment="1">
      <alignment horizontal="center" vertical="center"/>
    </xf>
    <xf numFmtId="236" fontId="35" fillId="0" borderId="606" xfId="0" applyNumberFormat="1" applyFont="1" applyFill="1" applyBorder="1" applyAlignment="1">
      <alignment horizontal="center" vertical="center"/>
    </xf>
    <xf numFmtId="236" fontId="179" fillId="0" borderId="606" xfId="0" applyNumberFormat="1" applyFont="1" applyFill="1" applyBorder="1" applyAlignment="1">
      <alignment horizontal="center" vertical="center" wrapText="1" readingOrder="1"/>
    </xf>
    <xf numFmtId="187" fontId="0" fillId="0" borderId="0" xfId="0" applyNumberFormat="1" applyFill="1" applyBorder="1" applyAlignment="1">
      <alignment horizontal="center" vertical="center"/>
    </xf>
    <xf numFmtId="176" fontId="29" fillId="0" borderId="605" xfId="0" applyNumberFormat="1" applyFont="1" applyBorder="1" applyAlignment="1">
      <alignment horizontal="center" vertical="center"/>
    </xf>
    <xf numFmtId="230" fontId="29" fillId="0" borderId="605" xfId="0" applyNumberFormat="1" applyFont="1" applyBorder="1" applyAlignment="1">
      <alignment horizontal="center" vertical="center"/>
    </xf>
    <xf numFmtId="230" fontId="29" fillId="0" borderId="0" xfId="0" applyNumberFormat="1" applyFont="1">
      <alignment vertical="center"/>
    </xf>
    <xf numFmtId="0" fontId="266" fillId="15" borderId="214" xfId="0" applyFont="1" applyFill="1" applyBorder="1" applyAlignment="1">
      <alignment horizontal="center" vertical="center" wrapText="1"/>
    </xf>
    <xf numFmtId="0" fontId="266" fillId="15" borderId="269" xfId="0" applyFont="1" applyFill="1" applyBorder="1" applyAlignment="1">
      <alignment horizontal="center" vertical="center" wrapText="1"/>
    </xf>
    <xf numFmtId="0" fontId="217" fillId="125" borderId="214" xfId="0" applyFont="1" applyFill="1" applyBorder="1" applyAlignment="1">
      <alignment horizontal="center" vertical="center" wrapText="1"/>
    </xf>
    <xf numFmtId="0" fontId="217" fillId="125" borderId="513" xfId="0" applyFont="1" applyFill="1" applyBorder="1" applyAlignment="1">
      <alignment horizontal="center" vertical="center" wrapText="1"/>
    </xf>
    <xf numFmtId="0" fontId="217" fillId="125" borderId="606" xfId="0" applyFont="1" applyFill="1" applyBorder="1" applyAlignment="1">
      <alignment horizontal="center" vertical="center" wrapText="1"/>
    </xf>
    <xf numFmtId="0" fontId="219" fillId="125" borderId="389" xfId="0" applyFont="1" applyFill="1" applyBorder="1" applyAlignment="1">
      <alignment horizontal="center" vertical="center" wrapText="1"/>
    </xf>
    <xf numFmtId="0" fontId="177" fillId="127" borderId="307" xfId="0" applyFont="1" applyFill="1" applyBorder="1" applyAlignment="1">
      <alignment horizontal="center" vertical="center"/>
    </xf>
    <xf numFmtId="0" fontId="219" fillId="127" borderId="108" xfId="0" applyFont="1" applyFill="1" applyBorder="1" applyAlignment="1">
      <alignment horizontal="center" vertical="center"/>
    </xf>
    <xf numFmtId="0" fontId="177" fillId="127" borderId="6" xfId="0" applyFont="1" applyFill="1" applyBorder="1" applyAlignment="1">
      <alignment horizontal="center" vertical="center"/>
    </xf>
    <xf numFmtId="0" fontId="177" fillId="127" borderId="120" xfId="0" applyFont="1" applyFill="1" applyBorder="1" applyAlignment="1">
      <alignment horizontal="center" vertical="center"/>
    </xf>
    <xf numFmtId="0" fontId="177" fillId="127" borderId="606" xfId="0" applyFont="1" applyFill="1" applyBorder="1" applyAlignment="1">
      <alignment horizontal="center" vertical="center"/>
    </xf>
    <xf numFmtId="0" fontId="177" fillId="127" borderId="497" xfId="0" applyFont="1" applyFill="1" applyBorder="1" applyAlignment="1">
      <alignment horizontal="center" vertical="center"/>
    </xf>
    <xf numFmtId="0" fontId="172" fillId="7" borderId="0" xfId="0" applyFont="1" applyFill="1" applyBorder="1" applyAlignment="1">
      <alignment horizontal="center" vertical="center"/>
    </xf>
    <xf numFmtId="0" fontId="29" fillId="7" borderId="0" xfId="0" applyFont="1" applyFill="1" applyBorder="1" applyAlignment="1">
      <alignment horizontal="center" vertical="center"/>
    </xf>
    <xf numFmtId="177" fontId="29" fillId="0" borderId="518" xfId="0" applyNumberFormat="1" applyFont="1" applyFill="1" applyBorder="1" applyAlignment="1">
      <alignment horizontal="center" vertical="center"/>
    </xf>
    <xf numFmtId="177" fontId="29" fillId="0" borderId="515" xfId="0" applyNumberFormat="1" applyFont="1" applyFill="1" applyBorder="1" applyAlignment="1">
      <alignment horizontal="center" vertical="center"/>
    </xf>
    <xf numFmtId="226" fontId="172" fillId="4" borderId="219" xfId="2" applyNumberFormat="1" applyFont="1" applyFill="1" applyBorder="1" applyAlignment="1">
      <alignment horizontal="center" vertical="center"/>
    </xf>
    <xf numFmtId="228" fontId="35" fillId="4" borderId="608" xfId="0" applyNumberFormat="1" applyFont="1" applyFill="1" applyBorder="1" applyAlignment="1">
      <alignment horizontal="center" vertical="center"/>
    </xf>
    <xf numFmtId="226" fontId="29" fillId="0" borderId="612" xfId="0" applyNumberFormat="1" applyFont="1" applyFill="1" applyBorder="1" applyAlignment="1">
      <alignment horizontal="center" vertical="center"/>
    </xf>
    <xf numFmtId="183" fontId="172" fillId="4" borderId="607" xfId="2" applyNumberFormat="1" applyFont="1" applyFill="1" applyBorder="1" applyAlignment="1">
      <alignment horizontal="center" vertical="center"/>
    </xf>
    <xf numFmtId="223" fontId="35" fillId="0" borderId="328" xfId="0" applyNumberFormat="1" applyFont="1" applyFill="1" applyBorder="1" applyAlignment="1">
      <alignment horizontal="center" vertical="center"/>
    </xf>
    <xf numFmtId="223" fontId="35" fillId="136" borderId="389" xfId="0" applyNumberFormat="1" applyFont="1" applyFill="1" applyBorder="1" applyAlignment="1">
      <alignment horizontal="center" vertical="center"/>
    </xf>
    <xf numFmtId="223" fontId="35" fillId="131" borderId="389" xfId="0" applyNumberFormat="1" applyFont="1" applyFill="1" applyBorder="1" applyAlignment="1">
      <alignment horizontal="center" vertical="center"/>
    </xf>
    <xf numFmtId="223" fontId="226" fillId="3" borderId="389" xfId="0" applyNumberFormat="1" applyFont="1" applyFill="1" applyBorder="1" applyAlignment="1">
      <alignment horizontal="center" vertical="center"/>
    </xf>
    <xf numFmtId="187" fontId="35" fillId="136" borderId="389" xfId="0" applyNumberFormat="1" applyFont="1" applyFill="1" applyBorder="1" applyAlignment="1">
      <alignment horizontal="center" vertical="center"/>
    </xf>
    <xf numFmtId="0" fontId="177" fillId="125" borderId="287" xfId="0" applyFont="1" applyFill="1" applyBorder="1" applyAlignment="1">
      <alignment horizontal="center" vertical="center" wrapText="1"/>
    </xf>
    <xf numFmtId="223" fontId="230" fillId="131" borderId="44" xfId="0" applyNumberFormat="1" applyFont="1" applyFill="1" applyBorder="1" applyAlignment="1">
      <alignment horizontal="center" vertical="center"/>
    </xf>
    <xf numFmtId="0" fontId="219" fillId="127" borderId="287" xfId="0" applyFont="1" applyFill="1" applyBorder="1" applyAlignment="1">
      <alignment horizontal="center" vertical="center"/>
    </xf>
    <xf numFmtId="245" fontId="230" fillId="0" borderId="595" xfId="0" applyNumberFormat="1" applyFont="1" applyFill="1" applyBorder="1" applyAlignment="1">
      <alignment horizontal="center" vertical="center"/>
    </xf>
    <xf numFmtId="0" fontId="29" fillId="7" borderId="0" xfId="0" applyFont="1" applyFill="1" applyBorder="1" applyAlignment="1">
      <alignment horizontal="center" vertical="center"/>
    </xf>
    <xf numFmtId="226" fontId="35" fillId="93" borderId="307" xfId="2" applyNumberFormat="1" applyFont="1" applyFill="1" applyBorder="1" applyAlignment="1">
      <alignment horizontal="center" vertical="center"/>
    </xf>
    <xf numFmtId="183" fontId="168" fillId="4" borderId="607" xfId="2" applyNumberFormat="1" applyFont="1" applyFill="1" applyBorder="1" applyAlignment="1">
      <alignment horizontal="center" vertical="center"/>
    </xf>
    <xf numFmtId="176" fontId="0" fillId="0" borderId="470" xfId="0" applyNumberFormat="1" applyBorder="1" applyAlignment="1">
      <alignment horizontal="center" vertical="center"/>
    </xf>
    <xf numFmtId="187" fontId="44" fillId="0" borderId="606" xfId="4124" applyNumberFormat="1" applyFont="1" applyFill="1" applyBorder="1" applyAlignment="1">
      <alignment horizontal="center" vertical="center"/>
    </xf>
    <xf numFmtId="176" fontId="0" fillId="0" borderId="606" xfId="0" applyNumberFormat="1" applyBorder="1" applyAlignment="1">
      <alignment horizontal="center" vertical="center"/>
    </xf>
    <xf numFmtId="236" fontId="0" fillId="0" borderId="606" xfId="0" applyNumberFormat="1" applyBorder="1" applyAlignment="1">
      <alignment horizontal="center" vertical="center"/>
    </xf>
    <xf numFmtId="0" fontId="46" fillId="15" borderId="606" xfId="0" applyFont="1" applyFill="1" applyBorder="1" applyAlignment="1">
      <alignment horizontal="center" vertical="center"/>
    </xf>
    <xf numFmtId="230" fontId="166" fillId="0" borderId="495" xfId="0" applyNumberFormat="1" applyFont="1" applyBorder="1" applyAlignment="1">
      <alignment horizontal="center" vertical="center" wrapText="1"/>
    </xf>
    <xf numFmtId="177" fontId="179" fillId="3" borderId="606" xfId="0" applyNumberFormat="1" applyFont="1" applyFill="1" applyBorder="1" applyAlignment="1">
      <alignment horizontal="center" vertical="center" wrapText="1" readingOrder="1"/>
    </xf>
    <xf numFmtId="223" fontId="0" fillId="0" borderId="35" xfId="0" applyNumberFormat="1" applyFont="1" applyFill="1" applyBorder="1" applyAlignment="1">
      <alignment horizontal="center" vertical="center"/>
    </xf>
    <xf numFmtId="223" fontId="0" fillId="0" borderId="6" xfId="0" applyNumberFormat="1" applyFont="1" applyFill="1" applyBorder="1" applyAlignment="1">
      <alignment horizontal="center" vertical="center"/>
    </xf>
    <xf numFmtId="223" fontId="29" fillId="0" borderId="6" xfId="0" applyNumberFormat="1" applyFont="1" applyFill="1" applyBorder="1" applyAlignment="1">
      <alignment horizontal="center" vertical="center"/>
    </xf>
    <xf numFmtId="177" fontId="0" fillId="0" borderId="38" xfId="0" applyNumberFormat="1" applyFont="1" applyFill="1" applyBorder="1" applyAlignment="1">
      <alignment horizontal="center" vertical="center"/>
    </xf>
    <xf numFmtId="177" fontId="29" fillId="0" borderId="23" xfId="0" applyNumberFormat="1" applyFont="1" applyFill="1" applyBorder="1" applyAlignment="1">
      <alignment horizontal="center" vertical="center"/>
    </xf>
    <xf numFmtId="223" fontId="29" fillId="0" borderId="23" xfId="0" applyNumberFormat="1" applyFont="1" applyFill="1" applyBorder="1" applyAlignment="1">
      <alignment horizontal="center" vertical="center"/>
    </xf>
    <xf numFmtId="223" fontId="29" fillId="0" borderId="35" xfId="0" applyNumberFormat="1" applyFont="1" applyFill="1" applyBorder="1" applyAlignment="1">
      <alignment horizontal="center" vertical="center"/>
    </xf>
    <xf numFmtId="177" fontId="29" fillId="0" borderId="6" xfId="0" applyNumberFormat="1" applyFont="1" applyFill="1" applyBorder="1" applyAlignment="1">
      <alignment horizontal="center" vertical="center"/>
    </xf>
    <xf numFmtId="177" fontId="29" fillId="0" borderId="38" xfId="0" applyNumberFormat="1" applyFont="1" applyFill="1" applyBorder="1" applyAlignment="1">
      <alignment horizontal="center" vertical="center"/>
    </xf>
    <xf numFmtId="223" fontId="29" fillId="0" borderId="306" xfId="0" applyNumberFormat="1" applyFont="1" applyBorder="1" applyAlignment="1">
      <alignment horizontal="center" vertical="center"/>
    </xf>
    <xf numFmtId="243" fontId="177" fillId="117" borderId="5" xfId="2" applyNumberFormat="1" applyFont="1" applyFill="1" applyBorder="1" applyAlignment="1">
      <alignment horizontal="center" vertical="center" wrapText="1"/>
    </xf>
    <xf numFmtId="243" fontId="177" fillId="117" borderId="328" xfId="2" applyNumberFormat="1" applyFont="1" applyFill="1" applyBorder="1" applyAlignment="1">
      <alignment horizontal="center" vertical="center" wrapText="1"/>
    </xf>
    <xf numFmtId="243" fontId="177" fillId="117" borderId="606" xfId="2" applyNumberFormat="1" applyFont="1" applyFill="1" applyBorder="1" applyAlignment="1">
      <alignment horizontal="center" vertical="center" wrapText="1"/>
    </xf>
    <xf numFmtId="243" fontId="177" fillId="117" borderId="605" xfId="2" applyNumberFormat="1" applyFont="1" applyFill="1" applyBorder="1" applyAlignment="1">
      <alignment horizontal="center" vertical="center" wrapText="1"/>
    </xf>
    <xf numFmtId="179" fontId="29" fillId="15" borderId="45" xfId="2" applyNumberFormat="1" applyFont="1" applyFill="1" applyBorder="1" applyAlignment="1">
      <alignment horizontal="center" vertical="center" wrapText="1"/>
    </xf>
    <xf numFmtId="179" fontId="29" fillId="15" borderId="605" xfId="2" applyNumberFormat="1" applyFont="1" applyFill="1" applyBorder="1" applyAlignment="1">
      <alignment horizontal="center" vertical="center" wrapText="1"/>
    </xf>
    <xf numFmtId="179" fontId="29" fillId="0" borderId="46" xfId="2" applyNumberFormat="1" applyFont="1" applyFill="1" applyBorder="1" applyAlignment="1">
      <alignment horizontal="center" vertical="center" wrapText="1"/>
    </xf>
    <xf numFmtId="179" fontId="29" fillId="0" borderId="612" xfId="2" applyNumberFormat="1" applyFont="1" applyFill="1" applyBorder="1" applyAlignment="1">
      <alignment horizontal="center" vertical="center" wrapText="1"/>
    </xf>
    <xf numFmtId="3" fontId="177" fillId="125" borderId="159" xfId="2" applyNumberFormat="1" applyFont="1" applyFill="1" applyBorder="1" applyAlignment="1">
      <alignment horizontal="center" vertical="center" wrapText="1"/>
    </xf>
    <xf numFmtId="3" fontId="177" fillId="125" borderId="515" xfId="2" applyNumberFormat="1" applyFont="1" applyFill="1" applyBorder="1" applyAlignment="1">
      <alignment horizontal="center" vertical="center" wrapText="1"/>
    </xf>
    <xf numFmtId="243" fontId="177" fillId="117" borderId="0" xfId="2" applyNumberFormat="1" applyFont="1" applyFill="1" applyBorder="1" applyAlignment="1">
      <alignment horizontal="center" vertical="center" wrapText="1"/>
    </xf>
    <xf numFmtId="243" fontId="177" fillId="117" borderId="612" xfId="2" applyNumberFormat="1" applyFont="1" applyFill="1" applyBorder="1" applyAlignment="1">
      <alignment horizontal="center" vertical="center" wrapText="1"/>
    </xf>
    <xf numFmtId="243" fontId="29" fillId="0" borderId="328" xfId="2" applyNumberFormat="1" applyFont="1" applyFill="1" applyBorder="1" applyAlignment="1">
      <alignment horizontal="center" vertical="center" wrapText="1"/>
    </xf>
    <xf numFmtId="243" fontId="29" fillId="0" borderId="605" xfId="2" applyNumberFormat="1" applyFont="1" applyFill="1" applyBorder="1" applyAlignment="1">
      <alignment horizontal="center" vertical="center" wrapText="1"/>
    </xf>
    <xf numFmtId="179" fontId="29" fillId="0" borderId="23" xfId="0" applyNumberFormat="1" applyFont="1" applyFill="1" applyBorder="1" applyAlignment="1">
      <alignment horizontal="center" vertical="center"/>
    </xf>
    <xf numFmtId="179" fontId="177" fillId="125" borderId="47" xfId="0" applyNumberFormat="1" applyFont="1" applyFill="1" applyBorder="1" applyAlignment="1">
      <alignment horizontal="center" vertical="center"/>
    </xf>
    <xf numFmtId="226" fontId="177" fillId="125" borderId="509" xfId="2" applyNumberFormat="1" applyFont="1" applyFill="1" applyBorder="1" applyAlignment="1">
      <alignment horizontal="center" vertical="center"/>
    </xf>
    <xf numFmtId="226" fontId="177" fillId="125" borderId="518" xfId="2" applyNumberFormat="1" applyFont="1" applyFill="1" applyBorder="1" applyAlignment="1">
      <alignment horizontal="center" vertical="center"/>
    </xf>
    <xf numFmtId="226" fontId="177" fillId="125" borderId="515" xfId="2" applyNumberFormat="1" applyFont="1" applyFill="1" applyBorder="1" applyAlignment="1">
      <alignment horizontal="center" vertical="center"/>
    </xf>
    <xf numFmtId="179" fontId="29" fillId="3" borderId="23" xfId="0" applyNumberFormat="1" applyFont="1" applyFill="1" applyBorder="1" applyAlignment="1">
      <alignment horizontal="center" vertical="center"/>
    </xf>
    <xf numFmtId="183" fontId="35" fillId="0" borderId="608" xfId="2" applyNumberFormat="1" applyFont="1" applyFill="1" applyBorder="1" applyAlignment="1">
      <alignment horizontal="center" vertical="center"/>
    </xf>
    <xf numFmtId="183" fontId="35" fillId="93" borderId="608" xfId="2" applyNumberFormat="1" applyFont="1" applyFill="1" applyBorder="1" applyAlignment="1">
      <alignment horizontal="center" vertical="center"/>
    </xf>
    <xf numFmtId="183" fontId="35" fillId="93" borderId="605" xfId="2" applyNumberFormat="1" applyFont="1" applyFill="1" applyBorder="1" applyAlignment="1">
      <alignment horizontal="center" vertical="center"/>
    </xf>
    <xf numFmtId="183" fontId="29" fillId="117" borderId="608" xfId="2" applyNumberFormat="1" applyFont="1" applyFill="1" applyBorder="1" applyAlignment="1">
      <alignment horizontal="center" vertical="center"/>
    </xf>
    <xf numFmtId="183" fontId="29" fillId="117" borderId="605" xfId="2" quotePrefix="1" applyNumberFormat="1" applyFont="1" applyFill="1" applyBorder="1" applyAlignment="1">
      <alignment horizontal="center" vertical="center"/>
    </xf>
    <xf numFmtId="183" fontId="35" fillId="0" borderId="607" xfId="2" applyNumberFormat="1" applyFont="1" applyFill="1" applyBorder="1" applyAlignment="1">
      <alignment horizontal="center" vertical="center"/>
    </xf>
    <xf numFmtId="183" fontId="35" fillId="0" borderId="606" xfId="2" applyNumberFormat="1" applyFont="1" applyFill="1" applyBorder="1" applyAlignment="1">
      <alignment horizontal="center" vertical="center"/>
    </xf>
    <xf numFmtId="3" fontId="35" fillId="0" borderId="607" xfId="0" applyNumberFormat="1" applyFont="1" applyBorder="1" applyAlignment="1">
      <alignment horizontal="center" vertical="center"/>
    </xf>
    <xf numFmtId="187" fontId="35" fillId="0" borderId="608" xfId="2" applyNumberFormat="1" applyFont="1" applyFill="1" applyBorder="1" applyAlignment="1">
      <alignment horizontal="center" vertical="center"/>
    </xf>
    <xf numFmtId="226" fontId="35" fillId="0" borderId="612" xfId="0" applyNumberFormat="1" applyFont="1" applyFill="1" applyBorder="1" applyAlignment="1">
      <alignment horizontal="center" vertical="center"/>
    </xf>
    <xf numFmtId="187" fontId="211" fillId="0" borderId="0" xfId="0" applyNumberFormat="1" applyFont="1" applyBorder="1" applyAlignment="1">
      <alignment horizontal="center" vertical="center"/>
    </xf>
    <xf numFmtId="187" fontId="211" fillId="137" borderId="0" xfId="0" applyNumberFormat="1" applyFont="1" applyFill="1" applyBorder="1" applyAlignment="1">
      <alignment horizontal="center" vertical="center"/>
    </xf>
    <xf numFmtId="179" fontId="197" fillId="117" borderId="601" xfId="0" applyNumberFormat="1" applyFont="1" applyFill="1" applyBorder="1" applyAlignment="1">
      <alignment vertical="center"/>
    </xf>
    <xf numFmtId="179" fontId="197" fillId="117" borderId="604" xfId="0" applyNumberFormat="1" applyFont="1" applyFill="1" applyBorder="1" applyAlignment="1">
      <alignment vertical="center"/>
    </xf>
    <xf numFmtId="223" fontId="172" fillId="0" borderId="94" xfId="2" applyNumberFormat="1" applyFont="1" applyFill="1" applyBorder="1" applyAlignment="1">
      <alignment horizontal="center" vertical="center"/>
    </xf>
    <xf numFmtId="177" fontId="230" fillId="0" borderId="600" xfId="0" applyNumberFormat="1" applyFont="1" applyBorder="1" applyAlignment="1">
      <alignment horizontal="center" vertical="center"/>
    </xf>
    <xf numFmtId="177" fontId="230" fillId="0" borderId="601" xfId="0" applyNumberFormat="1" applyFont="1" applyBorder="1" applyAlignment="1">
      <alignment horizontal="center" vertical="center"/>
    </xf>
    <xf numFmtId="223" fontId="230" fillId="6" borderId="226" xfId="0" applyNumberFormat="1" applyFont="1" applyFill="1" applyBorder="1" applyAlignment="1">
      <alignment horizontal="center" vertical="center"/>
    </xf>
    <xf numFmtId="223" fontId="230" fillId="6" borderId="287" xfId="0" applyNumberFormat="1" applyFont="1" applyFill="1" applyBorder="1" applyAlignment="1">
      <alignment horizontal="center" vertical="center"/>
    </xf>
    <xf numFmtId="223" fontId="230" fillId="6" borderId="285" xfId="0" applyNumberFormat="1" applyFont="1" applyFill="1" applyBorder="1" applyAlignment="1">
      <alignment horizontal="center" vertical="center"/>
    </xf>
    <xf numFmtId="223" fontId="230" fillId="6" borderId="224" xfId="0" applyNumberFormat="1" applyFont="1" applyFill="1" applyBorder="1" applyAlignment="1">
      <alignment horizontal="center" vertical="center"/>
    </xf>
    <xf numFmtId="223" fontId="230" fillId="6" borderId="108" xfId="0" applyNumberFormat="1" applyFont="1" applyFill="1" applyBorder="1" applyAlignment="1">
      <alignment horizontal="center" vertical="center"/>
    </xf>
    <xf numFmtId="187" fontId="35" fillId="93" borderId="599" xfId="0" applyNumberFormat="1" applyFont="1" applyFill="1" applyBorder="1" applyAlignment="1">
      <alignment horizontal="center" vertical="center"/>
    </xf>
    <xf numFmtId="231" fontId="35" fillId="93" borderId="603" xfId="0" applyNumberFormat="1" applyFont="1" applyFill="1" applyBorder="1" applyAlignment="1">
      <alignment horizontal="center" vertical="center"/>
    </xf>
    <xf numFmtId="187" fontId="35" fillId="0" borderId="600" xfId="0" applyNumberFormat="1" applyFont="1" applyBorder="1" applyAlignment="1">
      <alignment horizontal="center" vertical="center"/>
    </xf>
    <xf numFmtId="187" fontId="35" fillId="0" borderId="601" xfId="0" applyNumberFormat="1" applyFont="1" applyBorder="1" applyAlignment="1">
      <alignment horizontal="center" vertical="center"/>
    </xf>
    <xf numFmtId="176" fontId="197" fillId="0" borderId="200" xfId="0" applyNumberFormat="1" applyFont="1" applyFill="1" applyBorder="1" applyAlignment="1">
      <alignment horizontal="center" vertical="center"/>
    </xf>
    <xf numFmtId="176" fontId="230" fillId="93" borderId="219" xfId="0" applyNumberFormat="1" applyFont="1" applyFill="1" applyBorder="1" applyAlignment="1">
      <alignment horizontal="center" vertical="center"/>
    </xf>
    <xf numFmtId="176" fontId="230" fillId="93" borderId="646" xfId="0" applyNumberFormat="1" applyFont="1" applyFill="1" applyBorder="1" applyAlignment="1">
      <alignment horizontal="center" vertical="center"/>
    </xf>
    <xf numFmtId="185" fontId="230" fillId="0" borderId="6" xfId="0" applyNumberFormat="1" applyFont="1" applyFill="1" applyBorder="1" applyAlignment="1">
      <alignment horizontal="center" vertical="center"/>
    </xf>
    <xf numFmtId="185" fontId="230" fillId="0" borderId="38" xfId="0" applyNumberFormat="1" applyFont="1" applyFill="1" applyBorder="1" applyAlignment="1">
      <alignment horizontal="center" vertical="center"/>
    </xf>
    <xf numFmtId="223" fontId="172" fillId="136" borderId="287" xfId="2" applyNumberFormat="1" applyFont="1" applyFill="1" applyBorder="1" applyAlignment="1">
      <alignment horizontal="center" vertical="center"/>
    </xf>
    <xf numFmtId="187" fontId="35" fillId="136" borderId="224" xfId="0" applyNumberFormat="1" applyFont="1" applyFill="1" applyBorder="1" applyAlignment="1">
      <alignment horizontal="center" vertical="center"/>
    </xf>
    <xf numFmtId="187" fontId="35" fillId="136" borderId="226" xfId="0" applyNumberFormat="1" applyFont="1" applyFill="1" applyBorder="1" applyAlignment="1">
      <alignment horizontal="center" vertical="center"/>
    </xf>
    <xf numFmtId="223" fontId="230" fillId="131" borderId="227" xfId="0" applyNumberFormat="1" applyFont="1" applyFill="1" applyBorder="1" applyAlignment="1">
      <alignment horizontal="center" vertical="center"/>
    </xf>
    <xf numFmtId="3" fontId="29" fillId="0" borderId="38" xfId="2" applyNumberFormat="1" applyFont="1" applyFill="1" applyBorder="1" applyAlignment="1">
      <alignment horizontal="center" vertical="center"/>
    </xf>
    <xf numFmtId="3" fontId="29" fillId="0" borderId="200" xfId="2" applyNumberFormat="1" applyFont="1" applyFill="1" applyBorder="1" applyAlignment="1">
      <alignment horizontal="center" vertical="center"/>
    </xf>
    <xf numFmtId="187" fontId="172" fillId="93" borderId="219" xfId="2" applyNumberFormat="1" applyFont="1" applyFill="1" applyBorder="1" applyAlignment="1">
      <alignment horizontal="center" vertical="center"/>
    </xf>
    <xf numFmtId="231" fontId="172" fillId="93" borderId="646" xfId="2" applyNumberFormat="1" applyFont="1" applyFill="1" applyBorder="1" applyAlignment="1">
      <alignment horizontal="center" vertical="center"/>
    </xf>
    <xf numFmtId="187" fontId="172" fillId="0" borderId="23" xfId="2" applyNumberFormat="1" applyFont="1" applyFill="1" applyBorder="1" applyAlignment="1">
      <alignment horizontal="center" vertical="center"/>
    </xf>
    <xf numFmtId="223" fontId="172" fillId="6" borderId="287" xfId="2" applyNumberFormat="1" applyFont="1" applyFill="1" applyBorder="1" applyAlignment="1">
      <alignment horizontal="center" vertical="center"/>
    </xf>
    <xf numFmtId="3" fontId="230" fillId="6" borderId="224" xfId="0" applyNumberFormat="1" applyFont="1" applyFill="1" applyBorder="1" applyAlignment="1">
      <alignment horizontal="center" vertical="center"/>
    </xf>
    <xf numFmtId="3" fontId="230" fillId="6" borderId="226" xfId="0" applyNumberFormat="1" applyFont="1" applyFill="1" applyBorder="1" applyAlignment="1">
      <alignment horizontal="center" vertical="center"/>
    </xf>
    <xf numFmtId="223" fontId="230" fillId="6" borderId="228" xfId="0" applyNumberFormat="1" applyFont="1" applyFill="1" applyBorder="1" applyAlignment="1">
      <alignment horizontal="center" vertical="center"/>
    </xf>
    <xf numFmtId="223" fontId="230" fillId="6" borderId="332" xfId="0" applyNumberFormat="1" applyFont="1" applyFill="1" applyBorder="1" applyAlignment="1">
      <alignment horizontal="center" vertical="center"/>
    </xf>
    <xf numFmtId="223" fontId="35" fillId="6" borderId="227" xfId="0" applyNumberFormat="1" applyFont="1" applyFill="1" applyBorder="1" applyAlignment="1">
      <alignment horizontal="center" vertical="center"/>
    </xf>
    <xf numFmtId="223" fontId="35" fillId="6" borderId="226" xfId="0" applyNumberFormat="1" applyFont="1" applyFill="1" applyBorder="1" applyAlignment="1">
      <alignment horizontal="center" vertical="center"/>
    </xf>
    <xf numFmtId="223" fontId="211" fillId="6" borderId="287" xfId="0" applyNumberFormat="1" applyFont="1" applyFill="1" applyBorder="1" applyAlignment="1">
      <alignment horizontal="center" vertical="center"/>
    </xf>
    <xf numFmtId="187" fontId="168" fillId="137" borderId="0" xfId="0" applyNumberFormat="1" applyFont="1" applyFill="1" applyBorder="1" applyAlignment="1">
      <alignment horizontal="center" vertical="center"/>
    </xf>
    <xf numFmtId="187" fontId="197" fillId="117" borderId="600" xfId="0" applyNumberFormat="1" applyFont="1" applyFill="1" applyBorder="1" applyAlignment="1">
      <alignment horizontal="center" vertical="center"/>
    </xf>
    <xf numFmtId="187" fontId="197" fillId="117" borderId="601" xfId="0" applyNumberFormat="1" applyFont="1" applyFill="1" applyBorder="1" applyAlignment="1">
      <alignment horizontal="center" vertical="center"/>
    </xf>
    <xf numFmtId="187" fontId="197" fillId="117" borderId="592" xfId="0" applyNumberFormat="1" applyFont="1" applyFill="1" applyBorder="1" applyAlignment="1">
      <alignment horizontal="center" vertical="center"/>
    </xf>
    <xf numFmtId="187" fontId="230" fillId="117" borderId="599" xfId="0" applyNumberFormat="1" applyFont="1" applyFill="1" applyBorder="1" applyAlignment="1">
      <alignment horizontal="center" vertical="center"/>
    </xf>
    <xf numFmtId="187" fontId="230" fillId="117" borderId="603" xfId="0" applyNumberFormat="1" applyFont="1" applyFill="1" applyBorder="1" applyAlignment="1">
      <alignment horizontal="center" vertical="center"/>
    </xf>
    <xf numFmtId="187" fontId="230" fillId="0" borderId="600" xfId="0" applyNumberFormat="1" applyFont="1" applyFill="1" applyBorder="1" applyAlignment="1">
      <alignment horizontal="center" vertical="center"/>
    </xf>
    <xf numFmtId="187" fontId="230" fillId="0" borderId="601" xfId="0" applyNumberFormat="1" applyFont="1" applyFill="1" applyBorder="1" applyAlignment="1">
      <alignment horizontal="center" vertical="center"/>
    </xf>
    <xf numFmtId="187" fontId="172" fillId="93" borderId="646" xfId="2" applyNumberFormat="1" applyFont="1" applyFill="1" applyBorder="1" applyAlignment="1">
      <alignment horizontal="center" vertical="center"/>
    </xf>
    <xf numFmtId="187" fontId="172" fillId="0" borderId="6" xfId="2" applyNumberFormat="1" applyFont="1" applyFill="1" applyBorder="1" applyAlignment="1">
      <alignment horizontal="center" vertical="center"/>
    </xf>
    <xf numFmtId="187" fontId="172" fillId="0" borderId="38" xfId="2" applyNumberFormat="1" applyFont="1" applyFill="1" applyBorder="1" applyAlignment="1">
      <alignment horizontal="center" vertical="center"/>
    </xf>
    <xf numFmtId="223" fontId="35" fillId="6" borderId="287" xfId="0" applyNumberFormat="1" applyFont="1" applyFill="1" applyBorder="1" applyAlignment="1">
      <alignment horizontal="center" vertical="center"/>
    </xf>
    <xf numFmtId="223" fontId="35" fillId="6" borderId="285" xfId="0" applyNumberFormat="1" applyFont="1" applyFill="1" applyBorder="1" applyAlignment="1">
      <alignment horizontal="center" vertical="center"/>
    </xf>
    <xf numFmtId="223" fontId="35" fillId="6" borderId="224" xfId="0" applyNumberFormat="1" applyFont="1" applyFill="1" applyBorder="1" applyAlignment="1">
      <alignment horizontal="center" vertical="center"/>
    </xf>
    <xf numFmtId="223" fontId="35" fillId="6" borderId="108" xfId="0" applyNumberFormat="1" applyFont="1" applyFill="1" applyBorder="1" applyAlignment="1">
      <alignment horizontal="center" vertical="center"/>
    </xf>
    <xf numFmtId="223" fontId="35" fillId="131" borderId="286" xfId="0" applyNumberFormat="1" applyFont="1" applyFill="1" applyBorder="1" applyAlignment="1">
      <alignment horizontal="center" vertical="center"/>
    </xf>
    <xf numFmtId="187" fontId="230" fillId="117" borderId="601" xfId="0" applyNumberFormat="1" applyFont="1" applyFill="1" applyBorder="1" applyAlignment="1">
      <alignment horizontal="center" vertical="center"/>
    </xf>
    <xf numFmtId="187" fontId="230" fillId="117" borderId="592" xfId="0" applyNumberFormat="1" applyFont="1" applyFill="1" applyBorder="1" applyAlignment="1">
      <alignment horizontal="center" vertical="center"/>
    </xf>
    <xf numFmtId="223" fontId="35" fillId="131" borderId="366" xfId="0" applyNumberFormat="1" applyFont="1" applyFill="1" applyBorder="1" applyAlignment="1">
      <alignment horizontal="center" vertical="center"/>
    </xf>
    <xf numFmtId="223" fontId="35" fillId="131" borderId="266" xfId="0" applyNumberFormat="1" applyFont="1" applyFill="1" applyBorder="1" applyAlignment="1">
      <alignment horizontal="center" vertical="center"/>
    </xf>
    <xf numFmtId="223" fontId="35" fillId="6" borderId="332" xfId="0" applyNumberFormat="1" applyFont="1" applyFill="1" applyBorder="1" applyAlignment="1">
      <alignment horizontal="center" vertical="center"/>
    </xf>
    <xf numFmtId="223" fontId="35" fillId="6" borderId="266" xfId="0" applyNumberFormat="1" applyFont="1" applyFill="1" applyBorder="1" applyAlignment="1">
      <alignment horizontal="center" vertical="center"/>
    </xf>
    <xf numFmtId="187" fontId="172" fillId="4" borderId="219" xfId="2" applyNumberFormat="1" applyFont="1" applyFill="1" applyBorder="1" applyAlignment="1">
      <alignment horizontal="center" vertical="center"/>
    </xf>
    <xf numFmtId="228" fontId="172" fillId="4" borderId="200" xfId="2" applyNumberFormat="1" applyFont="1" applyFill="1" applyBorder="1" applyAlignment="1">
      <alignment horizontal="center" vertical="center"/>
    </xf>
    <xf numFmtId="228" fontId="211" fillId="4" borderId="35" xfId="2" applyNumberFormat="1" applyFont="1" applyFill="1" applyBorder="1" applyAlignment="1">
      <alignment horizontal="center" vertical="center"/>
    </xf>
    <xf numFmtId="223" fontId="168" fillId="6" borderId="287" xfId="0" applyNumberFormat="1" applyFont="1" applyFill="1" applyBorder="1" applyAlignment="1">
      <alignment horizontal="center" vertical="center"/>
    </xf>
    <xf numFmtId="179" fontId="230" fillId="117" borderId="601" xfId="0" applyNumberFormat="1" applyFont="1" applyFill="1" applyBorder="1" applyAlignment="1">
      <alignment horizontal="center" vertical="center"/>
    </xf>
    <xf numFmtId="179" fontId="230" fillId="117" borderId="599" xfId="0" applyNumberFormat="1" applyFont="1" applyFill="1" applyBorder="1" applyAlignment="1">
      <alignment horizontal="center" vertical="center"/>
    </xf>
    <xf numFmtId="179" fontId="230" fillId="117" borderId="592" xfId="0" applyNumberFormat="1" applyFont="1" applyFill="1" applyBorder="1" applyAlignment="1">
      <alignment horizontal="center" vertical="center"/>
    </xf>
    <xf numFmtId="223" fontId="35" fillId="6" borderId="366" xfId="0" applyNumberFormat="1" applyFont="1" applyFill="1" applyBorder="1" applyAlignment="1">
      <alignment horizontal="center" vertical="center"/>
    </xf>
    <xf numFmtId="223" fontId="265" fillId="3" borderId="219" xfId="0" applyNumberFormat="1" applyFont="1" applyFill="1" applyBorder="1" applyAlignment="1">
      <alignment horizontal="center" vertical="center"/>
    </xf>
    <xf numFmtId="223" fontId="226" fillId="3" borderId="6" xfId="0" applyNumberFormat="1" applyFont="1" applyFill="1" applyBorder="1" applyAlignment="1">
      <alignment horizontal="center" vertical="center"/>
    </xf>
    <xf numFmtId="223" fontId="226" fillId="3" borderId="38" xfId="0" applyNumberFormat="1" applyFont="1" applyFill="1" applyBorder="1" applyAlignment="1">
      <alignment horizontal="center" vertical="center"/>
    </xf>
    <xf numFmtId="223" fontId="35" fillId="3" borderId="306" xfId="0" applyNumberFormat="1" applyFont="1" applyFill="1" applyBorder="1" applyAlignment="1">
      <alignment horizontal="center" vertical="center"/>
    </xf>
    <xf numFmtId="223" fontId="230" fillId="3" borderId="219" xfId="0" applyNumberFormat="1" applyFont="1" applyFill="1" applyBorder="1" applyAlignment="1">
      <alignment horizontal="center" vertical="center"/>
    </xf>
    <xf numFmtId="223" fontId="230" fillId="3" borderId="6" xfId="0" applyNumberFormat="1" applyFont="1" applyFill="1" applyBorder="1" applyAlignment="1">
      <alignment horizontal="center" vertical="center"/>
    </xf>
    <xf numFmtId="187" fontId="226" fillId="3" borderId="6" xfId="0" applyNumberFormat="1" applyFont="1" applyFill="1" applyBorder="1" applyAlignment="1">
      <alignment horizontal="center" vertical="center"/>
    </xf>
    <xf numFmtId="187" fontId="226" fillId="3" borderId="38" xfId="0" applyNumberFormat="1" applyFont="1" applyFill="1" applyBorder="1" applyAlignment="1">
      <alignment horizontal="center" vertical="center"/>
    </xf>
    <xf numFmtId="223" fontId="35" fillId="6" borderId="223" xfId="0" applyNumberFormat="1" applyFont="1" applyFill="1" applyBorder="1" applyAlignment="1">
      <alignment horizontal="center" vertical="center"/>
    </xf>
    <xf numFmtId="223" fontId="35" fillId="6" borderId="286" xfId="0" applyNumberFormat="1" applyFont="1" applyFill="1" applyBorder="1" applyAlignment="1">
      <alignment horizontal="center" vertical="center"/>
    </xf>
    <xf numFmtId="223" fontId="35" fillId="3" borderId="62" xfId="0" applyNumberFormat="1" applyFont="1" applyFill="1" applyBorder="1" applyAlignment="1">
      <alignment horizontal="center" vertical="center"/>
    </xf>
    <xf numFmtId="223" fontId="35" fillId="3" borderId="597" xfId="0" applyNumberFormat="1" applyFont="1" applyFill="1" applyBorder="1" applyAlignment="1">
      <alignment horizontal="center" vertical="center"/>
    </xf>
    <xf numFmtId="223" fontId="35" fillId="131" borderId="518" xfId="0" applyNumberFormat="1" applyFont="1" applyFill="1" applyBorder="1" applyAlignment="1">
      <alignment horizontal="center" vertical="center"/>
    </xf>
    <xf numFmtId="223" fontId="35" fillId="3" borderId="121" xfId="0" applyNumberFormat="1" applyFont="1" applyFill="1" applyBorder="1" applyAlignment="1">
      <alignment horizontal="center" vertical="center"/>
    </xf>
    <xf numFmtId="223" fontId="35" fillId="131" borderId="515" xfId="0" applyNumberFormat="1" applyFont="1" applyFill="1" applyBorder="1" applyAlignment="1">
      <alignment horizontal="center" vertical="center"/>
    </xf>
    <xf numFmtId="223" fontId="265" fillId="3" borderId="38" xfId="0" applyNumberFormat="1" applyFont="1" applyFill="1" applyBorder="1" applyAlignment="1">
      <alignment horizontal="center" vertical="center"/>
    </xf>
    <xf numFmtId="223" fontId="265" fillId="3" borderId="605" xfId="0" applyNumberFormat="1" applyFont="1" applyFill="1" applyBorder="1" applyAlignment="1">
      <alignment horizontal="center" vertical="center"/>
    </xf>
    <xf numFmtId="223" fontId="226" fillId="3" borderId="23" xfId="0" applyNumberFormat="1" applyFont="1" applyFill="1" applyBorder="1" applyAlignment="1">
      <alignment horizontal="center" vertical="center"/>
    </xf>
    <xf numFmtId="223" fontId="226" fillId="3" borderId="613" xfId="0" applyNumberFormat="1" applyFont="1" applyFill="1" applyBorder="1" applyAlignment="1">
      <alignment horizontal="center" vertical="center"/>
    </xf>
    <xf numFmtId="223" fontId="35" fillId="136" borderId="602" xfId="0" applyNumberFormat="1" applyFont="1" applyFill="1" applyBorder="1" applyAlignment="1">
      <alignment horizontal="center" vertical="center"/>
    </xf>
    <xf numFmtId="223" fontId="35" fillId="3" borderId="47" xfId="0" applyNumberFormat="1" applyFont="1" applyFill="1" applyBorder="1" applyAlignment="1">
      <alignment horizontal="center" vertical="center"/>
    </xf>
    <xf numFmtId="223" fontId="35" fillId="3" borderId="613" xfId="0" applyNumberFormat="1" applyFont="1" applyFill="1" applyBorder="1" applyAlignment="1">
      <alignment horizontal="center" vertical="center"/>
    </xf>
    <xf numFmtId="223" fontId="35" fillId="131" borderId="516" xfId="0" applyNumberFormat="1" applyFont="1" applyFill="1" applyBorder="1" applyAlignment="1">
      <alignment horizontal="center" vertical="center"/>
    </xf>
    <xf numFmtId="223" fontId="265" fillId="3" borderId="122" xfId="0" applyNumberFormat="1" applyFont="1" applyFill="1" applyBorder="1" applyAlignment="1">
      <alignment horizontal="center" vertical="center"/>
    </xf>
    <xf numFmtId="223" fontId="265" fillId="3" borderId="590" xfId="0" applyNumberFormat="1" applyFont="1" applyFill="1" applyBorder="1" applyAlignment="1">
      <alignment horizontal="center" vertical="center"/>
    </xf>
    <xf numFmtId="231" fontId="172" fillId="3" borderId="46" xfId="2" applyNumberFormat="1" applyFont="1" applyFill="1" applyBorder="1" applyAlignment="1">
      <alignment horizontal="center" vertical="center"/>
    </xf>
    <xf numFmtId="183" fontId="172" fillId="3" borderId="35" xfId="2" applyNumberFormat="1" applyFont="1" applyFill="1" applyBorder="1" applyAlignment="1">
      <alignment horizontal="center" vertical="center"/>
    </xf>
    <xf numFmtId="183" fontId="35" fillId="3" borderId="612" xfId="0" applyNumberFormat="1" applyFont="1" applyFill="1" applyBorder="1" applyAlignment="1">
      <alignment horizontal="center" vertical="center"/>
    </xf>
    <xf numFmtId="183" fontId="35" fillId="3" borderId="605" xfId="2" applyNumberFormat="1" applyFont="1" applyFill="1" applyBorder="1" applyAlignment="1">
      <alignment horizontal="center" vertical="center"/>
    </xf>
    <xf numFmtId="187" fontId="35" fillId="3" borderId="612" xfId="0" applyNumberFormat="1" applyFont="1" applyFill="1" applyBorder="1" applyAlignment="1">
      <alignment horizontal="center" vertical="center"/>
    </xf>
    <xf numFmtId="187" fontId="35" fillId="3" borderId="604" xfId="0" applyNumberFormat="1" applyFont="1" applyFill="1" applyBorder="1" applyAlignment="1">
      <alignment horizontal="center" vertical="center"/>
    </xf>
    <xf numFmtId="176" fontId="230" fillId="3" borderId="35" xfId="0" applyNumberFormat="1" applyFont="1" applyFill="1" applyBorder="1" applyAlignment="1">
      <alignment horizontal="center" vertical="center"/>
    </xf>
    <xf numFmtId="179" fontId="230" fillId="3" borderId="604" xfId="0" applyNumberFormat="1" applyFont="1" applyFill="1" applyBorder="1" applyAlignment="1">
      <alignment horizontal="center" vertical="center"/>
    </xf>
    <xf numFmtId="177" fontId="230" fillId="3" borderId="612" xfId="0" applyNumberFormat="1" applyFont="1" applyFill="1" applyBorder="1" applyAlignment="1">
      <alignment horizontal="center" vertical="center"/>
    </xf>
    <xf numFmtId="187" fontId="172" fillId="3" borderId="35" xfId="2" applyNumberFormat="1" applyFont="1" applyFill="1" applyBorder="1" applyAlignment="1">
      <alignment horizontal="center" vertical="center"/>
    </xf>
    <xf numFmtId="179" fontId="230" fillId="3" borderId="612" xfId="0" applyNumberFormat="1" applyFont="1" applyFill="1" applyBorder="1" applyAlignment="1">
      <alignment horizontal="center" vertical="center"/>
    </xf>
    <xf numFmtId="187" fontId="230" fillId="3" borderId="604" xfId="0" applyNumberFormat="1" applyFont="1" applyFill="1" applyBorder="1" applyAlignment="1">
      <alignment horizontal="center" vertical="center"/>
    </xf>
    <xf numFmtId="187" fontId="230" fillId="3" borderId="612" xfId="0" applyNumberFormat="1" applyFont="1" applyFill="1" applyBorder="1" applyAlignment="1">
      <alignment horizontal="center" vertical="center"/>
    </xf>
    <xf numFmtId="183" fontId="172" fillId="3" borderId="612" xfId="2" applyNumberFormat="1" applyFont="1" applyFill="1" applyBorder="1" applyAlignment="1">
      <alignment horizontal="center" vertical="center"/>
    </xf>
    <xf numFmtId="183" fontId="35" fillId="3" borderId="604" xfId="0" applyNumberFormat="1" applyFont="1" applyFill="1" applyBorder="1" applyAlignment="1">
      <alignment horizontal="center" vertical="center"/>
    </xf>
    <xf numFmtId="223" fontId="230" fillId="3" borderId="604" xfId="0" applyNumberFormat="1" applyFont="1" applyFill="1" applyBorder="1" applyAlignment="1">
      <alignment horizontal="center" vertical="center"/>
    </xf>
    <xf numFmtId="187" fontId="172" fillId="3" borderId="46" xfId="2" applyNumberFormat="1" applyFont="1" applyFill="1" applyBorder="1" applyAlignment="1">
      <alignment horizontal="center" vertical="center"/>
    </xf>
    <xf numFmtId="3" fontId="35" fillId="3" borderId="612" xfId="0" applyNumberFormat="1" applyFont="1" applyFill="1" applyBorder="1" applyAlignment="1">
      <alignment horizontal="center" vertical="center"/>
    </xf>
    <xf numFmtId="179" fontId="230" fillId="3" borderId="35" xfId="0" applyNumberFormat="1" applyFont="1" applyFill="1" applyBorder="1" applyAlignment="1">
      <alignment horizontal="center" vertical="center"/>
    </xf>
    <xf numFmtId="183" fontId="230" fillId="3" borderId="35" xfId="0" applyNumberFormat="1" applyFont="1" applyFill="1" applyBorder="1" applyAlignment="1">
      <alignment horizontal="center" vertical="center"/>
    </xf>
    <xf numFmtId="183" fontId="230" fillId="3" borderId="604" xfId="0" applyNumberFormat="1" applyFont="1" applyFill="1" applyBorder="1" applyAlignment="1">
      <alignment horizontal="center" vertical="center"/>
    </xf>
    <xf numFmtId="177" fontId="230" fillId="3" borderId="604" xfId="0" applyNumberFormat="1" applyFont="1" applyFill="1" applyBorder="1" applyAlignment="1">
      <alignment horizontal="center" vertical="center"/>
    </xf>
    <xf numFmtId="187" fontId="35" fillId="3" borderId="509" xfId="0" applyNumberFormat="1" applyFont="1" applyFill="1" applyBorder="1" applyAlignment="1">
      <alignment horizontal="center" vertical="center"/>
    </xf>
    <xf numFmtId="187" fontId="35" fillId="0" borderId="607" xfId="2" applyNumberFormat="1" applyFont="1" applyFill="1" applyBorder="1" applyAlignment="1">
      <alignment horizontal="center" vertical="center"/>
    </xf>
    <xf numFmtId="223" fontId="35" fillId="0" borderId="607" xfId="0" applyNumberFormat="1" applyFont="1" applyBorder="1" applyAlignment="1">
      <alignment horizontal="center" vertical="center"/>
    </xf>
    <xf numFmtId="223" fontId="35" fillId="131" borderId="223" xfId="0" applyNumberFormat="1" applyFont="1" applyFill="1" applyBorder="1" applyAlignment="1">
      <alignment horizontal="center" vertical="center"/>
    </xf>
    <xf numFmtId="223" fontId="230" fillId="3" borderId="200" xfId="0" applyNumberFormat="1" applyFont="1" applyFill="1" applyBorder="1" applyAlignment="1">
      <alignment horizontal="center" vertical="center"/>
    </xf>
    <xf numFmtId="0" fontId="179" fillId="0" borderId="606" xfId="0" applyFont="1" applyBorder="1" applyAlignment="1">
      <alignment horizontal="center" vertical="center" wrapText="1" readingOrder="1"/>
    </xf>
    <xf numFmtId="38" fontId="58" fillId="7" borderId="513" xfId="2" applyNumberFormat="1" applyFont="1" applyFill="1" applyBorder="1" applyAlignment="1">
      <alignment horizontal="center" vertical="center"/>
    </xf>
    <xf numFmtId="0" fontId="0" fillId="0" borderId="121" xfId="0" applyBorder="1" applyAlignment="1">
      <alignment horizontal="center" vertical="center"/>
    </xf>
    <xf numFmtId="0" fontId="0" fillId="0" borderId="515" xfId="0" applyBorder="1" applyAlignment="1">
      <alignment horizontal="center" vertical="center"/>
    </xf>
    <xf numFmtId="0" fontId="0" fillId="0" borderId="200" xfId="0" applyBorder="1" applyAlignment="1">
      <alignment horizontal="center" vertical="center"/>
    </xf>
    <xf numFmtId="0" fontId="46" fillId="4" borderId="227" xfId="0" applyFont="1" applyFill="1" applyBorder="1" applyAlignment="1">
      <alignment horizontal="center" vertical="center"/>
    </xf>
    <xf numFmtId="0" fontId="44" fillId="0" borderId="200" xfId="0" applyFont="1" applyBorder="1" applyAlignment="1">
      <alignment horizontal="left" vertical="center"/>
    </xf>
    <xf numFmtId="0" fontId="44" fillId="0" borderId="608" xfId="0" applyFont="1" applyBorder="1" applyAlignment="1">
      <alignment horizontal="left" vertical="center"/>
    </xf>
    <xf numFmtId="0" fontId="44" fillId="0" borderId="515" xfId="0" applyFont="1" applyBorder="1" applyAlignment="1">
      <alignment horizontal="left" vertical="center"/>
    </xf>
    <xf numFmtId="38" fontId="166" fillId="0" borderId="606" xfId="0" applyNumberFormat="1" applyFont="1" applyBorder="1" applyAlignment="1">
      <alignment horizontal="center" vertical="center" wrapText="1"/>
    </xf>
    <xf numFmtId="0" fontId="58" fillId="0" borderId="606" xfId="0" applyFont="1" applyBorder="1" applyAlignment="1">
      <alignment horizontal="center" vertical="center"/>
    </xf>
    <xf numFmtId="0" fontId="35" fillId="6" borderId="607" xfId="0" applyFont="1" applyFill="1" applyBorder="1" applyAlignment="1">
      <alignment horizontal="center" vertical="center"/>
    </xf>
    <xf numFmtId="0" fontId="0" fillId="0" borderId="592" xfId="0" applyBorder="1" applyAlignment="1">
      <alignment horizontal="center" vertical="center"/>
    </xf>
    <xf numFmtId="0" fontId="243" fillId="0" borderId="389" xfId="0" applyFont="1" applyBorder="1" applyAlignment="1">
      <alignment horizontal="left" vertical="center" wrapText="1"/>
    </xf>
    <xf numFmtId="0" fontId="46" fillId="4" borderId="389" xfId="0" applyFont="1" applyFill="1" applyBorder="1" applyAlignment="1">
      <alignment horizontal="center" vertical="center"/>
    </xf>
    <xf numFmtId="0" fontId="44" fillId="0" borderId="327" xfId="0" applyFont="1" applyBorder="1" applyAlignment="1">
      <alignment horizontal="left" vertical="center"/>
    </xf>
    <xf numFmtId="0" fontId="44" fillId="0" borderId="592" xfId="0" applyFont="1" applyBorder="1" applyAlignment="1">
      <alignment horizontal="left" vertical="center"/>
    </xf>
    <xf numFmtId="0" fontId="44" fillId="0" borderId="121" xfId="0" applyFont="1" applyBorder="1" applyAlignment="1">
      <alignment horizontal="left" vertical="center"/>
    </xf>
    <xf numFmtId="0" fontId="44" fillId="0" borderId="118" xfId="0" applyFont="1" applyBorder="1" applyAlignment="1">
      <alignment horizontal="left" vertical="center" wrapText="1"/>
    </xf>
    <xf numFmtId="0" fontId="46" fillId="0" borderId="121" xfId="0" applyFont="1" applyBorder="1" applyAlignment="1">
      <alignment horizontal="center" vertical="center"/>
    </xf>
    <xf numFmtId="0" fontId="46" fillId="0" borderId="608" xfId="0" applyFont="1" applyBorder="1" applyAlignment="1">
      <alignment horizontal="center" vertical="center"/>
    </xf>
    <xf numFmtId="0" fontId="46" fillId="0" borderId="515" xfId="0" applyFont="1" applyBorder="1" applyAlignment="1">
      <alignment horizontal="center" vertical="center"/>
    </xf>
    <xf numFmtId="0" fontId="46" fillId="0" borderId="200" xfId="0" applyFont="1" applyBorder="1" applyAlignment="1">
      <alignment horizontal="center" vertical="center"/>
    </xf>
    <xf numFmtId="0" fontId="46" fillId="0" borderId="592" xfId="0" applyFont="1" applyBorder="1" applyAlignment="1">
      <alignment horizontal="center" vertical="center"/>
    </xf>
    <xf numFmtId="0" fontId="46" fillId="0" borderId="327" xfId="0" applyFont="1" applyFill="1" applyBorder="1" applyAlignment="1">
      <alignment horizontal="center" vertical="center"/>
    </xf>
    <xf numFmtId="0" fontId="44" fillId="0" borderId="608" xfId="0" applyFont="1" applyBorder="1" applyAlignment="1">
      <alignment horizontal="left" vertical="center" wrapText="1"/>
    </xf>
    <xf numFmtId="0" fontId="243" fillId="0" borderId="200" xfId="0" applyFont="1" applyBorder="1" applyAlignment="1">
      <alignment horizontal="left" vertical="center" wrapText="1"/>
    </xf>
    <xf numFmtId="0" fontId="243" fillId="0" borderId="227" xfId="0" applyFont="1" applyBorder="1" applyAlignment="1">
      <alignment horizontal="left" vertical="center" wrapText="1"/>
    </xf>
    <xf numFmtId="0" fontId="243" fillId="0" borderId="227" xfId="0" applyFont="1" applyBorder="1" applyAlignment="1">
      <alignment horizontal="left" vertical="center"/>
    </xf>
    <xf numFmtId="0" fontId="44" fillId="0" borderId="646" xfId="0" applyFont="1" applyBorder="1" applyAlignment="1">
      <alignment horizontal="left" vertical="center"/>
    </xf>
    <xf numFmtId="0" fontId="44" fillId="0" borderId="620" xfId="0" applyFont="1" applyBorder="1" applyAlignment="1">
      <alignment horizontal="left" vertical="center"/>
    </xf>
    <xf numFmtId="0" fontId="44" fillId="0" borderId="603" xfId="0" applyFont="1" applyBorder="1" applyAlignment="1">
      <alignment horizontal="left" vertical="center"/>
    </xf>
    <xf numFmtId="0" fontId="44" fillId="0" borderId="118" xfId="0" applyFont="1" applyBorder="1" applyAlignment="1">
      <alignment horizontal="left" vertical="center"/>
    </xf>
    <xf numFmtId="0" fontId="44" fillId="0" borderId="57" xfId="0" applyFont="1" applyBorder="1" applyAlignment="1">
      <alignment horizontal="left" vertical="center"/>
    </xf>
    <xf numFmtId="0" fontId="44" fillId="0" borderId="622" xfId="0" applyFont="1" applyBorder="1" applyAlignment="1">
      <alignment horizontal="left" vertical="center"/>
    </xf>
    <xf numFmtId="187" fontId="179" fillId="3" borderId="606" xfId="0" applyNumberFormat="1" applyFont="1" applyFill="1" applyBorder="1" applyAlignment="1">
      <alignment horizontal="center" vertical="center" wrapText="1" readingOrder="1"/>
    </xf>
    <xf numFmtId="187" fontId="179" fillId="3" borderId="214" xfId="0" applyNumberFormat="1" applyFont="1" applyFill="1" applyBorder="1" applyAlignment="1">
      <alignment horizontal="center" vertical="center" wrapText="1" readingOrder="1"/>
    </xf>
    <xf numFmtId="245" fontId="230" fillId="0" borderId="592" xfId="0" applyNumberFormat="1" applyFont="1" applyFill="1" applyBorder="1" applyAlignment="1">
      <alignment horizontal="center" vertical="center"/>
    </xf>
    <xf numFmtId="0" fontId="243" fillId="0" borderId="327" xfId="0" applyFont="1" applyBorder="1" applyAlignment="1">
      <alignment horizontal="left" vertical="center"/>
    </xf>
    <xf numFmtId="0" fontId="243" fillId="0" borderId="608" xfId="0" applyFont="1" applyBorder="1" applyAlignment="1">
      <alignment horizontal="left" vertical="center"/>
    </xf>
    <xf numFmtId="0" fontId="243" fillId="0" borderId="327" xfId="0" applyFont="1" applyBorder="1" applyAlignment="1">
      <alignment horizontal="left" vertical="center" wrapText="1"/>
    </xf>
    <xf numFmtId="0" fontId="243" fillId="0" borderId="121" xfId="0" applyFont="1" applyBorder="1" applyAlignment="1">
      <alignment horizontal="left" vertical="center" wrapText="1"/>
    </xf>
    <xf numFmtId="38" fontId="58" fillId="93" borderId="598" xfId="2" applyNumberFormat="1" applyFont="1" applyFill="1" applyBorder="1" applyAlignment="1">
      <alignment horizontal="center" vertical="center"/>
    </xf>
    <xf numFmtId="38" fontId="58" fillId="93" borderId="605" xfId="2" applyNumberFormat="1" applyFont="1" applyFill="1" applyBorder="1" applyAlignment="1">
      <alignment horizontal="center" vertical="center"/>
    </xf>
    <xf numFmtId="38" fontId="58" fillId="93" borderId="606" xfId="2" applyNumberFormat="1" applyFont="1" applyFill="1" applyBorder="1" applyAlignment="1">
      <alignment horizontal="center" vertical="center"/>
    </xf>
    <xf numFmtId="38" fontId="58" fillId="93" borderId="601" xfId="0" applyNumberFormat="1" applyFont="1" applyFill="1" applyBorder="1" applyAlignment="1">
      <alignment horizontal="center" vertical="center"/>
    </xf>
    <xf numFmtId="38" fontId="58" fillId="93" borderId="600" xfId="2" applyNumberFormat="1" applyFont="1" applyFill="1" applyBorder="1" applyAlignment="1">
      <alignment horizontal="center" vertical="center"/>
    </xf>
    <xf numFmtId="9" fontId="58" fillId="93" borderId="601" xfId="1" applyFont="1" applyFill="1" applyBorder="1" applyAlignment="1">
      <alignment horizontal="center" vertical="center"/>
    </xf>
    <xf numFmtId="0" fontId="58" fillId="93" borderId="608" xfId="0" applyFont="1" applyFill="1" applyBorder="1" applyAlignment="1">
      <alignment horizontal="center" vertical="center"/>
    </xf>
    <xf numFmtId="38" fontId="58" fillId="7" borderId="518" xfId="2" applyNumberFormat="1" applyFont="1" applyFill="1" applyBorder="1" applyAlignment="1">
      <alignment horizontal="center" vertical="center"/>
    </xf>
    <xf numFmtId="9" fontId="58" fillId="7" borderId="513" xfId="1" applyFont="1" applyFill="1" applyBorder="1" applyAlignment="1">
      <alignment horizontal="center" vertical="center"/>
    </xf>
    <xf numFmtId="176" fontId="58" fillId="0" borderId="448" xfId="0" applyNumberFormat="1" applyFont="1" applyFill="1" applyBorder="1" applyAlignment="1">
      <alignment horizontal="center" vertical="center"/>
    </xf>
    <xf numFmtId="176" fontId="58" fillId="0" borderId="498" xfId="0" applyNumberFormat="1" applyFont="1" applyFill="1" applyBorder="1" applyAlignment="1">
      <alignment horizontal="center" vertical="center"/>
    </xf>
    <xf numFmtId="0" fontId="29" fillId="0" borderId="0" xfId="0" applyFont="1" applyAlignment="1">
      <alignment vertical="center"/>
    </xf>
    <xf numFmtId="0" fontId="29" fillId="7" borderId="0" xfId="0" applyFont="1" applyFill="1" applyBorder="1" applyAlignment="1">
      <alignment horizontal="center" vertical="center"/>
    </xf>
    <xf numFmtId="0" fontId="177" fillId="125" borderId="513" xfId="0" applyFont="1" applyFill="1" applyBorder="1" applyAlignment="1">
      <alignment horizontal="center" vertical="center" wrapText="1" readingOrder="1"/>
    </xf>
    <xf numFmtId="38" fontId="166" fillId="0" borderId="652" xfId="1" applyNumberFormat="1" applyFont="1" applyBorder="1" applyAlignment="1">
      <alignment horizontal="center" vertical="center" wrapText="1"/>
    </xf>
    <xf numFmtId="38" fontId="166" fillId="0" borderId="31" xfId="1" applyNumberFormat="1" applyFont="1" applyBorder="1" applyAlignment="1">
      <alignment horizontal="center" vertical="center" wrapText="1"/>
    </xf>
    <xf numFmtId="38" fontId="177" fillId="125" borderId="665" xfId="1" applyNumberFormat="1" applyFont="1" applyFill="1" applyBorder="1" applyAlignment="1">
      <alignment horizontal="center" vertical="center" wrapText="1"/>
    </xf>
    <xf numFmtId="38" fontId="166" fillId="0" borderId="665" xfId="1" applyNumberFormat="1" applyFont="1" applyBorder="1" applyAlignment="1">
      <alignment horizontal="center" vertical="center" wrapText="1"/>
    </xf>
    <xf numFmtId="38" fontId="177" fillId="125" borderId="666" xfId="1" applyNumberFormat="1" applyFont="1" applyFill="1" applyBorder="1" applyAlignment="1">
      <alignment horizontal="center" vertical="center" wrapText="1"/>
    </xf>
    <xf numFmtId="0" fontId="44" fillId="0" borderId="646" xfId="0" applyFont="1" applyBorder="1" applyAlignment="1">
      <alignment vertical="center" wrapText="1"/>
    </xf>
    <xf numFmtId="0" fontId="44" fillId="0" borderId="620" xfId="0" applyFont="1" applyBorder="1">
      <alignment vertical="center"/>
    </xf>
    <xf numFmtId="0" fontId="44" fillId="0" borderId="620" xfId="0" applyFont="1" applyBorder="1" applyAlignment="1">
      <alignment vertical="center" wrapText="1"/>
    </xf>
    <xf numFmtId="0" fontId="44" fillId="117" borderId="620" xfId="0" applyFont="1" applyFill="1" applyBorder="1">
      <alignment vertical="center"/>
    </xf>
    <xf numFmtId="0" fontId="196" fillId="0" borderId="0" xfId="0" applyFont="1" applyAlignment="1">
      <alignment horizontal="right"/>
    </xf>
    <xf numFmtId="0" fontId="44" fillId="117" borderId="603" xfId="0" applyFont="1" applyFill="1" applyBorder="1">
      <alignment vertical="center"/>
    </xf>
    <xf numFmtId="38" fontId="179" fillId="7" borderId="606" xfId="0" applyNumberFormat="1" applyFont="1" applyFill="1" applyBorder="1" applyAlignment="1">
      <alignment horizontal="center" vertical="center" wrapText="1" readingOrder="1"/>
    </xf>
    <xf numFmtId="38" fontId="35" fillId="7" borderId="606" xfId="0" applyNumberFormat="1" applyFont="1" applyFill="1" applyBorder="1" applyAlignment="1">
      <alignment horizontal="center" vertical="center" wrapText="1"/>
    </xf>
    <xf numFmtId="41" fontId="29" fillId="7" borderId="606" xfId="0" applyNumberFormat="1" applyFont="1" applyFill="1" applyBorder="1" applyAlignment="1">
      <alignment horizontal="left" vertical="center"/>
    </xf>
    <xf numFmtId="0" fontId="168" fillId="3" borderId="606" xfId="0" applyFont="1" applyFill="1" applyBorder="1" applyAlignment="1">
      <alignment horizontal="center" vertical="center"/>
    </xf>
    <xf numFmtId="178" fontId="179" fillId="7" borderId="600" xfId="0" applyNumberFormat="1" applyFont="1" applyFill="1" applyBorder="1" applyAlignment="1">
      <alignment horizontal="center" vertical="center" wrapText="1" readingOrder="1"/>
    </xf>
    <xf numFmtId="0" fontId="58" fillId="0" borderId="0" xfId="0" applyFont="1" applyFill="1" applyBorder="1" applyAlignment="1">
      <alignment horizontal="center" vertical="center"/>
    </xf>
    <xf numFmtId="0" fontId="174" fillId="0" borderId="0" xfId="0" applyFont="1" applyBorder="1" applyAlignment="1">
      <alignment vertical="center"/>
    </xf>
    <xf numFmtId="1" fontId="29" fillId="0" borderId="606" xfId="0" applyNumberFormat="1" applyFont="1" applyBorder="1" applyAlignment="1">
      <alignment horizontal="center" vertical="center"/>
    </xf>
    <xf numFmtId="183" fontId="29" fillId="0" borderId="6" xfId="0" applyNumberFormat="1" applyFont="1" applyBorder="1" applyAlignment="1">
      <alignment horizontal="center" vertical="center"/>
    </xf>
    <xf numFmtId="183" fontId="29" fillId="0" borderId="23" xfId="0" applyNumberFormat="1" applyFont="1" applyBorder="1" applyAlignment="1">
      <alignment horizontal="center" vertical="center"/>
    </xf>
    <xf numFmtId="230" fontId="0" fillId="0" borderId="410" xfId="0" applyNumberFormat="1" applyBorder="1" applyAlignment="1">
      <alignment horizontal="center" vertical="center"/>
    </xf>
    <xf numFmtId="0" fontId="29" fillId="7" borderId="606" xfId="0" applyFont="1" applyFill="1" applyBorder="1" applyAlignment="1">
      <alignment horizontal="center" vertical="center"/>
    </xf>
    <xf numFmtId="177" fontId="29" fillId="7" borderId="606" xfId="0" applyNumberFormat="1" applyFont="1" applyFill="1" applyBorder="1" applyAlignment="1">
      <alignment horizontal="center" vertical="center"/>
    </xf>
    <xf numFmtId="0" fontId="29" fillId="6" borderId="606" xfId="0" applyFont="1" applyFill="1" applyBorder="1" applyAlignment="1">
      <alignment horizontal="center" vertical="center"/>
    </xf>
    <xf numFmtId="0" fontId="29" fillId="7" borderId="605" xfId="0" applyFont="1" applyFill="1" applyBorder="1" applyAlignment="1">
      <alignment horizontal="center" vertical="center"/>
    </xf>
    <xf numFmtId="177" fontId="29" fillId="7" borderId="605" xfId="0" applyNumberFormat="1" applyFont="1" applyFill="1" applyBorder="1">
      <alignment vertical="center"/>
    </xf>
    <xf numFmtId="177" fontId="29" fillId="7" borderId="0" xfId="0" applyNumberFormat="1" applyFont="1" applyFill="1">
      <alignment vertical="center"/>
    </xf>
    <xf numFmtId="177" fontId="187" fillId="3" borderId="0" xfId="0" applyNumberFormat="1" applyFont="1" applyFill="1">
      <alignment vertical="center"/>
    </xf>
    <xf numFmtId="177" fontId="29" fillId="7" borderId="606" xfId="0" applyNumberFormat="1" applyFont="1" applyFill="1" applyBorder="1">
      <alignment vertical="center"/>
    </xf>
    <xf numFmtId="177" fontId="187" fillId="3" borderId="0" xfId="0" applyNumberFormat="1" applyFont="1" applyFill="1" applyAlignment="1">
      <alignment horizontal="center" vertical="center"/>
    </xf>
    <xf numFmtId="176" fontId="29" fillId="0" borderId="6" xfId="0" applyNumberFormat="1" applyFont="1" applyBorder="1" applyAlignment="1">
      <alignment horizontal="center" vertical="center"/>
    </xf>
    <xf numFmtId="176" fontId="29" fillId="0" borderId="606" xfId="0" applyNumberFormat="1" applyFont="1" applyBorder="1" applyAlignment="1">
      <alignment horizontal="center" vertical="center"/>
    </xf>
    <xf numFmtId="0" fontId="0" fillId="0" borderId="0" xfId="0" applyFill="1" applyBorder="1">
      <alignment vertical="center"/>
    </xf>
    <xf numFmtId="0" fontId="173" fillId="0" borderId="0" xfId="0" applyFont="1" applyFill="1" applyBorder="1" applyAlignment="1">
      <alignment vertical="center"/>
    </xf>
    <xf numFmtId="0" fontId="170" fillId="0" borderId="0" xfId="0" applyFont="1" applyFill="1" applyBorder="1" applyAlignment="1">
      <alignment vertical="center"/>
    </xf>
    <xf numFmtId="3" fontId="125" fillId="0" borderId="0" xfId="0" applyNumberFormat="1" applyFont="1" applyFill="1" applyBorder="1">
      <alignment vertical="center"/>
    </xf>
    <xf numFmtId="3" fontId="125" fillId="0" borderId="0" xfId="0" applyNumberFormat="1" applyFont="1" applyFill="1" applyBorder="1" applyAlignment="1">
      <alignment horizontal="center" vertical="center"/>
    </xf>
    <xf numFmtId="0" fontId="28" fillId="3" borderId="605" xfId="0" applyFont="1" applyFill="1" applyBorder="1" applyAlignment="1" applyProtection="1">
      <alignment horizontal="center" vertical="center"/>
      <protection locked="0"/>
    </xf>
    <xf numFmtId="223" fontId="28" fillId="7" borderId="408" xfId="1" quotePrefix="1" applyNumberFormat="1" applyFont="1" applyFill="1" applyBorder="1" applyAlignment="1">
      <alignment horizontal="center" vertical="center"/>
    </xf>
    <xf numFmtId="223" fontId="28" fillId="7" borderId="343" xfId="1" quotePrefix="1" applyNumberFormat="1" applyFont="1" applyFill="1" applyBorder="1" applyAlignment="1">
      <alignment horizontal="center" vertical="center"/>
    </xf>
    <xf numFmtId="223" fontId="28" fillId="7" borderId="328" xfId="1" quotePrefix="1" applyNumberFormat="1" applyFont="1" applyFill="1" applyBorder="1" applyAlignment="1">
      <alignment horizontal="center" vertical="center"/>
    </xf>
    <xf numFmtId="223" fontId="28" fillId="7" borderId="310" xfId="1" quotePrefix="1" applyNumberFormat="1" applyFont="1" applyFill="1" applyBorder="1" applyAlignment="1">
      <alignment horizontal="center" vertical="center"/>
    </xf>
    <xf numFmtId="223" fontId="28" fillId="7" borderId="6" xfId="2" quotePrefix="1" applyNumberFormat="1" applyFont="1" applyFill="1" applyBorder="1" applyAlignment="1">
      <alignment horizontal="center" vertical="center"/>
    </xf>
    <xf numFmtId="178" fontId="28" fillId="116" borderId="214" xfId="2" quotePrefix="1" applyNumberFormat="1" applyFont="1" applyFill="1" applyBorder="1" applyAlignment="1">
      <alignment horizontal="center" vertical="center"/>
    </xf>
    <xf numFmtId="176" fontId="29" fillId="0" borderId="448" xfId="0" applyNumberFormat="1" applyFont="1" applyBorder="1" applyAlignment="1" applyProtection="1">
      <alignment horizontal="center" vertical="center"/>
      <protection locked="0"/>
    </xf>
    <xf numFmtId="176" fontId="29" fillId="0" borderId="498" xfId="0" applyNumberFormat="1" applyFont="1" applyBorder="1" applyAlignment="1" applyProtection="1">
      <alignment horizontal="center" vertical="center"/>
      <protection locked="0"/>
    </xf>
    <xf numFmtId="177" fontId="29" fillId="3" borderId="219" xfId="0" applyNumberFormat="1" applyFont="1" applyFill="1" applyBorder="1" applyAlignment="1">
      <alignment horizontal="center" vertical="center"/>
    </xf>
    <xf numFmtId="177" fontId="29" fillId="3" borderId="200" xfId="0" applyNumberFormat="1" applyFont="1" applyFill="1" applyBorder="1" applyAlignment="1">
      <alignment horizontal="center" vertical="center"/>
    </xf>
    <xf numFmtId="177" fontId="29" fillId="3" borderId="607" xfId="0" applyNumberFormat="1" applyFont="1" applyFill="1" applyBorder="1" applyAlignment="1">
      <alignment horizontal="center" vertical="center"/>
    </xf>
    <xf numFmtId="177" fontId="29" fillId="3" borderId="608" xfId="0" applyNumberFormat="1" applyFont="1" applyFill="1" applyBorder="1" applyAlignment="1">
      <alignment horizontal="center" vertical="center"/>
    </xf>
    <xf numFmtId="177" fontId="29" fillId="3" borderId="518" xfId="0" applyNumberFormat="1" applyFont="1" applyFill="1" applyBorder="1" applyAlignment="1">
      <alignment horizontal="center" vertical="center"/>
    </xf>
    <xf numFmtId="177" fontId="29" fillId="3" borderId="515" xfId="0" applyNumberFormat="1" applyFont="1" applyFill="1" applyBorder="1" applyAlignment="1">
      <alignment horizontal="center" vertical="center"/>
    </xf>
    <xf numFmtId="187" fontId="29" fillId="0" borderId="38" xfId="0" applyNumberFormat="1" applyFont="1" applyFill="1" applyBorder="1" applyAlignment="1">
      <alignment horizontal="center" vertical="center"/>
    </xf>
    <xf numFmtId="187" fontId="29" fillId="0" borderId="470" xfId="0" applyNumberFormat="1" applyFont="1" applyFill="1" applyBorder="1" applyAlignment="1">
      <alignment horizontal="center" vertical="center"/>
    </xf>
    <xf numFmtId="187" fontId="29" fillId="0" borderId="495" xfId="0" applyNumberFormat="1" applyFont="1" applyFill="1" applyBorder="1" applyAlignment="1">
      <alignment horizontal="center" vertical="center"/>
    </xf>
    <xf numFmtId="177" fontId="29" fillId="0" borderId="516" xfId="0" applyNumberFormat="1" applyFont="1" applyFill="1" applyBorder="1" applyAlignment="1">
      <alignment horizontal="center" vertical="center"/>
    </xf>
    <xf numFmtId="177" fontId="29" fillId="0" borderId="514" xfId="0" applyNumberFormat="1" applyFont="1" applyFill="1" applyBorder="1" applyAlignment="1">
      <alignment horizontal="center" vertical="center"/>
    </xf>
    <xf numFmtId="0" fontId="178" fillId="127" borderId="253" xfId="0" applyFont="1" applyFill="1" applyBorder="1" applyAlignment="1">
      <alignment horizontal="center" vertical="center" wrapText="1" readingOrder="1"/>
    </xf>
    <xf numFmtId="183" fontId="29" fillId="7" borderId="606" xfId="0" applyNumberFormat="1" applyFont="1" applyFill="1" applyBorder="1" applyAlignment="1">
      <alignment horizontal="center" vertical="center"/>
    </xf>
    <xf numFmtId="183" fontId="58" fillId="0" borderId="200" xfId="2" applyNumberFormat="1" applyFont="1" applyFill="1" applyBorder="1" applyAlignment="1">
      <alignment horizontal="center" vertical="center"/>
    </xf>
    <xf numFmtId="183" fontId="58" fillId="0" borderId="465" xfId="2" applyNumberFormat="1" applyFont="1" applyFill="1" applyBorder="1" applyAlignment="1">
      <alignment horizontal="center" vertical="center"/>
    </xf>
    <xf numFmtId="183" fontId="177" fillId="125" borderId="598" xfId="2" applyNumberFormat="1" applyFont="1" applyFill="1" applyBorder="1" applyAlignment="1">
      <alignment horizontal="center" vertical="center" wrapText="1"/>
    </xf>
    <xf numFmtId="183" fontId="177" fillId="125" borderId="608" xfId="2" applyNumberFormat="1" applyFont="1" applyFill="1" applyBorder="1" applyAlignment="1">
      <alignment horizontal="center" vertical="center" wrapText="1"/>
    </xf>
    <xf numFmtId="228" fontId="58" fillId="7" borderId="38" xfId="2" applyNumberFormat="1" applyFont="1" applyFill="1" applyBorder="1" applyAlignment="1">
      <alignment horizontal="center" vertical="center"/>
    </xf>
    <xf numFmtId="228" fontId="58" fillId="7" borderId="219" xfId="2" applyNumberFormat="1" applyFont="1" applyFill="1" applyBorder="1" applyAlignment="1">
      <alignment horizontal="center" vertical="center"/>
    </xf>
    <xf numFmtId="228" fontId="58" fillId="7" borderId="200" xfId="2" applyNumberFormat="1" applyFont="1" applyFill="1" applyBorder="1" applyAlignment="1">
      <alignment horizontal="center" vertical="center"/>
    </xf>
    <xf numFmtId="228" fontId="58" fillId="7" borderId="495" xfId="2" applyNumberFormat="1" applyFont="1" applyFill="1" applyBorder="1" applyAlignment="1">
      <alignment horizontal="center" vertical="center"/>
    </xf>
    <xf numFmtId="228" fontId="58" fillId="7" borderId="605" xfId="2" applyNumberFormat="1" applyFont="1" applyFill="1" applyBorder="1" applyAlignment="1">
      <alignment horizontal="center" vertical="center"/>
    </xf>
    <xf numFmtId="228" fontId="58" fillId="7" borderId="607" xfId="2" applyNumberFormat="1" applyFont="1" applyFill="1" applyBorder="1" applyAlignment="1">
      <alignment horizontal="center" vertical="center"/>
    </xf>
    <xf numFmtId="228" fontId="58" fillId="7" borderId="597" xfId="2" applyNumberFormat="1" applyFont="1" applyFill="1" applyBorder="1" applyAlignment="1">
      <alignment horizontal="center" vertical="center"/>
    </xf>
    <xf numFmtId="228" fontId="177" fillId="125" borderId="495" xfId="2" applyNumberFormat="1" applyFont="1" applyFill="1" applyBorder="1" applyAlignment="1">
      <alignment horizontal="center" vertical="center" wrapText="1"/>
    </xf>
    <xf numFmtId="228" fontId="177" fillId="125" borderId="605" xfId="2" applyNumberFormat="1" applyFont="1" applyFill="1" applyBorder="1" applyAlignment="1">
      <alignment horizontal="center" vertical="center" wrapText="1"/>
    </xf>
    <xf numFmtId="228" fontId="177" fillId="125" borderId="597" xfId="2" applyNumberFormat="1" applyFont="1" applyFill="1" applyBorder="1" applyAlignment="1">
      <alignment horizontal="center" vertical="center" wrapText="1"/>
    </xf>
    <xf numFmtId="228" fontId="177" fillId="125" borderId="515" xfId="2" applyNumberFormat="1" applyFont="1" applyFill="1" applyBorder="1" applyAlignment="1">
      <alignment horizontal="center" vertical="center" wrapText="1"/>
    </xf>
    <xf numFmtId="228" fontId="29" fillId="0" borderId="45" xfId="2" applyNumberFormat="1" applyFont="1" applyFill="1" applyBorder="1" applyAlignment="1">
      <alignment horizontal="center" vertical="center"/>
    </xf>
    <xf numFmtId="228" fontId="29" fillId="0" borderId="119" xfId="2" applyNumberFormat="1" applyFont="1" applyFill="1" applyBorder="1" applyAlignment="1">
      <alignment horizontal="center" vertical="center"/>
    </xf>
    <xf numFmtId="228" fontId="29" fillId="0" borderId="121" xfId="2" applyNumberFormat="1" applyFont="1" applyFill="1" applyBorder="1" applyAlignment="1">
      <alignment horizontal="center" vertical="center"/>
    </xf>
    <xf numFmtId="228" fontId="58" fillId="0" borderId="601" xfId="2" applyNumberFormat="1" applyFont="1" applyFill="1" applyBorder="1" applyAlignment="1">
      <alignment horizontal="center" vertical="center"/>
    </xf>
    <xf numFmtId="228" fontId="29" fillId="0" borderId="607" xfId="2" applyNumberFormat="1" applyFont="1" applyFill="1" applyBorder="1" applyAlignment="1">
      <alignment horizontal="center" vertical="center"/>
    </xf>
    <xf numFmtId="228" fontId="29" fillId="0" borderId="608" xfId="2" applyNumberFormat="1" applyFont="1" applyFill="1" applyBorder="1" applyAlignment="1">
      <alignment horizontal="center" vertical="center"/>
    </xf>
    <xf numFmtId="228" fontId="29" fillId="0" borderId="495" xfId="2" applyNumberFormat="1" applyFont="1" applyFill="1" applyBorder="1" applyAlignment="1">
      <alignment horizontal="center" vertical="center"/>
    </xf>
    <xf numFmtId="228" fontId="29" fillId="0" borderId="605" xfId="2" applyNumberFormat="1" applyFont="1" applyFill="1" applyBorder="1" applyAlignment="1">
      <alignment horizontal="center" vertical="center"/>
    </xf>
    <xf numFmtId="228" fontId="29" fillId="117" borderId="463" xfId="2" applyNumberFormat="1" applyFont="1" applyFill="1" applyBorder="1" applyAlignment="1">
      <alignment horizontal="center" vertical="center"/>
    </xf>
    <xf numFmtId="228" fontId="29" fillId="0" borderId="601" xfId="2" applyNumberFormat="1" applyFont="1" applyFill="1" applyBorder="1" applyAlignment="1">
      <alignment horizontal="center" vertical="center"/>
    </xf>
    <xf numFmtId="228" fontId="29" fillId="0" borderId="599" xfId="2" applyNumberFormat="1" applyFont="1" applyFill="1" applyBorder="1" applyAlignment="1">
      <alignment horizontal="center" vertical="center"/>
    </xf>
    <xf numFmtId="228" fontId="29" fillId="0" borderId="592" xfId="2" applyNumberFormat="1" applyFont="1" applyFill="1" applyBorder="1" applyAlignment="1">
      <alignment horizontal="center" vertical="center"/>
    </xf>
    <xf numFmtId="228" fontId="177" fillId="125" borderId="464" xfId="2" applyNumberFormat="1" applyFont="1" applyFill="1" applyBorder="1" applyAlignment="1">
      <alignment horizontal="center" vertical="center" wrapText="1"/>
    </xf>
    <xf numFmtId="228" fontId="177" fillId="125" borderId="601" xfId="2" applyNumberFormat="1" applyFont="1" applyFill="1" applyBorder="1" applyAlignment="1">
      <alignment horizontal="center" vertical="center" wrapText="1"/>
    </xf>
    <xf numFmtId="228" fontId="177" fillId="125" borderId="599" xfId="2" applyNumberFormat="1" applyFont="1" applyFill="1" applyBorder="1" applyAlignment="1">
      <alignment horizontal="center" vertical="center" wrapText="1"/>
    </xf>
    <xf numFmtId="228" fontId="29" fillId="117" borderId="45" xfId="2" applyNumberFormat="1" applyFont="1" applyFill="1" applyBorder="1" applyAlignment="1">
      <alignment horizontal="center" vertical="center" wrapText="1"/>
    </xf>
    <xf numFmtId="228" fontId="29" fillId="0" borderId="45" xfId="2" applyNumberFormat="1" applyFont="1" applyFill="1" applyBorder="1" applyAlignment="1">
      <alignment horizontal="center" vertical="center" wrapText="1"/>
    </xf>
    <xf numFmtId="228" fontId="29" fillId="0" borderId="62" xfId="2" applyNumberFormat="1" applyFont="1" applyFill="1" applyBorder="1" applyAlignment="1">
      <alignment horizontal="center" vertical="center" wrapText="1"/>
    </xf>
    <xf numFmtId="228" fontId="29" fillId="0" borderId="121" xfId="2" applyNumberFormat="1" applyFont="1" applyFill="1" applyBorder="1" applyAlignment="1">
      <alignment horizontal="center" vertical="center" wrapText="1"/>
    </xf>
    <xf numFmtId="228" fontId="29" fillId="117" borderId="601" xfId="2" applyNumberFormat="1" applyFont="1" applyFill="1" applyBorder="1" applyAlignment="1">
      <alignment horizontal="center" vertical="center" wrapText="1"/>
    </xf>
    <xf numFmtId="228" fontId="29" fillId="0" borderId="601" xfId="2" applyNumberFormat="1" applyFont="1" applyFill="1" applyBorder="1" applyAlignment="1">
      <alignment horizontal="center" vertical="center" wrapText="1"/>
    </xf>
    <xf numFmtId="228" fontId="29" fillId="0" borderId="597" xfId="2" applyNumberFormat="1" applyFont="1" applyFill="1" applyBorder="1" applyAlignment="1">
      <alignment horizontal="center" vertical="center" wrapText="1"/>
    </xf>
    <xf numFmtId="228" fontId="29" fillId="0" borderId="608" xfId="2" applyNumberFormat="1" applyFont="1" applyFill="1" applyBorder="1" applyAlignment="1">
      <alignment horizontal="center" vertical="center" wrapText="1"/>
    </xf>
    <xf numFmtId="228" fontId="29" fillId="0" borderId="605" xfId="2" applyNumberFormat="1" applyFont="1" applyFill="1" applyBorder="1" applyAlignment="1">
      <alignment horizontal="center" vertical="center" wrapText="1"/>
    </xf>
    <xf numFmtId="228" fontId="29" fillId="0" borderId="219" xfId="2" applyNumberFormat="1" applyFont="1" applyFill="1" applyBorder="1" applyAlignment="1">
      <alignment horizontal="center" vertical="center" wrapText="1"/>
    </xf>
    <xf numFmtId="228" fontId="29" fillId="0" borderId="200" xfId="2" applyNumberFormat="1" applyFont="1" applyFill="1" applyBorder="1" applyAlignment="1">
      <alignment horizontal="center" vertical="center" wrapText="1"/>
    </xf>
    <xf numFmtId="228" fontId="29" fillId="0" borderId="607" xfId="2" applyNumberFormat="1" applyFont="1" applyFill="1" applyBorder="1" applyAlignment="1">
      <alignment horizontal="center" vertical="center" wrapText="1"/>
    </xf>
    <xf numFmtId="228" fontId="177" fillId="125" borderId="514" xfId="2" applyNumberFormat="1" applyFont="1" applyFill="1" applyBorder="1" applyAlignment="1">
      <alignment horizontal="center" vertical="center" wrapText="1"/>
    </xf>
    <xf numFmtId="228" fontId="177" fillId="125" borderId="595" xfId="2" applyNumberFormat="1" applyFont="1" applyFill="1" applyBorder="1" applyAlignment="1">
      <alignment horizontal="center" vertical="center" wrapText="1"/>
    </xf>
    <xf numFmtId="228" fontId="29" fillId="0" borderId="119" xfId="2" applyNumberFormat="1" applyFont="1" applyFill="1" applyBorder="1" applyAlignment="1">
      <alignment horizontal="center" vertical="center" wrapText="1"/>
    </xf>
    <xf numFmtId="228" fontId="29" fillId="117" borderId="605" xfId="2" applyNumberFormat="1" applyFont="1" applyFill="1" applyBorder="1" applyAlignment="1">
      <alignment horizontal="center" vertical="center" wrapText="1"/>
    </xf>
    <xf numFmtId="228" fontId="177" fillId="125" borderId="512" xfId="2" applyNumberFormat="1" applyFont="1" applyFill="1" applyBorder="1" applyAlignment="1">
      <alignment horizontal="center" vertical="center" wrapText="1"/>
    </xf>
    <xf numFmtId="3" fontId="170" fillId="7" borderId="0" xfId="0" applyNumberFormat="1" applyFont="1" applyFill="1" applyAlignment="1">
      <alignment horizontal="center" vertical="center"/>
    </xf>
    <xf numFmtId="178" fontId="58" fillId="7" borderId="667" xfId="0" applyNumberFormat="1" applyFont="1" applyFill="1" applyBorder="1" applyAlignment="1">
      <alignment horizontal="center" vertical="center"/>
    </xf>
    <xf numFmtId="41" fontId="170" fillId="0" borderId="0" xfId="2" applyFont="1" applyBorder="1" applyAlignment="1">
      <alignment horizontal="right" vertical="center"/>
    </xf>
    <xf numFmtId="0" fontId="177" fillId="125" borderId="606" xfId="0" applyFont="1" applyFill="1" applyBorder="1" applyAlignment="1">
      <alignment horizontal="center" vertical="center" wrapText="1"/>
    </xf>
    <xf numFmtId="0" fontId="177" fillId="125" borderId="517" xfId="0" applyFont="1" applyFill="1" applyBorder="1" applyAlignment="1">
      <alignment horizontal="center" vertical="center" wrapText="1" readingOrder="1"/>
    </xf>
    <xf numFmtId="0" fontId="177" fillId="125" borderId="204" xfId="0" applyFont="1" applyFill="1" applyBorder="1" applyAlignment="1">
      <alignment horizontal="center" vertical="center" wrapText="1" readingOrder="1"/>
    </xf>
    <xf numFmtId="9" fontId="29" fillId="0" borderId="668" xfId="1" applyFont="1" applyBorder="1" applyAlignment="1">
      <alignment horizontal="center" vertical="center" wrapText="1"/>
    </xf>
    <xf numFmtId="9" fontId="186" fillId="0" borderId="668" xfId="1" applyFont="1" applyBorder="1" applyAlignment="1">
      <alignment horizontal="center" vertical="center" wrapText="1"/>
    </xf>
    <xf numFmtId="9" fontId="177" fillId="125" borderId="668" xfId="1" applyFont="1" applyFill="1" applyBorder="1" applyAlignment="1">
      <alignment horizontal="center" vertical="center" wrapText="1"/>
    </xf>
    <xf numFmtId="9" fontId="187" fillId="0" borderId="668" xfId="1" applyFont="1" applyBorder="1" applyAlignment="1">
      <alignment horizontal="center" vertical="center" wrapText="1"/>
    </xf>
    <xf numFmtId="9" fontId="168" fillId="125" borderId="668" xfId="1" applyFont="1" applyFill="1" applyBorder="1" applyAlignment="1">
      <alignment horizontal="center" vertical="center" wrapText="1"/>
    </xf>
    <xf numFmtId="9" fontId="177" fillId="125" borderId="669" xfId="1" applyFont="1" applyFill="1" applyBorder="1" applyAlignment="1">
      <alignment horizontal="center" vertical="center" wrapText="1"/>
    </xf>
    <xf numFmtId="177" fontId="177" fillId="128" borderId="659" xfId="0" applyNumberFormat="1" applyFont="1" applyFill="1" applyBorder="1" applyAlignment="1">
      <alignment horizontal="center" vertical="center" wrapText="1"/>
    </xf>
    <xf numFmtId="9" fontId="177" fillId="128" borderId="659" xfId="1" applyFont="1" applyFill="1" applyBorder="1" applyAlignment="1">
      <alignment horizontal="center" vertical="center" wrapText="1"/>
    </xf>
    <xf numFmtId="0" fontId="178" fillId="127" borderId="644" xfId="0" applyFont="1" applyFill="1" applyBorder="1" applyAlignment="1">
      <alignment horizontal="center" vertical="center" wrapText="1" readingOrder="1"/>
    </xf>
    <xf numFmtId="185" fontId="166" fillId="0" borderId="643" xfId="0" applyNumberFormat="1" applyFont="1" applyBorder="1" applyAlignment="1">
      <alignment horizontal="center" vertical="center" wrapText="1"/>
    </xf>
    <xf numFmtId="0" fontId="177" fillId="125" borderId="274" xfId="0" applyFont="1" applyFill="1" applyBorder="1" applyAlignment="1">
      <alignment horizontal="center" vertical="center" wrapText="1" readingOrder="1"/>
    </xf>
    <xf numFmtId="0" fontId="177" fillId="125" borderId="275" xfId="0" applyFont="1" applyFill="1" applyBorder="1" applyAlignment="1">
      <alignment horizontal="center" vertical="center" wrapText="1" readingOrder="1"/>
    </xf>
    <xf numFmtId="9" fontId="166" fillId="0" borderId="664" xfId="1" applyFont="1" applyBorder="1" applyAlignment="1">
      <alignment horizontal="center" vertical="center" wrapText="1"/>
    </xf>
    <xf numFmtId="9" fontId="166" fillId="0" borderId="255" xfId="1" applyFont="1" applyBorder="1" applyAlignment="1">
      <alignment horizontal="center" vertical="center" wrapText="1"/>
    </xf>
    <xf numFmtId="9" fontId="29" fillId="0" borderId="255" xfId="1" applyFont="1" applyBorder="1" applyAlignment="1">
      <alignment horizontal="center" vertical="center" wrapText="1"/>
    </xf>
    <xf numFmtId="9" fontId="177" fillId="125" borderId="255" xfId="1" applyFont="1" applyFill="1" applyBorder="1" applyAlignment="1">
      <alignment horizontal="center" vertical="center" wrapText="1"/>
    </xf>
    <xf numFmtId="9" fontId="177" fillId="125" borderId="256" xfId="1" applyFont="1" applyFill="1" applyBorder="1" applyAlignment="1">
      <alignment horizontal="center" vertical="center" wrapText="1"/>
    </xf>
    <xf numFmtId="38" fontId="177" fillId="128" borderId="671" xfId="0" applyNumberFormat="1" applyFont="1" applyFill="1" applyBorder="1" applyAlignment="1">
      <alignment horizontal="center" vertical="center" wrapText="1"/>
    </xf>
    <xf numFmtId="0" fontId="177" fillId="125" borderId="672" xfId="0" applyFont="1" applyFill="1" applyBorder="1" applyAlignment="1">
      <alignment horizontal="center" vertical="center" wrapText="1" readingOrder="1"/>
    </xf>
    <xf numFmtId="9" fontId="29" fillId="0" borderId="673" xfId="1" applyFont="1" applyBorder="1" applyAlignment="1">
      <alignment horizontal="center" vertical="center" wrapText="1"/>
    </xf>
    <xf numFmtId="9" fontId="177" fillId="128" borderId="674" xfId="1" applyFont="1" applyFill="1" applyBorder="1" applyAlignment="1">
      <alignment horizontal="center" vertical="center" wrapText="1"/>
    </xf>
    <xf numFmtId="0" fontId="177" fillId="125" borderId="675" xfId="0" applyFont="1" applyFill="1" applyBorder="1" applyAlignment="1">
      <alignment horizontal="center" vertical="center" wrapText="1" readingOrder="1"/>
    </xf>
    <xf numFmtId="0" fontId="177" fillId="125" borderId="676" xfId="0" applyFont="1" applyFill="1" applyBorder="1" applyAlignment="1">
      <alignment horizontal="center" vertical="center" wrapText="1" readingOrder="1"/>
    </xf>
    <xf numFmtId="0" fontId="166" fillId="0" borderId="677" xfId="0" applyFont="1" applyBorder="1" applyAlignment="1">
      <alignment horizontal="center" vertical="center" wrapText="1"/>
    </xf>
    <xf numFmtId="223" fontId="166" fillId="0" borderId="678" xfId="0" applyNumberFormat="1" applyFont="1" applyBorder="1" applyAlignment="1">
      <alignment horizontal="center" vertical="center" wrapText="1"/>
    </xf>
    <xf numFmtId="0" fontId="166" fillId="0" borderId="679" xfId="0" applyFont="1" applyBorder="1" applyAlignment="1">
      <alignment horizontal="center" vertical="center" wrapText="1"/>
    </xf>
    <xf numFmtId="223" fontId="166" fillId="0" borderId="680" xfId="0" applyNumberFormat="1" applyFont="1" applyBorder="1" applyAlignment="1">
      <alignment horizontal="center" vertical="center" wrapText="1"/>
    </xf>
    <xf numFmtId="0" fontId="177" fillId="125" borderId="679" xfId="0" applyFont="1" applyFill="1" applyBorder="1" applyAlignment="1">
      <alignment horizontal="center" vertical="center" wrapText="1"/>
    </xf>
    <xf numFmtId="223" fontId="177" fillId="125" borderId="680" xfId="0" applyNumberFormat="1" applyFont="1" applyFill="1" applyBorder="1" applyAlignment="1">
      <alignment horizontal="center" vertical="center" wrapText="1"/>
    </xf>
    <xf numFmtId="0" fontId="29" fillId="0" borderId="679" xfId="0" applyFont="1" applyBorder="1" applyAlignment="1">
      <alignment horizontal="center" vertical="center"/>
    </xf>
    <xf numFmtId="0" fontId="166" fillId="16" borderId="679" xfId="0" applyFont="1" applyFill="1" applyBorder="1" applyAlignment="1">
      <alignment horizontal="center" vertical="center" wrapText="1"/>
    </xf>
    <xf numFmtId="223" fontId="166" fillId="16" borderId="680" xfId="0" applyNumberFormat="1" applyFont="1" applyFill="1" applyBorder="1" applyAlignment="1">
      <alignment horizontal="center" vertical="center" wrapText="1"/>
    </xf>
    <xf numFmtId="0" fontId="166" fillId="16" borderId="681" xfId="0" applyFont="1" applyFill="1" applyBorder="1" applyAlignment="1">
      <alignment horizontal="center" vertical="center" wrapText="1"/>
    </xf>
    <xf numFmtId="223" fontId="166" fillId="16" borderId="682" xfId="0" applyNumberFormat="1" applyFont="1" applyFill="1" applyBorder="1" applyAlignment="1">
      <alignment horizontal="center" vertical="center" wrapText="1"/>
    </xf>
    <xf numFmtId="0" fontId="177" fillId="125" borderId="683" xfId="0" applyFont="1" applyFill="1" applyBorder="1" applyAlignment="1">
      <alignment horizontal="center" vertical="center" wrapText="1"/>
    </xf>
    <xf numFmtId="223" fontId="177" fillId="125" borderId="684" xfId="0" applyNumberFormat="1" applyFont="1" applyFill="1" applyBorder="1" applyAlignment="1">
      <alignment horizontal="center" vertical="center" wrapText="1" readingOrder="1"/>
    </xf>
    <xf numFmtId="0" fontId="177" fillId="128" borderId="685" xfId="0" applyFont="1" applyFill="1" applyBorder="1" applyAlignment="1">
      <alignment horizontal="center" vertical="center" wrapText="1"/>
    </xf>
    <xf numFmtId="223" fontId="177" fillId="128" borderId="686" xfId="0" applyNumberFormat="1" applyFont="1" applyFill="1" applyBorder="1" applyAlignment="1">
      <alignment horizontal="center" vertical="center" wrapText="1"/>
    </xf>
    <xf numFmtId="3" fontId="0" fillId="0" borderId="606" xfId="0" applyNumberFormat="1" applyBorder="1" applyAlignment="1">
      <alignment horizontal="center" vertical="center"/>
    </xf>
    <xf numFmtId="3" fontId="0" fillId="0" borderId="6" xfId="0" applyNumberFormat="1" applyBorder="1" applyAlignment="1">
      <alignment horizontal="center" vertical="center"/>
    </xf>
    <xf numFmtId="3" fontId="0" fillId="0" borderId="38" xfId="0" applyNumberFormat="1" applyBorder="1" applyAlignment="1">
      <alignment horizontal="center" vertical="center"/>
    </xf>
    <xf numFmtId="3" fontId="0" fillId="0" borderId="605" xfId="0" applyNumberFormat="1" applyBorder="1" applyAlignment="1">
      <alignment horizontal="center" vertical="center"/>
    </xf>
    <xf numFmtId="0" fontId="178" fillId="127" borderId="120" xfId="0" applyFont="1" applyFill="1" applyBorder="1" applyAlignment="1">
      <alignment horizontal="center" vertical="center" wrapText="1" readingOrder="1"/>
    </xf>
    <xf numFmtId="185" fontId="166" fillId="0" borderId="120" xfId="0" applyNumberFormat="1" applyFont="1" applyBorder="1" applyAlignment="1">
      <alignment horizontal="center" vertical="center" wrapText="1"/>
    </xf>
    <xf numFmtId="38" fontId="166" fillId="0" borderId="120" xfId="1" applyNumberFormat="1" applyFont="1" applyBorder="1" applyAlignment="1">
      <alignment horizontal="center" vertical="center" wrapText="1"/>
    </xf>
    <xf numFmtId="0" fontId="178" fillId="127" borderId="606" xfId="0" applyFont="1" applyFill="1" applyBorder="1" applyAlignment="1">
      <alignment horizontal="center" vertical="center" wrapText="1" readingOrder="1"/>
    </xf>
    <xf numFmtId="185" fontId="166" fillId="0" borderId="606" xfId="0" applyNumberFormat="1" applyFont="1" applyBorder="1" applyAlignment="1">
      <alignment horizontal="center" vertical="center" wrapText="1"/>
    </xf>
    <xf numFmtId="38" fontId="166" fillId="0" borderId="606" xfId="1" applyNumberFormat="1" applyFont="1" applyBorder="1" applyAlignment="1">
      <alignment horizontal="center" vertical="center" wrapText="1"/>
    </xf>
    <xf numFmtId="0" fontId="177" fillId="125" borderId="606" xfId="0" applyFont="1" applyFill="1" applyBorder="1" applyAlignment="1">
      <alignment horizontal="center" vertical="center" wrapText="1" readingOrder="1"/>
    </xf>
    <xf numFmtId="38" fontId="177" fillId="125" borderId="606" xfId="1" applyNumberFormat="1" applyFont="1" applyFill="1" applyBorder="1" applyAlignment="1">
      <alignment horizontal="center" vertical="center" wrapText="1"/>
    </xf>
    <xf numFmtId="0" fontId="178" fillId="127" borderId="606" xfId="0" applyFont="1" applyFill="1" applyBorder="1" applyAlignment="1">
      <alignment horizontal="center" vertical="center" wrapText="1"/>
    </xf>
    <xf numFmtId="9" fontId="29" fillId="0" borderId="605" xfId="1" applyFont="1" applyBorder="1" applyAlignment="1">
      <alignment horizontal="center" vertical="center" wrapText="1"/>
    </xf>
    <xf numFmtId="0" fontId="177" fillId="125" borderId="687" xfId="0" applyFont="1" applyFill="1" applyBorder="1" applyAlignment="1">
      <alignment horizontal="center" vertical="center" wrapText="1"/>
    </xf>
    <xf numFmtId="0" fontId="166" fillId="0" borderId="688" xfId="0" applyFont="1" applyBorder="1" applyAlignment="1">
      <alignment horizontal="center" vertical="center" wrapText="1"/>
    </xf>
    <xf numFmtId="0" fontId="166" fillId="0" borderId="689" xfId="0" applyFont="1" applyBorder="1" applyAlignment="1">
      <alignment horizontal="center" vertical="center" wrapText="1"/>
    </xf>
    <xf numFmtId="0" fontId="177" fillId="125" borderId="689" xfId="0" applyFont="1" applyFill="1" applyBorder="1" applyAlignment="1">
      <alignment horizontal="center" vertical="center" wrapText="1"/>
    </xf>
    <xf numFmtId="0" fontId="29" fillId="0" borderId="689" xfId="0" applyFont="1" applyBorder="1" applyAlignment="1">
      <alignment horizontal="center" vertical="center"/>
    </xf>
    <xf numFmtId="0" fontId="166" fillId="16" borderId="689" xfId="0" applyFont="1" applyFill="1" applyBorder="1" applyAlignment="1">
      <alignment horizontal="center" vertical="center" wrapText="1"/>
    </xf>
    <xf numFmtId="0" fontId="177" fillId="125" borderId="600" xfId="0" applyFont="1" applyFill="1" applyBorder="1" applyAlignment="1">
      <alignment horizontal="center" vertical="center" wrapText="1" readingOrder="1"/>
    </xf>
    <xf numFmtId="185" fontId="177" fillId="125" borderId="600" xfId="0" applyNumberFormat="1" applyFont="1" applyFill="1" applyBorder="1" applyAlignment="1">
      <alignment horizontal="center" vertical="center" wrapText="1"/>
    </xf>
    <xf numFmtId="38" fontId="177" fillId="125" borderId="600" xfId="1" applyNumberFormat="1" applyFont="1" applyFill="1" applyBorder="1" applyAlignment="1">
      <alignment horizontal="center" vertical="center" wrapText="1"/>
    </xf>
    <xf numFmtId="0" fontId="177" fillId="125" borderId="699" xfId="0" applyFont="1" applyFill="1" applyBorder="1" applyAlignment="1">
      <alignment horizontal="center" vertical="center" wrapText="1"/>
    </xf>
    <xf numFmtId="0" fontId="178" fillId="127" borderId="120" xfId="0" applyFont="1" applyFill="1" applyBorder="1" applyAlignment="1">
      <alignment horizontal="center" vertical="center" wrapText="1"/>
    </xf>
    <xf numFmtId="0" fontId="166" fillId="16" borderId="688" xfId="0" applyFont="1" applyFill="1" applyBorder="1" applyAlignment="1">
      <alignment horizontal="center" vertical="center" wrapText="1"/>
    </xf>
    <xf numFmtId="0" fontId="58" fillId="0" borderId="0" xfId="0" quotePrefix="1" applyFont="1">
      <alignment vertical="center"/>
    </xf>
    <xf numFmtId="0" fontId="44" fillId="0" borderId="613" xfId="0" applyFont="1" applyBorder="1">
      <alignment vertical="center"/>
    </xf>
    <xf numFmtId="0" fontId="177" fillId="125" borderId="700" xfId="0" applyFont="1" applyFill="1" applyBorder="1" applyAlignment="1">
      <alignment horizontal="center" vertical="center" wrapText="1" readingOrder="1"/>
    </xf>
    <xf numFmtId="0" fontId="177" fillId="125" borderId="701" xfId="0" applyFont="1" applyFill="1" applyBorder="1" applyAlignment="1">
      <alignment horizontal="center" vertical="center" wrapText="1" readingOrder="1"/>
    </xf>
    <xf numFmtId="0" fontId="177" fillId="125" borderId="702" xfId="0" applyFont="1" applyFill="1" applyBorder="1" applyAlignment="1">
      <alignment horizontal="center" vertical="center" wrapText="1" readingOrder="1"/>
    </xf>
    <xf numFmtId="0" fontId="46" fillId="0" borderId="703" xfId="0" applyFont="1" applyBorder="1" applyAlignment="1">
      <alignment horizontal="center" vertical="center"/>
    </xf>
    <xf numFmtId="0" fontId="46" fillId="0" borderId="697" xfId="0" applyFont="1" applyBorder="1" applyAlignment="1">
      <alignment horizontal="center" vertical="center"/>
    </xf>
    <xf numFmtId="0" fontId="46" fillId="0" borderId="704" xfId="0" applyFont="1" applyBorder="1" applyAlignment="1">
      <alignment horizontal="center" vertical="center"/>
    </xf>
    <xf numFmtId="3" fontId="0" fillId="0" borderId="705" xfId="0" applyNumberFormat="1" applyBorder="1" applyAlignment="1">
      <alignment horizontal="center" vertical="center"/>
    </xf>
    <xf numFmtId="3" fontId="0" fillId="0" borderId="706" xfId="0" applyNumberFormat="1" applyBorder="1" applyAlignment="1">
      <alignment horizontal="center" vertical="center"/>
    </xf>
    <xf numFmtId="0" fontId="177" fillId="125" borderId="707" xfId="0" applyFont="1" applyFill="1" applyBorder="1" applyAlignment="1">
      <alignment horizontal="center" vertical="center" wrapText="1" readingOrder="1"/>
    </xf>
    <xf numFmtId="3" fontId="46" fillId="0" borderId="708" xfId="0" applyNumberFormat="1" applyFont="1" applyBorder="1" applyAlignment="1">
      <alignment horizontal="center" vertical="center"/>
    </xf>
    <xf numFmtId="3" fontId="46" fillId="0" borderId="709" xfId="0" applyNumberFormat="1" applyFont="1" applyBorder="1" applyAlignment="1">
      <alignment horizontal="center" vertical="center"/>
    </xf>
    <xf numFmtId="3" fontId="46" fillId="0" borderId="710" xfId="0" applyNumberFormat="1" applyFont="1" applyBorder="1" applyAlignment="1">
      <alignment horizontal="center" vertical="center"/>
    </xf>
    <xf numFmtId="0" fontId="177" fillId="125" borderId="713" xfId="0" applyFont="1" applyFill="1" applyBorder="1" applyAlignment="1">
      <alignment horizontal="center" vertical="center" wrapText="1" readingOrder="1"/>
    </xf>
    <xf numFmtId="223" fontId="166" fillId="0" borderId="45" xfId="0" applyNumberFormat="1" applyFont="1" applyBorder="1" applyAlignment="1">
      <alignment horizontal="center" vertical="center" wrapText="1"/>
    </xf>
    <xf numFmtId="223" fontId="166" fillId="0" borderId="605" xfId="0" applyNumberFormat="1" applyFont="1" applyBorder="1" applyAlignment="1">
      <alignment horizontal="center" vertical="center" wrapText="1"/>
    </xf>
    <xf numFmtId="223" fontId="177" fillId="125" borderId="605" xfId="0" applyNumberFormat="1" applyFont="1" applyFill="1" applyBorder="1" applyAlignment="1">
      <alignment horizontal="center" vertical="center" wrapText="1"/>
    </xf>
    <xf numFmtId="223" fontId="177" fillId="125" borderId="601" xfId="0" applyNumberFormat="1" applyFont="1" applyFill="1" applyBorder="1" applyAlignment="1">
      <alignment horizontal="center" vertical="center" wrapText="1"/>
    </xf>
    <xf numFmtId="223" fontId="166" fillId="16" borderId="45" xfId="0" applyNumberFormat="1" applyFont="1" applyFill="1" applyBorder="1" applyAlignment="1">
      <alignment horizontal="center" vertical="center" wrapText="1"/>
    </xf>
    <xf numFmtId="223" fontId="166" fillId="16" borderId="605" xfId="0" applyNumberFormat="1" applyFont="1" applyFill="1" applyBorder="1" applyAlignment="1">
      <alignment horizontal="center" vertical="center" wrapText="1"/>
    </xf>
    <xf numFmtId="0" fontId="177" fillId="125" borderId="714" xfId="0" applyFont="1" applyFill="1" applyBorder="1" applyAlignment="1">
      <alignment horizontal="center" vertical="center" wrapText="1" readingOrder="1"/>
    </xf>
    <xf numFmtId="0" fontId="177" fillId="125" borderId="600" xfId="0" applyFont="1" applyFill="1" applyBorder="1" applyAlignment="1">
      <alignment horizontal="center" vertical="center" wrapText="1"/>
    </xf>
    <xf numFmtId="9" fontId="177" fillId="125" borderId="601" xfId="1" applyFont="1" applyFill="1" applyBorder="1" applyAlignment="1">
      <alignment horizontal="center" vertical="center" wrapText="1"/>
    </xf>
    <xf numFmtId="223" fontId="177" fillId="125" borderId="601" xfId="0" applyNumberFormat="1" applyFont="1" applyFill="1" applyBorder="1" applyAlignment="1">
      <alignment horizontal="center" vertical="center" wrapText="1" readingOrder="1"/>
    </xf>
    <xf numFmtId="177" fontId="177" fillId="128" borderId="725" xfId="0" applyNumberFormat="1" applyFont="1" applyFill="1" applyBorder="1" applyAlignment="1">
      <alignment horizontal="center" vertical="center" wrapText="1"/>
    </xf>
    <xf numFmtId="38" fontId="177" fillId="128" borderId="718" xfId="0" applyNumberFormat="1" applyFont="1" applyFill="1" applyBorder="1" applyAlignment="1">
      <alignment horizontal="center" vertical="center" wrapText="1"/>
    </xf>
    <xf numFmtId="0" fontId="177" fillId="128" borderId="726" xfId="0" applyFont="1" applyFill="1" applyBorder="1" applyAlignment="1">
      <alignment horizontal="center" vertical="center" wrapText="1"/>
    </xf>
    <xf numFmtId="223" fontId="177" fillId="128" borderId="724" xfId="0" applyNumberFormat="1" applyFont="1" applyFill="1" applyBorder="1" applyAlignment="1">
      <alignment horizontal="center" vertical="center" wrapText="1"/>
    </xf>
    <xf numFmtId="223" fontId="166" fillId="0" borderId="38" xfId="0" applyNumberFormat="1" applyFont="1" applyBorder="1" applyAlignment="1">
      <alignment horizontal="center" vertical="center" wrapText="1"/>
    </xf>
    <xf numFmtId="223" fontId="177" fillId="125" borderId="38" xfId="0" applyNumberFormat="1" applyFont="1" applyFill="1" applyBorder="1" applyAlignment="1">
      <alignment horizontal="center" vertical="center" wrapText="1"/>
    </xf>
    <xf numFmtId="223" fontId="177" fillId="125" borderId="328" xfId="0" applyNumberFormat="1" applyFont="1" applyFill="1" applyBorder="1" applyAlignment="1">
      <alignment horizontal="center" vertical="center" wrapText="1"/>
    </xf>
    <xf numFmtId="177" fontId="177" fillId="128" borderId="719" xfId="0" applyNumberFormat="1" applyFont="1" applyFill="1" applyBorder="1" applyAlignment="1">
      <alignment horizontal="center" vertical="center" wrapText="1"/>
    </xf>
    <xf numFmtId="177" fontId="29" fillId="0" borderId="38" xfId="0" applyNumberFormat="1" applyFont="1" applyBorder="1" applyAlignment="1">
      <alignment horizontal="center" vertical="center" wrapText="1"/>
    </xf>
    <xf numFmtId="177" fontId="177" fillId="125" borderId="38" xfId="0" applyNumberFormat="1" applyFont="1" applyFill="1" applyBorder="1" applyAlignment="1">
      <alignment horizontal="center" vertical="center" wrapText="1"/>
    </xf>
    <xf numFmtId="0" fontId="185" fillId="138" borderId="616" xfId="0" applyFont="1" applyFill="1" applyBorder="1" applyAlignment="1">
      <alignment horizontal="center" vertical="center"/>
    </xf>
    <xf numFmtId="0" fontId="185" fillId="138" borderId="313" xfId="0" applyFont="1" applyFill="1" applyBorder="1" applyAlignment="1">
      <alignment horizontal="center" vertical="center"/>
    </xf>
    <xf numFmtId="0" fontId="185" fillId="138" borderId="617" xfId="0" applyFont="1" applyFill="1" applyBorder="1" applyAlignment="1">
      <alignment horizontal="center" vertical="center"/>
    </xf>
    <xf numFmtId="0" fontId="185" fillId="138" borderId="312" xfId="0" applyFont="1" applyFill="1" applyBorder="1" applyAlignment="1">
      <alignment horizontal="center" vertical="center"/>
    </xf>
    <xf numFmtId="0" fontId="185" fillId="138" borderId="314" xfId="0" applyFont="1" applyFill="1" applyBorder="1" applyAlignment="1">
      <alignment horizontal="center" vertical="center"/>
    </xf>
    <xf numFmtId="0" fontId="185" fillId="146" borderId="121" xfId="0" applyFont="1" applyFill="1" applyBorder="1" applyAlignment="1">
      <alignment horizontal="center" vertical="center"/>
    </xf>
    <xf numFmtId="0" fontId="185" fillId="146" borderId="608" xfId="0" applyFont="1" applyFill="1" applyBorder="1" applyAlignment="1">
      <alignment horizontal="center" vertical="center"/>
    </xf>
    <xf numFmtId="0" fontId="185" fillId="146" borderId="515" xfId="0" applyFont="1" applyFill="1" applyBorder="1" applyAlignment="1">
      <alignment horizontal="center" vertical="center"/>
    </xf>
    <xf numFmtId="177" fontId="125" fillId="0" borderId="5" xfId="0" applyNumberFormat="1" applyFont="1" applyBorder="1" applyAlignment="1">
      <alignment horizontal="center" vertical="center"/>
    </xf>
    <xf numFmtId="177" fontId="125" fillId="0" borderId="120" xfId="0" applyNumberFormat="1" applyFont="1" applyBorder="1" applyAlignment="1">
      <alignment horizontal="center" vertical="center"/>
    </xf>
    <xf numFmtId="177" fontId="125" fillId="0" borderId="606" xfId="0" applyNumberFormat="1" applyFont="1" applyBorder="1" applyAlignment="1">
      <alignment horizontal="center" vertical="center"/>
    </xf>
    <xf numFmtId="177" fontId="125" fillId="0" borderId="513" xfId="0" applyNumberFormat="1" applyFont="1" applyBorder="1" applyAlignment="1">
      <alignment horizontal="center" vertical="center"/>
    </xf>
    <xf numFmtId="177" fontId="125" fillId="0" borderId="210" xfId="0" applyNumberFormat="1" applyFont="1" applyBorder="1" applyAlignment="1">
      <alignment horizontal="center" vertical="center"/>
    </xf>
    <xf numFmtId="246" fontId="125" fillId="0" borderId="5" xfId="0" applyNumberFormat="1" applyFont="1" applyBorder="1" applyAlignment="1">
      <alignment horizontal="center" vertical="center"/>
    </xf>
    <xf numFmtId="246" fontId="125" fillId="0" borderId="328" xfId="0" applyNumberFormat="1" applyFont="1" applyBorder="1" applyAlignment="1">
      <alignment horizontal="center" vertical="center"/>
    </xf>
    <xf numFmtId="246" fontId="125" fillId="0" borderId="120" xfId="0" applyNumberFormat="1" applyFont="1" applyBorder="1" applyAlignment="1">
      <alignment horizontal="center" vertical="center"/>
    </xf>
    <xf numFmtId="246" fontId="125" fillId="0" borderId="45" xfId="0" applyNumberFormat="1" applyFont="1" applyBorder="1" applyAlignment="1">
      <alignment horizontal="center" vertical="center"/>
    </xf>
    <xf numFmtId="246" fontId="125" fillId="0" borderId="606" xfId="0" applyNumberFormat="1" applyFont="1" applyBorder="1" applyAlignment="1">
      <alignment horizontal="center" vertical="center"/>
    </xf>
    <xf numFmtId="246" fontId="125" fillId="0" borderId="605" xfId="0" applyNumberFormat="1" applyFont="1" applyBorder="1" applyAlignment="1">
      <alignment horizontal="center" vertical="center"/>
    </xf>
    <xf numFmtId="246" fontId="125" fillId="0" borderId="513" xfId="0" applyNumberFormat="1" applyFont="1" applyBorder="1" applyAlignment="1">
      <alignment horizontal="center" vertical="center"/>
    </xf>
    <xf numFmtId="246" fontId="125" fillId="0" borderId="514" xfId="0" applyNumberFormat="1" applyFont="1" applyBorder="1" applyAlignment="1">
      <alignment horizontal="center" vertical="center"/>
    </xf>
    <xf numFmtId="246" fontId="125" fillId="0" borderId="210" xfId="0" applyNumberFormat="1" applyFont="1" applyBorder="1" applyAlignment="1">
      <alignment horizontal="center" vertical="center"/>
    </xf>
    <xf numFmtId="246" fontId="125" fillId="0" borderId="160" xfId="0" applyNumberFormat="1" applyFont="1" applyBorder="1" applyAlignment="1">
      <alignment horizontal="center" vertical="center"/>
    </xf>
    <xf numFmtId="0" fontId="177" fillId="125" borderId="513" xfId="0" applyFont="1" applyFill="1" applyBorder="1" applyAlignment="1">
      <alignment horizontal="center" vertical="center" wrapText="1"/>
    </xf>
    <xf numFmtId="0" fontId="177" fillId="125" borderId="512" xfId="0" applyFont="1" applyFill="1" applyBorder="1" applyAlignment="1">
      <alignment horizontal="center" vertical="center" wrapText="1"/>
    </xf>
    <xf numFmtId="0" fontId="178" fillId="127" borderId="38" xfId="0" applyFont="1" applyFill="1" applyBorder="1" applyAlignment="1">
      <alignment horizontal="center" vertical="center" wrapText="1"/>
    </xf>
    <xf numFmtId="0" fontId="177" fillId="125" borderId="605" xfId="0" applyFont="1" applyFill="1" applyBorder="1" applyAlignment="1">
      <alignment horizontal="center" vertical="center" wrapText="1"/>
    </xf>
    <xf numFmtId="0" fontId="177" fillId="125" borderId="514" xfId="0" applyFont="1" applyFill="1" applyBorder="1" applyAlignment="1">
      <alignment horizontal="center" vertical="center" wrapText="1"/>
    </xf>
    <xf numFmtId="0" fontId="177" fillId="125" borderId="605" xfId="0" applyFont="1" applyFill="1" applyBorder="1" applyAlignment="1">
      <alignment horizontal="center" vertical="center" wrapText="1"/>
    </xf>
    <xf numFmtId="0" fontId="177" fillId="125" borderId="513" xfId="0" applyFont="1" applyFill="1" applyBorder="1" applyAlignment="1">
      <alignment horizontal="center" vertical="center" wrapText="1"/>
    </xf>
    <xf numFmtId="0" fontId="178" fillId="127" borderId="38" xfId="0" applyFont="1" applyFill="1" applyBorder="1" applyAlignment="1">
      <alignment horizontal="center" vertical="center" wrapText="1"/>
    </xf>
    <xf numFmtId="0" fontId="175" fillId="0" borderId="606" xfId="0" applyFont="1" applyBorder="1" applyAlignment="1">
      <alignment horizontal="center" vertical="center" wrapText="1"/>
    </xf>
    <xf numFmtId="0" fontId="222" fillId="128" borderId="606" xfId="0" applyFont="1" applyFill="1" applyBorder="1" applyAlignment="1">
      <alignment horizontal="center" vertical="center" wrapText="1"/>
    </xf>
    <xf numFmtId="3" fontId="175" fillId="0" borderId="606" xfId="0" applyNumberFormat="1" applyFont="1" applyBorder="1" applyAlignment="1">
      <alignment horizontal="center" vertical="center" wrapText="1"/>
    </xf>
    <xf numFmtId="0" fontId="0" fillId="125" borderId="606" xfId="0" applyFill="1" applyBorder="1">
      <alignment vertical="center"/>
    </xf>
    <xf numFmtId="9" fontId="29" fillId="0" borderId="608" xfId="1" applyFont="1" applyBorder="1" applyAlignment="1">
      <alignment horizontal="center" vertical="center" wrapText="1"/>
    </xf>
    <xf numFmtId="9" fontId="177" fillId="125" borderId="608" xfId="1" applyFont="1" applyFill="1" applyBorder="1" applyAlignment="1">
      <alignment horizontal="center" vertical="center" wrapText="1"/>
    </xf>
    <xf numFmtId="0" fontId="178" fillId="127" borderId="605" xfId="0" applyFont="1" applyFill="1" applyBorder="1" applyAlignment="1">
      <alignment horizontal="center" vertical="center" wrapText="1" readingOrder="1"/>
    </xf>
    <xf numFmtId="0" fontId="178" fillId="127" borderId="605" xfId="0" applyFont="1" applyFill="1" applyBorder="1" applyAlignment="1">
      <alignment horizontal="center" vertical="center" wrapText="1"/>
    </xf>
    <xf numFmtId="9" fontId="29" fillId="0" borderId="605" xfId="0" applyNumberFormat="1" applyFont="1" applyFill="1" applyBorder="1" applyAlignment="1">
      <alignment horizontal="center" vertical="center" wrapText="1" readingOrder="1"/>
    </xf>
    <xf numFmtId="0" fontId="175" fillId="0" borderId="613" xfId="0" applyFont="1" applyBorder="1" applyAlignment="1">
      <alignment horizontal="center" vertical="center" wrapText="1"/>
    </xf>
    <xf numFmtId="0" fontId="166" fillId="16" borderId="607" xfId="0" applyFont="1" applyFill="1" applyBorder="1" applyAlignment="1">
      <alignment horizontal="center" vertical="center" wrapText="1"/>
    </xf>
    <xf numFmtId="0" fontId="177" fillId="125" borderId="592" xfId="0" applyFont="1" applyFill="1" applyBorder="1" applyAlignment="1">
      <alignment horizontal="center" vertical="center" wrapText="1" readingOrder="1"/>
    </xf>
    <xf numFmtId="0" fontId="177" fillId="125" borderId="601" xfId="0" applyFont="1" applyFill="1" applyBorder="1" applyAlignment="1">
      <alignment horizontal="center" vertical="center" wrapText="1" readingOrder="1"/>
    </xf>
    <xf numFmtId="3" fontId="175" fillId="0" borderId="613" xfId="0" applyNumberFormat="1" applyFont="1" applyBorder="1" applyAlignment="1">
      <alignment horizontal="center" vertical="center" wrapText="1"/>
    </xf>
    <xf numFmtId="3" fontId="166" fillId="0" borderId="607" xfId="0" applyNumberFormat="1" applyFont="1" applyBorder="1" applyAlignment="1">
      <alignment horizontal="center" vertical="center" wrapText="1"/>
    </xf>
    <xf numFmtId="38" fontId="166" fillId="0" borderId="607" xfId="0" applyNumberFormat="1" applyFont="1" applyBorder="1" applyAlignment="1">
      <alignment horizontal="center" vertical="center" wrapText="1"/>
    </xf>
    <xf numFmtId="3" fontId="166" fillId="16" borderId="607" xfId="0" applyNumberFormat="1" applyFont="1" applyFill="1" applyBorder="1" applyAlignment="1">
      <alignment horizontal="center" vertical="center" wrapText="1"/>
    </xf>
    <xf numFmtId="3" fontId="177" fillId="125" borderId="607" xfId="0" applyNumberFormat="1" applyFont="1" applyFill="1" applyBorder="1" applyAlignment="1">
      <alignment horizontal="center" vertical="center" wrapText="1" readingOrder="1"/>
    </xf>
    <xf numFmtId="0" fontId="178" fillId="127" borderId="38" xfId="0" applyFont="1" applyFill="1" applyBorder="1" applyAlignment="1">
      <alignment horizontal="center" vertical="center" wrapText="1" readingOrder="1"/>
    </xf>
    <xf numFmtId="3" fontId="175" fillId="0" borderId="6" xfId="0" applyNumberFormat="1" applyFont="1" applyBorder="1" applyAlignment="1">
      <alignment horizontal="center" vertical="center" wrapText="1"/>
    </xf>
    <xf numFmtId="3" fontId="175" fillId="0" borderId="23" xfId="0" applyNumberFormat="1" applyFont="1" applyBorder="1" applyAlignment="1">
      <alignment horizontal="center" vertical="center" wrapText="1"/>
    </xf>
    <xf numFmtId="3" fontId="166" fillId="0" borderId="219" xfId="0" applyNumberFormat="1" applyFont="1" applyBorder="1" applyAlignment="1">
      <alignment horizontal="center" vertical="center" wrapText="1"/>
    </xf>
    <xf numFmtId="38" fontId="166" fillId="0" borderId="6" xfId="1" applyNumberFormat="1" applyFont="1" applyBorder="1" applyAlignment="1">
      <alignment horizontal="center" vertical="center" wrapText="1"/>
    </xf>
    <xf numFmtId="9" fontId="29" fillId="0" borderId="200" xfId="1" applyFont="1" applyBorder="1" applyAlignment="1">
      <alignment horizontal="center" vertical="center" wrapText="1"/>
    </xf>
    <xf numFmtId="0" fontId="177" fillId="125" borderId="512" xfId="0" applyFont="1" applyFill="1" applyBorder="1" applyAlignment="1">
      <alignment horizontal="center" vertical="center" wrapText="1" readingOrder="1"/>
    </xf>
    <xf numFmtId="0" fontId="177" fillId="125" borderId="515" xfId="0" applyFont="1" applyFill="1" applyBorder="1" applyAlignment="1">
      <alignment horizontal="center" vertical="center" wrapText="1" readingOrder="1"/>
    </xf>
    <xf numFmtId="0" fontId="177" fillId="125" borderId="516" xfId="0" applyFont="1" applyFill="1" applyBorder="1" applyAlignment="1">
      <alignment horizontal="center" vertical="center" wrapText="1" readingOrder="1"/>
    </xf>
    <xf numFmtId="0" fontId="177" fillId="125" borderId="514" xfId="0" applyFont="1" applyFill="1" applyBorder="1" applyAlignment="1">
      <alignment horizontal="center" vertical="center" wrapText="1" readingOrder="1"/>
    </xf>
    <xf numFmtId="3" fontId="177" fillId="125" borderId="599" xfId="0" applyNumberFormat="1" applyFont="1" applyFill="1" applyBorder="1" applyAlignment="1">
      <alignment horizontal="center" vertical="center" wrapText="1"/>
    </xf>
    <xf numFmtId="9" fontId="177" fillId="125" borderId="592" xfId="1" applyFont="1" applyFill="1" applyBorder="1" applyAlignment="1">
      <alignment horizontal="center" vertical="center" wrapText="1"/>
    </xf>
    <xf numFmtId="3" fontId="166" fillId="16" borderId="219" xfId="0" applyNumberFormat="1" applyFont="1" applyFill="1" applyBorder="1" applyAlignment="1">
      <alignment horizontal="center" vertical="center" wrapText="1"/>
    </xf>
    <xf numFmtId="0" fontId="178" fillId="127" borderId="45" xfId="0" applyFont="1" applyFill="1" applyBorder="1" applyAlignment="1">
      <alignment horizontal="center" vertical="center" wrapText="1" readingOrder="1"/>
    </xf>
    <xf numFmtId="3" fontId="175" fillId="0" borderId="120" xfId="0" applyNumberFormat="1" applyFont="1" applyBorder="1" applyAlignment="1">
      <alignment horizontal="center" vertical="center" wrapText="1"/>
    </xf>
    <xf numFmtId="3" fontId="175" fillId="0" borderId="47" xfId="0" applyNumberFormat="1" applyFont="1" applyBorder="1" applyAlignment="1">
      <alignment horizontal="center" vertical="center" wrapText="1"/>
    </xf>
    <xf numFmtId="3" fontId="166" fillId="0" borderId="119" xfId="0" applyNumberFormat="1" applyFont="1" applyBorder="1" applyAlignment="1">
      <alignment horizontal="center" vertical="center" wrapText="1"/>
    </xf>
    <xf numFmtId="3" fontId="177" fillId="125" borderId="512" xfId="0" applyNumberFormat="1" applyFont="1" applyFill="1" applyBorder="1" applyAlignment="1">
      <alignment horizontal="center" vertical="center" wrapText="1"/>
    </xf>
    <xf numFmtId="38" fontId="177" fillId="125" borderId="513" xfId="1" applyNumberFormat="1" applyFont="1" applyFill="1" applyBorder="1" applyAlignment="1">
      <alignment horizontal="center" vertical="center" wrapText="1"/>
    </xf>
    <xf numFmtId="0" fontId="177" fillId="125" borderId="601" xfId="0" applyFont="1" applyFill="1" applyBorder="1" applyAlignment="1">
      <alignment horizontal="center" vertical="center" wrapText="1" readingOrder="1"/>
    </xf>
    <xf numFmtId="0" fontId="270" fillId="147" borderId="599" xfId="0" applyFont="1" applyFill="1" applyBorder="1" applyAlignment="1">
      <alignment horizontal="center" vertical="center" wrapText="1"/>
    </xf>
    <xf numFmtId="0" fontId="268" fillId="147" borderId="600" xfId="0" applyFont="1" applyFill="1" applyBorder="1" applyAlignment="1">
      <alignment horizontal="center" vertical="center" wrapText="1" readingOrder="1"/>
    </xf>
    <xf numFmtId="0" fontId="270" fillId="147" borderId="602" xfId="0" applyFont="1" applyFill="1" applyBorder="1" applyAlignment="1">
      <alignment horizontal="center" vertical="center" wrapText="1"/>
    </xf>
    <xf numFmtId="0" fontId="175" fillId="0" borderId="6" xfId="0" applyFont="1" applyBorder="1" applyAlignment="1">
      <alignment horizontal="center" vertical="center" wrapText="1"/>
    </xf>
    <xf numFmtId="0" fontId="175" fillId="0" borderId="23" xfId="0" applyFont="1" applyBorder="1" applyAlignment="1">
      <alignment horizontal="center" vertical="center" wrapText="1"/>
    </xf>
    <xf numFmtId="9" fontId="29" fillId="0" borderId="38" xfId="0" applyNumberFormat="1" applyFont="1" applyFill="1" applyBorder="1" applyAlignment="1">
      <alignment horizontal="center" vertical="center" wrapText="1" readingOrder="1"/>
    </xf>
    <xf numFmtId="0" fontId="29" fillId="0" borderId="219" xfId="0" applyFont="1" applyBorder="1" applyAlignment="1">
      <alignment horizontal="center" vertical="center"/>
    </xf>
    <xf numFmtId="185" fontId="166" fillId="0" borderId="6" xfId="0" applyNumberFormat="1" applyFont="1" applyBorder="1" applyAlignment="1">
      <alignment horizontal="center" vertical="center" wrapText="1"/>
    </xf>
    <xf numFmtId="0" fontId="175" fillId="0" borderId="120" xfId="0" applyFont="1" applyBorder="1" applyAlignment="1">
      <alignment horizontal="center" vertical="center" wrapText="1"/>
    </xf>
    <xf numFmtId="0" fontId="175" fillId="0" borderId="47" xfId="0" applyFont="1" applyBorder="1" applyAlignment="1">
      <alignment horizontal="center" vertical="center" wrapText="1"/>
    </xf>
    <xf numFmtId="9" fontId="29" fillId="0" borderId="45" xfId="0" applyNumberFormat="1" applyFont="1" applyFill="1" applyBorder="1" applyAlignment="1">
      <alignment horizontal="center" vertical="center" wrapText="1" readingOrder="1"/>
    </xf>
    <xf numFmtId="0" fontId="166" fillId="0" borderId="119" xfId="0" applyFont="1" applyBorder="1" applyAlignment="1">
      <alignment horizontal="center" vertical="center" wrapText="1"/>
    </xf>
    <xf numFmtId="9" fontId="29" fillId="0" borderId="121" xfId="1" applyFont="1" applyBorder="1" applyAlignment="1">
      <alignment horizontal="center" vertical="center" wrapText="1"/>
    </xf>
    <xf numFmtId="0" fontId="269" fillId="147" borderId="516" xfId="0" applyFont="1" applyFill="1" applyBorder="1" applyAlignment="1">
      <alignment horizontal="center" vertical="center" wrapText="1"/>
    </xf>
    <xf numFmtId="0" fontId="269" fillId="147" borderId="513" xfId="0" applyFont="1" applyFill="1" applyBorder="1" applyAlignment="1">
      <alignment horizontal="center" vertical="center" wrapText="1"/>
    </xf>
    <xf numFmtId="9" fontId="177" fillId="125" borderId="514" xfId="0" applyNumberFormat="1" applyFont="1" applyFill="1" applyBorder="1" applyAlignment="1">
      <alignment horizontal="center" vertical="center" wrapText="1" readingOrder="1"/>
    </xf>
    <xf numFmtId="9" fontId="177" fillId="125" borderId="515" xfId="1" applyFont="1" applyFill="1" applyBorder="1" applyAlignment="1">
      <alignment horizontal="center" vertical="center" wrapText="1"/>
    </xf>
    <xf numFmtId="0" fontId="269" fillId="147" borderId="602" xfId="0" applyFont="1" applyFill="1" applyBorder="1" applyAlignment="1">
      <alignment horizontal="center" vertical="center" wrapText="1"/>
    </xf>
    <xf numFmtId="0" fontId="269" fillId="147" borderId="600" xfId="0" applyFont="1" applyFill="1" applyBorder="1" applyAlignment="1">
      <alignment horizontal="center" vertical="center" wrapText="1"/>
    </xf>
    <xf numFmtId="9" fontId="177" fillId="125" borderId="601" xfId="0" applyNumberFormat="1" applyFont="1" applyFill="1" applyBorder="1" applyAlignment="1">
      <alignment horizontal="center" vertical="center" wrapText="1" readingOrder="1"/>
    </xf>
    <xf numFmtId="0" fontId="177" fillId="125" borderId="599" xfId="0" applyFont="1" applyFill="1" applyBorder="1" applyAlignment="1">
      <alignment horizontal="center" vertical="center" wrapText="1"/>
    </xf>
    <xf numFmtId="0" fontId="178" fillId="127" borderId="45" xfId="0" applyFont="1" applyFill="1" applyBorder="1" applyAlignment="1">
      <alignment horizontal="center" vertical="center" wrapText="1"/>
    </xf>
    <xf numFmtId="0" fontId="166" fillId="16" borderId="119" xfId="0" applyFont="1" applyFill="1" applyBorder="1" applyAlignment="1">
      <alignment horizontal="center" vertical="center" wrapText="1"/>
    </xf>
    <xf numFmtId="0" fontId="271" fillId="147" borderId="513" xfId="0" applyFont="1" applyFill="1" applyBorder="1" applyAlignment="1">
      <alignment horizontal="center" vertical="center" wrapText="1"/>
    </xf>
    <xf numFmtId="0" fontId="271" fillId="147" borderId="600" xfId="0" applyFont="1" applyFill="1" applyBorder="1" applyAlignment="1">
      <alignment horizontal="center" vertical="center" wrapText="1"/>
    </xf>
    <xf numFmtId="0" fontId="168" fillId="128" borderId="159" xfId="0" applyFont="1" applyFill="1" applyBorder="1" applyAlignment="1">
      <alignment horizontal="center" vertical="center" wrapText="1"/>
    </xf>
    <xf numFmtId="177" fontId="168" fillId="128" borderId="210" xfId="0" applyNumberFormat="1" applyFont="1" applyFill="1" applyBorder="1" applyAlignment="1">
      <alignment horizontal="center" vertical="center" wrapText="1"/>
    </xf>
    <xf numFmtId="9" fontId="168" fillId="128" borderId="161" xfId="1" applyFont="1" applyFill="1" applyBorder="1" applyAlignment="1">
      <alignment horizontal="center" vertical="center" wrapText="1"/>
    </xf>
    <xf numFmtId="3" fontId="271" fillId="147" borderId="600" xfId="0" applyNumberFormat="1" applyFont="1" applyFill="1" applyBorder="1" applyAlignment="1">
      <alignment horizontal="center" vertical="center" wrapText="1"/>
    </xf>
    <xf numFmtId="3" fontId="271" fillId="147" borderId="602" xfId="0" applyNumberFormat="1" applyFont="1" applyFill="1" applyBorder="1" applyAlignment="1">
      <alignment horizontal="center" vertical="center" wrapText="1"/>
    </xf>
    <xf numFmtId="9" fontId="271" fillId="147" borderId="601" xfId="0" applyNumberFormat="1" applyFont="1" applyFill="1" applyBorder="1" applyAlignment="1">
      <alignment horizontal="center" vertical="center" wrapText="1"/>
    </xf>
    <xf numFmtId="3" fontId="271" fillId="147" borderId="513" xfId="0" applyNumberFormat="1" applyFont="1" applyFill="1" applyBorder="1" applyAlignment="1">
      <alignment horizontal="center" vertical="center" wrapText="1"/>
    </xf>
    <xf numFmtId="3" fontId="271" fillId="147" borderId="516" xfId="0" applyNumberFormat="1" applyFont="1" applyFill="1" applyBorder="1" applyAlignment="1">
      <alignment horizontal="center" vertical="center" wrapText="1"/>
    </xf>
    <xf numFmtId="9" fontId="271" fillId="147" borderId="514" xfId="0" applyNumberFormat="1" applyFont="1" applyFill="1" applyBorder="1" applyAlignment="1">
      <alignment horizontal="center" vertical="center" wrapText="1"/>
    </xf>
    <xf numFmtId="3" fontId="271" fillId="147" borderId="606" xfId="0" applyNumberFormat="1" applyFont="1" applyFill="1" applyBorder="1" applyAlignment="1">
      <alignment horizontal="center" vertical="center" wrapText="1"/>
    </xf>
    <xf numFmtId="3" fontId="271" fillId="147" borderId="613" xfId="0" applyNumberFormat="1" applyFont="1" applyFill="1" applyBorder="1" applyAlignment="1">
      <alignment horizontal="center" vertical="center" wrapText="1" readingOrder="1"/>
    </xf>
    <xf numFmtId="9" fontId="271" fillId="147" borderId="605" xfId="0" applyNumberFormat="1" applyFont="1" applyFill="1" applyBorder="1" applyAlignment="1">
      <alignment horizontal="center" vertical="center" wrapText="1"/>
    </xf>
    <xf numFmtId="9" fontId="272" fillId="0" borderId="38" xfId="0" applyNumberFormat="1" applyFont="1" applyBorder="1" applyAlignment="1">
      <alignment horizontal="center" vertical="center" wrapText="1"/>
    </xf>
    <xf numFmtId="9" fontId="272" fillId="0" borderId="605" xfId="0" applyNumberFormat="1" applyFont="1" applyBorder="1" applyAlignment="1">
      <alignment horizontal="center" vertical="center" wrapText="1"/>
    </xf>
    <xf numFmtId="9" fontId="272" fillId="0" borderId="45" xfId="0" applyNumberFormat="1" applyFont="1" applyBorder="1" applyAlignment="1">
      <alignment horizontal="center" vertical="center" wrapText="1"/>
    </xf>
    <xf numFmtId="3" fontId="168" fillId="128" borderId="512" xfId="0" applyNumberFormat="1" applyFont="1" applyFill="1" applyBorder="1" applyAlignment="1">
      <alignment horizontal="center" vertical="center" wrapText="1"/>
    </xf>
    <xf numFmtId="38" fontId="168" fillId="128" borderId="513" xfId="0" applyNumberFormat="1" applyFont="1" applyFill="1" applyBorder="1" applyAlignment="1">
      <alignment horizontal="center" vertical="center" wrapText="1"/>
    </xf>
    <xf numFmtId="9" fontId="168" fillId="128" borderId="515" xfId="1" applyFont="1" applyFill="1" applyBorder="1" applyAlignment="1">
      <alignment horizontal="center" vertical="center" wrapText="1"/>
    </xf>
    <xf numFmtId="0" fontId="177" fillId="125" borderId="729" xfId="0" applyFont="1" applyFill="1" applyBorder="1" applyAlignment="1">
      <alignment horizontal="center" vertical="center" wrapText="1" readingOrder="1"/>
    </xf>
    <xf numFmtId="0" fontId="177" fillId="125" borderId="733" xfId="0" applyFont="1" applyFill="1" applyBorder="1" applyAlignment="1">
      <alignment horizontal="center" vertical="center" wrapText="1" readingOrder="1"/>
    </xf>
    <xf numFmtId="9" fontId="29" fillId="0" borderId="548" xfId="1" applyFont="1" applyBorder="1" applyAlignment="1">
      <alignment horizontal="center" vertical="center" wrapText="1"/>
    </xf>
    <xf numFmtId="9" fontId="29" fillId="0" borderId="539" xfId="1" applyFont="1" applyBorder="1" applyAlignment="1">
      <alignment horizontal="center" vertical="center" wrapText="1"/>
    </xf>
    <xf numFmtId="9" fontId="177" fillId="125" borderId="566" xfId="1" applyFont="1" applyFill="1" applyBorder="1" applyAlignment="1">
      <alignment horizontal="center" vertical="center" wrapText="1"/>
    </xf>
    <xf numFmtId="9" fontId="29" fillId="0" borderId="549" xfId="1" applyFont="1" applyBorder="1" applyAlignment="1">
      <alignment horizontal="center" vertical="center" wrapText="1"/>
    </xf>
    <xf numFmtId="9" fontId="177" fillId="125" borderId="733" xfId="1" applyFont="1" applyFill="1" applyBorder="1" applyAlignment="1">
      <alignment horizontal="center" vertical="center" wrapText="1"/>
    </xf>
    <xf numFmtId="0" fontId="222" fillId="148" borderId="737" xfId="0" applyFont="1" applyFill="1" applyBorder="1" applyAlignment="1">
      <alignment horizontal="center" vertical="center" wrapText="1"/>
    </xf>
    <xf numFmtId="0" fontId="222" fillId="148" borderId="738" xfId="0" applyFont="1" applyFill="1" applyBorder="1" applyAlignment="1">
      <alignment horizontal="center" vertical="center" wrapText="1"/>
    </xf>
    <xf numFmtId="9" fontId="168" fillId="128" borderId="736" xfId="0" applyNumberFormat="1" applyFont="1" applyFill="1" applyBorder="1" applyAlignment="1">
      <alignment horizontal="center" vertical="center" wrapText="1" readingOrder="1"/>
    </xf>
    <xf numFmtId="177" fontId="168" fillId="128" borderId="737" xfId="0" applyNumberFormat="1" applyFont="1" applyFill="1" applyBorder="1" applyAlignment="1">
      <alignment horizontal="center" vertical="center" wrapText="1"/>
    </xf>
    <xf numFmtId="9" fontId="168" fillId="128" borderId="739" xfId="1" applyFont="1" applyFill="1" applyBorder="1" applyAlignment="1">
      <alignment horizontal="center" vertical="center" wrapText="1"/>
    </xf>
    <xf numFmtId="0" fontId="270" fillId="147" borderId="698" xfId="0" applyFont="1" applyFill="1" applyBorder="1" applyAlignment="1">
      <alignment horizontal="center" vertical="center" wrapText="1"/>
    </xf>
    <xf numFmtId="0" fontId="175" fillId="0" borderId="696" xfId="0" applyFont="1" applyBorder="1" applyAlignment="1">
      <alignment horizontal="center" vertical="center" wrapText="1"/>
    </xf>
    <xf numFmtId="9" fontId="29" fillId="0" borderId="548" xfId="0" applyNumberFormat="1" applyFont="1" applyFill="1" applyBorder="1" applyAlignment="1">
      <alignment horizontal="center" vertical="center" wrapText="1" readingOrder="1"/>
    </xf>
    <xf numFmtId="0" fontId="175" fillId="0" borderId="697" xfId="0" applyFont="1" applyBorder="1" applyAlignment="1">
      <alignment horizontal="center" vertical="center" wrapText="1"/>
    </xf>
    <xf numFmtId="9" fontId="29" fillId="0" borderId="539" xfId="0" applyNumberFormat="1" applyFont="1" applyFill="1" applyBorder="1" applyAlignment="1">
      <alignment horizontal="center" vertical="center" wrapText="1" readingOrder="1"/>
    </xf>
    <xf numFmtId="0" fontId="271" fillId="147" borderId="734" xfId="0" applyFont="1" applyFill="1" applyBorder="1" applyAlignment="1">
      <alignment horizontal="center" vertical="center" wrapText="1"/>
    </xf>
    <xf numFmtId="9" fontId="177" fillId="125" borderId="566" xfId="0" applyNumberFormat="1" applyFont="1" applyFill="1" applyBorder="1" applyAlignment="1">
      <alignment horizontal="center" vertical="center" wrapText="1" readingOrder="1"/>
    </xf>
    <xf numFmtId="0" fontId="175" fillId="0" borderId="703" xfId="0" applyFont="1" applyBorder="1" applyAlignment="1">
      <alignment horizontal="center" vertical="center" wrapText="1"/>
    </xf>
    <xf numFmtId="9" fontId="29" fillId="0" borderId="549" xfId="0" applyNumberFormat="1" applyFont="1" applyFill="1" applyBorder="1" applyAlignment="1">
      <alignment horizontal="center" vertical="center" wrapText="1" readingOrder="1"/>
    </xf>
    <xf numFmtId="0" fontId="271" fillId="147" borderId="698" xfId="0" applyFont="1" applyFill="1" applyBorder="1" applyAlignment="1">
      <alignment horizontal="center" vertical="center" wrapText="1"/>
    </xf>
    <xf numFmtId="9" fontId="177" fillId="125" borderId="733" xfId="0" applyNumberFormat="1" applyFont="1" applyFill="1" applyBorder="1" applyAlignment="1">
      <alignment horizontal="center" vertical="center" wrapText="1" readingOrder="1"/>
    </xf>
    <xf numFmtId="0" fontId="222" fillId="128" borderId="697" xfId="0" applyFont="1" applyFill="1" applyBorder="1" applyAlignment="1">
      <alignment horizontal="center" vertical="center" wrapText="1"/>
    </xf>
    <xf numFmtId="9" fontId="177" fillId="128" borderId="539" xfId="0" applyNumberFormat="1" applyFont="1" applyFill="1" applyBorder="1" applyAlignment="1">
      <alignment horizontal="center" vertical="center" wrapText="1" readingOrder="1"/>
    </xf>
    <xf numFmtId="0" fontId="222" fillId="148" borderId="735" xfId="0" applyFont="1" applyFill="1" applyBorder="1" applyAlignment="1">
      <alignment horizontal="center" vertical="center" wrapText="1"/>
    </xf>
    <xf numFmtId="9" fontId="168" fillId="128" borderId="739" xfId="0" applyNumberFormat="1" applyFont="1" applyFill="1" applyBorder="1" applyAlignment="1">
      <alignment horizontal="center" vertical="center" wrapText="1" readingOrder="1"/>
    </xf>
    <xf numFmtId="0" fontId="166" fillId="0" borderId="696" xfId="0" applyFont="1" applyBorder="1" applyAlignment="1">
      <alignment horizontal="center" vertical="center" wrapText="1"/>
    </xf>
    <xf numFmtId="0" fontId="166" fillId="0" borderId="697" xfId="0" applyFont="1" applyBorder="1" applyAlignment="1">
      <alignment horizontal="center" vertical="center" wrapText="1"/>
    </xf>
    <xf numFmtId="0" fontId="177" fillId="125" borderId="734" xfId="0" applyFont="1" applyFill="1" applyBorder="1" applyAlignment="1">
      <alignment horizontal="center" vertical="center" wrapText="1"/>
    </xf>
    <xf numFmtId="0" fontId="29" fillId="0" borderId="703" xfId="0" applyFont="1" applyBorder="1" applyAlignment="1">
      <alignment horizontal="center" vertical="center"/>
    </xf>
    <xf numFmtId="0" fontId="177" fillId="125" borderId="698" xfId="0" applyFont="1" applyFill="1" applyBorder="1" applyAlignment="1">
      <alignment horizontal="center" vertical="center" wrapText="1"/>
    </xf>
    <xf numFmtId="0" fontId="166" fillId="16" borderId="696" xfId="0" applyFont="1" applyFill="1" applyBorder="1" applyAlignment="1">
      <alignment horizontal="center" vertical="center" wrapText="1"/>
    </xf>
    <xf numFmtId="0" fontId="166" fillId="16" borderId="697" xfId="0" applyFont="1" applyFill="1" applyBorder="1" applyAlignment="1">
      <alignment horizontal="center" vertical="center" wrapText="1"/>
    </xf>
    <xf numFmtId="0" fontId="168" fillId="128" borderId="735" xfId="0" applyFont="1" applyFill="1" applyBorder="1" applyAlignment="1">
      <alignment horizontal="center" vertical="center" wrapText="1"/>
    </xf>
    <xf numFmtId="0" fontId="177" fillId="125" borderId="613" xfId="0" applyFont="1" applyFill="1" applyBorder="1" applyAlignment="1">
      <alignment horizontal="center" vertical="center" wrapText="1" readingOrder="1"/>
    </xf>
    <xf numFmtId="0" fontId="44" fillId="0" borderId="613" xfId="0" applyFont="1" applyBorder="1" applyAlignment="1">
      <alignment vertical="center" wrapText="1"/>
    </xf>
    <xf numFmtId="0" fontId="177" fillId="125" borderId="566" xfId="0" applyFont="1" applyFill="1" applyBorder="1" applyAlignment="1">
      <alignment horizontal="center" vertical="center" wrapText="1" readingOrder="1"/>
    </xf>
    <xf numFmtId="9" fontId="177" fillId="125" borderId="539" xfId="1" applyFont="1" applyFill="1" applyBorder="1" applyAlignment="1">
      <alignment horizontal="center" vertical="center" wrapText="1"/>
    </xf>
    <xf numFmtId="3" fontId="222" fillId="148" borderId="705" xfId="0" applyNumberFormat="1" applyFont="1" applyFill="1" applyBorder="1" applyAlignment="1">
      <alignment horizontal="center" vertical="center" wrapText="1"/>
    </xf>
    <xf numFmtId="3" fontId="222" fillId="148" borderId="740" xfId="0" applyNumberFormat="1" applyFont="1" applyFill="1" applyBorder="1" applyAlignment="1">
      <alignment horizontal="center" vertical="center" wrapText="1"/>
    </xf>
    <xf numFmtId="9" fontId="222" fillId="148" borderId="706" xfId="0" applyNumberFormat="1" applyFont="1" applyFill="1" applyBorder="1" applyAlignment="1">
      <alignment horizontal="center" vertical="center" wrapText="1"/>
    </xf>
    <xf numFmtId="38" fontId="168" fillId="128" borderId="705" xfId="0" applyNumberFormat="1" applyFont="1" applyFill="1" applyBorder="1" applyAlignment="1">
      <alignment horizontal="center" vertical="center" wrapText="1"/>
    </xf>
    <xf numFmtId="9" fontId="168" fillId="128" borderId="741" xfId="1" applyFont="1" applyFill="1" applyBorder="1" applyAlignment="1">
      <alignment horizontal="center" vertical="center" wrapText="1"/>
    </xf>
    <xf numFmtId="0" fontId="177" fillId="125" borderId="734" xfId="0" applyFont="1" applyFill="1" applyBorder="1" applyAlignment="1">
      <alignment horizontal="center" vertical="center" wrapText="1" readingOrder="1"/>
    </xf>
    <xf numFmtId="3" fontId="175" fillId="0" borderId="703" xfId="0" applyNumberFormat="1" applyFont="1" applyBorder="1" applyAlignment="1">
      <alignment horizontal="center" vertical="center" wrapText="1"/>
    </xf>
    <xf numFmtId="9" fontId="175" fillId="0" borderId="549" xfId="0" applyNumberFormat="1" applyFont="1" applyBorder="1" applyAlignment="1">
      <alignment horizontal="center" vertical="center" wrapText="1"/>
    </xf>
    <xf numFmtId="3" fontId="175" fillId="0" borderId="697" xfId="0" applyNumberFormat="1" applyFont="1" applyBorder="1" applyAlignment="1">
      <alignment horizontal="center" vertical="center" wrapText="1"/>
    </xf>
    <xf numFmtId="9" fontId="175" fillId="0" borderId="539" xfId="0" applyNumberFormat="1" applyFont="1" applyBorder="1" applyAlignment="1">
      <alignment horizontal="center" vertical="center" wrapText="1"/>
    </xf>
    <xf numFmtId="3" fontId="271" fillId="147" borderId="698" xfId="0" applyNumberFormat="1" applyFont="1" applyFill="1" applyBorder="1" applyAlignment="1">
      <alignment horizontal="center" vertical="center" wrapText="1"/>
    </xf>
    <xf numFmtId="9" fontId="271" fillId="147" borderId="733" xfId="0" applyNumberFormat="1" applyFont="1" applyFill="1" applyBorder="1" applyAlignment="1">
      <alignment horizontal="center" vertical="center" wrapText="1"/>
    </xf>
    <xf numFmtId="3" fontId="175" fillId="0" borderId="696" xfId="0" applyNumberFormat="1" applyFont="1" applyBorder="1" applyAlignment="1">
      <alignment horizontal="center" vertical="center" wrapText="1"/>
    </xf>
    <xf numFmtId="9" fontId="175" fillId="0" borderId="548" xfId="0" applyNumberFormat="1" applyFont="1" applyBorder="1" applyAlignment="1">
      <alignment horizontal="center" vertical="center" wrapText="1"/>
    </xf>
    <xf numFmtId="3" fontId="271" fillId="147" borderId="734" xfId="0" applyNumberFormat="1" applyFont="1" applyFill="1" applyBorder="1" applyAlignment="1">
      <alignment horizontal="center" vertical="center" wrapText="1"/>
    </xf>
    <xf numFmtId="9" fontId="271" fillId="147" borderId="566" xfId="0" applyNumberFormat="1" applyFont="1" applyFill="1" applyBorder="1" applyAlignment="1">
      <alignment horizontal="center" vertical="center" wrapText="1"/>
    </xf>
    <xf numFmtId="0" fontId="0" fillId="125" borderId="697" xfId="0" applyFill="1" applyBorder="1">
      <alignment vertical="center"/>
    </xf>
    <xf numFmtId="0" fontId="0" fillId="125" borderId="539" xfId="0" applyFill="1" applyBorder="1">
      <alignment vertical="center"/>
    </xf>
    <xf numFmtId="3" fontId="271" fillId="147" borderId="697" xfId="0" applyNumberFormat="1" applyFont="1" applyFill="1" applyBorder="1" applyAlignment="1">
      <alignment horizontal="center" vertical="center" wrapText="1" readingOrder="1"/>
    </xf>
    <xf numFmtId="9" fontId="271" fillId="147" borderId="539" xfId="0" applyNumberFormat="1" applyFont="1" applyFill="1" applyBorder="1" applyAlignment="1">
      <alignment horizontal="center" vertical="center" wrapText="1"/>
    </xf>
    <xf numFmtId="3" fontId="222" fillId="148" borderId="704" xfId="0" applyNumberFormat="1" applyFont="1" applyFill="1" applyBorder="1" applyAlignment="1">
      <alignment horizontal="center" vertical="center" wrapText="1"/>
    </xf>
    <xf numFmtId="9" fontId="222" fillId="148" borderId="741" xfId="0" applyNumberFormat="1" applyFont="1" applyFill="1" applyBorder="1" applyAlignment="1">
      <alignment horizontal="center" vertical="center" wrapText="1"/>
    </xf>
    <xf numFmtId="3" fontId="166" fillId="0" borderId="703" xfId="0" applyNumberFormat="1" applyFont="1" applyBorder="1" applyAlignment="1">
      <alignment horizontal="center" vertical="center" wrapText="1"/>
    </xf>
    <xf numFmtId="3" fontId="166" fillId="0" borderId="697" xfId="0" applyNumberFormat="1" applyFont="1" applyBorder="1" applyAlignment="1">
      <alignment horizontal="center" vertical="center" wrapText="1"/>
    </xf>
    <xf numFmtId="38" fontId="166" fillId="0" borderId="697" xfId="0" applyNumberFormat="1" applyFont="1" applyBorder="1" applyAlignment="1">
      <alignment horizontal="center" vertical="center" wrapText="1"/>
    </xf>
    <xf numFmtId="3" fontId="177" fillId="125" borderId="698" xfId="0" applyNumberFormat="1" applyFont="1" applyFill="1" applyBorder="1" applyAlignment="1">
      <alignment horizontal="center" vertical="center" wrapText="1"/>
    </xf>
    <xf numFmtId="3" fontId="166" fillId="0" borderId="696" xfId="0" applyNumberFormat="1" applyFont="1" applyBorder="1" applyAlignment="1">
      <alignment horizontal="center" vertical="center" wrapText="1"/>
    </xf>
    <xf numFmtId="3" fontId="177" fillId="125" borderId="734" xfId="0" applyNumberFormat="1" applyFont="1" applyFill="1" applyBorder="1" applyAlignment="1">
      <alignment horizontal="center" vertical="center" wrapText="1"/>
    </xf>
    <xf numFmtId="3" fontId="166" fillId="16" borderId="703" xfId="0" applyNumberFormat="1" applyFont="1" applyFill="1" applyBorder="1" applyAlignment="1">
      <alignment horizontal="center" vertical="center" wrapText="1"/>
    </xf>
    <xf numFmtId="3" fontId="166" fillId="16" borderId="697" xfId="0" applyNumberFormat="1" applyFont="1" applyFill="1" applyBorder="1" applyAlignment="1">
      <alignment horizontal="center" vertical="center" wrapText="1"/>
    </xf>
    <xf numFmtId="3" fontId="177" fillId="125" borderId="697" xfId="0" applyNumberFormat="1" applyFont="1" applyFill="1" applyBorder="1" applyAlignment="1">
      <alignment horizontal="center" vertical="center" wrapText="1" readingOrder="1"/>
    </xf>
    <xf numFmtId="3" fontId="168" fillId="128" borderId="704" xfId="0" applyNumberFormat="1" applyFont="1" applyFill="1" applyBorder="1" applyAlignment="1">
      <alignment horizontal="center" vertical="center" wrapText="1"/>
    </xf>
    <xf numFmtId="177" fontId="206" fillId="3" borderId="721" xfId="0" applyNumberFormat="1" applyFont="1" applyFill="1" applyBorder="1" applyAlignment="1">
      <alignment horizontal="center" vertical="center"/>
    </xf>
    <xf numFmtId="38" fontId="166" fillId="0" borderId="38" xfId="1" applyNumberFormat="1" applyFont="1" applyBorder="1" applyAlignment="1">
      <alignment horizontal="center" vertical="center" wrapText="1"/>
    </xf>
    <xf numFmtId="38" fontId="177" fillId="125" borderId="601" xfId="1" applyNumberFormat="1" applyFont="1" applyFill="1" applyBorder="1" applyAlignment="1">
      <alignment horizontal="center" vertical="center" wrapText="1"/>
    </xf>
    <xf numFmtId="38" fontId="168" fillId="128" borderId="706" xfId="0" applyNumberFormat="1" applyFont="1" applyFill="1" applyBorder="1" applyAlignment="1">
      <alignment horizontal="center" vertical="center" wrapText="1"/>
    </xf>
    <xf numFmtId="0" fontId="270" fillId="147" borderId="601" xfId="0" applyFont="1" applyFill="1" applyBorder="1" applyAlignment="1">
      <alignment horizontal="center" vertical="center" wrapText="1" readingOrder="1"/>
    </xf>
    <xf numFmtId="238" fontId="166" fillId="0" borderId="332" xfId="0" applyNumberFormat="1" applyFont="1" applyBorder="1" applyAlignment="1">
      <alignment horizontal="center" vertical="center" wrapText="1"/>
    </xf>
    <xf numFmtId="238" fontId="166" fillId="0" borderId="606" xfId="0" applyNumberFormat="1" applyFont="1" applyBorder="1" applyAlignment="1">
      <alignment horizontal="center" vertical="center" wrapText="1"/>
    </xf>
    <xf numFmtId="238" fontId="177" fillId="125" borderId="514" xfId="0" applyNumberFormat="1" applyFont="1" applyFill="1" applyBorder="1" applyAlignment="1">
      <alignment horizontal="center" vertical="center" wrapText="1"/>
    </xf>
    <xf numFmtId="238" fontId="168" fillId="128" borderId="736" xfId="0" applyNumberFormat="1" applyFont="1" applyFill="1" applyBorder="1" applyAlignment="1">
      <alignment horizontal="center" vertical="center" wrapText="1"/>
    </xf>
    <xf numFmtId="9" fontId="29" fillId="0" borderId="38" xfId="1" applyFont="1" applyBorder="1" applyAlignment="1">
      <alignment horizontal="center" vertical="center" wrapText="1"/>
    </xf>
    <xf numFmtId="9" fontId="29" fillId="0" borderId="45" xfId="1" applyFont="1" applyBorder="1" applyAlignment="1">
      <alignment horizontal="center" vertical="center" wrapText="1"/>
    </xf>
    <xf numFmtId="9" fontId="177" fillId="125" borderId="514" xfId="1" applyFont="1" applyFill="1" applyBorder="1" applyAlignment="1">
      <alignment horizontal="center" vertical="center" wrapText="1"/>
    </xf>
    <xf numFmtId="9" fontId="177" fillId="128" borderId="719" xfId="1" applyFont="1" applyFill="1" applyBorder="1" applyAlignment="1">
      <alignment horizontal="center" vertical="center" wrapText="1"/>
    </xf>
    <xf numFmtId="0" fontId="58" fillId="0" borderId="200" xfId="0" applyFont="1" applyBorder="1" applyAlignment="1">
      <alignment horizontal="center" vertical="center" wrapText="1"/>
    </xf>
    <xf numFmtId="223" fontId="58" fillId="0" borderId="600" xfId="0" applyNumberFormat="1" applyFont="1" applyBorder="1" applyAlignment="1">
      <alignment horizontal="center" vertical="center"/>
    </xf>
    <xf numFmtId="223" fontId="58" fillId="0" borderId="5" xfId="0" applyNumberFormat="1" applyFont="1" applyBorder="1" applyAlignment="1">
      <alignment horizontal="center" vertical="center"/>
    </xf>
    <xf numFmtId="223" fontId="58" fillId="0" borderId="6" xfId="0" applyNumberFormat="1" applyFont="1" applyBorder="1" applyAlignment="1">
      <alignment horizontal="center" vertical="center"/>
    </xf>
    <xf numFmtId="3" fontId="58" fillId="0" borderId="0" xfId="0" applyNumberFormat="1" applyFont="1" applyFill="1">
      <alignment vertical="center"/>
    </xf>
    <xf numFmtId="177" fontId="37" fillId="7" borderId="0" xfId="0" applyNumberFormat="1" applyFont="1" applyFill="1" applyAlignment="1">
      <alignment horizontal="center" vertical="center"/>
    </xf>
    <xf numFmtId="177" fontId="28" fillId="7" borderId="604" xfId="0" applyNumberFormat="1" applyFont="1" applyFill="1" applyBorder="1" applyAlignment="1">
      <alignment horizontal="center" vertical="center"/>
    </xf>
    <xf numFmtId="41" fontId="31" fillId="7" borderId="0" xfId="2" applyFont="1" applyFill="1" applyAlignment="1">
      <alignment horizontal="center" vertical="center"/>
    </xf>
    <xf numFmtId="0" fontId="28" fillId="7" borderId="604" xfId="0" applyFont="1" applyFill="1" applyBorder="1" applyAlignment="1">
      <alignment horizontal="center" vertical="center"/>
    </xf>
    <xf numFmtId="187" fontId="31" fillId="7" borderId="0" xfId="2" applyNumberFormat="1" applyFont="1" applyFill="1" applyAlignment="1">
      <alignment horizontal="center" vertical="center"/>
    </xf>
    <xf numFmtId="0" fontId="24" fillId="0" borderId="0" xfId="0" applyFont="1" applyAlignment="1">
      <alignment horizontal="left" vertical="center"/>
    </xf>
    <xf numFmtId="223" fontId="166" fillId="0" borderId="715" xfId="0" applyNumberFormat="1" applyFont="1" applyBorder="1" applyAlignment="1">
      <alignment horizontal="center" vertical="center" wrapText="1"/>
    </xf>
    <xf numFmtId="223" fontId="177" fillId="125" borderId="715" xfId="0" applyNumberFormat="1" applyFont="1" applyFill="1" applyBorder="1" applyAlignment="1">
      <alignment horizontal="center" vertical="center" wrapText="1"/>
    </xf>
    <xf numFmtId="223" fontId="177" fillId="125" borderId="716" xfId="0" applyNumberFormat="1" applyFont="1" applyFill="1" applyBorder="1" applyAlignment="1">
      <alignment horizontal="center" vertical="center" wrapText="1"/>
    </xf>
    <xf numFmtId="223" fontId="177" fillId="128" borderId="727" xfId="0" applyNumberFormat="1" applyFont="1" applyFill="1" applyBorder="1" applyAlignment="1">
      <alignment horizontal="center" vertical="center" wrapText="1"/>
    </xf>
    <xf numFmtId="223" fontId="168" fillId="3" borderId="722" xfId="0" applyNumberFormat="1" applyFont="1" applyFill="1" applyBorder="1" applyAlignment="1">
      <alignment horizontal="center" vertical="center" wrapText="1"/>
    </xf>
    <xf numFmtId="0" fontId="110" fillId="0" borderId="0" xfId="0" applyFont="1" applyFill="1" applyAlignment="1" applyProtection="1">
      <alignment horizontal="center" vertical="center" wrapText="1"/>
      <protection locked="0"/>
    </xf>
    <xf numFmtId="0" fontId="242" fillId="0" borderId="0" xfId="0" applyFont="1" applyAlignment="1">
      <alignment horizontal="center" vertical="center"/>
    </xf>
    <xf numFmtId="178" fontId="29" fillId="0" borderId="600" xfId="0" applyNumberFormat="1" applyFont="1" applyBorder="1" applyAlignment="1">
      <alignment horizontal="center" vertical="center"/>
    </xf>
    <xf numFmtId="1" fontId="0" fillId="3" borderId="606" xfId="0" applyNumberFormat="1" applyFill="1" applyBorder="1" applyAlignment="1">
      <alignment horizontal="center" vertical="center"/>
    </xf>
    <xf numFmtId="0" fontId="29" fillId="5" borderId="612" xfId="0" applyFont="1" applyFill="1" applyBorder="1" applyAlignment="1">
      <alignment horizontal="center" vertical="center" wrapText="1"/>
    </xf>
    <xf numFmtId="178" fontId="29" fillId="0" borderId="624" xfId="0" applyNumberFormat="1" applyFont="1" applyBorder="1" applyAlignment="1">
      <alignment horizontal="center" vertical="center"/>
    </xf>
    <xf numFmtId="3" fontId="35" fillId="0" borderId="0" xfId="0" applyNumberFormat="1" applyFont="1" applyAlignment="1">
      <alignment horizontal="center" vertical="center"/>
    </xf>
    <xf numFmtId="177" fontId="46" fillId="0" borderId="0" xfId="0" applyNumberFormat="1" applyFont="1">
      <alignment vertical="center"/>
    </xf>
    <xf numFmtId="3" fontId="46" fillId="0" borderId="0" xfId="0" applyNumberFormat="1" applyFont="1" applyAlignment="1">
      <alignment horizontal="center" vertical="center"/>
    </xf>
    <xf numFmtId="223" fontId="58" fillId="7" borderId="600" xfId="2" applyNumberFormat="1" applyFont="1" applyFill="1" applyBorder="1" applyAlignment="1">
      <alignment horizontal="center" vertical="center"/>
    </xf>
    <xf numFmtId="223" fontId="58" fillId="7" borderId="604" xfId="2" applyNumberFormat="1" applyFont="1" applyFill="1" applyBorder="1" applyAlignment="1">
      <alignment horizontal="center" vertical="center"/>
    </xf>
    <xf numFmtId="223" fontId="58" fillId="7" borderId="601" xfId="2" applyNumberFormat="1" applyFont="1" applyFill="1" applyBorder="1" applyAlignment="1">
      <alignment horizontal="center" vertical="center"/>
    </xf>
    <xf numFmtId="223" fontId="172" fillId="0" borderId="108" xfId="0" applyNumberFormat="1" applyFont="1" applyBorder="1" applyAlignment="1">
      <alignment horizontal="center" vertical="center"/>
    </xf>
    <xf numFmtId="0" fontId="29" fillId="0" borderId="0" xfId="0" applyFont="1" applyAlignment="1">
      <alignment horizontal="center" vertical="center"/>
    </xf>
    <xf numFmtId="38" fontId="172" fillId="0" borderId="223" xfId="2" applyNumberFormat="1" applyFont="1" applyBorder="1" applyAlignment="1">
      <alignment horizontal="center" vertical="center"/>
    </xf>
    <xf numFmtId="223" fontId="172" fillId="15" borderId="222" xfId="0" applyNumberFormat="1" applyFont="1" applyFill="1" applyBorder="1" applyAlignment="1">
      <alignment horizontal="center" vertical="center"/>
    </xf>
    <xf numFmtId="4" fontId="29" fillId="7" borderId="0" xfId="0" applyNumberFormat="1" applyFont="1" applyFill="1" applyAlignment="1">
      <alignment horizontal="center" vertical="center"/>
    </xf>
    <xf numFmtId="0" fontId="29" fillId="7" borderId="607" xfId="0" applyFont="1" applyFill="1" applyBorder="1" applyAlignment="1">
      <alignment horizontal="center" vertical="center"/>
    </xf>
    <xf numFmtId="176" fontId="29" fillId="7" borderId="606" xfId="0" applyNumberFormat="1" applyFont="1" applyFill="1" applyBorder="1" applyAlignment="1">
      <alignment horizontal="center" vertical="center"/>
    </xf>
    <xf numFmtId="179" fontId="29" fillId="7" borderId="606" xfId="0" applyNumberFormat="1" applyFont="1" applyFill="1" applyBorder="1" applyAlignment="1">
      <alignment horizontal="center" vertical="center"/>
    </xf>
    <xf numFmtId="176" fontId="29" fillId="7" borderId="605" xfId="0" applyNumberFormat="1" applyFont="1" applyFill="1" applyBorder="1" applyAlignment="1">
      <alignment horizontal="center" vertical="center"/>
    </xf>
    <xf numFmtId="0" fontId="29" fillId="7" borderId="608" xfId="0" applyFont="1" applyFill="1" applyBorder="1" applyAlignment="1">
      <alignment horizontal="center" vertical="center"/>
    </xf>
    <xf numFmtId="0" fontId="29" fillId="7" borderId="513" xfId="0" applyFont="1" applyFill="1" applyBorder="1">
      <alignment vertical="center"/>
    </xf>
    <xf numFmtId="0" fontId="29" fillId="7" borderId="6" xfId="0" applyFont="1" applyFill="1" applyBorder="1">
      <alignment vertical="center"/>
    </xf>
    <xf numFmtId="0" fontId="57" fillId="130" borderId="521" xfId="0" applyFont="1" applyFill="1" applyBorder="1" applyAlignment="1">
      <alignment horizontal="center" vertical="center" wrapText="1"/>
    </xf>
    <xf numFmtId="0" fontId="57" fillId="129" borderId="521" xfId="0" applyFont="1" applyFill="1" applyBorder="1" applyAlignment="1">
      <alignment horizontal="center" vertical="center" wrapText="1"/>
    </xf>
    <xf numFmtId="176" fontId="29" fillId="7" borderId="606" xfId="0" applyNumberFormat="1" applyFont="1" applyFill="1" applyBorder="1">
      <alignment vertical="center"/>
    </xf>
    <xf numFmtId="0" fontId="29" fillId="7" borderId="120" xfId="0" applyFont="1" applyFill="1" applyBorder="1" applyAlignment="1">
      <alignment horizontal="center" vertical="center"/>
    </xf>
    <xf numFmtId="0" fontId="29" fillId="7" borderId="121" xfId="0" applyFont="1" applyFill="1" applyBorder="1" applyAlignment="1">
      <alignment horizontal="center" vertical="center"/>
    </xf>
    <xf numFmtId="179" fontId="29" fillId="7" borderId="608" xfId="0" applyNumberFormat="1" applyFont="1" applyFill="1" applyBorder="1" applyAlignment="1">
      <alignment horizontal="center" vertical="center"/>
    </xf>
    <xf numFmtId="0" fontId="29" fillId="7" borderId="512" xfId="0" applyFont="1" applyFill="1" applyBorder="1">
      <alignment vertical="center"/>
    </xf>
    <xf numFmtId="0" fontId="29" fillId="7" borderId="515" xfId="0" applyFont="1" applyFill="1" applyBorder="1">
      <alignment vertical="center"/>
    </xf>
    <xf numFmtId="4" fontId="29" fillId="7" borderId="606" xfId="0" applyNumberFormat="1" applyFont="1" applyFill="1" applyBorder="1" applyAlignment="1">
      <alignment horizontal="center" vertical="center"/>
    </xf>
    <xf numFmtId="177" fontId="29" fillId="0" borderId="0" xfId="0" applyNumberFormat="1" applyFont="1" applyAlignment="1">
      <alignment horizontal="center" vertical="center"/>
    </xf>
    <xf numFmtId="2" fontId="1" fillId="0" borderId="0" xfId="12074" applyNumberFormat="1" applyFont="1" applyAlignment="1">
      <alignment horizontal="center" vertical="center"/>
    </xf>
    <xf numFmtId="38" fontId="58" fillId="0" borderId="286" xfId="2" applyNumberFormat="1" applyFont="1" applyBorder="1" applyAlignment="1">
      <alignment horizontal="center" vertical="center"/>
    </xf>
    <xf numFmtId="3" fontId="58" fillId="149" borderId="495" xfId="0" applyNumberFormat="1" applyFont="1" applyFill="1" applyBorder="1" applyAlignment="1">
      <alignment horizontal="center" vertical="center"/>
    </xf>
    <xf numFmtId="0" fontId="172" fillId="93" borderId="693" xfId="0" applyFont="1" applyFill="1" applyBorder="1">
      <alignment vertical="center"/>
    </xf>
    <xf numFmtId="0" fontId="172" fillId="93" borderId="606" xfId="0" applyFont="1" applyFill="1" applyBorder="1">
      <alignment vertical="center"/>
    </xf>
    <xf numFmtId="0" fontId="172" fillId="93" borderId="606" xfId="0" applyFont="1" applyFill="1" applyBorder="1" applyAlignment="1">
      <alignment horizontal="center" vertical="center"/>
    </xf>
    <xf numFmtId="0" fontId="172" fillId="93" borderId="539" xfId="0" applyFont="1" applyFill="1" applyBorder="1" applyAlignment="1">
      <alignment horizontal="center" vertical="center"/>
    </xf>
    <xf numFmtId="41" fontId="172" fillId="0" borderId="606" xfId="2" applyFont="1" applyFill="1" applyBorder="1">
      <alignment vertical="center"/>
    </xf>
    <xf numFmtId="10" fontId="172" fillId="0" borderId="606" xfId="1" applyNumberFormat="1" applyFont="1" applyFill="1" applyBorder="1">
      <alignment vertical="center"/>
    </xf>
    <xf numFmtId="0" fontId="172" fillId="93" borderId="705" xfId="0" applyFont="1" applyFill="1" applyBorder="1" applyAlignment="1">
      <alignment horizontal="center" vertical="center"/>
    </xf>
    <xf numFmtId="0" fontId="172" fillId="93" borderId="705" xfId="0" applyFont="1" applyFill="1" applyBorder="1">
      <alignment vertical="center"/>
    </xf>
    <xf numFmtId="41" fontId="172" fillId="0" borderId="705" xfId="2" applyFont="1" applyFill="1" applyBorder="1">
      <alignment vertical="center"/>
    </xf>
    <xf numFmtId="0" fontId="184" fillId="93" borderId="693" xfId="0" applyFont="1" applyFill="1" applyBorder="1" applyAlignment="1">
      <alignment horizontal="center" vertical="center" wrapText="1"/>
    </xf>
    <xf numFmtId="0" fontId="184" fillId="93" borderId="693" xfId="0" applyFont="1" applyFill="1" applyBorder="1" applyAlignment="1">
      <alignment horizontal="center" vertical="center"/>
    </xf>
    <xf numFmtId="41" fontId="172" fillId="0" borderId="730" xfId="2" applyFont="1" applyFill="1" applyBorder="1">
      <alignment vertical="center"/>
    </xf>
    <xf numFmtId="41" fontId="172" fillId="0" borderId="693" xfId="2" applyFont="1" applyFill="1" applyBorder="1">
      <alignment vertical="center"/>
    </xf>
    <xf numFmtId="0" fontId="184" fillId="93" borderId="606" xfId="0" applyFont="1" applyFill="1" applyBorder="1" applyAlignment="1">
      <alignment horizontal="center" vertical="center" wrapText="1"/>
    </xf>
    <xf numFmtId="0" fontId="184" fillId="93" borderId="606" xfId="0" applyFont="1" applyFill="1" applyBorder="1" applyAlignment="1">
      <alignment horizontal="center" vertical="center"/>
    </xf>
    <xf numFmtId="41" fontId="172" fillId="0" borderId="697" xfId="2" applyFont="1" applyFill="1" applyBorder="1">
      <alignment vertical="center"/>
    </xf>
    <xf numFmtId="41" fontId="172" fillId="0" borderId="704" xfId="2" applyFont="1" applyFill="1" applyBorder="1">
      <alignment vertical="center"/>
    </xf>
    <xf numFmtId="181" fontId="177" fillId="129" borderId="717" xfId="2" applyNumberFormat="1" applyFont="1" applyFill="1" applyBorder="1">
      <alignment vertical="center"/>
    </xf>
    <xf numFmtId="181" fontId="177" fillId="129" borderId="718" xfId="2" applyNumberFormat="1" applyFont="1" applyFill="1" applyBorder="1">
      <alignment vertical="center"/>
    </xf>
    <xf numFmtId="41" fontId="172" fillId="0" borderId="606" xfId="2" applyFont="1" applyFill="1" applyBorder="1" applyAlignment="1">
      <alignment horizontal="center" vertical="center"/>
    </xf>
    <xf numFmtId="10" fontId="172" fillId="0" borderId="606" xfId="1" applyNumberFormat="1" applyFont="1" applyFill="1" applyBorder="1" applyAlignment="1">
      <alignment horizontal="center" vertical="center"/>
    </xf>
    <xf numFmtId="41" fontId="172" fillId="0" borderId="705" xfId="2" applyFont="1" applyFill="1" applyBorder="1" applyAlignment="1">
      <alignment horizontal="center" vertical="center"/>
    </xf>
    <xf numFmtId="0" fontId="172" fillId="0" borderId="693" xfId="0" applyFont="1" applyFill="1" applyBorder="1" applyAlignment="1">
      <alignment horizontal="center" vertical="center"/>
    </xf>
    <xf numFmtId="0" fontId="172" fillId="0" borderId="606" xfId="0" applyFont="1" applyFill="1" applyBorder="1" applyAlignment="1">
      <alignment horizontal="center" vertical="center"/>
    </xf>
    <xf numFmtId="0" fontId="172" fillId="0" borderId="705" xfId="0" applyFont="1" applyFill="1" applyBorder="1" applyAlignment="1">
      <alignment horizontal="center" vertical="center"/>
    </xf>
    <xf numFmtId="0" fontId="177" fillId="129" borderId="718" xfId="0" applyFont="1" applyFill="1" applyBorder="1" applyAlignment="1">
      <alignment horizontal="center" vertical="center"/>
    </xf>
    <xf numFmtId="41" fontId="172" fillId="0" borderId="539" xfId="2" applyFont="1" applyFill="1" applyBorder="1" applyAlignment="1">
      <alignment horizontal="center" vertical="center"/>
    </xf>
    <xf numFmtId="10" fontId="172" fillId="0" borderId="539" xfId="1" applyNumberFormat="1" applyFont="1" applyFill="1" applyBorder="1" applyAlignment="1">
      <alignment horizontal="center" vertical="center"/>
    </xf>
    <xf numFmtId="41" fontId="172" fillId="0" borderId="741" xfId="2" applyFont="1" applyFill="1" applyBorder="1" applyAlignment="1">
      <alignment horizontal="center" vertical="center"/>
    </xf>
    <xf numFmtId="41" fontId="172" fillId="0" borderId="693" xfId="2" applyFont="1" applyFill="1" applyBorder="1" applyAlignment="1">
      <alignment horizontal="center" vertical="center"/>
    </xf>
    <xf numFmtId="0" fontId="172" fillId="0" borderId="732" xfId="0" applyFont="1" applyFill="1" applyBorder="1" applyAlignment="1">
      <alignment horizontal="center" vertical="center"/>
    </xf>
    <xf numFmtId="0" fontId="172" fillId="0" borderId="539" xfId="0" applyFont="1" applyFill="1" applyBorder="1" applyAlignment="1">
      <alignment horizontal="center" vertical="center"/>
    </xf>
    <xf numFmtId="0" fontId="172" fillId="0" borderId="741" xfId="0" applyFont="1" applyFill="1" applyBorder="1" applyAlignment="1">
      <alignment horizontal="center" vertical="center"/>
    </xf>
    <xf numFmtId="41" fontId="58" fillId="0" borderId="0" xfId="2" applyFont="1" applyFill="1" applyAlignment="1">
      <alignment horizontal="center" vertical="center"/>
    </xf>
    <xf numFmtId="181" fontId="177" fillId="129" borderId="718" xfId="2" applyNumberFormat="1" applyFont="1" applyFill="1" applyBorder="1" applyAlignment="1">
      <alignment horizontal="center" vertical="center"/>
    </xf>
    <xf numFmtId="0" fontId="177" fillId="129" borderId="748" xfId="0" applyFont="1" applyFill="1" applyBorder="1" applyAlignment="1">
      <alignment horizontal="center" vertical="center"/>
    </xf>
    <xf numFmtId="226" fontId="58" fillId="7" borderId="749" xfId="2" applyNumberFormat="1" applyFont="1" applyFill="1" applyBorder="1" applyAlignment="1">
      <alignment horizontal="center" vertical="center"/>
    </xf>
    <xf numFmtId="187" fontId="58" fillId="7" borderId="750" xfId="2" applyNumberFormat="1" applyFont="1" applyFill="1" applyBorder="1" applyAlignment="1">
      <alignment horizontal="center" vertical="center"/>
    </xf>
    <xf numFmtId="226" fontId="58" fillId="0" borderId="751" xfId="2" applyNumberFormat="1" applyFont="1" applyFill="1" applyBorder="1" applyAlignment="1">
      <alignment horizontal="center" vertical="center"/>
    </xf>
    <xf numFmtId="226" fontId="58" fillId="0" borderId="37" xfId="2" applyNumberFormat="1" applyFont="1" applyFill="1" applyBorder="1" applyAlignment="1">
      <alignment horizontal="center" vertical="center"/>
    </xf>
    <xf numFmtId="187" fontId="58" fillId="0" borderId="752" xfId="2" applyNumberFormat="1" applyFont="1" applyFill="1" applyBorder="1" applyAlignment="1">
      <alignment horizontal="center" vertical="center"/>
    </xf>
    <xf numFmtId="187" fontId="58" fillId="0" borderId="753" xfId="2" applyNumberFormat="1" applyFont="1" applyFill="1" applyBorder="1" applyAlignment="1">
      <alignment horizontal="center" vertical="center"/>
    </xf>
    <xf numFmtId="226" fontId="58" fillId="7" borderId="754" xfId="2" applyNumberFormat="1" applyFont="1" applyFill="1" applyBorder="1" applyAlignment="1">
      <alignment horizontal="center" vertical="center"/>
    </xf>
    <xf numFmtId="187" fontId="58" fillId="7" borderId="755" xfId="2" applyNumberFormat="1" applyFont="1" applyFill="1" applyBorder="1" applyAlignment="1">
      <alignment horizontal="center" vertical="center"/>
    </xf>
    <xf numFmtId="226" fontId="58" fillId="0" borderId="756" xfId="2" applyNumberFormat="1" applyFont="1" applyFill="1" applyBorder="1" applyAlignment="1">
      <alignment horizontal="center" vertical="center"/>
    </xf>
    <xf numFmtId="226" fontId="58" fillId="0" borderId="40" xfId="2" applyNumberFormat="1" applyFont="1" applyFill="1" applyBorder="1" applyAlignment="1">
      <alignment horizontal="center" vertical="center"/>
    </xf>
    <xf numFmtId="187" fontId="58" fillId="0" borderId="585" xfId="2" applyNumberFormat="1" applyFont="1" applyFill="1" applyBorder="1" applyAlignment="1">
      <alignment horizontal="center" vertical="center"/>
    </xf>
    <xf numFmtId="187" fontId="58" fillId="0" borderId="40" xfId="2" applyNumberFormat="1" applyFont="1" applyFill="1" applyBorder="1" applyAlignment="1">
      <alignment horizontal="center" vertical="center"/>
    </xf>
    <xf numFmtId="187" fontId="58" fillId="0" borderId="757" xfId="2" applyNumberFormat="1" applyFont="1" applyFill="1" applyBorder="1" applyAlignment="1">
      <alignment horizontal="center" vertical="center"/>
    </xf>
    <xf numFmtId="187" fontId="58" fillId="0" borderId="758" xfId="2" applyNumberFormat="1" applyFont="1" applyFill="1" applyBorder="1" applyAlignment="1">
      <alignment horizontal="center" vertical="center"/>
    </xf>
    <xf numFmtId="0" fontId="29" fillId="7" borderId="0" xfId="0" applyFont="1" applyFill="1" applyBorder="1" applyAlignment="1">
      <alignment horizontal="center" vertical="center"/>
    </xf>
    <xf numFmtId="0" fontId="0" fillId="0" borderId="0" xfId="0" applyFill="1" applyAlignment="1" applyProtection="1">
      <protection locked="0"/>
    </xf>
    <xf numFmtId="0" fontId="0" fillId="0" borderId="606" xfId="0" applyBorder="1" applyAlignment="1">
      <alignment horizontal="center" vertical="center"/>
    </xf>
    <xf numFmtId="0" fontId="58" fillId="0" borderId="592" xfId="0" applyFont="1" applyFill="1" applyBorder="1" applyAlignment="1">
      <alignment horizontal="center" vertical="center" wrapText="1"/>
    </xf>
    <xf numFmtId="187" fontId="179" fillId="0" borderId="606" xfId="0" applyNumberFormat="1" applyFont="1" applyFill="1" applyBorder="1" applyAlignment="1">
      <alignment horizontal="center" vertical="center" wrapText="1" readingOrder="1"/>
    </xf>
    <xf numFmtId="187" fontId="179" fillId="0" borderId="120" xfId="0" applyNumberFormat="1" applyFont="1" applyFill="1" applyBorder="1" applyAlignment="1">
      <alignment horizontal="center" vertical="center" wrapText="1" readingOrder="1"/>
    </xf>
    <xf numFmtId="187" fontId="35" fillId="0" borderId="120" xfId="0" applyNumberFormat="1" applyFont="1" applyFill="1" applyBorder="1" applyAlignment="1">
      <alignment horizontal="center" vertical="center"/>
    </xf>
    <xf numFmtId="0" fontId="179" fillId="0" borderId="159" xfId="0" applyFont="1" applyFill="1" applyBorder="1" applyAlignment="1">
      <alignment horizontal="center" vertical="center" wrapText="1" readingOrder="1"/>
    </xf>
    <xf numFmtId="187" fontId="179" fillId="0" borderId="513" xfId="0" applyNumberFormat="1" applyFont="1" applyFill="1" applyBorder="1" applyAlignment="1">
      <alignment horizontal="center" vertical="center" wrapText="1" readingOrder="1"/>
    </xf>
    <xf numFmtId="187" fontId="35" fillId="0" borderId="513" xfId="0" applyNumberFormat="1" applyFont="1" applyFill="1" applyBorder="1" applyAlignment="1">
      <alignment horizontal="center" vertical="center"/>
    </xf>
    <xf numFmtId="0" fontId="179" fillId="3" borderId="223" xfId="0" applyFont="1" applyFill="1" applyBorder="1" applyAlignment="1">
      <alignment horizontal="center" vertical="center" wrapText="1" readingOrder="1"/>
    </xf>
    <xf numFmtId="0" fontId="35" fillId="3" borderId="224" xfId="0" applyFont="1" applyFill="1" applyBorder="1" applyAlignment="1">
      <alignment horizontal="center" vertical="center"/>
    </xf>
    <xf numFmtId="0" fontId="179" fillId="3" borderId="224" xfId="0" applyFont="1" applyFill="1" applyBorder="1" applyAlignment="1">
      <alignment horizontal="center" vertical="center" wrapText="1" readingOrder="1"/>
    </xf>
    <xf numFmtId="0" fontId="179" fillId="0" borderId="512" xfId="0" applyFont="1" applyBorder="1" applyAlignment="1">
      <alignment horizontal="center" vertical="center" wrapText="1" readingOrder="1"/>
    </xf>
    <xf numFmtId="187" fontId="29" fillId="7" borderId="513" xfId="0" applyNumberFormat="1" applyFont="1" applyFill="1" applyBorder="1" applyAlignment="1">
      <alignment horizontal="center" vertical="center"/>
    </xf>
    <xf numFmtId="187" fontId="35" fillId="3" borderId="513" xfId="0" applyNumberFormat="1" applyFont="1" applyFill="1" applyBorder="1" applyAlignment="1">
      <alignment horizontal="center" vertical="center"/>
    </xf>
    <xf numFmtId="0" fontId="35" fillId="3" borderId="226" xfId="0" applyFont="1" applyFill="1" applyBorder="1" applyAlignment="1">
      <alignment horizontal="center" vertical="center"/>
    </xf>
    <xf numFmtId="0" fontId="35" fillId="0" borderId="45" xfId="0" applyFont="1" applyFill="1" applyBorder="1" applyAlignment="1">
      <alignment horizontal="center" vertical="center"/>
    </xf>
    <xf numFmtId="0" fontId="35" fillId="0" borderId="605" xfId="0" applyFont="1" applyFill="1" applyBorder="1" applyAlignment="1">
      <alignment horizontal="center" vertical="center"/>
    </xf>
    <xf numFmtId="0" fontId="35" fillId="0" borderId="514" xfId="0" applyFont="1" applyFill="1" applyBorder="1" applyAlignment="1">
      <alignment horizontal="center" vertical="center"/>
    </xf>
    <xf numFmtId="38" fontId="29" fillId="7" borderId="514" xfId="0" applyNumberFormat="1" applyFont="1" applyFill="1" applyBorder="1" applyAlignment="1">
      <alignment horizontal="center" vertical="center"/>
    </xf>
    <xf numFmtId="0" fontId="35" fillId="3" borderId="287" xfId="0" applyFont="1" applyFill="1" applyBorder="1" applyAlignment="1">
      <alignment horizontal="center" vertical="center"/>
    </xf>
    <xf numFmtId="0" fontId="29" fillId="7" borderId="306" xfId="0" applyFont="1" applyFill="1" applyBorder="1" applyAlignment="1">
      <alignment horizontal="left" vertical="center"/>
    </xf>
    <xf numFmtId="0" fontId="29" fillId="7" borderId="590" xfId="0" applyFont="1" applyFill="1" applyBorder="1" applyAlignment="1">
      <alignment horizontal="left" vertical="center"/>
    </xf>
    <xf numFmtId="0" fontId="29" fillId="7" borderId="595" xfId="0" applyFont="1" applyFill="1" applyBorder="1" applyAlignment="1">
      <alignment horizontal="left" vertical="center"/>
    </xf>
    <xf numFmtId="0" fontId="29" fillId="7" borderId="583" xfId="0" applyFont="1" applyFill="1" applyBorder="1" applyAlignment="1">
      <alignment horizontal="left" vertical="center"/>
    </xf>
    <xf numFmtId="0" fontId="29" fillId="7" borderId="122" xfId="0" applyFont="1" applyFill="1" applyBorder="1" applyAlignment="1">
      <alignment horizontal="left" vertical="center" wrapText="1"/>
    </xf>
    <xf numFmtId="0" fontId="177" fillId="125" borderId="608" xfId="0" applyFont="1" applyFill="1" applyBorder="1" applyAlignment="1">
      <alignment horizontal="center" vertical="center"/>
    </xf>
    <xf numFmtId="0" fontId="177" fillId="125" borderId="607" xfId="0" applyFont="1" applyFill="1" applyBorder="1" applyAlignment="1">
      <alignment horizontal="center" vertical="center"/>
    </xf>
    <xf numFmtId="3" fontId="58" fillId="0" borderId="609" xfId="2" applyNumberFormat="1" applyFont="1" applyBorder="1" applyAlignment="1">
      <alignment horizontal="center" vertical="center"/>
    </xf>
    <xf numFmtId="187" fontId="58" fillId="0" borderId="621" xfId="2" applyNumberFormat="1" applyFont="1" applyBorder="1" applyAlignment="1">
      <alignment horizontal="center" vertical="center"/>
    </xf>
    <xf numFmtId="3" fontId="58" fillId="4" borderId="607" xfId="2" applyNumberFormat="1" applyFont="1" applyFill="1" applyBorder="1" applyAlignment="1">
      <alignment horizontal="center" vertical="center"/>
    </xf>
    <xf numFmtId="3" fontId="58" fillId="4" borderId="608" xfId="2" applyNumberFormat="1" applyFont="1" applyFill="1" applyBorder="1" applyAlignment="1">
      <alignment horizontal="center" vertical="center"/>
    </xf>
    <xf numFmtId="183" fontId="58" fillId="4" borderId="592" xfId="2" applyNumberFormat="1" applyFont="1" applyFill="1" applyBorder="1" applyAlignment="1">
      <alignment horizontal="center" vertical="center"/>
    </xf>
    <xf numFmtId="178" fontId="58" fillId="4" borderId="512" xfId="2" applyNumberFormat="1" applyFont="1" applyFill="1" applyBorder="1" applyAlignment="1">
      <alignment horizontal="center" vertical="center"/>
    </xf>
    <xf numFmtId="183" fontId="58" fillId="4" borderId="515" xfId="2" applyNumberFormat="1" applyFont="1" applyFill="1" applyBorder="1" applyAlignment="1">
      <alignment horizontal="center" vertical="center"/>
    </xf>
    <xf numFmtId="178" fontId="58" fillId="4" borderId="219" xfId="2" applyNumberFormat="1" applyFont="1" applyFill="1" applyBorder="1" applyAlignment="1">
      <alignment horizontal="center" vertical="center" wrapText="1"/>
    </xf>
    <xf numFmtId="183" fontId="58" fillId="4" borderId="200" xfId="2" applyNumberFormat="1" applyFont="1" applyFill="1" applyBorder="1" applyAlignment="1">
      <alignment horizontal="center" vertical="center"/>
    </xf>
    <xf numFmtId="183" fontId="58" fillId="4" borderId="598" xfId="2" applyNumberFormat="1" applyFont="1" applyFill="1" applyBorder="1" applyAlignment="1">
      <alignment horizontal="center" vertical="center"/>
    </xf>
    <xf numFmtId="187" fontId="58" fillId="4" borderId="598" xfId="2" applyNumberFormat="1" applyFont="1" applyFill="1" applyBorder="1" applyAlignment="1">
      <alignment horizontal="center" vertical="center"/>
    </xf>
    <xf numFmtId="2" fontId="58" fillId="4" borderId="598" xfId="0" applyNumberFormat="1" applyFont="1" applyFill="1" applyBorder="1" applyAlignment="1">
      <alignment horizontal="center" vertical="center"/>
    </xf>
    <xf numFmtId="183" fontId="29" fillId="4" borderId="598" xfId="2" applyNumberFormat="1" applyFont="1" applyFill="1" applyBorder="1" applyAlignment="1">
      <alignment horizontal="center" vertical="center"/>
    </xf>
    <xf numFmtId="187" fontId="58" fillId="4" borderId="223" xfId="2" applyNumberFormat="1" applyFont="1" applyFill="1" applyBorder="1" applyAlignment="1">
      <alignment horizontal="center" vertical="center" wrapText="1"/>
    </xf>
    <xf numFmtId="187" fontId="58" fillId="4" borderId="227" xfId="2" applyNumberFormat="1" applyFont="1" applyFill="1" applyBorder="1" applyAlignment="1">
      <alignment horizontal="center" vertical="center" wrapText="1"/>
    </xf>
    <xf numFmtId="226" fontId="58" fillId="4" borderId="599" xfId="2" applyNumberFormat="1" applyFont="1" applyFill="1" applyBorder="1" applyAlignment="1">
      <alignment horizontal="center" vertical="center"/>
    </xf>
    <xf numFmtId="183" fontId="29" fillId="4" borderId="119" xfId="2" applyNumberFormat="1" applyFont="1" applyFill="1" applyBorder="1" applyAlignment="1">
      <alignment horizontal="center" vertical="center"/>
    </xf>
    <xf numFmtId="187" fontId="29" fillId="4" borderId="607" xfId="2" applyNumberFormat="1" applyFont="1" applyFill="1" applyBorder="1" applyAlignment="1">
      <alignment horizontal="center" vertical="center"/>
    </xf>
    <xf numFmtId="4" fontId="58" fillId="4" borderId="608" xfId="2" applyNumberFormat="1" applyFont="1" applyFill="1" applyBorder="1" applyAlignment="1">
      <alignment horizontal="center" vertical="center"/>
    </xf>
    <xf numFmtId="3" fontId="58" fillId="4" borderId="515" xfId="2" applyNumberFormat="1" applyFont="1" applyFill="1" applyBorder="1" applyAlignment="1">
      <alignment horizontal="center" vertical="center"/>
    </xf>
    <xf numFmtId="228" fontId="58" fillId="4" borderId="607" xfId="2" applyNumberFormat="1" applyFont="1" applyFill="1" applyBorder="1" applyAlignment="1">
      <alignment horizontal="center" vertical="center"/>
    </xf>
    <xf numFmtId="228" fontId="58" fillId="4" borderId="608" xfId="2" applyNumberFormat="1" applyFont="1" applyFill="1" applyBorder="1" applyAlignment="1">
      <alignment horizontal="center" vertical="center"/>
    </xf>
    <xf numFmtId="228" fontId="29" fillId="4" borderId="607" xfId="2" applyNumberFormat="1" applyFont="1" applyFill="1" applyBorder="1" applyAlignment="1">
      <alignment horizontal="center" vertical="center"/>
    </xf>
    <xf numFmtId="178" fontId="58" fillId="4" borderId="223" xfId="2" quotePrefix="1" applyNumberFormat="1" applyFont="1" applyFill="1" applyBorder="1" applyAlignment="1">
      <alignment horizontal="center" vertical="center"/>
    </xf>
    <xf numFmtId="178" fontId="58" fillId="4" borderId="227" xfId="2" quotePrefix="1" applyNumberFormat="1" applyFont="1" applyFill="1" applyBorder="1" applyAlignment="1">
      <alignment horizontal="center" vertical="center"/>
    </xf>
    <xf numFmtId="187" fontId="58" fillId="4" borderId="119" xfId="2" quotePrefix="1" applyNumberFormat="1" applyFont="1" applyFill="1" applyBorder="1" applyAlignment="1">
      <alignment horizontal="center" vertical="center"/>
    </xf>
    <xf numFmtId="226" fontId="58" fillId="4" borderId="121" xfId="2" quotePrefix="1" applyNumberFormat="1" applyFont="1" applyFill="1" applyBorder="1" applyAlignment="1">
      <alignment horizontal="center" vertical="center"/>
    </xf>
    <xf numFmtId="187" fontId="58" fillId="4" borderId="512" xfId="2" quotePrefix="1" applyNumberFormat="1" applyFont="1" applyFill="1" applyBorder="1" applyAlignment="1">
      <alignment horizontal="center" vertical="center"/>
    </xf>
    <xf numFmtId="187" fontId="58" fillId="4" borderId="161" xfId="2" quotePrefix="1" applyNumberFormat="1" applyFont="1" applyFill="1" applyBorder="1" applyAlignment="1">
      <alignment horizontal="center" vertical="center"/>
    </xf>
    <xf numFmtId="178" fontId="58" fillId="0" borderId="612" xfId="2" applyNumberFormat="1" applyFont="1" applyBorder="1" applyAlignment="1">
      <alignment horizontal="center" vertical="center"/>
    </xf>
    <xf numFmtId="178" fontId="58" fillId="0" borderId="0" xfId="2" applyNumberFormat="1" applyFont="1" applyFill="1" applyBorder="1" applyAlignment="1">
      <alignment horizontal="center" vertical="center"/>
    </xf>
    <xf numFmtId="183" fontId="58" fillId="0" borderId="604" xfId="2" applyNumberFormat="1" applyFont="1" applyFill="1" applyBorder="1" applyAlignment="1">
      <alignment horizontal="center" vertical="center"/>
    </xf>
    <xf numFmtId="0" fontId="177" fillId="125" borderId="759" xfId="0" quotePrefix="1" applyFont="1" applyFill="1" applyBorder="1" applyAlignment="1">
      <alignment horizontal="center" vertical="center"/>
    </xf>
    <xf numFmtId="3" fontId="58" fillId="0" borderId="709" xfId="2" applyNumberFormat="1" applyFont="1" applyBorder="1" applyAlignment="1">
      <alignment horizontal="center" vertical="center"/>
    </xf>
    <xf numFmtId="183" fontId="58" fillId="0" borderId="709" xfId="2" applyNumberFormat="1" applyFont="1" applyBorder="1" applyAlignment="1">
      <alignment horizontal="center" vertical="center"/>
    </xf>
    <xf numFmtId="183" fontId="58" fillId="0" borderId="760" xfId="2" applyNumberFormat="1" applyFont="1" applyBorder="1" applyAlignment="1">
      <alignment horizontal="center" vertical="center"/>
    </xf>
    <xf numFmtId="183" fontId="58" fillId="0" borderId="761" xfId="2" applyNumberFormat="1" applyFont="1" applyBorder="1" applyAlignment="1">
      <alignment horizontal="center" vertical="center"/>
    </xf>
    <xf numFmtId="183" fontId="58" fillId="0" borderId="708" xfId="0" applyNumberFormat="1" applyFont="1" applyBorder="1" applyAlignment="1">
      <alignment horizontal="center" vertical="center"/>
    </xf>
    <xf numFmtId="183" fontId="58" fillId="0" borderId="709" xfId="0" applyNumberFormat="1" applyFont="1" applyBorder="1" applyAlignment="1">
      <alignment horizontal="center" vertical="center"/>
    </xf>
    <xf numFmtId="178" fontId="58" fillId="0" borderId="709" xfId="2" applyNumberFormat="1" applyFont="1" applyBorder="1" applyAlignment="1">
      <alignment horizontal="center" vertical="center"/>
    </xf>
    <xf numFmtId="2" fontId="58" fillId="0" borderId="760" xfId="0" applyNumberFormat="1" applyFont="1" applyBorder="1" applyAlignment="1">
      <alignment horizontal="center" vertical="center"/>
    </xf>
    <xf numFmtId="2" fontId="58" fillId="5" borderId="760" xfId="0" applyNumberFormat="1" applyFont="1" applyFill="1" applyBorder="1" applyAlignment="1">
      <alignment horizontal="center" vertical="center"/>
    </xf>
    <xf numFmtId="183" fontId="58" fillId="7" borderId="763" xfId="2" applyNumberFormat="1" applyFont="1" applyFill="1" applyBorder="1" applyAlignment="1">
      <alignment horizontal="center" vertical="center"/>
    </xf>
    <xf numFmtId="178" fontId="58" fillId="0" borderId="764" xfId="2" applyNumberFormat="1" applyFont="1" applyFill="1" applyBorder="1" applyAlignment="1">
      <alignment horizontal="center" vertical="center"/>
    </xf>
    <xf numFmtId="183" fontId="58" fillId="0" borderId="760" xfId="2" applyNumberFormat="1" applyFont="1" applyFill="1" applyBorder="1" applyAlignment="1">
      <alignment horizontal="center" vertical="center"/>
    </xf>
    <xf numFmtId="178" fontId="58" fillId="0" borderId="760" xfId="2" applyNumberFormat="1" applyFont="1" applyFill="1" applyBorder="1" applyAlignment="1">
      <alignment horizontal="center" vertical="center" wrapText="1"/>
    </xf>
    <xf numFmtId="183" fontId="58" fillId="0" borderId="760" xfId="2" applyNumberFormat="1" applyFont="1" applyFill="1" applyBorder="1" applyAlignment="1">
      <alignment horizontal="center" vertical="center" wrapText="1"/>
    </xf>
    <xf numFmtId="183" fontId="58" fillId="7" borderId="765" xfId="2" applyNumberFormat="1" applyFont="1" applyFill="1" applyBorder="1" applyAlignment="1">
      <alignment horizontal="center" vertical="center"/>
    </xf>
    <xf numFmtId="187" fontId="58" fillId="7" borderId="709" xfId="2" applyNumberFormat="1" applyFont="1" applyFill="1" applyBorder="1" applyAlignment="1">
      <alignment horizontal="center" vertical="center"/>
    </xf>
    <xf numFmtId="183" fontId="58" fillId="7" borderId="709" xfId="2" applyNumberFormat="1" applyFont="1" applyFill="1" applyBorder="1" applyAlignment="1">
      <alignment horizontal="center" vertical="center"/>
    </xf>
    <xf numFmtId="187" fontId="58" fillId="7" borderId="762" xfId="2" applyNumberFormat="1" applyFont="1" applyFill="1" applyBorder="1" applyAlignment="1">
      <alignment horizontal="center" vertical="center"/>
    </xf>
    <xf numFmtId="178" fontId="58" fillId="7" borderId="709" xfId="2" applyNumberFormat="1" applyFont="1" applyFill="1" applyBorder="1" applyAlignment="1">
      <alignment horizontal="center" vertical="center"/>
    </xf>
    <xf numFmtId="187" fontId="58" fillId="0" borderId="709" xfId="2" applyNumberFormat="1" applyFont="1" applyFill="1" applyBorder="1" applyAlignment="1">
      <alignment horizontal="center" vertical="center"/>
    </xf>
    <xf numFmtId="223" fontId="58" fillId="7" borderId="760" xfId="2" applyNumberFormat="1" applyFont="1" applyFill="1" applyBorder="1" applyAlignment="1">
      <alignment horizontal="center" vertical="center"/>
    </xf>
    <xf numFmtId="178" fontId="58" fillId="7" borderId="763" xfId="2" applyNumberFormat="1" applyFont="1" applyFill="1" applyBorder="1" applyAlignment="1">
      <alignment horizontal="center" vertical="center"/>
    </xf>
    <xf numFmtId="187" fontId="58" fillId="7" borderId="761" xfId="2" applyNumberFormat="1" applyFont="1" applyFill="1" applyBorder="1" applyAlignment="1">
      <alignment horizontal="center" vertical="center"/>
    </xf>
    <xf numFmtId="187" fontId="58" fillId="7" borderId="764" xfId="2" applyNumberFormat="1" applyFont="1" applyFill="1" applyBorder="1" applyAlignment="1">
      <alignment horizontal="center" vertical="center"/>
    </xf>
    <xf numFmtId="187" fontId="170" fillId="7" borderId="0" xfId="0" applyNumberFormat="1" applyFont="1" applyFill="1" applyBorder="1" applyAlignment="1" applyProtection="1">
      <alignment horizontal="center" vertical="center"/>
      <protection locked="0"/>
    </xf>
    <xf numFmtId="187" fontId="29" fillId="7" borderId="0" xfId="0" applyNumberFormat="1" applyFont="1" applyFill="1" applyAlignment="1">
      <alignment horizontal="center" vertical="center"/>
    </xf>
    <xf numFmtId="187" fontId="170" fillId="7" borderId="35" xfId="0" applyNumberFormat="1" applyFont="1" applyFill="1" applyBorder="1" applyAlignment="1">
      <alignment horizontal="center" vertical="center"/>
    </xf>
    <xf numFmtId="187" fontId="170" fillId="7" borderId="35" xfId="0" applyNumberFormat="1" applyFont="1" applyFill="1" applyBorder="1" applyAlignment="1" applyProtection="1">
      <alignment horizontal="center" vertical="center"/>
      <protection locked="0"/>
    </xf>
    <xf numFmtId="187" fontId="29" fillId="7" borderId="35" xfId="0" applyNumberFormat="1" applyFont="1" applyFill="1" applyBorder="1" applyAlignment="1">
      <alignment horizontal="center" vertical="center"/>
    </xf>
    <xf numFmtId="179" fontId="170" fillId="7" borderId="0" xfId="0" applyNumberFormat="1" applyFont="1" applyFill="1" applyAlignment="1">
      <alignment horizontal="center" vertical="center"/>
    </xf>
    <xf numFmtId="177" fontId="172" fillId="0" borderId="693" xfId="0" applyNumberFormat="1" applyFont="1" applyFill="1" applyBorder="1" applyAlignment="1">
      <alignment horizontal="center" vertical="center"/>
    </xf>
    <xf numFmtId="177" fontId="172" fillId="0" borderId="606" xfId="0" applyNumberFormat="1" applyFont="1" applyFill="1" applyBorder="1" applyAlignment="1">
      <alignment horizontal="center" vertical="center"/>
    </xf>
    <xf numFmtId="177" fontId="172" fillId="0" borderId="705" xfId="0" applyNumberFormat="1" applyFont="1" applyFill="1" applyBorder="1" applyAlignment="1">
      <alignment horizontal="center" vertical="center"/>
    </xf>
    <xf numFmtId="187" fontId="58" fillId="3" borderId="708" xfId="2" applyNumberFormat="1" applyFont="1" applyFill="1" applyBorder="1" applyAlignment="1">
      <alignment horizontal="center" vertical="center"/>
    </xf>
    <xf numFmtId="187" fontId="58" fillId="0" borderId="762" xfId="2" applyNumberFormat="1" applyFont="1" applyFill="1" applyBorder="1" applyAlignment="1">
      <alignment horizontal="center" vertical="center"/>
    </xf>
    <xf numFmtId="187" fontId="58" fillId="0" borderId="708" xfId="2" applyNumberFormat="1" applyFont="1" applyFill="1" applyBorder="1" applyAlignment="1">
      <alignment horizontal="center" vertical="center"/>
    </xf>
    <xf numFmtId="187" fontId="58" fillId="0" borderId="764" xfId="2" applyNumberFormat="1" applyFont="1" applyFill="1" applyBorder="1" applyAlignment="1">
      <alignment horizontal="center" vertical="center"/>
    </xf>
    <xf numFmtId="187" fontId="58" fillId="3" borderId="765" xfId="2" applyNumberFormat="1" applyFont="1" applyFill="1" applyBorder="1" applyAlignment="1">
      <alignment horizontal="center" vertical="center"/>
    </xf>
    <xf numFmtId="226" fontId="58" fillId="0" borderId="604" xfId="2" applyNumberFormat="1" applyFont="1" applyBorder="1" applyAlignment="1">
      <alignment horizontal="center" vertical="center"/>
    </xf>
    <xf numFmtId="2" fontId="58" fillId="5" borderId="612" xfId="0" applyNumberFormat="1" applyFont="1" applyFill="1" applyBorder="1" applyAlignment="1">
      <alignment horizontal="center" vertical="center"/>
    </xf>
    <xf numFmtId="2" fontId="58" fillId="0" borderId="509" xfId="0" applyNumberFormat="1" applyFont="1" applyFill="1" applyBorder="1" applyAlignment="1">
      <alignment horizontal="center" vertical="center"/>
    </xf>
    <xf numFmtId="178" fontId="58" fillId="0" borderId="612" xfId="0" applyNumberFormat="1" applyFont="1" applyFill="1" applyBorder="1" applyAlignment="1">
      <alignment horizontal="center" vertical="center"/>
    </xf>
    <xf numFmtId="187" fontId="58" fillId="0" borderId="604" xfId="2" applyNumberFormat="1" applyFont="1" applyFill="1" applyBorder="1" applyAlignment="1">
      <alignment horizontal="center" vertical="center"/>
    </xf>
    <xf numFmtId="185" fontId="58" fillId="0" borderId="46" xfId="0" applyNumberFormat="1" applyFont="1" applyFill="1" applyBorder="1" applyAlignment="1">
      <alignment horizontal="center" vertical="center"/>
    </xf>
    <xf numFmtId="185" fontId="58" fillId="0" borderId="612" xfId="0" applyNumberFormat="1" applyFont="1" applyFill="1" applyBorder="1" applyAlignment="1">
      <alignment horizontal="center" vertical="center"/>
    </xf>
    <xf numFmtId="187" fontId="58" fillId="3" borderId="35" xfId="2" applyNumberFormat="1" applyFont="1" applyFill="1" applyBorder="1" applyAlignment="1">
      <alignment horizontal="center" vertical="center"/>
    </xf>
    <xf numFmtId="0" fontId="177" fillId="125" borderId="767" xfId="0" quotePrefix="1" applyFont="1" applyFill="1" applyBorder="1" applyAlignment="1">
      <alignment horizontal="center" vertical="center"/>
    </xf>
    <xf numFmtId="187" fontId="58" fillId="0" borderId="761" xfId="2" applyNumberFormat="1" applyFont="1" applyBorder="1" applyAlignment="1">
      <alignment horizontal="center" vertical="center"/>
    </xf>
    <xf numFmtId="226" fontId="58" fillId="0" borderId="709" xfId="2" applyNumberFormat="1" applyFont="1" applyBorder="1" applyAlignment="1">
      <alignment horizontal="center" vertical="center"/>
    </xf>
    <xf numFmtId="226" fontId="58" fillId="0" borderId="762" xfId="2" applyNumberFormat="1" applyFont="1" applyBorder="1" applyAlignment="1">
      <alignment horizontal="center" vertical="center"/>
    </xf>
    <xf numFmtId="226" fontId="58" fillId="0" borderId="708" xfId="2" applyNumberFormat="1" applyFont="1" applyBorder="1" applyAlignment="1">
      <alignment horizontal="center" vertical="center"/>
    </xf>
    <xf numFmtId="226" fontId="58" fillId="0" borderId="760" xfId="2" applyNumberFormat="1" applyFont="1" applyBorder="1" applyAlignment="1">
      <alignment horizontal="center" vertical="center"/>
    </xf>
    <xf numFmtId="226" fontId="58" fillId="5" borderId="761" xfId="2" applyNumberFormat="1" applyFont="1" applyFill="1" applyBorder="1" applyAlignment="1">
      <alignment horizontal="center" vertical="center"/>
    </xf>
    <xf numFmtId="2" fontId="58" fillId="0" borderId="709" xfId="0" applyNumberFormat="1" applyFont="1" applyBorder="1" applyAlignment="1">
      <alignment horizontal="center" vertical="center"/>
    </xf>
    <xf numFmtId="2" fontId="29" fillId="0" borderId="709" xfId="0" applyNumberFormat="1" applyFont="1" applyFill="1" applyBorder="1" applyAlignment="1">
      <alignment horizontal="center" vertical="center"/>
    </xf>
    <xf numFmtId="2" fontId="58" fillId="5" borderId="709" xfId="0" applyNumberFormat="1" applyFont="1" applyFill="1" applyBorder="1" applyAlignment="1">
      <alignment horizontal="center" vertical="center"/>
    </xf>
    <xf numFmtId="2" fontId="58" fillId="0" borderId="709" xfId="0" applyNumberFormat="1" applyFont="1" applyFill="1" applyBorder="1" applyAlignment="1">
      <alignment horizontal="center" vertical="center"/>
    </xf>
    <xf numFmtId="2" fontId="58" fillId="0" borderId="762" xfId="0" applyNumberFormat="1" applyFont="1" applyFill="1" applyBorder="1" applyAlignment="1">
      <alignment horizontal="center" vertical="center"/>
    </xf>
    <xf numFmtId="185" fontId="58" fillId="0" borderId="761" xfId="0" applyNumberFormat="1" applyFont="1" applyFill="1" applyBorder="1" applyAlignment="1">
      <alignment horizontal="center" vertical="center"/>
    </xf>
    <xf numFmtId="185" fontId="58" fillId="0" borderId="709" xfId="0" applyNumberFormat="1" applyFont="1" applyFill="1" applyBorder="1" applyAlignment="1">
      <alignment horizontal="center" vertical="center"/>
    </xf>
    <xf numFmtId="2" fontId="58" fillId="0" borderId="760" xfId="0" applyNumberFormat="1" applyFont="1" applyFill="1" applyBorder="1" applyAlignment="1">
      <alignment horizontal="center" vertical="center"/>
    </xf>
    <xf numFmtId="226" fontId="58" fillId="7" borderId="709" xfId="2" applyNumberFormat="1" applyFont="1" applyFill="1" applyBorder="1" applyAlignment="1">
      <alignment horizontal="center" vertical="center"/>
    </xf>
    <xf numFmtId="187" fontId="58" fillId="0" borderId="762" xfId="2" applyNumberFormat="1" applyFont="1" applyBorder="1" applyAlignment="1">
      <alignment horizontal="center" vertical="center"/>
    </xf>
    <xf numFmtId="38" fontId="172" fillId="0" borderId="766" xfId="2" applyNumberFormat="1" applyFont="1" applyBorder="1" applyAlignment="1">
      <alignment horizontal="center" vertical="center"/>
    </xf>
    <xf numFmtId="0" fontId="29" fillId="7" borderId="119" xfId="0" applyFont="1" applyFill="1" applyBorder="1" applyAlignment="1">
      <alignment horizontal="center" vertical="center"/>
    </xf>
    <xf numFmtId="223" fontId="29" fillId="15" borderId="605" xfId="2" applyNumberFormat="1" applyFont="1" applyFill="1" applyBorder="1" applyAlignment="1">
      <alignment horizontal="center" vertical="center"/>
    </xf>
    <xf numFmtId="226" fontId="29" fillId="7" borderId="612" xfId="2" applyNumberFormat="1" applyFont="1" applyFill="1" applyBorder="1" applyAlignment="1">
      <alignment horizontal="center" vertical="center"/>
    </xf>
    <xf numFmtId="2" fontId="58" fillId="15" borderId="509" xfId="0" applyNumberFormat="1" applyFont="1" applyFill="1" applyBorder="1" applyAlignment="1">
      <alignment horizontal="center" vertical="center"/>
    </xf>
    <xf numFmtId="185" fontId="58" fillId="0" borderId="0" xfId="0" applyNumberFormat="1" applyFont="1" applyFill="1" applyBorder="1" applyAlignment="1">
      <alignment horizontal="center" vertical="center"/>
    </xf>
    <xf numFmtId="223" fontId="58" fillId="0" borderId="108" xfId="2" applyNumberFormat="1" applyFont="1" applyBorder="1" applyAlignment="1">
      <alignment horizontal="center" vertical="center"/>
    </xf>
    <xf numFmtId="187" fontId="58" fillId="0" borderId="709" xfId="2" applyNumberFormat="1" applyFont="1" applyBorder="1" applyAlignment="1">
      <alignment horizontal="center" vertical="center"/>
    </xf>
    <xf numFmtId="226" fontId="58" fillId="0" borderId="761" xfId="2" applyNumberFormat="1" applyFont="1" applyBorder="1" applyAlignment="1">
      <alignment horizontal="center" vertical="center"/>
    </xf>
    <xf numFmtId="2" fontId="58" fillId="5" borderId="761" xfId="0" applyNumberFormat="1" applyFont="1" applyFill="1" applyBorder="1" applyAlignment="1">
      <alignment horizontal="center" vertical="center"/>
    </xf>
    <xf numFmtId="186" fontId="29" fillId="0" borderId="709" xfId="0" applyNumberFormat="1" applyFont="1" applyFill="1" applyBorder="1" applyAlignment="1">
      <alignment horizontal="center" vertical="center"/>
    </xf>
    <xf numFmtId="226" fontId="29" fillId="7" borderId="709" xfId="2" applyNumberFormat="1" applyFont="1" applyFill="1" applyBorder="1" applyAlignment="1">
      <alignment horizontal="center" vertical="center"/>
    </xf>
    <xf numFmtId="2" fontId="58" fillId="15" borderId="762" xfId="0" applyNumberFormat="1" applyFont="1" applyFill="1" applyBorder="1" applyAlignment="1">
      <alignment horizontal="center" vertical="center"/>
    </xf>
    <xf numFmtId="185" fontId="58" fillId="0" borderId="764" xfId="0" applyNumberFormat="1" applyFont="1" applyFill="1" applyBorder="1" applyAlignment="1">
      <alignment horizontal="center" vertical="center"/>
    </xf>
    <xf numFmtId="178" fontId="58" fillId="0" borderId="760" xfId="0" applyNumberFormat="1" applyFont="1" applyFill="1" applyBorder="1" applyAlignment="1">
      <alignment horizontal="center" vertical="center"/>
    </xf>
    <xf numFmtId="226" fontId="58" fillId="7" borderId="765" xfId="2" applyNumberFormat="1" applyFont="1" applyFill="1" applyBorder="1" applyAlignment="1">
      <alignment horizontal="center" vertical="center"/>
    </xf>
    <xf numFmtId="187" fontId="58" fillId="7" borderId="760" xfId="2" applyNumberFormat="1" applyFont="1" applyFill="1" applyBorder="1" applyAlignment="1">
      <alignment horizontal="center" vertical="center"/>
    </xf>
    <xf numFmtId="187" fontId="58" fillId="0" borderId="761" xfId="2" applyNumberFormat="1" applyFont="1" applyFill="1" applyBorder="1" applyAlignment="1">
      <alignment horizontal="center" vertical="center"/>
    </xf>
    <xf numFmtId="226" fontId="58" fillId="0" borderId="708" xfId="2" applyNumberFormat="1" applyFont="1" applyFill="1" applyBorder="1" applyAlignment="1">
      <alignment horizontal="center" vertical="center"/>
    </xf>
    <xf numFmtId="187" fontId="58" fillId="0" borderId="768" xfId="2" applyNumberFormat="1" applyFont="1" applyFill="1" applyBorder="1" applyAlignment="1">
      <alignment horizontal="center" vertical="center"/>
    </xf>
    <xf numFmtId="226" fontId="58" fillId="0" borderId="769" xfId="2" applyNumberFormat="1" applyFont="1" applyBorder="1" applyAlignment="1">
      <alignment horizontal="center" vertical="center"/>
    </xf>
    <xf numFmtId="187" fontId="58" fillId="0" borderId="770" xfId="2" applyNumberFormat="1" applyFont="1" applyBorder="1" applyAlignment="1">
      <alignment horizontal="center" vertical="center"/>
    </xf>
    <xf numFmtId="226" fontId="58" fillId="0" borderId="771" xfId="2" applyNumberFormat="1" applyFont="1" applyBorder="1" applyAlignment="1">
      <alignment horizontal="center" vertical="center"/>
    </xf>
    <xf numFmtId="187" fontId="58" fillId="0" borderId="772" xfId="2" applyNumberFormat="1" applyFont="1" applyBorder="1" applyAlignment="1">
      <alignment horizontal="center" vertical="center"/>
    </xf>
    <xf numFmtId="0" fontId="172" fillId="15" borderId="35" xfId="0" quotePrefix="1" applyFont="1" applyFill="1" applyBorder="1" applyAlignment="1">
      <alignment horizontal="center" vertical="center"/>
    </xf>
    <xf numFmtId="4" fontId="58" fillId="0" borderId="612" xfId="0" applyNumberFormat="1" applyFont="1" applyBorder="1" applyAlignment="1">
      <alignment horizontal="center" vertical="center"/>
    </xf>
    <xf numFmtId="0" fontId="172" fillId="15" borderId="759" xfId="0" quotePrefix="1" applyFont="1" applyFill="1" applyBorder="1" applyAlignment="1">
      <alignment horizontal="center" vertical="center"/>
    </xf>
    <xf numFmtId="3" fontId="58" fillId="0" borderId="709" xfId="0" applyNumberFormat="1" applyFont="1" applyBorder="1" applyAlignment="1">
      <alignment horizontal="center" vertical="center"/>
    </xf>
    <xf numFmtId="4" fontId="58" fillId="0" borderId="709" xfId="0" applyNumberFormat="1" applyFont="1" applyBorder="1" applyAlignment="1">
      <alignment horizontal="center" vertical="center"/>
    </xf>
    <xf numFmtId="2" fontId="29" fillId="0" borderId="709" xfId="0" applyNumberFormat="1" applyFont="1" applyBorder="1" applyAlignment="1">
      <alignment horizontal="center" vertical="center"/>
    </xf>
    <xf numFmtId="223" fontId="58" fillId="15" borderId="509" xfId="0" applyNumberFormat="1" applyFont="1" applyFill="1" applyBorder="1" applyAlignment="1">
      <alignment horizontal="center" vertical="center"/>
    </xf>
    <xf numFmtId="223" fontId="58" fillId="15" borderId="516" xfId="0" applyNumberFormat="1" applyFont="1" applyFill="1" applyBorder="1">
      <alignment vertical="center"/>
    </xf>
    <xf numFmtId="223" fontId="58" fillId="15" borderId="104" xfId="0" applyNumberFormat="1" applyFont="1" applyFill="1" applyBorder="1">
      <alignment vertical="center"/>
    </xf>
    <xf numFmtId="177" fontId="58" fillId="0" borderId="0" xfId="0" applyNumberFormat="1" applyFont="1">
      <alignment vertical="center"/>
    </xf>
    <xf numFmtId="223" fontId="29" fillId="15" borderId="607" xfId="2" applyNumberFormat="1" applyFont="1" applyFill="1" applyBorder="1" applyAlignment="1">
      <alignment horizontal="center" vertical="center"/>
    </xf>
    <xf numFmtId="0" fontId="29" fillId="7" borderId="0" xfId="0" applyFont="1" applyFill="1" applyBorder="1" applyAlignment="1">
      <alignment horizontal="center" vertical="center"/>
    </xf>
    <xf numFmtId="38" fontId="58" fillId="7" borderId="515" xfId="2" applyNumberFormat="1" applyFont="1" applyFill="1" applyBorder="1" applyAlignment="1">
      <alignment horizontal="center" vertical="center"/>
    </xf>
    <xf numFmtId="4" fontId="29" fillId="0" borderId="38" xfId="2" applyNumberFormat="1" applyFont="1" applyFill="1" applyBorder="1" applyAlignment="1">
      <alignment horizontal="center" vertical="center"/>
    </xf>
    <xf numFmtId="4" fontId="29" fillId="7" borderId="38" xfId="12099" applyNumberFormat="1" applyFont="1" applyFill="1" applyBorder="1" applyAlignment="1">
      <alignment horizontal="center" vertical="center"/>
    </xf>
    <xf numFmtId="183" fontId="29" fillId="7" borderId="605" xfId="12099" applyNumberFormat="1" applyFont="1" applyFill="1" applyBorder="1" applyAlignment="1">
      <alignment horizontal="center" vertical="center"/>
    </xf>
    <xf numFmtId="4" fontId="29" fillId="7" borderId="641" xfId="2" applyNumberFormat="1" applyFont="1" applyFill="1" applyBorder="1" applyAlignment="1">
      <alignment horizontal="center" vertical="center"/>
    </xf>
    <xf numFmtId="1" fontId="29" fillId="7" borderId="0" xfId="0" applyNumberFormat="1" applyFont="1" applyFill="1" applyBorder="1" applyAlignment="1">
      <alignment horizontal="center" vertical="center"/>
    </xf>
    <xf numFmtId="227" fontId="29" fillId="7" borderId="0" xfId="0" applyNumberFormat="1" applyFont="1" applyFill="1" applyBorder="1" applyAlignment="1">
      <alignment horizontal="center" vertical="center"/>
    </xf>
    <xf numFmtId="0" fontId="167" fillId="7" borderId="0" xfId="0" applyFont="1" applyFill="1" applyBorder="1" applyAlignment="1">
      <alignment horizontal="center" vertical="center" wrapText="1"/>
    </xf>
    <xf numFmtId="0" fontId="180" fillId="7" borderId="0" xfId="0" applyFont="1" applyFill="1" applyBorder="1" applyAlignment="1">
      <alignment horizontal="center" vertical="center" wrapText="1"/>
    </xf>
    <xf numFmtId="1" fontId="180" fillId="7" borderId="0" xfId="0" applyNumberFormat="1" applyFont="1" applyFill="1" applyBorder="1" applyAlignment="1">
      <alignment horizontal="center" vertical="center" wrapText="1"/>
    </xf>
    <xf numFmtId="227" fontId="59" fillId="7" borderId="0" xfId="0" applyNumberFormat="1" applyFont="1" applyFill="1" applyBorder="1" applyAlignment="1">
      <alignment horizontal="center" vertical="center" wrapText="1"/>
    </xf>
    <xf numFmtId="227" fontId="180" fillId="7" borderId="0" xfId="0" applyNumberFormat="1" applyFont="1" applyFill="1" applyBorder="1" applyAlignment="1">
      <alignment horizontal="center" vertical="center" wrapText="1"/>
    </xf>
    <xf numFmtId="0" fontId="175" fillId="7" borderId="0" xfId="0" applyFont="1" applyFill="1" applyBorder="1" applyAlignment="1">
      <alignment horizontal="center" vertical="center" wrapText="1"/>
    </xf>
    <xf numFmtId="230" fontId="0" fillId="7" borderId="0" xfId="0" applyNumberFormat="1" applyFill="1" applyBorder="1" applyAlignment="1">
      <alignment horizontal="center" vertical="center"/>
    </xf>
    <xf numFmtId="0" fontId="177" fillId="125" borderId="606" xfId="0" applyFont="1" applyFill="1" applyBorder="1" applyAlignment="1">
      <alignment horizontal="center" vertical="center"/>
    </xf>
    <xf numFmtId="0" fontId="166" fillId="0" borderId="605" xfId="0" applyFont="1" applyBorder="1" applyAlignment="1">
      <alignment horizontal="center" vertical="center" wrapText="1"/>
    </xf>
    <xf numFmtId="0" fontId="177" fillId="125" borderId="606" xfId="0" applyFont="1" applyFill="1" applyBorder="1" applyAlignment="1">
      <alignment horizontal="center" vertical="center" wrapText="1"/>
    </xf>
    <xf numFmtId="9" fontId="187" fillId="0" borderId="258" xfId="1" applyFont="1" applyBorder="1" applyAlignment="1">
      <alignment horizontal="center" vertical="center" wrapText="1"/>
    </xf>
    <xf numFmtId="9" fontId="168" fillId="125" borderId="258" xfId="1" applyFont="1" applyFill="1" applyBorder="1" applyAlignment="1">
      <alignment horizontal="center" vertical="center" wrapText="1"/>
    </xf>
    <xf numFmtId="9" fontId="186" fillId="0" borderId="258" xfId="1" applyFont="1" applyBorder="1" applyAlignment="1">
      <alignment horizontal="center" vertical="center" wrapText="1"/>
    </xf>
    <xf numFmtId="247" fontId="241" fillId="0" borderId="606" xfId="4124" applyNumberFormat="1" applyFont="1" applyFill="1" applyBorder="1" applyAlignment="1">
      <alignment horizontal="center" vertical="center"/>
    </xf>
    <xf numFmtId="4" fontId="29" fillId="117" borderId="46" xfId="2" applyNumberFormat="1" applyFont="1" applyFill="1" applyBorder="1" applyAlignment="1">
      <alignment horizontal="center" vertical="center"/>
    </xf>
    <xf numFmtId="4" fontId="29" fillId="117" borderId="45" xfId="2" applyNumberFormat="1" applyFont="1" applyFill="1" applyBorder="1" applyAlignment="1">
      <alignment horizontal="center" vertical="center"/>
    </xf>
    <xf numFmtId="4" fontId="29" fillId="117" borderId="612" xfId="2" applyNumberFormat="1" applyFont="1" applyFill="1" applyBorder="1" applyAlignment="1">
      <alignment horizontal="center" vertical="center"/>
    </xf>
    <xf numFmtId="4" fontId="29" fillId="117" borderId="605" xfId="2" applyNumberFormat="1" applyFont="1" applyFill="1" applyBorder="1" applyAlignment="1">
      <alignment horizontal="center" vertical="center"/>
    </xf>
    <xf numFmtId="4" fontId="29" fillId="117" borderId="38" xfId="2" applyNumberFormat="1" applyFont="1" applyFill="1" applyBorder="1" applyAlignment="1">
      <alignment horizontal="center" vertical="center"/>
    </xf>
    <xf numFmtId="4" fontId="29" fillId="117" borderId="35" xfId="2" applyNumberFormat="1" applyFont="1" applyFill="1" applyBorder="1" applyAlignment="1">
      <alignment horizontal="center" vertical="center"/>
    </xf>
    <xf numFmtId="227" fontId="29" fillId="117" borderId="612" xfId="2" applyNumberFormat="1" applyFont="1" applyFill="1" applyBorder="1" applyAlignment="1">
      <alignment horizontal="center" vertical="center"/>
    </xf>
    <xf numFmtId="227" fontId="29" fillId="117" borderId="605" xfId="2" applyNumberFormat="1" applyFont="1" applyFill="1" applyBorder="1" applyAlignment="1">
      <alignment horizontal="center" vertical="center"/>
    </xf>
    <xf numFmtId="3" fontId="29" fillId="117" borderId="612" xfId="2" applyNumberFormat="1" applyFont="1" applyFill="1" applyBorder="1" applyAlignment="1">
      <alignment horizontal="center" vertical="center"/>
    </xf>
    <xf numFmtId="183" fontId="29" fillId="117" borderId="46" xfId="2" applyNumberFormat="1" applyFont="1" applyFill="1" applyBorder="1" applyAlignment="1">
      <alignment horizontal="center" vertical="center" wrapText="1"/>
    </xf>
    <xf numFmtId="183" fontId="29" fillId="117" borderId="45" xfId="2" applyNumberFormat="1" applyFont="1" applyFill="1" applyBorder="1" applyAlignment="1">
      <alignment horizontal="center" vertical="center" wrapText="1"/>
    </xf>
    <xf numFmtId="183" fontId="29" fillId="117" borderId="612" xfId="2" applyNumberFormat="1" applyFont="1" applyFill="1" applyBorder="1" applyAlignment="1">
      <alignment horizontal="center" vertical="center" wrapText="1"/>
    </xf>
    <xf numFmtId="183" fontId="29" fillId="117" borderId="605" xfId="2" applyNumberFormat="1" applyFont="1" applyFill="1" applyBorder="1" applyAlignment="1">
      <alignment horizontal="center" vertical="center" wrapText="1"/>
    </xf>
    <xf numFmtId="3" fontId="29" fillId="117" borderId="605" xfId="2" applyNumberFormat="1" applyFont="1" applyFill="1" applyBorder="1" applyAlignment="1">
      <alignment horizontal="center" vertical="center"/>
    </xf>
    <xf numFmtId="183" fontId="29" fillId="117" borderId="612" xfId="2" applyNumberFormat="1" applyFont="1" applyFill="1" applyBorder="1" applyAlignment="1">
      <alignment horizontal="center" vertical="center"/>
    </xf>
    <xf numFmtId="223" fontId="58" fillId="117" borderId="120" xfId="2" applyNumberFormat="1" applyFont="1" applyFill="1" applyBorder="1" applyAlignment="1">
      <alignment horizontal="center" vertical="center"/>
    </xf>
    <xf numFmtId="223" fontId="58" fillId="117" borderId="606" xfId="2" applyNumberFormat="1" applyFont="1" applyFill="1" applyBorder="1" applyAlignment="1">
      <alignment horizontal="center" vertical="center"/>
    </xf>
    <xf numFmtId="38" fontId="29" fillId="117" borderId="47" xfId="2" applyNumberFormat="1" applyFont="1" applyFill="1" applyBorder="1" applyAlignment="1">
      <alignment horizontal="center" vertical="center" wrapText="1"/>
    </xf>
    <xf numFmtId="38" fontId="29" fillId="117" borderId="120" xfId="2" applyNumberFormat="1" applyFont="1" applyFill="1" applyBorder="1" applyAlignment="1">
      <alignment horizontal="center" vertical="center" wrapText="1"/>
    </xf>
    <xf numFmtId="38" fontId="29" fillId="117" borderId="470" xfId="2" applyNumberFormat="1" applyFont="1" applyFill="1" applyBorder="1" applyAlignment="1">
      <alignment horizontal="center" vertical="center" wrapText="1"/>
    </xf>
    <xf numFmtId="38" fontId="29" fillId="117" borderId="567" xfId="2" applyNumberFormat="1" applyFont="1" applyFill="1" applyBorder="1" applyAlignment="1">
      <alignment horizontal="center" vertical="center" wrapText="1"/>
    </xf>
    <xf numFmtId="38" fontId="29" fillId="117" borderId="465" xfId="2" applyNumberFormat="1" applyFont="1" applyFill="1" applyBorder="1" applyAlignment="1">
      <alignment horizontal="center" vertical="center" wrapText="1"/>
    </xf>
    <xf numFmtId="38" fontId="29" fillId="117" borderId="23" xfId="2" applyNumberFormat="1" applyFont="1" applyFill="1" applyBorder="1" applyAlignment="1">
      <alignment horizontal="center" vertical="center"/>
    </xf>
    <xf numFmtId="38" fontId="29" fillId="117" borderId="47" xfId="2" applyNumberFormat="1" applyFont="1" applyFill="1" applyBorder="1" applyAlignment="1">
      <alignment horizontal="center" vertical="center"/>
    </xf>
    <xf numFmtId="223" fontId="29" fillId="117" borderId="23" xfId="2" applyNumberFormat="1" applyFont="1" applyFill="1" applyBorder="1" applyAlignment="1">
      <alignment horizontal="center" vertical="center"/>
    </xf>
    <xf numFmtId="223" fontId="166" fillId="117" borderId="606" xfId="0" applyNumberFormat="1" applyFont="1" applyFill="1" applyBorder="1" applyAlignment="1">
      <alignment horizontal="center" vertical="center" wrapText="1"/>
    </xf>
    <xf numFmtId="0" fontId="29" fillId="117" borderId="214" xfId="0" applyFont="1" applyFill="1" applyBorder="1" applyAlignment="1">
      <alignment horizontal="center" vertical="center"/>
    </xf>
    <xf numFmtId="38" fontId="29" fillId="117" borderId="214" xfId="0" applyNumberFormat="1" applyFont="1" applyFill="1" applyBorder="1" applyAlignment="1">
      <alignment horizontal="center" vertical="center"/>
    </xf>
    <xf numFmtId="178" fontId="166" fillId="0" borderId="606" xfId="0" applyNumberFormat="1" applyFont="1" applyBorder="1" applyAlignment="1">
      <alignment horizontal="center" vertical="center" wrapText="1"/>
    </xf>
    <xf numFmtId="0" fontId="29" fillId="117" borderId="6" xfId="0" applyFont="1" applyFill="1" applyBorder="1" applyAlignment="1">
      <alignment horizontal="center" vertical="center"/>
    </xf>
    <xf numFmtId="0" fontId="192" fillId="0" borderId="0" xfId="0" applyFont="1" applyBorder="1" applyAlignment="1">
      <alignment horizontal="center" vertical="center" wrapText="1"/>
    </xf>
    <xf numFmtId="228" fontId="166" fillId="0" borderId="601" xfId="0" applyNumberFormat="1" applyFont="1" applyBorder="1" applyAlignment="1">
      <alignment horizontal="center" vertical="center" wrapText="1"/>
    </xf>
    <xf numFmtId="0" fontId="0" fillId="0" borderId="606" xfId="0" applyBorder="1" applyAlignment="1">
      <alignment horizontal="center" vertical="center"/>
    </xf>
    <xf numFmtId="0" fontId="0" fillId="0" borderId="6" xfId="0" applyBorder="1" applyAlignment="1">
      <alignment horizontal="center" vertical="center"/>
    </xf>
    <xf numFmtId="0" fontId="0" fillId="0" borderId="600" xfId="0" applyBorder="1" applyAlignment="1">
      <alignment horizontal="center" vertical="center"/>
    </xf>
    <xf numFmtId="176" fontId="29" fillId="7" borderId="0" xfId="1" applyNumberFormat="1" applyFont="1" applyFill="1">
      <alignment vertical="center"/>
    </xf>
    <xf numFmtId="176" fontId="264" fillId="0" borderId="606" xfId="0" applyNumberFormat="1"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0" fillId="0" borderId="613" xfId="0" applyBorder="1" applyAlignment="1">
      <alignment horizontal="center" vertical="center"/>
    </xf>
    <xf numFmtId="0" fontId="0" fillId="0" borderId="602" xfId="0" applyBorder="1" applyAlignment="1">
      <alignment horizontal="center" vertical="center"/>
    </xf>
    <xf numFmtId="0" fontId="0" fillId="0" borderId="601" xfId="0" applyBorder="1" applyAlignment="1">
      <alignment horizontal="center" vertical="center"/>
    </xf>
    <xf numFmtId="0" fontId="196" fillId="0" borderId="0" xfId="0" applyFont="1" applyFill="1" applyBorder="1" applyAlignment="1">
      <alignment horizontal="left" vertical="center"/>
    </xf>
    <xf numFmtId="0" fontId="44" fillId="0" borderId="84" xfId="0" applyFont="1" applyBorder="1" applyAlignment="1">
      <alignment horizontal="center" vertical="center"/>
    </xf>
    <xf numFmtId="0" fontId="44" fillId="0" borderId="328" xfId="0" applyFont="1" applyBorder="1">
      <alignment vertical="center"/>
    </xf>
    <xf numFmtId="0" fontId="26" fillId="0" borderId="84" xfId="0" applyFont="1" applyBorder="1" applyAlignment="1">
      <alignment horizontal="center" vertical="center"/>
    </xf>
    <xf numFmtId="0" fontId="26" fillId="0" borderId="328" xfId="0" applyFont="1" applyBorder="1">
      <alignment vertical="center"/>
    </xf>
    <xf numFmtId="0" fontId="44" fillId="0" borderId="84" xfId="0" applyFont="1" applyFill="1" applyBorder="1" applyAlignment="1">
      <alignment horizontal="center" vertical="center"/>
    </xf>
    <xf numFmtId="0" fontId="44" fillId="0" borderId="328" xfId="0" applyFont="1" applyFill="1" applyBorder="1">
      <alignment vertical="center"/>
    </xf>
    <xf numFmtId="0" fontId="44" fillId="0" borderId="23" xfId="0" applyFont="1" applyFill="1" applyBorder="1" applyAlignment="1">
      <alignment horizontal="center" vertical="center"/>
    </xf>
    <xf numFmtId="0" fontId="44" fillId="0" borderId="38" xfId="0" applyFont="1" applyFill="1" applyBorder="1">
      <alignment vertical="center"/>
    </xf>
    <xf numFmtId="0" fontId="44" fillId="0" borderId="613" xfId="0" applyFont="1" applyBorder="1" applyAlignment="1">
      <alignment horizontal="center" vertical="center"/>
    </xf>
    <xf numFmtId="0" fontId="44" fillId="0" borderId="605" xfId="0" applyFont="1" applyBorder="1" applyAlignment="1">
      <alignment horizontal="center" vertical="center"/>
    </xf>
    <xf numFmtId="0" fontId="177" fillId="125" borderId="606" xfId="0" applyFont="1" applyFill="1" applyBorder="1" applyAlignment="1">
      <alignment horizontal="center" vertical="center"/>
    </xf>
    <xf numFmtId="0" fontId="166" fillId="0" borderId="605" xfId="0" applyFont="1" applyBorder="1" applyAlignment="1">
      <alignment horizontal="center" vertical="center" wrapText="1"/>
    </xf>
    <xf numFmtId="0" fontId="177" fillId="125" borderId="514" xfId="0" applyFont="1" applyFill="1" applyBorder="1" applyAlignment="1">
      <alignment horizontal="center" vertical="center" wrapText="1"/>
    </xf>
    <xf numFmtId="0" fontId="177" fillId="125" borderId="605" xfId="0" applyFont="1" applyFill="1" applyBorder="1" applyAlignment="1">
      <alignment horizontal="center" vertical="center" wrapText="1"/>
    </xf>
    <xf numFmtId="223" fontId="58" fillId="0" borderId="608" xfId="0" applyNumberFormat="1" applyFont="1" applyBorder="1" applyAlignment="1">
      <alignment horizontal="center" vertical="center"/>
    </xf>
    <xf numFmtId="3" fontId="29" fillId="0" borderId="612" xfId="2" applyNumberFormat="1" applyFont="1" applyBorder="1" applyAlignment="1">
      <alignment horizontal="center" vertical="center"/>
    </xf>
    <xf numFmtId="183" fontId="29" fillId="0" borderId="612" xfId="2" applyNumberFormat="1" applyFont="1" applyBorder="1" applyAlignment="1">
      <alignment horizontal="center" vertical="center"/>
    </xf>
    <xf numFmtId="183" fontId="29" fillId="0" borderId="604" xfId="2" applyNumberFormat="1" applyFont="1" applyBorder="1" applyAlignment="1">
      <alignment horizontal="center" vertical="center"/>
    </xf>
    <xf numFmtId="183" fontId="29" fillId="0" borderId="46" xfId="2" applyNumberFormat="1" applyFont="1" applyBorder="1" applyAlignment="1">
      <alignment horizontal="center" vertical="center"/>
    </xf>
    <xf numFmtId="183" fontId="29" fillId="0" borderId="509" xfId="2" applyNumberFormat="1" applyFont="1" applyBorder="1" applyAlignment="1">
      <alignment horizontal="center" vertical="center"/>
    </xf>
    <xf numFmtId="183" fontId="29" fillId="0" borderId="35" xfId="0" applyNumberFormat="1" applyFont="1" applyBorder="1" applyAlignment="1">
      <alignment horizontal="center" vertical="center"/>
    </xf>
    <xf numFmtId="183" fontId="29" fillId="0" borderId="612" xfId="0" applyNumberFormat="1" applyFont="1" applyBorder="1" applyAlignment="1">
      <alignment horizontal="center" vertical="center"/>
    </xf>
    <xf numFmtId="2" fontId="29" fillId="0" borderId="604" xfId="0" applyNumberFormat="1" applyFont="1" applyBorder="1" applyAlignment="1">
      <alignment horizontal="center" vertical="center"/>
    </xf>
    <xf numFmtId="2" fontId="29" fillId="5" borderId="604" xfId="0" applyNumberFormat="1" applyFont="1" applyFill="1" applyBorder="1" applyAlignment="1">
      <alignment horizontal="center" vertical="center"/>
    </xf>
    <xf numFmtId="183" fontId="29" fillId="7" borderId="108" xfId="2" applyNumberFormat="1" applyFont="1" applyFill="1" applyBorder="1" applyAlignment="1">
      <alignment horizontal="center" vertical="center"/>
    </xf>
    <xf numFmtId="183" fontId="58" fillId="7" borderId="35" xfId="2" applyNumberFormat="1" applyFont="1" applyFill="1" applyBorder="1" applyAlignment="1">
      <alignment horizontal="center" vertical="center"/>
    </xf>
    <xf numFmtId="187" fontId="172" fillId="0" borderId="108" xfId="0" applyNumberFormat="1" applyFont="1" applyBorder="1" applyAlignment="1">
      <alignment horizontal="center" vertical="center"/>
    </xf>
    <xf numFmtId="183" fontId="58" fillId="0" borderId="762" xfId="2" applyNumberFormat="1" applyFont="1" applyBorder="1" applyAlignment="1">
      <alignment horizontal="center" vertical="center"/>
    </xf>
    <xf numFmtId="179" fontId="58" fillId="7" borderId="709" xfId="2" applyNumberFormat="1" applyFont="1" applyFill="1" applyBorder="1" applyAlignment="1">
      <alignment horizontal="center" vertical="center"/>
    </xf>
    <xf numFmtId="179" fontId="58" fillId="7" borderId="708" xfId="2" applyNumberFormat="1" applyFont="1" applyFill="1" applyBorder="1" applyAlignment="1">
      <alignment horizontal="center" vertical="center"/>
    </xf>
    <xf numFmtId="187" fontId="172" fillId="0" borderId="766" xfId="0" applyNumberFormat="1" applyFont="1" applyBorder="1" applyAlignment="1">
      <alignment horizontal="center" vertical="center"/>
    </xf>
    <xf numFmtId="0" fontId="177" fillId="125" borderId="773" xfId="0" quotePrefix="1" applyFont="1" applyFill="1" applyBorder="1" applyAlignment="1">
      <alignment horizontal="center" vertical="center"/>
    </xf>
    <xf numFmtId="3" fontId="58" fillId="0" borderId="773" xfId="2" applyNumberFormat="1" applyFont="1" applyBorder="1" applyAlignment="1">
      <alignment horizontal="center" vertical="center"/>
    </xf>
    <xf numFmtId="183" fontId="58" fillId="0" borderId="773" xfId="2" applyNumberFormat="1" applyFont="1" applyBorder="1" applyAlignment="1">
      <alignment horizontal="center" vertical="center"/>
    </xf>
    <xf numFmtId="183" fontId="58" fillId="0" borderId="774" xfId="2" applyNumberFormat="1" applyFont="1" applyBorder="1" applyAlignment="1">
      <alignment horizontal="center" vertical="center"/>
    </xf>
    <xf numFmtId="183" fontId="58" fillId="0" borderId="775" xfId="2" applyNumberFormat="1" applyFont="1" applyBorder="1" applyAlignment="1">
      <alignment horizontal="center" vertical="center"/>
    </xf>
    <xf numFmtId="178" fontId="58" fillId="0" borderId="776" xfId="2" applyNumberFormat="1" applyFont="1" applyBorder="1" applyAlignment="1">
      <alignment horizontal="center" vertical="center"/>
    </xf>
    <xf numFmtId="183" fontId="58" fillId="0" borderId="715" xfId="0" applyNumberFormat="1" applyFont="1" applyBorder="1" applyAlignment="1">
      <alignment horizontal="center" vertical="center"/>
    </xf>
    <xf numFmtId="183" fontId="58" fillId="0" borderId="773" xfId="0" applyNumberFormat="1" applyFont="1" applyBorder="1" applyAlignment="1">
      <alignment horizontal="center" vertical="center"/>
    </xf>
    <xf numFmtId="178" fontId="58" fillId="0" borderId="773" xfId="2" applyNumberFormat="1" applyFont="1" applyBorder="1" applyAlignment="1">
      <alignment horizontal="center" vertical="center"/>
    </xf>
    <xf numFmtId="2" fontId="58" fillId="0" borderId="774" xfId="0" applyNumberFormat="1" applyFont="1" applyBorder="1" applyAlignment="1">
      <alignment horizontal="center" vertical="center"/>
    </xf>
    <xf numFmtId="2" fontId="58" fillId="5" borderId="774" xfId="0" applyNumberFormat="1" applyFont="1" applyFill="1" applyBorder="1" applyAlignment="1">
      <alignment horizontal="center" vertical="center"/>
    </xf>
    <xf numFmtId="183" fontId="58" fillId="7" borderId="777" xfId="2" applyNumberFormat="1" applyFont="1" applyFill="1" applyBorder="1" applyAlignment="1">
      <alignment horizontal="center" vertical="center"/>
    </xf>
    <xf numFmtId="178" fontId="58" fillId="0" borderId="716" xfId="2" applyNumberFormat="1" applyFont="1" applyFill="1" applyBorder="1" applyAlignment="1">
      <alignment horizontal="center" vertical="center"/>
    </xf>
    <xf numFmtId="183" fontId="58" fillId="0" borderId="774" xfId="2" applyNumberFormat="1" applyFont="1" applyFill="1" applyBorder="1" applyAlignment="1">
      <alignment horizontal="center" vertical="center"/>
    </xf>
    <xf numFmtId="178" fontId="58" fillId="0" borderId="774" xfId="2" applyNumberFormat="1" applyFont="1" applyFill="1" applyBorder="1" applyAlignment="1">
      <alignment horizontal="center" vertical="center" wrapText="1"/>
    </xf>
    <xf numFmtId="183" fontId="58" fillId="0" borderId="774" xfId="2" applyNumberFormat="1" applyFont="1" applyFill="1" applyBorder="1" applyAlignment="1">
      <alignment horizontal="center" vertical="center" wrapText="1"/>
    </xf>
    <xf numFmtId="183" fontId="58" fillId="7" borderId="778" xfId="2" applyNumberFormat="1" applyFont="1" applyFill="1" applyBorder="1" applyAlignment="1">
      <alignment horizontal="center" vertical="center"/>
    </xf>
    <xf numFmtId="187" fontId="58" fillId="7" borderId="773" xfId="2" applyNumberFormat="1" applyFont="1" applyFill="1" applyBorder="1" applyAlignment="1">
      <alignment horizontal="center" vertical="center"/>
    </xf>
    <xf numFmtId="183" fontId="58" fillId="7" borderId="773" xfId="2" applyNumberFormat="1" applyFont="1" applyFill="1" applyBorder="1" applyAlignment="1">
      <alignment horizontal="center" vertical="center"/>
    </xf>
    <xf numFmtId="187" fontId="58" fillId="7" borderId="776" xfId="2" applyNumberFormat="1" applyFont="1" applyFill="1" applyBorder="1" applyAlignment="1">
      <alignment horizontal="center" vertical="center"/>
    </xf>
    <xf numFmtId="183" fontId="58" fillId="7" borderId="715" xfId="2" applyNumberFormat="1" applyFont="1" applyFill="1" applyBorder="1" applyAlignment="1">
      <alignment horizontal="center" vertical="center"/>
    </xf>
    <xf numFmtId="178" fontId="58" fillId="7" borderId="773" xfId="2" applyNumberFormat="1" applyFont="1" applyFill="1" applyBorder="1" applyAlignment="1">
      <alignment horizontal="center" vertical="center"/>
    </xf>
    <xf numFmtId="187" fontId="58" fillId="0" borderId="773" xfId="2" applyNumberFormat="1" applyFont="1" applyFill="1" applyBorder="1" applyAlignment="1">
      <alignment horizontal="center" vertical="center"/>
    </xf>
    <xf numFmtId="223" fontId="58" fillId="7" borderId="774" xfId="2" applyNumberFormat="1" applyFont="1" applyFill="1" applyBorder="1" applyAlignment="1">
      <alignment horizontal="center" vertical="center"/>
    </xf>
    <xf numFmtId="178" fontId="58" fillId="7" borderId="777" xfId="2" applyNumberFormat="1" applyFont="1" applyFill="1" applyBorder="1" applyAlignment="1">
      <alignment horizontal="center" vertical="center"/>
    </xf>
    <xf numFmtId="187" fontId="58" fillId="7" borderId="775" xfId="2" applyNumberFormat="1" applyFont="1" applyFill="1" applyBorder="1" applyAlignment="1">
      <alignment horizontal="center" vertical="center"/>
    </xf>
    <xf numFmtId="187" fontId="58" fillId="7" borderId="716" xfId="2" applyNumberFormat="1" applyFont="1" applyFill="1" applyBorder="1" applyAlignment="1">
      <alignment horizontal="center" vertical="center"/>
    </xf>
    <xf numFmtId="223" fontId="172" fillId="0" borderId="777" xfId="0" applyNumberFormat="1" applyFont="1" applyBorder="1" applyAlignment="1">
      <alignment horizontal="center" vertical="center"/>
    </xf>
    <xf numFmtId="183" fontId="29" fillId="0" borderId="514" xfId="0" applyNumberFormat="1" applyFont="1" applyBorder="1" applyAlignment="1">
      <alignment horizontal="center" vertical="center"/>
    </xf>
    <xf numFmtId="0" fontId="58" fillId="0" borderId="38" xfId="0" applyFont="1" applyBorder="1" applyAlignment="1">
      <alignment horizontal="center" vertical="center"/>
    </xf>
    <xf numFmtId="0" fontId="177" fillId="125" borderId="46" xfId="0" quotePrefix="1" applyFont="1" applyFill="1" applyBorder="1" applyAlignment="1">
      <alignment horizontal="center" vertical="center"/>
    </xf>
    <xf numFmtId="183" fontId="58" fillId="7" borderId="604" xfId="2" applyNumberFormat="1" applyFont="1" applyFill="1" applyBorder="1" applyAlignment="1">
      <alignment horizontal="center" vertical="center"/>
    </xf>
    <xf numFmtId="183" fontId="58" fillId="7" borderId="46" xfId="2" applyNumberFormat="1" applyFont="1" applyFill="1" applyBorder="1" applyAlignment="1">
      <alignment horizontal="center" vertical="center"/>
    </xf>
    <xf numFmtId="183" fontId="58" fillId="7" borderId="509" xfId="2" applyNumberFormat="1" applyFont="1" applyFill="1" applyBorder="1" applyAlignment="1">
      <alignment horizontal="center" vertical="center"/>
    </xf>
    <xf numFmtId="183" fontId="58" fillId="0" borderId="266" xfId="0" applyNumberFormat="1" applyFont="1" applyBorder="1" applyAlignment="1">
      <alignment horizontal="center" vertical="center"/>
    </xf>
    <xf numFmtId="183" fontId="58" fillId="0" borderId="509" xfId="0" applyNumberFormat="1" applyFont="1" applyBorder="1" applyAlignment="1">
      <alignment horizontal="center" vertical="center"/>
    </xf>
    <xf numFmtId="185" fontId="58" fillId="0" borderId="604" xfId="0" applyNumberFormat="1" applyFont="1" applyFill="1" applyBorder="1" applyAlignment="1">
      <alignment horizontal="center" vertical="center"/>
    </xf>
    <xf numFmtId="2" fontId="29" fillId="0" borderId="509" xfId="0" applyNumberFormat="1" applyFont="1" applyFill="1" applyBorder="1" applyAlignment="1">
      <alignment horizontal="center" vertical="center"/>
    </xf>
    <xf numFmtId="183" fontId="58" fillId="0" borderId="0" xfId="2" applyNumberFormat="1" applyFont="1" applyFill="1" applyBorder="1" applyAlignment="1">
      <alignment horizontal="center" vertical="center"/>
    </xf>
    <xf numFmtId="187" fontId="58" fillId="0" borderId="388" xfId="2" applyNumberFormat="1" applyFont="1" applyFill="1" applyBorder="1" applyAlignment="1">
      <alignment horizontal="center" vertical="center"/>
    </xf>
    <xf numFmtId="183" fontId="58" fillId="0" borderId="473" xfId="2" applyNumberFormat="1" applyFont="1" applyFill="1" applyBorder="1" applyAlignment="1">
      <alignment horizontal="center" vertical="center"/>
    </xf>
    <xf numFmtId="178" fontId="58" fillId="0" borderId="779" xfId="0" applyNumberFormat="1" applyFont="1" applyFill="1" applyBorder="1" applyAlignment="1">
      <alignment horizontal="center" vertical="center"/>
    </xf>
    <xf numFmtId="187" fontId="58" fillId="7" borderId="266" xfId="0" applyNumberFormat="1" applyFont="1" applyFill="1" applyBorder="1" applyAlignment="1">
      <alignment horizontal="center" vertical="center"/>
    </xf>
    <xf numFmtId="226" fontId="58" fillId="7" borderId="473" xfId="2" applyNumberFormat="1" applyFont="1" applyFill="1" applyBorder="1" applyAlignment="1">
      <alignment horizontal="center" vertical="center"/>
    </xf>
    <xf numFmtId="226" fontId="58" fillId="0" borderId="604" xfId="2" applyNumberFormat="1" applyFont="1" applyFill="1" applyBorder="1" applyAlignment="1">
      <alignment horizontal="center" vertical="center"/>
    </xf>
    <xf numFmtId="187" fontId="58" fillId="3" borderId="266" xfId="2" applyNumberFormat="1" applyFont="1" applyFill="1" applyBorder="1" applyAlignment="1">
      <alignment horizontal="center" vertical="center"/>
    </xf>
    <xf numFmtId="223" fontId="172" fillId="7" borderId="108" xfId="0" applyNumberFormat="1" applyFont="1" applyFill="1" applyBorder="1" applyAlignment="1">
      <alignment horizontal="center" vertical="center"/>
    </xf>
    <xf numFmtId="183" fontId="58" fillId="7" borderId="760" xfId="2" applyNumberFormat="1" applyFont="1" applyFill="1" applyBorder="1" applyAlignment="1">
      <alignment horizontal="center" vertical="center"/>
    </xf>
    <xf numFmtId="183" fontId="58" fillId="7" borderId="761" xfId="2" applyNumberFormat="1" applyFont="1" applyFill="1" applyBorder="1" applyAlignment="1">
      <alignment horizontal="center" vertical="center"/>
    </xf>
    <xf numFmtId="183" fontId="58" fillId="7" borderId="762" xfId="2" applyNumberFormat="1" applyFont="1" applyFill="1" applyBorder="1" applyAlignment="1">
      <alignment horizontal="center" vertical="center"/>
    </xf>
    <xf numFmtId="183" fontId="58" fillId="0" borderId="765" xfId="0" applyNumberFormat="1" applyFont="1" applyBorder="1" applyAlignment="1">
      <alignment horizontal="center" vertical="center"/>
    </xf>
    <xf numFmtId="183" fontId="58" fillId="7" borderId="764" xfId="2" applyNumberFormat="1" applyFont="1" applyFill="1" applyBorder="1" applyAlignment="1">
      <alignment horizontal="center" vertical="center"/>
    </xf>
    <xf numFmtId="183" fontId="58" fillId="93" borderId="760" xfId="0" applyNumberFormat="1" applyFont="1" applyFill="1" applyBorder="1" applyAlignment="1">
      <alignment horizontal="center" vertical="center"/>
    </xf>
    <xf numFmtId="183" fontId="58" fillId="0" borderId="762" xfId="0" applyNumberFormat="1" applyFont="1" applyBorder="1" applyAlignment="1">
      <alignment horizontal="center" vertical="center"/>
    </xf>
    <xf numFmtId="185" fontId="58" fillId="0" borderId="760" xfId="0" applyNumberFormat="1" applyFont="1" applyFill="1" applyBorder="1" applyAlignment="1">
      <alignment horizontal="center" vertical="center"/>
    </xf>
    <xf numFmtId="2" fontId="29" fillId="0" borderId="762" xfId="0" applyNumberFormat="1" applyFont="1" applyFill="1" applyBorder="1" applyAlignment="1">
      <alignment horizontal="center" vertical="center"/>
    </xf>
    <xf numFmtId="183" fontId="58" fillId="0" borderId="764" xfId="2" applyNumberFormat="1" applyFont="1" applyFill="1" applyBorder="1" applyAlignment="1">
      <alignment horizontal="center" vertical="center"/>
    </xf>
    <xf numFmtId="187" fontId="58" fillId="0" borderId="770" xfId="2" applyNumberFormat="1" applyFont="1" applyFill="1" applyBorder="1" applyAlignment="1">
      <alignment horizontal="center" vertical="center"/>
    </xf>
    <xf numFmtId="183" fontId="58" fillId="0" borderId="771" xfId="2" applyNumberFormat="1" applyFont="1" applyFill="1" applyBorder="1" applyAlignment="1">
      <alignment horizontal="center" vertical="center"/>
    </xf>
    <xf numFmtId="178" fontId="58" fillId="0" borderId="780" xfId="0" applyNumberFormat="1" applyFont="1" applyFill="1" applyBorder="1" applyAlignment="1">
      <alignment horizontal="center" vertical="center"/>
    </xf>
    <xf numFmtId="187" fontId="58" fillId="7" borderId="765" xfId="0" applyNumberFormat="1" applyFont="1" applyFill="1" applyBorder="1" applyAlignment="1">
      <alignment horizontal="center" vertical="center"/>
    </xf>
    <xf numFmtId="226" fontId="58" fillId="7" borderId="771" xfId="2" applyNumberFormat="1" applyFont="1" applyFill="1" applyBorder="1" applyAlignment="1">
      <alignment horizontal="center" vertical="center"/>
    </xf>
    <xf numFmtId="226" fontId="58" fillId="0" borderId="760" xfId="2" applyNumberFormat="1" applyFont="1" applyFill="1" applyBorder="1" applyAlignment="1">
      <alignment horizontal="center" vertical="center"/>
    </xf>
    <xf numFmtId="223" fontId="172" fillId="7" borderId="766" xfId="0" applyNumberFormat="1" applyFont="1" applyFill="1" applyBorder="1" applyAlignment="1">
      <alignment horizontal="center" vertical="center"/>
    </xf>
    <xf numFmtId="187" fontId="58" fillId="0" borderId="612" xfId="0" applyNumberFormat="1" applyFont="1" applyBorder="1" applyAlignment="1">
      <alignment horizontal="center" vertical="center"/>
    </xf>
    <xf numFmtId="3" fontId="58" fillId="3" borderId="266" xfId="0" applyNumberFormat="1" applyFont="1" applyFill="1" applyBorder="1" applyAlignment="1">
      <alignment horizontal="center" vertical="center"/>
    </xf>
    <xf numFmtId="223" fontId="172" fillId="15" borderId="108" xfId="0" applyNumberFormat="1" applyFont="1" applyFill="1" applyBorder="1" applyAlignment="1">
      <alignment horizontal="center" vertical="center"/>
    </xf>
    <xf numFmtId="3" fontId="58" fillId="0" borderId="759" xfId="0" applyNumberFormat="1" applyFont="1" applyBorder="1" applyAlignment="1">
      <alignment horizontal="center" vertical="center"/>
    </xf>
    <xf numFmtId="2" fontId="58" fillId="0" borderId="761" xfId="0" applyNumberFormat="1" applyFont="1" applyBorder="1" applyAlignment="1">
      <alignment horizontal="center" vertical="center"/>
    </xf>
    <xf numFmtId="187" fontId="58" fillId="0" borderId="709" xfId="0" applyNumberFormat="1" applyFont="1" applyBorder="1" applyAlignment="1">
      <alignment horizontal="center" vertical="center"/>
    </xf>
    <xf numFmtId="2" fontId="29" fillId="0" borderId="760" xfId="0" applyNumberFormat="1" applyFont="1" applyBorder="1" applyAlignment="1">
      <alignment horizontal="center" vertical="center"/>
    </xf>
    <xf numFmtId="2" fontId="29" fillId="15" borderId="762" xfId="0" applyNumberFormat="1" applyFont="1" applyFill="1" applyBorder="1" applyAlignment="1">
      <alignment horizontal="center" vertical="center"/>
    </xf>
    <xf numFmtId="1" fontId="58" fillId="0" borderId="708" xfId="0" applyNumberFormat="1" applyFont="1" applyFill="1" applyBorder="1" applyAlignment="1">
      <alignment horizontal="center" vertical="center"/>
    </xf>
    <xf numFmtId="1" fontId="58" fillId="0" borderId="709" xfId="0" applyNumberFormat="1" applyFont="1" applyFill="1" applyBorder="1" applyAlignment="1">
      <alignment horizontal="center" vertical="center"/>
    </xf>
    <xf numFmtId="176" fontId="58" fillId="0" borderId="709" xfId="0" applyNumberFormat="1" applyFont="1" applyFill="1" applyBorder="1" applyAlignment="1">
      <alignment horizontal="center" vertical="center"/>
    </xf>
    <xf numFmtId="176" fontId="58" fillId="0" borderId="762" xfId="0" applyNumberFormat="1" applyFont="1" applyFill="1" applyBorder="1" applyAlignment="1">
      <alignment horizontal="center" vertical="center"/>
    </xf>
    <xf numFmtId="2" fontId="58" fillId="0" borderId="708" xfId="0" applyNumberFormat="1" applyFont="1" applyBorder="1" applyAlignment="1">
      <alignment horizontal="center" vertical="center"/>
    </xf>
    <xf numFmtId="177" fontId="58" fillId="0" borderId="709" xfId="0" applyNumberFormat="1" applyFont="1" applyBorder="1" applyAlignment="1">
      <alignment horizontal="center" vertical="center"/>
    </xf>
    <xf numFmtId="183" fontId="58" fillId="0" borderId="762" xfId="1" applyNumberFormat="1" applyFont="1" applyBorder="1" applyAlignment="1">
      <alignment horizontal="center" vertical="center"/>
    </xf>
    <xf numFmtId="2" fontId="58" fillId="0" borderId="762" xfId="0" applyNumberFormat="1" applyFont="1" applyBorder="1" applyAlignment="1">
      <alignment horizontal="center" vertical="center"/>
    </xf>
    <xf numFmtId="2" fontId="58" fillId="0" borderId="764" xfId="0" applyNumberFormat="1" applyFont="1" applyFill="1" applyBorder="1" applyAlignment="1">
      <alignment horizontal="center" vertical="center"/>
    </xf>
    <xf numFmtId="3" fontId="58" fillId="0" borderId="763" xfId="0" applyNumberFormat="1" applyFont="1" applyFill="1" applyBorder="1" applyAlignment="1">
      <alignment horizontal="center" vertical="center"/>
    </xf>
    <xf numFmtId="3" fontId="58" fillId="0" borderId="708" xfId="0" applyNumberFormat="1" applyFont="1" applyBorder="1" applyAlignment="1">
      <alignment horizontal="center" vertical="center"/>
    </xf>
    <xf numFmtId="3" fontId="58" fillId="0" borderId="760" xfId="0" applyNumberFormat="1" applyFont="1" applyBorder="1" applyAlignment="1">
      <alignment horizontal="center" vertical="center"/>
    </xf>
    <xf numFmtId="3" fontId="58" fillId="3" borderId="765" xfId="0" applyNumberFormat="1" applyFont="1" applyFill="1" applyBorder="1" applyAlignment="1">
      <alignment horizontal="center" vertical="center"/>
    </xf>
    <xf numFmtId="3" fontId="58" fillId="0" borderId="762" xfId="0" applyNumberFormat="1" applyFont="1" applyBorder="1" applyAlignment="1">
      <alignment horizontal="center" vertical="center"/>
    </xf>
    <xf numFmtId="223" fontId="172" fillId="15" borderId="766" xfId="0" applyNumberFormat="1" applyFont="1" applyFill="1" applyBorder="1" applyAlignment="1">
      <alignment horizontal="center" vertical="center"/>
    </xf>
    <xf numFmtId="179" fontId="58" fillId="0" borderId="38" xfId="0" applyNumberFormat="1" applyFont="1" applyBorder="1" applyAlignment="1">
      <alignment horizontal="center" vertical="center"/>
    </xf>
    <xf numFmtId="179" fontId="58" fillId="0" borderId="605" xfId="0" applyNumberFormat="1" applyFont="1" applyBorder="1" applyAlignment="1">
      <alignment horizontal="center" vertical="center"/>
    </xf>
    <xf numFmtId="179" fontId="28" fillId="0" borderId="606" xfId="3" applyNumberFormat="1" applyFont="1" applyFill="1" applyBorder="1" applyAlignment="1">
      <alignment horizontal="center" vertical="center"/>
    </xf>
    <xf numFmtId="2" fontId="58" fillId="0" borderId="35" xfId="0" applyNumberFormat="1" applyFont="1" applyFill="1" applyBorder="1" applyAlignment="1">
      <alignment horizontal="center" vertical="center"/>
    </xf>
    <xf numFmtId="223" fontId="58" fillId="0" borderId="766" xfId="2" applyNumberFormat="1" applyFont="1" applyBorder="1" applyAlignment="1">
      <alignment horizontal="center" vertical="center"/>
    </xf>
    <xf numFmtId="187" fontId="58" fillId="0" borderId="773" xfId="2" applyNumberFormat="1" applyFont="1" applyBorder="1" applyAlignment="1">
      <alignment horizontal="center" vertical="center"/>
    </xf>
    <xf numFmtId="226" fontId="58" fillId="0" borderId="773" xfId="2" applyNumberFormat="1" applyFont="1" applyBorder="1" applyAlignment="1">
      <alignment horizontal="center" vertical="center"/>
    </xf>
    <xf numFmtId="226" fontId="58" fillId="0" borderId="776" xfId="2" applyNumberFormat="1" applyFont="1" applyBorder="1" applyAlignment="1">
      <alignment horizontal="center" vertical="center"/>
    </xf>
    <xf numFmtId="226" fontId="58" fillId="0" borderId="775" xfId="2" applyNumberFormat="1" applyFont="1" applyBorder="1" applyAlignment="1">
      <alignment horizontal="center" vertical="center"/>
    </xf>
    <xf numFmtId="2" fontId="58" fillId="5" borderId="775" xfId="0" applyNumberFormat="1" applyFont="1" applyFill="1" applyBorder="1" applyAlignment="1">
      <alignment horizontal="center" vertical="center"/>
    </xf>
    <xf numFmtId="2" fontId="58" fillId="0" borderId="773" xfId="0" applyNumberFormat="1" applyFont="1" applyBorder="1" applyAlignment="1">
      <alignment horizontal="center" vertical="center"/>
    </xf>
    <xf numFmtId="2" fontId="58" fillId="0" borderId="774" xfId="0" applyNumberFormat="1" applyFont="1" applyFill="1" applyBorder="1" applyAlignment="1">
      <alignment horizontal="center" vertical="center"/>
    </xf>
    <xf numFmtId="186" fontId="29" fillId="0" borderId="773" xfId="0" applyNumberFormat="1" applyFont="1" applyFill="1" applyBorder="1" applyAlignment="1">
      <alignment horizontal="center" vertical="center"/>
    </xf>
    <xf numFmtId="226" fontId="58" fillId="7" borderId="773" xfId="2" applyNumberFormat="1" applyFont="1" applyFill="1" applyBorder="1" applyAlignment="1">
      <alignment horizontal="center" vertical="center"/>
    </xf>
    <xf numFmtId="226" fontId="29" fillId="7" borderId="773" xfId="2" applyNumberFormat="1" applyFont="1" applyFill="1" applyBorder="1" applyAlignment="1">
      <alignment horizontal="center" vertical="center"/>
    </xf>
    <xf numFmtId="2" fontId="58" fillId="15" borderId="776" xfId="0" applyNumberFormat="1" applyFont="1" applyFill="1" applyBorder="1" applyAlignment="1">
      <alignment horizontal="center" vertical="center"/>
    </xf>
    <xf numFmtId="185" fontId="58" fillId="0" borderId="716" xfId="0" applyNumberFormat="1" applyFont="1" applyFill="1" applyBorder="1" applyAlignment="1">
      <alignment horizontal="center" vertical="center"/>
    </xf>
    <xf numFmtId="178" fontId="58" fillId="0" borderId="774" xfId="0" applyNumberFormat="1" applyFont="1" applyFill="1" applyBorder="1" applyAlignment="1">
      <alignment horizontal="center" vertical="center"/>
    </xf>
    <xf numFmtId="226" fontId="58" fillId="7" borderId="778" xfId="2" applyNumberFormat="1" applyFont="1" applyFill="1" applyBorder="1" applyAlignment="1">
      <alignment horizontal="center" vertical="center"/>
    </xf>
    <xf numFmtId="187" fontId="58" fillId="7" borderId="774" xfId="2" applyNumberFormat="1" applyFont="1" applyFill="1" applyBorder="1" applyAlignment="1">
      <alignment horizontal="center" vertical="center"/>
    </xf>
    <xf numFmtId="187" fontId="58" fillId="0" borderId="775" xfId="2" applyNumberFormat="1" applyFont="1" applyFill="1" applyBorder="1" applyAlignment="1">
      <alignment horizontal="center" vertical="center"/>
    </xf>
    <xf numFmtId="226" fontId="58" fillId="0" borderId="773" xfId="2" applyNumberFormat="1" applyFont="1" applyFill="1" applyBorder="1" applyAlignment="1">
      <alignment horizontal="center" vertical="center"/>
    </xf>
    <xf numFmtId="226" fontId="58" fillId="0" borderId="715" xfId="2" applyNumberFormat="1" applyFont="1" applyFill="1" applyBorder="1" applyAlignment="1">
      <alignment horizontal="center" vertical="center"/>
    </xf>
    <xf numFmtId="187" fontId="58" fillId="0" borderId="714" xfId="2" applyNumberFormat="1" applyFont="1" applyFill="1" applyBorder="1" applyAlignment="1">
      <alignment horizontal="center" vertical="center"/>
    </xf>
    <xf numFmtId="187" fontId="58" fillId="0" borderId="715" xfId="2" applyNumberFormat="1" applyFont="1" applyFill="1" applyBorder="1" applyAlignment="1">
      <alignment horizontal="center" vertical="center"/>
    </xf>
    <xf numFmtId="187" fontId="58" fillId="0" borderId="776" xfId="2" applyNumberFormat="1" applyFont="1" applyFill="1" applyBorder="1" applyAlignment="1">
      <alignment horizontal="center" vertical="center"/>
    </xf>
    <xf numFmtId="226" fontId="58" fillId="0" borderId="781" xfId="2" applyNumberFormat="1" applyFont="1" applyBorder="1" applyAlignment="1">
      <alignment horizontal="center" vertical="center"/>
    </xf>
    <xf numFmtId="187" fontId="58" fillId="0" borderId="782" xfId="2" applyNumberFormat="1" applyFont="1" applyBorder="1" applyAlignment="1">
      <alignment horizontal="center" vertical="center"/>
    </xf>
    <xf numFmtId="226" fontId="58" fillId="0" borderId="783" xfId="2" applyNumberFormat="1" applyFont="1" applyBorder="1" applyAlignment="1">
      <alignment horizontal="center" vertical="center"/>
    </xf>
    <xf numFmtId="187" fontId="58" fillId="0" borderId="784" xfId="2" applyNumberFormat="1" applyFont="1" applyBorder="1" applyAlignment="1">
      <alignment horizontal="center" vertical="center"/>
    </xf>
    <xf numFmtId="187" fontId="58" fillId="0" borderId="716" xfId="2" applyNumberFormat="1" applyFont="1" applyFill="1" applyBorder="1" applyAlignment="1">
      <alignment horizontal="center" vertical="center"/>
    </xf>
    <xf numFmtId="187" fontId="58" fillId="0" borderId="776" xfId="2" applyNumberFormat="1" applyFont="1" applyBorder="1" applyAlignment="1">
      <alignment horizontal="center" vertical="center"/>
    </xf>
    <xf numFmtId="223" fontId="58" fillId="0" borderId="777" xfId="0" applyNumberFormat="1" applyFont="1" applyBorder="1" applyAlignment="1">
      <alignment horizontal="center" vertical="center"/>
    </xf>
    <xf numFmtId="226" fontId="58" fillId="5" borderId="612" xfId="2" applyNumberFormat="1" applyFont="1" applyFill="1" applyBorder="1" applyAlignment="1">
      <alignment horizontal="center" vertical="center"/>
    </xf>
    <xf numFmtId="186" fontId="197" fillId="5" borderId="764" xfId="0" applyNumberFormat="1" applyFont="1" applyFill="1" applyBorder="1" applyAlignment="1">
      <alignment horizontal="center" vertical="center"/>
    </xf>
    <xf numFmtId="0" fontId="177" fillId="125" borderId="774" xfId="0" quotePrefix="1" applyFont="1" applyFill="1" applyBorder="1" applyAlignment="1">
      <alignment horizontal="center" vertical="center"/>
    </xf>
    <xf numFmtId="187" fontId="58" fillId="0" borderId="775" xfId="2" applyNumberFormat="1" applyFont="1" applyBorder="1" applyAlignment="1">
      <alignment horizontal="center" vertical="center"/>
    </xf>
    <xf numFmtId="226" fontId="58" fillId="0" borderId="715" xfId="2" applyNumberFormat="1" applyFont="1" applyBorder="1" applyAlignment="1">
      <alignment horizontal="center" vertical="center"/>
    </xf>
    <xf numFmtId="226" fontId="58" fillId="0" borderId="774" xfId="2" applyNumberFormat="1" applyFont="1" applyBorder="1" applyAlignment="1">
      <alignment horizontal="center" vertical="center"/>
    </xf>
    <xf numFmtId="226" fontId="58" fillId="5" borderId="775" xfId="2" applyNumberFormat="1" applyFont="1" applyFill="1" applyBorder="1" applyAlignment="1">
      <alignment horizontal="center" vertical="center"/>
    </xf>
    <xf numFmtId="2" fontId="29" fillId="0" borderId="773" xfId="0" applyNumberFormat="1" applyFont="1" applyFill="1" applyBorder="1" applyAlignment="1">
      <alignment horizontal="center" vertical="center"/>
    </xf>
    <xf numFmtId="2" fontId="29" fillId="5" borderId="773" xfId="0" applyNumberFormat="1" applyFont="1" applyFill="1" applyBorder="1" applyAlignment="1">
      <alignment horizontal="center" vertical="center"/>
    </xf>
    <xf numFmtId="2" fontId="58" fillId="5" borderId="773" xfId="0" applyNumberFormat="1" applyFont="1" applyFill="1" applyBorder="1" applyAlignment="1">
      <alignment horizontal="center" vertical="center"/>
    </xf>
    <xf numFmtId="186" fontId="197" fillId="5" borderId="785" xfId="0" applyNumberFormat="1" applyFont="1" applyFill="1" applyBorder="1" applyAlignment="1">
      <alignment horizontal="center" vertical="center"/>
    </xf>
    <xf numFmtId="2" fontId="58" fillId="0" borderId="773" xfId="0" applyNumberFormat="1" applyFont="1" applyFill="1" applyBorder="1" applyAlignment="1">
      <alignment horizontal="center" vertical="center"/>
    </xf>
    <xf numFmtId="2" fontId="58" fillId="0" borderId="776" xfId="0" applyNumberFormat="1" applyFont="1" applyFill="1" applyBorder="1" applyAlignment="1">
      <alignment horizontal="center" vertical="center"/>
    </xf>
    <xf numFmtId="185" fontId="58" fillId="0" borderId="775" xfId="0" applyNumberFormat="1" applyFont="1" applyFill="1" applyBorder="1" applyAlignment="1">
      <alignment horizontal="center" vertical="center"/>
    </xf>
    <xf numFmtId="178" fontId="58" fillId="0" borderId="773" xfId="0" applyNumberFormat="1" applyFont="1" applyFill="1" applyBorder="1" applyAlignment="1">
      <alignment horizontal="center" vertical="center"/>
    </xf>
    <xf numFmtId="185" fontId="58" fillId="0" borderId="773" xfId="0" applyNumberFormat="1" applyFont="1" applyFill="1" applyBorder="1" applyAlignment="1">
      <alignment horizontal="center" vertical="center"/>
    </xf>
    <xf numFmtId="226" fontId="58" fillId="0" borderId="775" xfId="2" applyNumberFormat="1" applyFont="1" applyFill="1" applyBorder="1" applyAlignment="1">
      <alignment horizontal="center" vertical="center"/>
    </xf>
    <xf numFmtId="187" fontId="58" fillId="0" borderId="774" xfId="2" applyNumberFormat="1" applyFont="1" applyFill="1" applyBorder="1" applyAlignment="1">
      <alignment horizontal="center" vertical="center"/>
    </xf>
    <xf numFmtId="226" fontId="58" fillId="7" borderId="775" xfId="2" applyNumberFormat="1" applyFont="1" applyFill="1" applyBorder="1" applyAlignment="1">
      <alignment horizontal="center" vertical="center"/>
    </xf>
    <xf numFmtId="187" fontId="58" fillId="3" borderId="778" xfId="2" applyNumberFormat="1" applyFont="1" applyFill="1" applyBorder="1" applyAlignment="1">
      <alignment horizontal="center" vertical="center"/>
    </xf>
    <xf numFmtId="187" fontId="58" fillId="3" borderId="776" xfId="2" applyNumberFormat="1" applyFont="1" applyFill="1" applyBorder="1" applyAlignment="1">
      <alignment horizontal="center" vertical="center"/>
    </xf>
    <xf numFmtId="187" fontId="58" fillId="3" borderId="715" xfId="2" applyNumberFormat="1" applyFont="1" applyFill="1" applyBorder="1" applyAlignment="1">
      <alignment horizontal="center" vertical="center"/>
    </xf>
    <xf numFmtId="38" fontId="172" fillId="0" borderId="777" xfId="2" applyNumberFormat="1" applyFont="1" applyBorder="1" applyAlignment="1">
      <alignment horizontal="center" vertical="center"/>
    </xf>
    <xf numFmtId="0" fontId="177" fillId="125" borderId="612" xfId="0" applyFont="1" applyFill="1" applyBorder="1" applyAlignment="1">
      <alignment horizontal="center" vertical="center"/>
    </xf>
    <xf numFmtId="178" fontId="177" fillId="125" borderId="606" xfId="0" applyNumberFormat="1" applyFont="1" applyFill="1" applyBorder="1" applyAlignment="1">
      <alignment horizontal="center" vertical="center"/>
    </xf>
    <xf numFmtId="178" fontId="177" fillId="125" borderId="612" xfId="0" applyNumberFormat="1" applyFont="1" applyFill="1" applyBorder="1" applyAlignment="1">
      <alignment horizontal="center" vertical="center"/>
    </xf>
    <xf numFmtId="183" fontId="177" fillId="125" borderId="612" xfId="0" applyNumberFormat="1" applyFont="1" applyFill="1" applyBorder="1" applyAlignment="1">
      <alignment horizontal="center" vertical="center"/>
    </xf>
    <xf numFmtId="0" fontId="177" fillId="125" borderId="509" xfId="0" applyFont="1" applyFill="1" applyBorder="1" applyAlignment="1">
      <alignment horizontal="center" vertical="center" wrapText="1"/>
    </xf>
    <xf numFmtId="0" fontId="166" fillId="0" borderId="35" xfId="0" applyFont="1" applyBorder="1" applyAlignment="1">
      <alignment horizontal="center" vertical="center" wrapText="1"/>
    </xf>
    <xf numFmtId="0" fontId="177" fillId="125" borderId="759" xfId="0" applyFont="1" applyFill="1" applyBorder="1" applyAlignment="1">
      <alignment horizontal="center" vertical="center" wrapText="1"/>
    </xf>
    <xf numFmtId="10" fontId="29" fillId="0" borderId="709" xfId="0" applyNumberFormat="1" applyFont="1" applyBorder="1" applyAlignment="1">
      <alignment horizontal="center" vertical="center" wrapText="1"/>
    </xf>
    <xf numFmtId="183" fontId="29" fillId="0" borderId="709" xfId="0" applyNumberFormat="1" applyFont="1" applyBorder="1" applyAlignment="1">
      <alignment horizontal="center" vertical="center" wrapText="1"/>
    </xf>
    <xf numFmtId="178" fontId="177" fillId="125" borderId="710" xfId="0" applyNumberFormat="1" applyFont="1" applyFill="1" applyBorder="1" applyAlignment="1">
      <alignment horizontal="center" vertical="center"/>
    </xf>
    <xf numFmtId="0" fontId="166" fillId="0" borderId="709" xfId="0" applyFont="1" applyBorder="1" applyAlignment="1">
      <alignment horizontal="center" vertical="center" wrapText="1"/>
    </xf>
    <xf numFmtId="0" fontId="177" fillId="125" borderId="710" xfId="0" applyFont="1" applyFill="1" applyBorder="1" applyAlignment="1">
      <alignment horizontal="center" vertical="center"/>
    </xf>
    <xf numFmtId="183" fontId="177" fillId="125" borderId="710" xfId="0" applyNumberFormat="1" applyFont="1" applyFill="1" applyBorder="1" applyAlignment="1">
      <alignment horizontal="center" vertical="center"/>
    </xf>
    <xf numFmtId="0" fontId="177" fillId="125" borderId="786" xfId="0" applyFont="1" applyFill="1" applyBorder="1" applyAlignment="1">
      <alignment horizontal="center" vertical="center" wrapText="1"/>
    </xf>
    <xf numFmtId="0" fontId="29" fillId="0" borderId="709" xfId="0" applyFont="1" applyBorder="1" applyAlignment="1">
      <alignment horizontal="center" vertical="center" wrapText="1"/>
    </xf>
    <xf numFmtId="187" fontId="35" fillId="7" borderId="606" xfId="0" applyNumberFormat="1" applyFont="1" applyFill="1" applyBorder="1" applyAlignment="1">
      <alignment horizontal="center" vertical="center" readingOrder="1"/>
    </xf>
    <xf numFmtId="4" fontId="29" fillId="7" borderId="606" xfId="2" applyNumberFormat="1" applyFont="1" applyFill="1" applyBorder="1" applyAlignment="1">
      <alignment horizontal="center" vertical="center"/>
    </xf>
    <xf numFmtId="183" fontId="177" fillId="125" borderId="606" xfId="2" applyNumberFormat="1" applyFont="1" applyFill="1" applyBorder="1" applyAlignment="1">
      <alignment horizontal="center" vertical="center"/>
    </xf>
    <xf numFmtId="2" fontId="35" fillId="8" borderId="606" xfId="0" quotePrefix="1" applyNumberFormat="1" applyFont="1" applyFill="1" applyBorder="1" applyAlignment="1">
      <alignment horizontal="center" vertical="center"/>
    </xf>
    <xf numFmtId="227" fontId="29" fillId="7" borderId="606" xfId="2" applyNumberFormat="1" applyFont="1" applyFill="1" applyBorder="1" applyAlignment="1">
      <alignment horizontal="center" vertical="center"/>
    </xf>
    <xf numFmtId="3" fontId="177" fillId="125" borderId="606" xfId="2" applyNumberFormat="1" applyFont="1" applyFill="1" applyBorder="1" applyAlignment="1">
      <alignment horizontal="center" vertical="center" wrapText="1"/>
    </xf>
    <xf numFmtId="3" fontId="29" fillId="7" borderId="606" xfId="2" applyNumberFormat="1" applyFont="1" applyFill="1" applyBorder="1" applyAlignment="1">
      <alignment horizontal="center" vertical="center"/>
    </xf>
    <xf numFmtId="183" fontId="29" fillId="7" borderId="606" xfId="2" applyNumberFormat="1" applyFont="1" applyFill="1" applyBorder="1" applyAlignment="1">
      <alignment horizontal="center" vertical="center" wrapText="1"/>
    </xf>
    <xf numFmtId="183" fontId="177" fillId="125" borderId="606" xfId="2" applyNumberFormat="1" applyFont="1" applyFill="1" applyBorder="1" applyAlignment="1">
      <alignment horizontal="center" vertical="center" wrapText="1"/>
    </xf>
    <xf numFmtId="177" fontId="29" fillId="7" borderId="6" xfId="0" applyNumberFormat="1" applyFont="1" applyFill="1" applyBorder="1" applyAlignment="1">
      <alignment horizontal="center" vertical="center"/>
    </xf>
    <xf numFmtId="4" fontId="29" fillId="7" borderId="513" xfId="2" applyNumberFormat="1" applyFont="1" applyFill="1" applyBorder="1" applyAlignment="1">
      <alignment horizontal="center" vertical="center"/>
    </xf>
    <xf numFmtId="183" fontId="177" fillId="125" borderId="108" xfId="2" applyNumberFormat="1" applyFont="1" applyFill="1" applyBorder="1" applyAlignment="1">
      <alignment horizontal="center" vertical="center"/>
    </xf>
    <xf numFmtId="0" fontId="29" fillId="5" borderId="787" xfId="0" applyFont="1" applyFill="1" applyBorder="1" applyAlignment="1">
      <alignment horizontal="center" vertical="center" wrapText="1"/>
    </xf>
    <xf numFmtId="178" fontId="29" fillId="0" borderId="787" xfId="0" applyNumberFormat="1" applyFont="1" applyBorder="1" applyAlignment="1">
      <alignment horizontal="center" vertical="center"/>
    </xf>
    <xf numFmtId="183" fontId="29" fillId="0" borderId="709" xfId="0" applyNumberFormat="1" applyFont="1" applyBorder="1" applyAlignment="1">
      <alignment horizontal="center" vertical="center"/>
    </xf>
    <xf numFmtId="0" fontId="29" fillId="0" borderId="708" xfId="0" applyFont="1" applyBorder="1" applyAlignment="1">
      <alignment horizontal="center" vertical="center" wrapText="1"/>
    </xf>
    <xf numFmtId="226" fontId="29" fillId="0" borderId="761" xfId="2" applyNumberFormat="1" applyFont="1" applyFill="1" applyBorder="1" applyAlignment="1">
      <alignment horizontal="center" vertical="center"/>
    </xf>
    <xf numFmtId="187" fontId="29" fillId="0" borderId="762" xfId="2" applyNumberFormat="1" applyFont="1" applyFill="1" applyBorder="1" applyAlignment="1">
      <alignment horizontal="center" vertical="center"/>
    </xf>
    <xf numFmtId="187" fontId="29" fillId="0" borderId="708" xfId="2" applyNumberFormat="1" applyFont="1" applyFill="1" applyBorder="1" applyAlignment="1">
      <alignment horizontal="center" vertical="center"/>
    </xf>
    <xf numFmtId="187" fontId="29" fillId="0" borderId="709" xfId="2" applyNumberFormat="1" applyFont="1" applyFill="1" applyBorder="1" applyAlignment="1">
      <alignment horizontal="center" vertical="center"/>
    </xf>
    <xf numFmtId="187" fontId="29" fillId="0" borderId="764" xfId="2" applyNumberFormat="1" applyFont="1" applyFill="1" applyBorder="1" applyAlignment="1">
      <alignment horizontal="center" vertical="center"/>
    </xf>
    <xf numFmtId="187" fontId="29" fillId="0" borderId="760" xfId="2" applyNumberFormat="1" applyFont="1" applyFill="1" applyBorder="1" applyAlignment="1">
      <alignment horizontal="center" vertical="center"/>
    </xf>
    <xf numFmtId="226" fontId="29" fillId="0" borderId="709" xfId="2" applyNumberFormat="1" applyFont="1" applyFill="1" applyBorder="1" applyAlignment="1">
      <alignment horizontal="center" vertical="center"/>
    </xf>
    <xf numFmtId="187" fontId="29" fillId="0" borderId="765" xfId="2" applyNumberFormat="1" applyFont="1" applyFill="1" applyBorder="1" applyAlignment="1">
      <alignment horizontal="center" vertical="center"/>
    </xf>
    <xf numFmtId="223" fontId="58" fillId="15" borderId="710" xfId="0" applyNumberFormat="1" applyFont="1" applyFill="1" applyBorder="1">
      <alignment vertical="center"/>
    </xf>
    <xf numFmtId="0" fontId="172" fillId="15" borderId="773" xfId="0" quotePrefix="1" applyFont="1" applyFill="1" applyBorder="1" applyAlignment="1">
      <alignment horizontal="center" vertical="center"/>
    </xf>
    <xf numFmtId="3" fontId="58" fillId="0" borderId="773" xfId="0" applyNumberFormat="1" applyFont="1" applyBorder="1" applyAlignment="1">
      <alignment horizontal="center" vertical="center"/>
    </xf>
    <xf numFmtId="4" fontId="58" fillId="0" borderId="773" xfId="0" applyNumberFormat="1" applyFont="1" applyBorder="1" applyAlignment="1">
      <alignment horizontal="center" vertical="center"/>
    </xf>
    <xf numFmtId="2" fontId="29" fillId="0" borderId="773" xfId="0" applyNumberFormat="1" applyFont="1" applyBorder="1" applyAlignment="1">
      <alignment horizontal="center" vertical="center"/>
    </xf>
    <xf numFmtId="223" fontId="58" fillId="15" borderId="776" xfId="0" applyNumberFormat="1" applyFont="1" applyFill="1" applyBorder="1" applyAlignment="1">
      <alignment horizontal="center" vertical="center"/>
    </xf>
    <xf numFmtId="0" fontId="29" fillId="0" borderId="0" xfId="0" applyFont="1" applyAlignment="1">
      <alignment horizontal="center" vertical="center"/>
    </xf>
    <xf numFmtId="38" fontId="58" fillId="0" borderId="0" xfId="0" applyNumberFormat="1" applyFont="1" applyAlignment="1">
      <alignment horizontal="center" vertical="center"/>
    </xf>
    <xf numFmtId="10" fontId="58" fillId="0" borderId="0" xfId="0" applyNumberFormat="1" applyFont="1">
      <alignment vertical="center"/>
    </xf>
    <xf numFmtId="187" fontId="275" fillId="3" borderId="214" xfId="2" applyNumberFormat="1" applyFont="1" applyFill="1" applyBorder="1" applyAlignment="1">
      <alignment horizontal="center" vertical="center"/>
    </xf>
    <xf numFmtId="4" fontId="187" fillId="3" borderId="762" xfId="0" applyNumberFormat="1" applyFont="1" applyFill="1" applyBorder="1" applyAlignment="1">
      <alignment horizontal="center" vertical="center"/>
    </xf>
    <xf numFmtId="2" fontId="187" fillId="3" borderId="709" xfId="0" applyNumberFormat="1" applyFont="1" applyFill="1" applyBorder="1" applyAlignment="1">
      <alignment horizontal="center" vertical="center"/>
    </xf>
    <xf numFmtId="9" fontId="168" fillId="15" borderId="104" xfId="1" applyFont="1" applyFill="1" applyBorder="1" applyAlignment="1">
      <alignment horizontal="center" vertical="center"/>
    </xf>
    <xf numFmtId="223" fontId="0" fillId="0" borderId="606" xfId="0" applyNumberFormat="1" applyFill="1" applyBorder="1" applyAlignment="1">
      <alignment horizontal="center" vertical="center"/>
    </xf>
    <xf numFmtId="38" fontId="41" fillId="15" borderId="214" xfId="0" applyNumberFormat="1" applyFont="1" applyFill="1" applyBorder="1" applyAlignment="1">
      <alignment horizontal="center" vertical="center"/>
    </xf>
    <xf numFmtId="38" fontId="58" fillId="15" borderId="236" xfId="0" applyNumberFormat="1" applyFont="1" applyFill="1" applyBorder="1" applyAlignment="1">
      <alignment horizontal="center" vertical="center"/>
    </xf>
    <xf numFmtId="9" fontId="58" fillId="15" borderId="214" xfId="1" applyFont="1" applyFill="1" applyBorder="1" applyAlignment="1">
      <alignment horizontal="center" vertical="center"/>
    </xf>
    <xf numFmtId="38" fontId="41" fillId="15" borderId="236" xfId="0" applyNumberFormat="1" applyFont="1" applyFill="1" applyBorder="1" applyAlignment="1">
      <alignment horizontal="center" vertical="center"/>
    </xf>
    <xf numFmtId="38" fontId="41" fillId="15" borderId="606" xfId="0" applyNumberFormat="1" applyFont="1" applyFill="1" applyBorder="1" applyAlignment="1">
      <alignment horizontal="center" vertical="center"/>
    </xf>
    <xf numFmtId="187" fontId="58" fillId="15" borderId="214" xfId="0" applyNumberFormat="1" applyFont="1" applyFill="1" applyBorder="1" applyAlignment="1">
      <alignment horizontal="center" vertical="center"/>
    </xf>
    <xf numFmtId="38" fontId="58" fillId="15" borderId="465" xfId="0" applyNumberFormat="1" applyFont="1" applyFill="1" applyBorder="1" applyAlignment="1">
      <alignment horizontal="center" vertical="center"/>
    </xf>
    <xf numFmtId="187" fontId="58" fillId="15" borderId="606" xfId="0" applyNumberFormat="1" applyFont="1" applyFill="1" applyBorder="1" applyAlignment="1">
      <alignment horizontal="center" vertical="center"/>
    </xf>
    <xf numFmtId="0" fontId="177" fillId="127" borderId="464" xfId="0" applyFont="1" applyFill="1" applyBorder="1" applyAlignment="1">
      <alignment horizontal="center" vertical="center"/>
    </xf>
    <xf numFmtId="0" fontId="177" fillId="127" borderId="5" xfId="0" applyFont="1" applyFill="1" applyBorder="1" applyAlignment="1">
      <alignment horizontal="center" vertical="center"/>
    </xf>
    <xf numFmtId="0" fontId="177" fillId="127" borderId="6" xfId="0" applyFont="1" applyFill="1" applyBorder="1" applyAlignment="1">
      <alignment horizontal="center" vertical="center"/>
    </xf>
    <xf numFmtId="0" fontId="219" fillId="127" borderId="463" xfId="0" applyFont="1" applyFill="1" applyBorder="1" applyAlignment="1">
      <alignment horizontal="center" vertical="center"/>
    </xf>
    <xf numFmtId="0" fontId="219" fillId="127" borderId="491" xfId="0" applyFont="1" applyFill="1" applyBorder="1" applyAlignment="1">
      <alignment horizontal="center" vertical="center"/>
    </xf>
    <xf numFmtId="0" fontId="219" fillId="127" borderId="45" xfId="0" applyFont="1" applyFill="1" applyBorder="1" applyAlignment="1">
      <alignment horizontal="center" vertical="center"/>
    </xf>
    <xf numFmtId="0" fontId="219" fillId="127" borderId="47" xfId="0" applyFont="1" applyFill="1" applyBorder="1" applyAlignment="1">
      <alignment horizontal="center" vertical="center"/>
    </xf>
    <xf numFmtId="0" fontId="219" fillId="127" borderId="601" xfId="0" applyFont="1" applyFill="1" applyBorder="1" applyAlignment="1">
      <alignment horizontal="center" vertical="center"/>
    </xf>
    <xf numFmtId="0" fontId="219" fillId="127" borderId="602" xfId="0" applyFont="1" applyFill="1" applyBorder="1" applyAlignment="1">
      <alignment horizontal="center" vertical="center"/>
    </xf>
    <xf numFmtId="0" fontId="219" fillId="127" borderId="606" xfId="0" applyFont="1" applyFill="1" applyBorder="1" applyAlignment="1">
      <alignment horizontal="center" vertical="center"/>
    </xf>
    <xf numFmtId="0" fontId="219" fillId="127" borderId="513" xfId="0" applyFont="1" applyFill="1" applyBorder="1" applyAlignment="1">
      <alignment horizontal="center" vertical="center"/>
    </xf>
    <xf numFmtId="0" fontId="177" fillId="127" borderId="591" xfId="0" applyFont="1" applyFill="1" applyBorder="1" applyAlignment="1">
      <alignment horizontal="center" vertical="center"/>
    </xf>
    <xf numFmtId="0" fontId="219" fillId="127" borderId="600" xfId="0" applyFont="1" applyFill="1" applyBorder="1" applyAlignment="1">
      <alignment horizontal="center" vertical="center"/>
    </xf>
    <xf numFmtId="0" fontId="177" fillId="127" borderId="605" xfId="0" applyFont="1" applyFill="1" applyBorder="1" applyAlignment="1">
      <alignment horizontal="center" vertical="center"/>
    </xf>
    <xf numFmtId="0" fontId="177" fillId="127" borderId="613" xfId="0" applyFont="1" applyFill="1" applyBorder="1" applyAlignment="1">
      <alignment horizontal="center" vertical="center"/>
    </xf>
    <xf numFmtId="0" fontId="177" fillId="127" borderId="606" xfId="0" applyFont="1" applyFill="1" applyBorder="1" applyAlignment="1">
      <alignment horizontal="center" vertical="center"/>
    </xf>
    <xf numFmtId="0" fontId="230" fillId="135" borderId="607" xfId="0" applyFont="1" applyFill="1" applyBorder="1" applyAlignment="1">
      <alignment horizontal="center" vertical="center"/>
    </xf>
    <xf numFmtId="0" fontId="230" fillId="135" borderId="606" xfId="0" applyFont="1" applyFill="1" applyBorder="1" applyAlignment="1">
      <alignment horizontal="center" vertical="center"/>
    </xf>
    <xf numFmtId="0" fontId="230" fillId="135" borderId="605" xfId="0" applyFont="1" applyFill="1" applyBorder="1" applyAlignment="1">
      <alignment horizontal="center" vertical="center"/>
    </xf>
    <xf numFmtId="0" fontId="230" fillId="135" borderId="119" xfId="0" applyFont="1" applyFill="1" applyBorder="1" applyAlignment="1">
      <alignment horizontal="center" vertical="center"/>
    </xf>
    <xf numFmtId="0" fontId="230" fillId="135" borderId="120" xfId="0" applyFont="1" applyFill="1" applyBorder="1" applyAlignment="1">
      <alignment horizontal="center" vertical="center"/>
    </xf>
    <xf numFmtId="0" fontId="230" fillId="135" borderId="45" xfId="0" applyFont="1" applyFill="1" applyBorder="1" applyAlignment="1">
      <alignment horizontal="center" vertical="center"/>
    </xf>
    <xf numFmtId="0" fontId="177" fillId="127" borderId="366" xfId="0" applyFont="1" applyFill="1" applyBorder="1" applyAlignment="1">
      <alignment horizontal="center" vertical="center"/>
    </xf>
    <xf numFmtId="0" fontId="177" fillId="127" borderId="307" xfId="0" applyFont="1" applyFill="1" applyBorder="1" applyAlignment="1">
      <alignment horizontal="center" vertical="center"/>
    </xf>
    <xf numFmtId="0" fontId="219" fillId="127" borderId="285" xfId="0" applyFont="1" applyFill="1" applyBorder="1" applyAlignment="1">
      <alignment horizontal="center" vertical="center"/>
    </xf>
    <xf numFmtId="0" fontId="219" fillId="127" borderId="108" xfId="0" applyFont="1" applyFill="1" applyBorder="1" applyAlignment="1">
      <alignment horizontal="center" vertical="center"/>
    </xf>
    <xf numFmtId="0" fontId="219" fillId="127" borderId="204" xfId="0" applyFont="1" applyFill="1" applyBorder="1" applyAlignment="1">
      <alignment horizontal="center" vertical="center"/>
    </xf>
    <xf numFmtId="0" fontId="219" fillId="127" borderId="209" xfId="0" applyFont="1" applyFill="1" applyBorder="1" applyAlignment="1">
      <alignment horizontal="center" vertical="center"/>
    </xf>
    <xf numFmtId="0" fontId="177" fillId="127" borderId="463" xfId="0" applyFont="1" applyFill="1" applyBorder="1" applyAlignment="1">
      <alignment horizontal="center" vertical="center"/>
    </xf>
    <xf numFmtId="0" fontId="177" fillId="127" borderId="328" xfId="0" applyFont="1" applyFill="1" applyBorder="1" applyAlignment="1">
      <alignment horizontal="center" vertical="center"/>
    </xf>
    <xf numFmtId="0" fontId="177" fillId="127" borderId="38" xfId="0" applyFont="1" applyFill="1" applyBorder="1" applyAlignment="1">
      <alignment horizontal="center" vertical="center"/>
    </xf>
    <xf numFmtId="0" fontId="219" fillId="127" borderId="6" xfId="0" applyFont="1" applyFill="1" applyBorder="1" applyAlignment="1">
      <alignment horizontal="center" vertical="center"/>
    </xf>
    <xf numFmtId="0" fontId="219" fillId="127" borderId="464" xfId="0" applyFont="1" applyFill="1" applyBorder="1" applyAlignment="1">
      <alignment horizontal="center" vertical="center"/>
    </xf>
    <xf numFmtId="0" fontId="177" fillId="127" borderId="593" xfId="0" applyFont="1" applyFill="1" applyBorder="1" applyAlignment="1">
      <alignment horizontal="center" vertical="center"/>
    </xf>
    <xf numFmtId="0" fontId="177" fillId="127" borderId="594" xfId="0" applyFont="1" applyFill="1" applyBorder="1" applyAlignment="1">
      <alignment horizontal="center" vertical="center"/>
    </xf>
    <xf numFmtId="0" fontId="219" fillId="127" borderId="591" xfId="0" applyFont="1" applyFill="1" applyBorder="1" applyAlignment="1">
      <alignment horizontal="center" vertical="center"/>
    </xf>
    <xf numFmtId="0" fontId="219" fillId="127" borderId="38" xfId="0" applyFont="1" applyFill="1" applyBorder="1" applyAlignment="1">
      <alignment horizontal="center" vertical="center"/>
    </xf>
    <xf numFmtId="0" fontId="219" fillId="127" borderId="23" xfId="0" applyFont="1" applyFill="1" applyBorder="1" applyAlignment="1">
      <alignment horizontal="center" vertical="center"/>
    </xf>
    <xf numFmtId="0" fontId="219" fillId="127" borderId="514" xfId="0" applyFont="1" applyFill="1" applyBorder="1" applyAlignment="1">
      <alignment horizontal="center" vertical="center"/>
    </xf>
    <xf numFmtId="0" fontId="219" fillId="127" borderId="516" xfId="0" applyFont="1" applyFill="1" applyBorder="1" applyAlignment="1">
      <alignment horizontal="center" vertical="center"/>
    </xf>
    <xf numFmtId="0" fontId="177" fillId="127" borderId="120" xfId="0" applyFont="1" applyFill="1" applyBorder="1" applyAlignment="1">
      <alignment horizontal="center" vertical="center"/>
    </xf>
    <xf numFmtId="0" fontId="35" fillId="131" borderId="512" xfId="0" applyFont="1" applyFill="1" applyBorder="1" applyAlignment="1">
      <alignment horizontal="center" vertical="center"/>
    </xf>
    <xf numFmtId="0" fontId="35" fillId="131" borderId="513" xfId="0" applyFont="1" applyFill="1" applyBorder="1" applyAlignment="1">
      <alignment horizontal="center" vertical="center"/>
    </xf>
    <xf numFmtId="0" fontId="35" fillId="131" borderId="515" xfId="0" applyFont="1" applyFill="1" applyBorder="1" applyAlignment="1">
      <alignment horizontal="center" vertical="center"/>
    </xf>
    <xf numFmtId="0" fontId="219" fillId="125" borderId="285" xfId="0" applyFont="1" applyFill="1" applyBorder="1" applyAlignment="1">
      <alignment horizontal="center" vertical="center" wrapText="1"/>
    </xf>
    <xf numFmtId="0" fontId="219" fillId="125" borderId="108" xfId="0" applyFont="1" applyFill="1" applyBorder="1" applyAlignment="1">
      <alignment horizontal="center" vertical="center" wrapText="1"/>
    </xf>
    <xf numFmtId="0" fontId="219" fillId="125" borderId="389" xfId="0" applyFont="1" applyFill="1" applyBorder="1" applyAlignment="1">
      <alignment horizontal="center" vertical="center" wrapText="1"/>
    </xf>
    <xf numFmtId="0" fontId="35" fillId="131" borderId="514" xfId="0" applyFont="1" applyFill="1" applyBorder="1" applyAlignment="1">
      <alignment horizontal="center" vertical="center"/>
    </xf>
    <xf numFmtId="0" fontId="35" fillId="131" borderId="607" xfId="0" applyFont="1" applyFill="1" applyBorder="1" applyAlignment="1">
      <alignment horizontal="center" vertical="center"/>
    </xf>
    <xf numFmtId="0" fontId="35" fillId="131" borderId="606" xfId="0" applyFont="1" applyFill="1" applyBorder="1" applyAlignment="1">
      <alignment horizontal="center" vertical="center"/>
    </xf>
    <xf numFmtId="0" fontId="35" fillId="131" borderId="605" xfId="0" applyFont="1" applyFill="1" applyBorder="1" applyAlignment="1">
      <alignment horizontal="center" vertical="center"/>
    </xf>
    <xf numFmtId="0" fontId="35" fillId="131" borderId="119" xfId="0" applyFont="1" applyFill="1" applyBorder="1" applyAlignment="1">
      <alignment horizontal="center" vertical="center"/>
    </xf>
    <xf numFmtId="0" fontId="35" fillId="131" borderId="120" xfId="0" applyFont="1" applyFill="1" applyBorder="1" applyAlignment="1">
      <alignment horizontal="center" vertical="center"/>
    </xf>
    <xf numFmtId="0" fontId="35" fillId="131" borderId="45" xfId="0" applyFont="1" applyFill="1" applyBorder="1" applyAlignment="1">
      <alignment horizontal="center" vertical="center"/>
    </xf>
    <xf numFmtId="0" fontId="230" fillId="135" borderId="599" xfId="0" applyFont="1" applyFill="1" applyBorder="1" applyAlignment="1">
      <alignment horizontal="center" vertical="center"/>
    </xf>
    <xf numFmtId="0" fontId="230" fillId="135" borderId="600" xfId="0" applyFont="1" applyFill="1" applyBorder="1" applyAlignment="1">
      <alignment horizontal="center" vertical="center"/>
    </xf>
    <xf numFmtId="0" fontId="230" fillId="135" borderId="601" xfId="0" applyFont="1" applyFill="1" applyBorder="1" applyAlignment="1">
      <alignment horizontal="center" vertical="center"/>
    </xf>
    <xf numFmtId="0" fontId="230" fillId="131" borderId="607" xfId="0" applyFont="1" applyFill="1" applyBorder="1" applyAlignment="1">
      <alignment horizontal="center" vertical="center"/>
    </xf>
    <xf numFmtId="0" fontId="230" fillId="131" borderId="606" xfId="0" applyFont="1" applyFill="1" applyBorder="1" applyAlignment="1">
      <alignment horizontal="center" vertical="center"/>
    </xf>
    <xf numFmtId="0" fontId="230" fillId="131" borderId="605" xfId="0" applyFont="1" applyFill="1" applyBorder="1" applyAlignment="1">
      <alignment horizontal="center" vertical="center"/>
    </xf>
    <xf numFmtId="0" fontId="230" fillId="135" borderId="121" xfId="0" applyFont="1" applyFill="1" applyBorder="1" applyAlignment="1">
      <alignment horizontal="center" vertical="center"/>
    </xf>
    <xf numFmtId="0" fontId="230" fillId="135" borderId="608" xfId="0" applyFont="1" applyFill="1" applyBorder="1" applyAlignment="1">
      <alignment horizontal="center" vertical="center"/>
    </xf>
    <xf numFmtId="0" fontId="219" fillId="127" borderId="286" xfId="0" applyFont="1" applyFill="1" applyBorder="1" applyAlignment="1">
      <alignment horizontal="center" vertical="center"/>
    </xf>
    <xf numFmtId="0" fontId="177" fillId="127" borderId="0" xfId="0" applyFont="1" applyFill="1" applyBorder="1" applyAlignment="1">
      <alignment horizontal="center" vertical="center"/>
    </xf>
    <xf numFmtId="187" fontId="0" fillId="0" borderId="0" xfId="0" applyNumberFormat="1" applyBorder="1" applyAlignment="1">
      <alignment horizontal="center" vertical="center"/>
    </xf>
    <xf numFmtId="0" fontId="219" fillId="127" borderId="224" xfId="0" applyFont="1" applyFill="1" applyBorder="1" applyAlignment="1">
      <alignment horizontal="center" vertical="center"/>
    </xf>
    <xf numFmtId="0" fontId="230" fillId="131" borderId="608" xfId="0" applyFont="1" applyFill="1" applyBorder="1" applyAlignment="1">
      <alignment horizontal="center" vertical="center"/>
    </xf>
    <xf numFmtId="0" fontId="177" fillId="127" borderId="44" xfId="0" applyFont="1" applyFill="1" applyBorder="1" applyAlignment="1">
      <alignment horizontal="center" vertical="center"/>
    </xf>
    <xf numFmtId="0" fontId="177" fillId="127" borderId="50" xfId="0" applyFont="1" applyFill="1" applyBorder="1" applyAlignment="1">
      <alignment horizontal="center" vertical="center"/>
    </xf>
    <xf numFmtId="0" fontId="177" fillId="127" borderId="119" xfId="0" applyFont="1" applyFill="1" applyBorder="1" applyAlignment="1">
      <alignment horizontal="center" vertical="center" wrapText="1"/>
    </xf>
    <xf numFmtId="0" fontId="177" fillId="127" borderId="576" xfId="0" applyFont="1" applyFill="1" applyBorder="1" applyAlignment="1">
      <alignment horizontal="center" vertical="center" wrapText="1"/>
    </xf>
    <xf numFmtId="0" fontId="177" fillId="127" borderId="452" xfId="0" applyFont="1" applyFill="1" applyBorder="1" applyAlignment="1">
      <alignment horizontal="center" vertical="center" wrapText="1"/>
    </xf>
    <xf numFmtId="3" fontId="58" fillId="7" borderId="464" xfId="2" applyNumberFormat="1" applyFont="1" applyFill="1" applyBorder="1" applyAlignment="1">
      <alignment horizontal="center" vertical="center"/>
    </xf>
    <xf numFmtId="3" fontId="58" fillId="7" borderId="210" xfId="2" applyNumberFormat="1" applyFont="1" applyFill="1" applyBorder="1" applyAlignment="1">
      <alignment horizontal="center" vertical="center"/>
    </xf>
    <xf numFmtId="0" fontId="219" fillId="127" borderId="593" xfId="0" applyFont="1" applyFill="1" applyBorder="1" applyAlignment="1">
      <alignment horizontal="center" vertical="center"/>
    </xf>
    <xf numFmtId="0" fontId="219" fillId="127" borderId="594" xfId="0" applyFont="1" applyFill="1" applyBorder="1" applyAlignment="1">
      <alignment horizontal="center" vertical="center"/>
    </xf>
    <xf numFmtId="223" fontId="177" fillId="125" borderId="606" xfId="2" applyNumberFormat="1" applyFont="1" applyFill="1" applyBorder="1" applyAlignment="1">
      <alignment horizontal="center" vertical="center"/>
    </xf>
    <xf numFmtId="187" fontId="177" fillId="125" borderId="612" xfId="2" applyNumberFormat="1" applyFont="1" applyFill="1" applyBorder="1" applyAlignment="1">
      <alignment horizontal="center" vertical="center"/>
    </xf>
    <xf numFmtId="187" fontId="177" fillId="125" borderId="606" xfId="2" applyNumberFormat="1" applyFont="1" applyFill="1" applyBorder="1" applyAlignment="1">
      <alignment horizontal="center" vertical="center"/>
    </xf>
    <xf numFmtId="0" fontId="177" fillId="127" borderId="518" xfId="0" applyFont="1" applyFill="1" applyBorder="1" applyAlignment="1">
      <alignment horizontal="center" vertical="center" wrapText="1"/>
    </xf>
    <xf numFmtId="0" fontId="177" fillId="127" borderId="607" xfId="0" applyFont="1" applyFill="1" applyBorder="1" applyAlignment="1">
      <alignment horizontal="center" vertical="center" wrapText="1"/>
    </xf>
    <xf numFmtId="0" fontId="177" fillId="127" borderId="481" xfId="0" applyFont="1" applyFill="1" applyBorder="1" applyAlignment="1">
      <alignment horizontal="center" vertical="center" wrapText="1"/>
    </xf>
    <xf numFmtId="0" fontId="177" fillId="127" borderId="94" xfId="0" applyFont="1" applyFill="1" applyBorder="1" applyAlignment="1">
      <alignment horizontal="center" vertical="center" wrapText="1"/>
    </xf>
    <xf numFmtId="0" fontId="177" fillId="127" borderId="44" xfId="0" applyFont="1" applyFill="1" applyBorder="1" applyAlignment="1">
      <alignment horizontal="center" vertical="center" wrapText="1"/>
    </xf>
    <xf numFmtId="0" fontId="177" fillId="127" borderId="600" xfId="0" applyFont="1" applyFill="1" applyBorder="1" applyAlignment="1">
      <alignment horizontal="center" vertical="center"/>
    </xf>
    <xf numFmtId="0" fontId="177" fillId="127" borderId="122" xfId="0" applyFont="1" applyFill="1" applyBorder="1" applyAlignment="1">
      <alignment horizontal="center" vertical="center" wrapText="1"/>
    </xf>
    <xf numFmtId="0" fontId="177" fillId="127" borderId="590" xfId="0" applyFont="1" applyFill="1" applyBorder="1" applyAlignment="1">
      <alignment horizontal="center" vertical="center" wrapText="1"/>
    </xf>
    <xf numFmtId="0" fontId="177" fillId="127" borderId="595" xfId="0" applyFont="1" applyFill="1" applyBorder="1" applyAlignment="1">
      <alignment horizontal="center" vertical="center" wrapText="1"/>
    </xf>
    <xf numFmtId="0" fontId="177" fillId="127" borderId="219" xfId="0" applyFont="1" applyFill="1" applyBorder="1" applyAlignment="1">
      <alignment horizontal="center" vertical="center" wrapText="1"/>
    </xf>
    <xf numFmtId="0" fontId="177" fillId="127" borderId="607" xfId="0" applyFont="1" applyFill="1" applyBorder="1" applyAlignment="1">
      <alignment horizontal="center" vertical="center"/>
    </xf>
    <xf numFmtId="0" fontId="177" fillId="127" borderId="481" xfId="0" applyFont="1" applyFill="1" applyBorder="1" applyAlignment="1">
      <alignment horizontal="center" vertical="center"/>
    </xf>
    <xf numFmtId="0" fontId="219" fillId="127" borderId="332" xfId="0" applyFont="1" applyFill="1" applyBorder="1" applyAlignment="1">
      <alignment horizontal="center" vertical="center"/>
    </xf>
    <xf numFmtId="0" fontId="219" fillId="127" borderId="350" xfId="0" applyFont="1" applyFill="1" applyBorder="1" applyAlignment="1">
      <alignment horizontal="center" vertical="center"/>
    </xf>
    <xf numFmtId="0" fontId="177" fillId="127" borderId="219" xfId="0" applyFont="1" applyFill="1" applyBorder="1" applyAlignment="1">
      <alignment horizontal="center" vertical="center"/>
    </xf>
    <xf numFmtId="0" fontId="177" fillId="127" borderId="576" xfId="0" applyFont="1" applyFill="1" applyBorder="1" applyAlignment="1">
      <alignment horizontal="center" vertical="center"/>
    </xf>
    <xf numFmtId="0" fontId="177" fillId="127" borderId="578" xfId="0" applyFont="1" applyFill="1" applyBorder="1" applyAlignment="1">
      <alignment horizontal="center" vertical="center"/>
    </xf>
    <xf numFmtId="0" fontId="177" fillId="127" borderId="452" xfId="0" applyFont="1" applyFill="1" applyBorder="1" applyAlignment="1">
      <alignment horizontal="center" vertical="center"/>
    </xf>
    <xf numFmtId="0" fontId="177" fillId="127" borderId="567" xfId="0" applyFont="1" applyFill="1" applyBorder="1" applyAlignment="1">
      <alignment horizontal="center" vertical="center"/>
    </xf>
    <xf numFmtId="0" fontId="177" fillId="127" borderId="578" xfId="0" applyFont="1" applyFill="1" applyBorder="1" applyAlignment="1">
      <alignment horizontal="center" vertical="center" wrapText="1"/>
    </xf>
    <xf numFmtId="0" fontId="177" fillId="125" borderId="576" xfId="0" applyFont="1" applyFill="1" applyBorder="1" applyAlignment="1">
      <alignment horizontal="center" vertical="center"/>
    </xf>
    <xf numFmtId="0" fontId="177" fillId="125" borderId="482" xfId="0" applyFont="1" applyFill="1" applyBorder="1" applyAlignment="1">
      <alignment horizontal="center" vertical="center"/>
    </xf>
    <xf numFmtId="0" fontId="177" fillId="125" borderId="119" xfId="0" applyFont="1" applyFill="1" applyBorder="1" applyAlignment="1">
      <alignment horizontal="center" vertical="center"/>
    </xf>
    <xf numFmtId="0" fontId="177" fillId="127" borderId="6" xfId="0" applyFont="1" applyFill="1" applyBorder="1" applyAlignment="1">
      <alignment horizontal="center" vertical="center" wrapText="1"/>
    </xf>
    <xf numFmtId="0" fontId="177" fillId="127" borderId="467" xfId="0" applyFont="1" applyFill="1" applyBorder="1" applyAlignment="1">
      <alignment horizontal="center" vertical="center" wrapText="1"/>
    </xf>
    <xf numFmtId="0" fontId="177" fillId="127" borderId="464" xfId="0" applyFont="1" applyFill="1" applyBorder="1" applyAlignment="1">
      <alignment horizontal="center" vertical="center" wrapText="1"/>
    </xf>
    <xf numFmtId="0" fontId="177" fillId="127" borderId="512" xfId="0" applyFont="1" applyFill="1" applyBorder="1" applyAlignment="1">
      <alignment horizontal="center" vertical="center" wrapText="1"/>
    </xf>
    <xf numFmtId="0" fontId="177" fillId="127" borderId="50" xfId="0" applyFont="1" applyFill="1" applyBorder="1" applyAlignment="1">
      <alignment horizontal="center" vertical="center" wrapText="1"/>
    </xf>
    <xf numFmtId="0" fontId="177" fillId="127" borderId="366" xfId="0" applyFont="1" applyFill="1" applyBorder="1" applyAlignment="1">
      <alignment horizontal="center" vertical="center" wrapText="1"/>
    </xf>
    <xf numFmtId="0" fontId="177" fillId="127" borderId="307" xfId="0" applyFont="1" applyFill="1" applyBorder="1" applyAlignment="1">
      <alignment horizontal="center" vertical="center" wrapText="1"/>
    </xf>
    <xf numFmtId="0" fontId="177" fillId="127" borderId="517" xfId="0" applyFont="1" applyFill="1" applyBorder="1" applyAlignment="1">
      <alignment horizontal="center" vertical="center" wrapText="1"/>
    </xf>
    <xf numFmtId="0" fontId="239" fillId="125" borderId="119" xfId="0" applyFont="1" applyFill="1" applyBorder="1" applyAlignment="1">
      <alignment horizontal="center" vertical="center"/>
    </xf>
    <xf numFmtId="0" fontId="239" fillId="125" borderId="120" xfId="0" applyFont="1" applyFill="1" applyBorder="1" applyAlignment="1">
      <alignment horizontal="center" vertical="center"/>
    </xf>
    <xf numFmtId="0" fontId="177" fillId="127" borderId="601" xfId="0" applyFont="1" applyFill="1" applyBorder="1" applyAlignment="1">
      <alignment horizontal="center" vertical="center"/>
    </xf>
    <xf numFmtId="0" fontId="219" fillId="127" borderId="605" xfId="0" applyFont="1" applyFill="1" applyBorder="1" applyAlignment="1">
      <alignment horizontal="center" vertical="center"/>
    </xf>
    <xf numFmtId="0" fontId="219" fillId="127" borderId="613" xfId="0" applyFont="1" applyFill="1" applyBorder="1" applyAlignment="1">
      <alignment horizontal="center" vertical="center"/>
    </xf>
    <xf numFmtId="223" fontId="177" fillId="125" borderId="600" xfId="2" applyNumberFormat="1" applyFont="1" applyFill="1" applyBorder="1" applyAlignment="1">
      <alignment horizontal="center" vertical="center"/>
    </xf>
    <xf numFmtId="223" fontId="177" fillId="125" borderId="6" xfId="2" applyNumberFormat="1" applyFont="1" applyFill="1" applyBorder="1" applyAlignment="1">
      <alignment horizontal="center" vertical="center"/>
    </xf>
    <xf numFmtId="0" fontId="232" fillId="0" borderId="464" xfId="0" applyFont="1" applyBorder="1" applyAlignment="1">
      <alignment horizontal="center" vertical="center" wrapText="1"/>
    </xf>
    <xf numFmtId="0" fontId="232" fillId="0" borderId="5" xfId="0" applyFont="1" applyBorder="1" applyAlignment="1">
      <alignment horizontal="center" vertical="center" wrapText="1"/>
    </xf>
    <xf numFmtId="0" fontId="232" fillId="0" borderId="6" xfId="0" applyFont="1" applyBorder="1" applyAlignment="1">
      <alignment horizontal="center" vertical="center" wrapText="1"/>
    </xf>
    <xf numFmtId="0" fontId="230" fillId="15" borderId="47" xfId="0" applyFont="1" applyFill="1" applyBorder="1" applyAlignment="1">
      <alignment horizontal="center" vertical="center" wrapText="1"/>
    </xf>
    <xf numFmtId="0" fontId="230" fillId="15" borderId="613" xfId="0" applyFont="1" applyFill="1" applyBorder="1" applyAlignment="1">
      <alignment horizontal="center" vertical="center" wrapText="1"/>
    </xf>
    <xf numFmtId="0" fontId="230" fillId="15" borderId="121" xfId="0" applyFont="1" applyFill="1" applyBorder="1" applyAlignment="1">
      <alignment horizontal="center" vertical="center" wrapText="1"/>
    </xf>
    <xf numFmtId="0" fontId="230" fillId="15" borderId="608" xfId="0" applyFont="1" applyFill="1" applyBorder="1" applyAlignment="1">
      <alignment horizontal="center" vertical="center" wrapText="1"/>
    </xf>
    <xf numFmtId="0" fontId="230" fillId="15" borderId="120" xfId="0" applyFont="1" applyFill="1" applyBorder="1" applyAlignment="1">
      <alignment horizontal="center" vertical="center" wrapText="1"/>
    </xf>
    <xf numFmtId="0" fontId="230" fillId="15" borderId="606" xfId="0" applyFont="1" applyFill="1" applyBorder="1" applyAlignment="1">
      <alignment horizontal="center" vertical="center" wrapText="1"/>
    </xf>
    <xf numFmtId="0" fontId="230" fillId="15" borderId="261" xfId="0" applyFont="1" applyFill="1" applyBorder="1" applyAlignment="1">
      <alignment horizontal="center" vertical="center" wrapText="1"/>
    </xf>
    <xf numFmtId="0" fontId="230" fillId="15" borderId="95" xfId="0" applyFont="1" applyFill="1" applyBorder="1" applyAlignment="1">
      <alignment horizontal="center" vertical="center" wrapText="1"/>
    </xf>
    <xf numFmtId="0" fontId="230" fillId="15" borderId="219" xfId="0" applyFont="1" applyFill="1" applyBorder="1" applyAlignment="1">
      <alignment horizontal="center" vertical="center" wrapText="1"/>
    </xf>
    <xf numFmtId="0" fontId="230" fillId="15" borderId="228" xfId="0" applyFont="1" applyFill="1" applyBorder="1" applyAlignment="1">
      <alignment horizontal="center" vertical="center" wrapText="1"/>
    </xf>
    <xf numFmtId="0" fontId="230" fillId="15" borderId="5" xfId="0" applyFont="1" applyFill="1" applyBorder="1" applyAlignment="1">
      <alignment horizontal="center" vertical="center" wrapText="1"/>
    </xf>
    <xf numFmtId="0" fontId="230" fillId="15" borderId="6" xfId="0" applyFont="1" applyFill="1" applyBorder="1" applyAlignment="1">
      <alignment horizontal="center" vertical="center" wrapText="1"/>
    </xf>
    <xf numFmtId="0" fontId="230" fillId="15" borderId="135" xfId="0" applyFont="1" applyFill="1" applyBorder="1" applyAlignment="1">
      <alignment horizontal="center" vertical="center" wrapText="1"/>
    </xf>
    <xf numFmtId="0" fontId="230" fillId="15" borderId="327" xfId="0" applyFont="1" applyFill="1" applyBorder="1" applyAlignment="1">
      <alignment horizontal="center" vertical="center" wrapText="1"/>
    </xf>
    <xf numFmtId="0" fontId="230" fillId="15" borderId="200" xfId="0" applyFont="1" applyFill="1" applyBorder="1" applyAlignment="1">
      <alignment horizontal="center" vertical="center" wrapText="1"/>
    </xf>
    <xf numFmtId="0" fontId="230" fillId="15" borderId="350" xfId="0" applyFont="1" applyFill="1" applyBorder="1" applyAlignment="1">
      <alignment horizontal="center" vertical="center" wrapText="1"/>
    </xf>
    <xf numFmtId="0" fontId="230" fillId="15" borderId="84" xfId="0" applyFont="1" applyFill="1" applyBorder="1" applyAlignment="1">
      <alignment horizontal="center" vertical="center" wrapText="1"/>
    </xf>
    <xf numFmtId="0" fontId="230" fillId="15" borderId="23" xfId="0" applyFont="1" applyFill="1" applyBorder="1" applyAlignment="1">
      <alignment horizontal="center" vertical="center" wrapText="1"/>
    </xf>
    <xf numFmtId="0" fontId="202" fillId="133" borderId="521" xfId="0" applyFont="1" applyFill="1" applyBorder="1" applyAlignment="1">
      <alignment horizontal="center" vertical="center" wrapText="1" readingOrder="1"/>
    </xf>
    <xf numFmtId="0" fontId="202" fillId="133" borderId="523" xfId="0" applyFont="1" applyFill="1" applyBorder="1" applyAlignment="1">
      <alignment horizontal="center" vertical="center" wrapText="1" readingOrder="1"/>
    </xf>
    <xf numFmtId="0" fontId="202" fillId="133" borderId="529" xfId="0" applyFont="1" applyFill="1" applyBorder="1" applyAlignment="1">
      <alignment horizontal="center" vertical="center" wrapText="1" readingOrder="1"/>
    </xf>
    <xf numFmtId="0" fontId="202" fillId="133" borderId="530" xfId="0" applyFont="1" applyFill="1" applyBorder="1" applyAlignment="1">
      <alignment horizontal="center" vertical="center" wrapText="1" readingOrder="1"/>
    </xf>
    <xf numFmtId="0" fontId="35" fillId="116" borderId="159" xfId="0" applyFont="1" applyFill="1" applyBorder="1" applyAlignment="1">
      <alignment horizontal="center" vertical="center"/>
    </xf>
    <xf numFmtId="0" fontId="35" fillId="116" borderId="160" xfId="0" applyFont="1" applyFill="1" applyBorder="1" applyAlignment="1">
      <alignment horizontal="center" vertical="center"/>
    </xf>
    <xf numFmtId="0" fontId="35" fillId="116" borderId="287" xfId="0" applyFont="1" applyFill="1" applyBorder="1" applyAlignment="1">
      <alignment horizontal="center" vertical="center" wrapText="1"/>
    </xf>
    <xf numFmtId="0" fontId="35" fillId="116" borderId="287" xfId="0" applyFont="1" applyFill="1" applyBorder="1" applyAlignment="1">
      <alignment horizontal="center" vertical="center"/>
    </xf>
    <xf numFmtId="0" fontId="177" fillId="127" borderId="261" xfId="0" applyFont="1" applyFill="1" applyBorder="1" applyAlignment="1">
      <alignment horizontal="center" vertical="center" wrapText="1"/>
    </xf>
    <xf numFmtId="0" fontId="177" fillId="127" borderId="95" xfId="0" applyFont="1" applyFill="1" applyBorder="1" applyAlignment="1">
      <alignment horizontal="center" vertical="center" wrapText="1"/>
    </xf>
    <xf numFmtId="0" fontId="177" fillId="127" borderId="517" xfId="0" applyFont="1" applyFill="1" applyBorder="1" applyAlignment="1">
      <alignment horizontal="center" vertical="center"/>
    </xf>
    <xf numFmtId="0" fontId="177" fillId="127" borderId="261" xfId="0" applyFont="1" applyFill="1" applyBorder="1" applyAlignment="1">
      <alignment horizontal="center" vertical="center"/>
    </xf>
    <xf numFmtId="0" fontId="177" fillId="127" borderId="95" xfId="0" applyFont="1" applyFill="1" applyBorder="1" applyAlignment="1">
      <alignment horizontal="center" vertical="center"/>
    </xf>
    <xf numFmtId="0" fontId="219" fillId="125" borderId="119" xfId="0" applyFont="1" applyFill="1" applyBorder="1" applyAlignment="1">
      <alignment horizontal="center" vertical="center"/>
    </xf>
    <xf numFmtId="0" fontId="219" fillId="125" borderId="120" xfId="0" applyFont="1" applyFill="1" applyBorder="1" applyAlignment="1">
      <alignment horizontal="center" vertical="center"/>
    </xf>
    <xf numFmtId="0" fontId="219" fillId="125" borderId="512" xfId="0" applyFont="1" applyFill="1" applyBorder="1" applyAlignment="1">
      <alignment horizontal="center" vertical="center"/>
    </xf>
    <xf numFmtId="0" fontId="219" fillId="125" borderId="513" xfId="0" applyFont="1" applyFill="1" applyBorder="1" applyAlignment="1">
      <alignment horizontal="center" vertical="center"/>
    </xf>
    <xf numFmtId="0" fontId="220" fillId="132" borderId="531" xfId="0" applyFont="1" applyFill="1" applyBorder="1" applyAlignment="1">
      <alignment horizontal="center" vertical="center" wrapText="1" readingOrder="1"/>
    </xf>
    <xf numFmtId="0" fontId="220" fillId="132" borderId="532" xfId="0" applyFont="1" applyFill="1" applyBorder="1" applyAlignment="1">
      <alignment horizontal="center" vertical="center" wrapText="1" readingOrder="1"/>
    </xf>
    <xf numFmtId="0" fontId="202" fillId="133" borderId="534" xfId="0" applyFont="1" applyFill="1" applyBorder="1" applyAlignment="1">
      <alignment horizontal="center" vertical="center" wrapText="1" readingOrder="1"/>
    </xf>
    <xf numFmtId="0" fontId="202" fillId="133" borderId="541" xfId="0" applyFont="1" applyFill="1" applyBorder="1" applyAlignment="1">
      <alignment horizontal="center" vertical="center" wrapText="1" readingOrder="1"/>
    </xf>
    <xf numFmtId="0" fontId="202" fillId="133" borderId="542" xfId="0" applyFont="1" applyFill="1" applyBorder="1" applyAlignment="1">
      <alignment horizontal="center" vertical="center" wrapText="1" readingOrder="1"/>
    </xf>
    <xf numFmtId="0" fontId="202" fillId="133" borderId="524" xfId="0" applyFont="1" applyFill="1" applyBorder="1" applyAlignment="1">
      <alignment horizontal="center" vertical="center" wrapText="1" readingOrder="1"/>
    </xf>
    <xf numFmtId="0" fontId="202" fillId="133" borderId="0" xfId="0" applyFont="1" applyFill="1" applyBorder="1" applyAlignment="1">
      <alignment horizontal="center" vertical="center" wrapText="1" readingOrder="1"/>
    </xf>
    <xf numFmtId="0" fontId="202" fillId="133" borderId="526" xfId="0" applyFont="1" applyFill="1" applyBorder="1" applyAlignment="1">
      <alignment horizontal="center" vertical="center" wrapText="1" readingOrder="1"/>
    </xf>
    <xf numFmtId="0" fontId="202" fillId="133" borderId="527" xfId="0" applyFont="1" applyFill="1" applyBorder="1" applyAlignment="1">
      <alignment horizontal="center" vertical="center" wrapText="1" readingOrder="1"/>
    </xf>
    <xf numFmtId="0" fontId="202" fillId="133" borderId="536" xfId="0" applyFont="1" applyFill="1" applyBorder="1" applyAlignment="1">
      <alignment horizontal="center" vertical="center" wrapText="1" readingOrder="1"/>
    </xf>
    <xf numFmtId="0" fontId="202" fillId="133" borderId="537" xfId="0" applyFont="1" applyFill="1" applyBorder="1" applyAlignment="1">
      <alignment horizontal="center" vertical="center" wrapText="1" readingOrder="1"/>
    </xf>
    <xf numFmtId="0" fontId="202" fillId="133" borderId="547" xfId="0" applyFont="1" applyFill="1" applyBorder="1" applyAlignment="1">
      <alignment horizontal="center" vertical="center" wrapText="1" readingOrder="1"/>
    </xf>
    <xf numFmtId="0" fontId="202" fillId="133" borderId="543" xfId="0" applyFont="1" applyFill="1" applyBorder="1" applyAlignment="1">
      <alignment horizontal="center" vertical="center" wrapText="1" readingOrder="1"/>
    </xf>
    <xf numFmtId="0" fontId="202" fillId="133" borderId="544" xfId="0" applyFont="1" applyFill="1" applyBorder="1" applyAlignment="1">
      <alignment horizontal="center" vertical="center" wrapText="1" readingOrder="1"/>
    </xf>
    <xf numFmtId="41" fontId="177" fillId="125" borderId="119" xfId="2" applyFont="1" applyFill="1" applyBorder="1" applyAlignment="1">
      <alignment horizontal="center" vertical="center"/>
    </xf>
    <xf numFmtId="41" fontId="177" fillId="125" borderId="467" xfId="2" applyFont="1" applyFill="1" applyBorder="1" applyAlignment="1">
      <alignment horizontal="center" vertical="center"/>
    </xf>
    <xf numFmtId="0" fontId="177" fillId="127" borderId="494" xfId="0" applyFont="1" applyFill="1" applyBorder="1" applyAlignment="1">
      <alignment horizontal="center" vertical="center"/>
    </xf>
    <xf numFmtId="0" fontId="177" fillId="127" borderId="512" xfId="0" applyFont="1" applyFill="1" applyBorder="1" applyAlignment="1">
      <alignment horizontal="center" vertical="center"/>
    </xf>
    <xf numFmtId="0" fontId="177" fillId="127" borderId="159" xfId="0" applyFont="1" applyFill="1" applyBorder="1" applyAlignment="1">
      <alignment horizontal="center" vertical="center" wrapText="1"/>
    </xf>
    <xf numFmtId="0" fontId="177" fillId="127" borderId="135" xfId="0" applyFont="1" applyFill="1" applyBorder="1" applyAlignment="1">
      <alignment horizontal="center" vertical="center"/>
    </xf>
    <xf numFmtId="0" fontId="177" fillId="127" borderId="200" xfId="0" applyFont="1" applyFill="1" applyBorder="1" applyAlignment="1">
      <alignment horizontal="center" vertical="center"/>
    </xf>
    <xf numFmtId="0" fontId="177" fillId="127" borderId="434" xfId="0" applyFont="1" applyFill="1" applyBorder="1" applyAlignment="1">
      <alignment horizontal="center" vertical="center"/>
    </xf>
    <xf numFmtId="0" fontId="177" fillId="127" borderId="161" xfId="0" applyFont="1" applyFill="1" applyBorder="1" applyAlignment="1">
      <alignment horizontal="center" vertical="center"/>
    </xf>
    <xf numFmtId="0" fontId="177" fillId="127" borderId="159" xfId="0" applyFont="1" applyFill="1" applyBorder="1" applyAlignment="1">
      <alignment horizontal="center" vertical="center"/>
    </xf>
    <xf numFmtId="0" fontId="177" fillId="127" borderId="327" xfId="0" applyFont="1" applyFill="1" applyBorder="1" applyAlignment="1">
      <alignment horizontal="center" vertical="center"/>
    </xf>
    <xf numFmtId="0" fontId="177" fillId="125" borderId="285" xfId="0" applyFont="1" applyFill="1" applyBorder="1" applyAlignment="1">
      <alignment horizontal="center" vertical="center"/>
    </xf>
    <xf numFmtId="0" fontId="177" fillId="125" borderId="108" xfId="0" applyFont="1" applyFill="1" applyBorder="1" applyAlignment="1">
      <alignment horizontal="center" vertical="center"/>
    </xf>
    <xf numFmtId="0" fontId="177" fillId="125" borderId="389" xfId="0" applyFont="1" applyFill="1" applyBorder="1" applyAlignment="1">
      <alignment horizontal="center" vertical="center"/>
    </xf>
    <xf numFmtId="0" fontId="177" fillId="125" borderId="497" xfId="0" applyFont="1" applyFill="1" applyBorder="1" applyAlignment="1">
      <alignment horizontal="center" vertical="center" wrapText="1"/>
    </xf>
    <xf numFmtId="0" fontId="177" fillId="125" borderId="497" xfId="0" applyFont="1" applyFill="1" applyBorder="1" applyAlignment="1">
      <alignment horizontal="center" vertical="center"/>
    </xf>
    <xf numFmtId="0" fontId="177" fillId="127" borderId="497" xfId="0" applyFont="1" applyFill="1" applyBorder="1" applyAlignment="1">
      <alignment horizontal="center" vertical="center"/>
    </xf>
    <xf numFmtId="0" fontId="177" fillId="125" borderId="120" xfId="0" applyFont="1" applyFill="1" applyBorder="1" applyAlignment="1">
      <alignment horizontal="center" vertical="center"/>
    </xf>
    <xf numFmtId="0" fontId="177" fillId="125" borderId="465" xfId="0" applyFont="1" applyFill="1" applyBorder="1" applyAlignment="1">
      <alignment horizontal="center" vertical="center"/>
    </xf>
    <xf numFmtId="0" fontId="177" fillId="125" borderId="467" xfId="0" applyFont="1" applyFill="1" applyBorder="1" applyAlignment="1">
      <alignment horizontal="center" vertical="center"/>
    </xf>
    <xf numFmtId="0" fontId="177" fillId="125" borderId="121" xfId="0" applyFont="1" applyFill="1" applyBorder="1" applyAlignment="1">
      <alignment horizontal="center" vertical="center"/>
    </xf>
    <xf numFmtId="0" fontId="177" fillId="125" borderId="434" xfId="0" applyFont="1" applyFill="1" applyBorder="1" applyAlignment="1">
      <alignment horizontal="center" vertical="center"/>
    </xf>
    <xf numFmtId="0" fontId="177" fillId="125" borderId="122" xfId="0" applyFont="1" applyFill="1" applyBorder="1" applyAlignment="1">
      <alignment horizontal="center" vertical="center"/>
    </xf>
    <xf numFmtId="0" fontId="177" fillId="125" borderId="452" xfId="0" applyFont="1" applyFill="1" applyBorder="1" applyAlignment="1">
      <alignment horizontal="center" vertical="center"/>
    </xf>
    <xf numFmtId="0" fontId="195" fillId="125" borderId="0" xfId="0" applyFont="1" applyFill="1" applyAlignment="1">
      <alignment horizontal="center" vertical="center"/>
    </xf>
    <xf numFmtId="0" fontId="177" fillId="125" borderId="494" xfId="0" applyFont="1" applyFill="1" applyBorder="1" applyAlignment="1">
      <alignment horizontal="center" vertical="center"/>
    </xf>
    <xf numFmtId="0" fontId="177" fillId="125" borderId="120" xfId="0" applyFont="1" applyFill="1" applyBorder="1" applyAlignment="1">
      <alignment horizontal="center" vertical="center" wrapText="1"/>
    </xf>
    <xf numFmtId="0" fontId="177" fillId="125" borderId="121" xfId="0" applyFont="1" applyFill="1" applyBorder="1" applyAlignment="1">
      <alignment horizontal="center" vertical="center" wrapText="1"/>
    </xf>
    <xf numFmtId="0" fontId="177" fillId="125" borderId="445" xfId="0" applyFont="1" applyFill="1" applyBorder="1" applyAlignment="1">
      <alignment horizontal="center" vertical="center" wrapText="1"/>
    </xf>
    <xf numFmtId="0" fontId="45" fillId="0" borderId="44" xfId="0" applyFont="1" applyFill="1" applyBorder="1" applyAlignment="1">
      <alignment horizontal="center" vertical="center"/>
    </xf>
    <xf numFmtId="0" fontId="45" fillId="0" borderId="50" xfId="0" applyFont="1" applyFill="1" applyBorder="1" applyAlignment="1">
      <alignment horizontal="center" vertical="center"/>
    </xf>
    <xf numFmtId="0" fontId="45" fillId="0" borderId="47" xfId="0" applyFont="1" applyBorder="1" applyAlignment="1">
      <alignment horizontal="center" vertical="center"/>
    </xf>
    <xf numFmtId="0" fontId="45" fillId="0" borderId="120" xfId="0" applyFont="1" applyBorder="1" applyAlignment="1">
      <alignment horizontal="center" vertical="center"/>
    </xf>
    <xf numFmtId="0" fontId="45" fillId="0" borderId="45" xfId="0" applyFont="1" applyBorder="1" applyAlignment="1">
      <alignment horizontal="center" vertical="center"/>
    </xf>
    <xf numFmtId="0" fontId="45" fillId="0" borderId="62" xfId="0" applyFont="1" applyBorder="1" applyAlignment="1">
      <alignment horizontal="center" vertical="center"/>
    </xf>
    <xf numFmtId="0" fontId="45" fillId="0" borderId="46" xfId="0" applyFont="1" applyBorder="1" applyAlignment="1">
      <alignment horizontal="center" vertical="center"/>
    </xf>
    <xf numFmtId="0" fontId="45" fillId="0" borderId="57" xfId="0" applyFont="1" applyBorder="1" applyAlignment="1">
      <alignment horizontal="center" vertical="center"/>
    </xf>
    <xf numFmtId="181" fontId="126" fillId="0" borderId="123" xfId="4124" applyNumberFormat="1" applyFont="1" applyBorder="1" applyAlignment="1">
      <alignment horizontal="center" vertical="center"/>
    </xf>
    <xf numFmtId="181" fontId="126" fillId="0" borderId="124" xfId="4124" applyNumberFormat="1" applyFont="1" applyBorder="1" applyAlignment="1">
      <alignment horizontal="center" vertical="center"/>
    </xf>
    <xf numFmtId="41" fontId="44" fillId="0" borderId="62" xfId="4124" applyFont="1" applyBorder="1" applyAlignment="1">
      <alignment horizontal="center" vertical="center"/>
    </xf>
    <xf numFmtId="41" fontId="44" fillId="0" borderId="57" xfId="4124" applyFont="1" applyBorder="1" applyAlignment="1">
      <alignment horizontal="center" vertical="center"/>
    </xf>
    <xf numFmtId="0" fontId="45" fillId="0" borderId="62" xfId="0" applyFont="1" applyBorder="1" applyAlignment="1">
      <alignment horizontal="center" vertical="center" wrapText="1"/>
    </xf>
    <xf numFmtId="0" fontId="45" fillId="0" borderId="57" xfId="0" applyFont="1" applyBorder="1" applyAlignment="1">
      <alignment horizontal="center" vertical="center" wrapText="1"/>
    </xf>
    <xf numFmtId="0" fontId="45" fillId="0" borderId="46" xfId="0" applyFont="1" applyBorder="1" applyAlignment="1">
      <alignment horizontal="center" vertical="center" wrapText="1"/>
    </xf>
    <xf numFmtId="0" fontId="124" fillId="0" borderId="0" xfId="0" applyFont="1" applyAlignment="1">
      <alignment horizontal="center" vertical="center"/>
    </xf>
    <xf numFmtId="0" fontId="124" fillId="0" borderId="0" xfId="0" applyFont="1" applyBorder="1" applyAlignment="1">
      <alignment horizontal="center" vertical="center"/>
    </xf>
    <xf numFmtId="0" fontId="44" fillId="0" borderId="44" xfId="0" applyFont="1" applyBorder="1" applyAlignment="1">
      <alignment horizontal="center" vertical="center"/>
    </xf>
    <xf numFmtId="0" fontId="44" fillId="0" borderId="48" xfId="0" applyFont="1" applyBorder="1" applyAlignment="1">
      <alignment horizontal="center" vertical="center"/>
    </xf>
    <xf numFmtId="41" fontId="28" fillId="7" borderId="37" xfId="2" applyFont="1" applyFill="1" applyBorder="1" applyAlignment="1">
      <alignment horizontal="center" vertical="center"/>
    </xf>
    <xf numFmtId="41" fontId="28" fillId="7" borderId="26" xfId="2" applyFont="1" applyFill="1" applyBorder="1" applyAlignment="1">
      <alignment horizontal="center" vertical="center"/>
    </xf>
    <xf numFmtId="42" fontId="31" fillId="6" borderId="214" xfId="3" applyFont="1" applyFill="1" applyBorder="1" applyAlignment="1">
      <alignment horizontal="center" vertical="center"/>
    </xf>
    <xf numFmtId="0" fontId="31" fillId="7" borderId="31" xfId="0" applyFont="1" applyFill="1" applyBorder="1" applyAlignment="1">
      <alignment horizontal="center" vertical="center" wrapText="1"/>
    </xf>
    <xf numFmtId="0" fontId="31" fillId="7" borderId="31" xfId="0" applyFont="1" applyFill="1" applyBorder="1" applyAlignment="1">
      <alignment horizontal="center" vertical="center"/>
    </xf>
    <xf numFmtId="0" fontId="31" fillId="7" borderId="32" xfId="0" applyFont="1" applyFill="1" applyBorder="1" applyAlignment="1">
      <alignment horizontal="center" vertical="center"/>
    </xf>
    <xf numFmtId="187" fontId="32" fillId="7" borderId="214" xfId="0" applyNumberFormat="1" applyFont="1" applyFill="1" applyBorder="1" applyAlignment="1">
      <alignment horizontal="center" vertical="center"/>
    </xf>
    <xf numFmtId="0" fontId="31" fillId="7" borderId="214" xfId="0" applyFont="1" applyFill="1" applyBorder="1" applyAlignment="1">
      <alignment horizontal="center" vertical="center" wrapText="1"/>
    </xf>
    <xf numFmtId="0" fontId="32" fillId="7" borderId="214" xfId="0" applyFont="1" applyFill="1" applyBorder="1" applyAlignment="1">
      <alignment horizontal="center" vertical="center" wrapText="1"/>
    </xf>
    <xf numFmtId="0" fontId="32" fillId="7" borderId="214" xfId="0" applyFont="1" applyFill="1" applyBorder="1" applyAlignment="1">
      <alignment horizontal="center" vertical="center"/>
    </xf>
    <xf numFmtId="0" fontId="28" fillId="6" borderId="214" xfId="0" applyFont="1" applyFill="1" applyBorder="1" applyAlignment="1">
      <alignment horizontal="center" vertical="center"/>
    </xf>
    <xf numFmtId="0" fontId="32" fillId="7" borderId="216" xfId="0" applyFont="1" applyFill="1" applyBorder="1" applyAlignment="1">
      <alignment horizontal="center" vertical="center" wrapText="1"/>
    </xf>
    <xf numFmtId="0" fontId="32" fillId="7" borderId="5" xfId="0" applyFont="1" applyFill="1" applyBorder="1" applyAlignment="1">
      <alignment horizontal="center" vertical="center" wrapText="1"/>
    </xf>
    <xf numFmtId="0" fontId="32" fillId="7" borderId="6" xfId="0" applyFont="1" applyFill="1" applyBorder="1" applyAlignment="1">
      <alignment horizontal="center" vertical="center" wrapText="1"/>
    </xf>
    <xf numFmtId="187" fontId="32" fillId="7" borderId="216" xfId="0" applyNumberFormat="1" applyFont="1" applyFill="1" applyBorder="1" applyAlignment="1">
      <alignment horizontal="center" vertical="center" wrapText="1"/>
    </xf>
    <xf numFmtId="187" fontId="32" fillId="7" borderId="5" xfId="0" applyNumberFormat="1" applyFont="1" applyFill="1" applyBorder="1" applyAlignment="1">
      <alignment horizontal="center" vertical="center" wrapText="1"/>
    </xf>
    <xf numFmtId="187" fontId="32" fillId="7" borderId="6" xfId="0" applyNumberFormat="1" applyFont="1" applyFill="1" applyBorder="1" applyAlignment="1">
      <alignment horizontal="center" vertical="center" wrapText="1"/>
    </xf>
    <xf numFmtId="0" fontId="28" fillId="3" borderId="214" xfId="0" applyFont="1" applyFill="1" applyBorder="1" applyAlignment="1" applyProtection="1">
      <alignment horizontal="center" vertical="center"/>
      <protection locked="0"/>
    </xf>
    <xf numFmtId="0" fontId="31" fillId="7" borderId="214" xfId="0" applyFont="1" applyFill="1" applyBorder="1" applyAlignment="1">
      <alignment horizontal="center" vertical="center"/>
    </xf>
    <xf numFmtId="0" fontId="33" fillId="7" borderId="241" xfId="0" applyFont="1" applyFill="1" applyBorder="1" applyAlignment="1">
      <alignment horizontal="center" vertical="center"/>
    </xf>
    <xf numFmtId="0" fontId="33" fillId="7" borderId="5" xfId="0" applyFont="1" applyFill="1" applyBorder="1" applyAlignment="1">
      <alignment horizontal="center" vertical="center"/>
    </xf>
    <xf numFmtId="0" fontId="33" fillId="7" borderId="6" xfId="0" applyFont="1" applyFill="1" applyBorder="1" applyAlignment="1">
      <alignment horizontal="center" vertical="center"/>
    </xf>
    <xf numFmtId="0" fontId="28" fillId="3" borderId="265" xfId="0" applyFont="1" applyFill="1" applyBorder="1" applyAlignment="1" applyProtection="1">
      <alignment horizontal="center" vertical="center"/>
      <protection locked="0"/>
    </xf>
    <xf numFmtId="0" fontId="28" fillId="3" borderId="264" xfId="0" applyFont="1" applyFill="1" applyBorder="1" applyAlignment="1" applyProtection="1">
      <alignment horizontal="center" vertical="center"/>
      <protection locked="0"/>
    </xf>
    <xf numFmtId="0" fontId="32" fillId="114" borderId="214" xfId="0" applyFont="1" applyFill="1" applyBorder="1" applyAlignment="1">
      <alignment horizontal="center" vertical="center" wrapText="1"/>
    </xf>
    <xf numFmtId="0" fontId="32" fillId="114" borderId="214" xfId="0" applyFont="1" applyFill="1" applyBorder="1" applyAlignment="1">
      <alignment horizontal="center" vertical="center"/>
    </xf>
    <xf numFmtId="0" fontId="31" fillId="7" borderId="30" xfId="0" applyFont="1" applyFill="1" applyBorder="1" applyAlignment="1">
      <alignment horizontal="center" vertical="center" wrapText="1"/>
    </xf>
    <xf numFmtId="0" fontId="31" fillId="7" borderId="32" xfId="0" applyFont="1" applyFill="1" applyBorder="1" applyAlignment="1">
      <alignment horizontal="center" vertical="center" wrapText="1"/>
    </xf>
    <xf numFmtId="0" fontId="28" fillId="3" borderId="15" xfId="0" applyFont="1" applyFill="1" applyBorder="1" applyAlignment="1" applyProtection="1">
      <alignment horizontal="center" vertical="center"/>
      <protection locked="0"/>
    </xf>
    <xf numFmtId="0" fontId="28" fillId="3" borderId="4" xfId="0" applyFont="1" applyFill="1" applyBorder="1" applyAlignment="1" applyProtection="1">
      <alignment horizontal="center" vertical="center"/>
      <protection locked="0"/>
    </xf>
    <xf numFmtId="0" fontId="31" fillId="114" borderId="214" xfId="0" applyFont="1" applyFill="1" applyBorder="1" applyAlignment="1">
      <alignment horizontal="center" vertical="center" wrapText="1"/>
    </xf>
    <xf numFmtId="0" fontId="32" fillId="116" borderId="216" xfId="0" applyFont="1" applyFill="1" applyBorder="1" applyAlignment="1">
      <alignment horizontal="center" vertical="center" wrapText="1"/>
    </xf>
    <xf numFmtId="0" fontId="32" fillId="116" borderId="5" xfId="0" applyFont="1" applyFill="1" applyBorder="1" applyAlignment="1">
      <alignment horizontal="center" vertical="center"/>
    </xf>
    <xf numFmtId="0" fontId="32" fillId="116" borderId="6" xfId="0" applyFont="1" applyFill="1" applyBorder="1" applyAlignment="1">
      <alignment horizontal="center" vertical="center"/>
    </xf>
    <xf numFmtId="38" fontId="32" fillId="7" borderId="214" xfId="3" applyNumberFormat="1" applyFont="1" applyFill="1" applyBorder="1" applyAlignment="1">
      <alignment horizontal="center" vertical="center"/>
    </xf>
    <xf numFmtId="38" fontId="32" fillId="7" borderId="497" xfId="3" applyNumberFormat="1" applyFont="1" applyFill="1" applyBorder="1" applyAlignment="1">
      <alignment horizontal="center" vertical="center"/>
    </xf>
    <xf numFmtId="38" fontId="32" fillId="7" borderId="606" xfId="3" applyNumberFormat="1" applyFont="1" applyFill="1" applyBorder="1" applyAlignment="1">
      <alignment horizontal="center" vertical="center"/>
    </xf>
    <xf numFmtId="0" fontId="32" fillId="7" borderId="606" xfId="0" applyFont="1" applyFill="1" applyBorder="1" applyAlignment="1">
      <alignment horizontal="center" vertical="center"/>
    </xf>
    <xf numFmtId="0" fontId="181" fillId="120" borderId="262" xfId="22859" applyFont="1" applyFill="1" applyBorder="1" applyAlignment="1">
      <alignment horizontal="center" vertical="center" wrapText="1"/>
    </xf>
    <xf numFmtId="0" fontId="182" fillId="122" borderId="262" xfId="0" applyFont="1" applyFill="1" applyBorder="1" applyAlignment="1">
      <alignment horizontal="center" vertical="center"/>
    </xf>
    <xf numFmtId="0" fontId="181" fillId="120" borderId="221" xfId="22859" applyFont="1" applyFill="1" applyBorder="1" applyAlignment="1">
      <alignment horizontal="center" vertical="center" wrapText="1"/>
    </xf>
    <xf numFmtId="0" fontId="181" fillId="120" borderId="217" xfId="22859" applyFont="1" applyFill="1" applyBorder="1" applyAlignment="1">
      <alignment horizontal="center" vertical="center" wrapText="1"/>
    </xf>
    <xf numFmtId="0" fontId="181" fillId="120" borderId="38" xfId="22859" applyFont="1" applyFill="1" applyBorder="1" applyAlignment="1">
      <alignment horizontal="center" vertical="center" wrapText="1"/>
    </xf>
    <xf numFmtId="0" fontId="181" fillId="120" borderId="23" xfId="22859" applyFont="1" applyFill="1" applyBorder="1" applyAlignment="1">
      <alignment horizontal="center" vertical="center" wrapText="1"/>
    </xf>
    <xf numFmtId="0" fontId="228" fillId="116" borderId="464" xfId="0" applyFont="1" applyFill="1" applyBorder="1" applyAlignment="1">
      <alignment horizontal="center" vertical="center" wrapText="1"/>
    </xf>
    <xf numFmtId="0" fontId="228" fillId="116" borderId="5" xfId="0" applyFont="1" applyFill="1" applyBorder="1" applyAlignment="1">
      <alignment horizontal="center" vertical="center"/>
    </xf>
    <xf numFmtId="0" fontId="228" fillId="116" borderId="6" xfId="0" applyFont="1" applyFill="1" applyBorder="1" applyAlignment="1">
      <alignment horizontal="center" vertical="center"/>
    </xf>
    <xf numFmtId="0" fontId="184" fillId="93" borderId="265" xfId="0" applyFont="1" applyFill="1" applyBorder="1" applyAlignment="1">
      <alignment horizontal="center" vertical="center"/>
    </xf>
    <xf numFmtId="0" fontId="184" fillId="93" borderId="264" xfId="0" applyFont="1" applyFill="1" applyBorder="1" applyAlignment="1">
      <alignment horizontal="center" vertical="center"/>
    </xf>
    <xf numFmtId="0" fontId="31" fillId="0" borderId="464" xfId="0" applyFont="1" applyFill="1" applyBorder="1" applyAlignment="1">
      <alignment horizontal="center" vertical="center" wrapText="1"/>
    </xf>
    <xf numFmtId="0" fontId="31" fillId="0" borderId="5" xfId="0" applyFont="1" applyFill="1" applyBorder="1" applyAlignment="1">
      <alignment horizontal="center" vertical="center" wrapText="1"/>
    </xf>
    <xf numFmtId="0" fontId="28" fillId="7" borderId="32" xfId="0" applyFont="1" applyFill="1" applyBorder="1" applyAlignment="1">
      <alignment horizontal="center" vertical="center"/>
    </xf>
    <xf numFmtId="0" fontId="31" fillId="7" borderId="20" xfId="0" applyFont="1" applyFill="1" applyBorder="1" applyAlignment="1">
      <alignment horizontal="center" vertical="center"/>
    </xf>
    <xf numFmtId="0" fontId="31" fillId="7" borderId="33" xfId="0" applyFont="1" applyFill="1" applyBorder="1" applyAlignment="1">
      <alignment horizontal="center" vertical="center"/>
    </xf>
    <xf numFmtId="0" fontId="28" fillId="7" borderId="30" xfId="0" applyFont="1" applyFill="1" applyBorder="1" applyAlignment="1">
      <alignment horizontal="center" vertical="center"/>
    </xf>
    <xf numFmtId="42" fontId="32" fillId="7" borderId="214" xfId="3" applyFont="1" applyFill="1" applyBorder="1" applyAlignment="1">
      <alignment horizontal="center" vertical="center"/>
    </xf>
    <xf numFmtId="0" fontId="39" fillId="14" borderId="0" xfId="0" applyFont="1" applyFill="1" applyBorder="1" applyAlignment="1" applyProtection="1">
      <alignment horizontal="center" vertical="center"/>
    </xf>
    <xf numFmtId="0" fontId="29" fillId="0" borderId="269" xfId="0" applyFont="1" applyBorder="1" applyAlignment="1">
      <alignment horizontal="center" vertical="center"/>
    </xf>
    <xf numFmtId="0" fontId="58" fillId="7" borderId="269" xfId="0" applyFont="1" applyFill="1" applyBorder="1" applyAlignment="1">
      <alignment horizontal="center" vertical="center"/>
    </xf>
    <xf numFmtId="0" fontId="29" fillId="5" borderId="269" xfId="0" applyFont="1" applyFill="1" applyBorder="1" applyAlignment="1">
      <alignment horizontal="center" vertical="center"/>
    </xf>
    <xf numFmtId="0" fontId="29" fillId="0" borderId="461" xfId="0" applyFont="1" applyFill="1" applyBorder="1" applyAlignment="1">
      <alignment horizontal="center" vertical="center"/>
    </xf>
    <xf numFmtId="0" fontId="29" fillId="0" borderId="470" xfId="0" applyFont="1" applyFill="1" applyBorder="1" applyAlignment="1">
      <alignment horizontal="center" vertical="center"/>
    </xf>
    <xf numFmtId="0" fontId="29" fillId="0" borderId="461" xfId="0" applyFont="1" applyBorder="1" applyAlignment="1">
      <alignment horizontal="center" vertical="center"/>
    </xf>
    <xf numFmtId="0" fontId="29" fillId="0" borderId="470" xfId="0" applyFont="1" applyBorder="1" applyAlignment="1">
      <alignment horizontal="center" vertical="center"/>
    </xf>
    <xf numFmtId="0" fontId="29" fillId="0" borderId="605" xfId="0" applyFont="1" applyFill="1" applyBorder="1" applyAlignment="1">
      <alignment horizontal="center" vertical="center"/>
    </xf>
    <xf numFmtId="0" fontId="29" fillId="0" borderId="613" xfId="0" applyFont="1" applyFill="1" applyBorder="1" applyAlignment="1">
      <alignment horizontal="center" vertical="center"/>
    </xf>
    <xf numFmtId="0" fontId="29" fillId="0" borderId="269" xfId="0" applyFont="1" applyFill="1" applyBorder="1" applyAlignment="1">
      <alignment horizontal="center" vertical="center"/>
    </xf>
    <xf numFmtId="9" fontId="125" fillId="0" borderId="0" xfId="1" applyNumberFormat="1" applyFont="1" applyAlignment="1">
      <alignment horizontal="center" vertical="center"/>
    </xf>
    <xf numFmtId="0" fontId="29" fillId="0" borderId="600" xfId="0" applyFont="1" applyFill="1" applyBorder="1" applyAlignment="1">
      <alignment horizontal="center" vertical="center"/>
    </xf>
    <xf numFmtId="0" fontId="29" fillId="0" borderId="6" xfId="0" applyFont="1" applyFill="1" applyBorder="1" applyAlignment="1">
      <alignment horizontal="center" vertical="center"/>
    </xf>
    <xf numFmtId="0" fontId="58" fillId="7" borderId="605" xfId="0" applyFont="1" applyFill="1" applyBorder="1" applyAlignment="1">
      <alignment horizontal="center" vertical="center"/>
    </xf>
    <xf numFmtId="0" fontId="58" fillId="7" borderId="613" xfId="0" applyFont="1" applyFill="1" applyBorder="1" applyAlignment="1">
      <alignment horizontal="center" vertical="center"/>
    </xf>
    <xf numFmtId="0" fontId="29" fillId="0" borderId="605" xfId="0" applyFont="1" applyBorder="1" applyAlignment="1">
      <alignment horizontal="center" vertical="center"/>
    </xf>
    <xf numFmtId="0" fontId="29" fillId="0" borderId="613" xfId="0" applyFont="1" applyBorder="1" applyAlignment="1">
      <alignment horizontal="center" vertical="center"/>
    </xf>
    <xf numFmtId="0" fontId="29" fillId="0" borderId="600" xfId="0" applyFont="1" applyBorder="1" applyAlignment="1">
      <alignment horizontal="center" vertical="center"/>
    </xf>
    <xf numFmtId="0" fontId="29" fillId="0" borderId="6" xfId="0" applyFont="1" applyBorder="1" applyAlignment="1">
      <alignment horizontal="center" vertical="center"/>
    </xf>
    <xf numFmtId="227" fontId="170" fillId="7" borderId="265" xfId="2" applyNumberFormat="1" applyFont="1" applyFill="1" applyBorder="1" applyAlignment="1">
      <alignment horizontal="center" vertical="center" wrapText="1"/>
    </xf>
    <xf numFmtId="227" fontId="170" fillId="7" borderId="264" xfId="2" applyNumberFormat="1" applyFont="1" applyFill="1" applyBorder="1" applyAlignment="1">
      <alignment horizontal="center" vertical="center" wrapText="1"/>
    </xf>
    <xf numFmtId="0" fontId="30" fillId="0" borderId="265" xfId="0" applyFont="1" applyBorder="1" applyAlignment="1">
      <alignment horizontal="center" vertical="center"/>
    </xf>
    <xf numFmtId="0" fontId="30" fillId="0" borderId="264" xfId="0" applyFont="1" applyBorder="1" applyAlignment="1">
      <alignment horizontal="center" vertical="center"/>
    </xf>
    <xf numFmtId="9" fontId="29" fillId="7" borderId="135" xfId="1" applyFont="1" applyFill="1" applyBorder="1" applyAlignment="1">
      <alignment horizontal="center" vertical="center"/>
    </xf>
    <xf numFmtId="9" fontId="29" fillId="7" borderId="327" xfId="1" applyFont="1" applyFill="1" applyBorder="1" applyAlignment="1">
      <alignment horizontal="center" vertical="center"/>
    </xf>
    <xf numFmtId="9" fontId="29" fillId="7" borderId="200" xfId="1" applyFont="1" applyFill="1" applyBorder="1" applyAlignment="1">
      <alignment horizontal="center" vertical="center"/>
    </xf>
    <xf numFmtId="0" fontId="178" fillId="0" borderId="0" xfId="0" applyFont="1" applyFill="1" applyBorder="1" applyAlignment="1">
      <alignment horizontal="center" vertical="center"/>
    </xf>
    <xf numFmtId="0" fontId="177" fillId="125" borderId="332" xfId="0" applyFont="1" applyFill="1" applyBorder="1" applyAlignment="1">
      <alignment horizontal="center" vertical="center" wrapText="1"/>
    </xf>
    <xf numFmtId="0" fontId="177" fillId="125" borderId="160" xfId="0" applyFont="1" applyFill="1" applyBorder="1" applyAlignment="1">
      <alignment horizontal="center" vertical="center" wrapText="1"/>
    </xf>
    <xf numFmtId="0" fontId="177" fillId="125" borderId="261" xfId="0" applyFont="1" applyFill="1" applyBorder="1" applyAlignment="1">
      <alignment horizontal="center" vertical="center" wrapText="1"/>
    </xf>
    <xf numFmtId="0" fontId="177" fillId="125" borderId="159" xfId="0" applyFont="1" applyFill="1" applyBorder="1" applyAlignment="1">
      <alignment horizontal="center" vertical="center"/>
    </xf>
    <xf numFmtId="0" fontId="177" fillId="125" borderId="266" xfId="0" applyFont="1" applyFill="1" applyBorder="1" applyAlignment="1">
      <alignment horizontal="center" vertical="center"/>
    </xf>
    <xf numFmtId="0" fontId="177" fillId="125" borderId="228" xfId="0" applyFont="1" applyFill="1" applyBorder="1" applyAlignment="1">
      <alignment horizontal="center" vertical="center" wrapText="1"/>
    </xf>
    <xf numFmtId="0" fontId="177" fillId="125" borderId="210" xfId="0" applyFont="1" applyFill="1" applyBorder="1" applyAlignment="1">
      <alignment horizontal="center" vertical="center" wrapText="1"/>
    </xf>
    <xf numFmtId="0" fontId="177" fillId="125" borderId="5" xfId="0" applyFont="1" applyFill="1" applyBorder="1" applyAlignment="1">
      <alignment horizontal="center" vertical="center" wrapText="1"/>
    </xf>
    <xf numFmtId="0" fontId="177" fillId="125" borderId="464" xfId="0" applyFont="1" applyFill="1" applyBorder="1" applyAlignment="1">
      <alignment horizontal="center" vertical="center"/>
    </xf>
    <xf numFmtId="9" fontId="29" fillId="0" borderId="135" xfId="1" applyFont="1" applyFill="1" applyBorder="1" applyAlignment="1">
      <alignment horizontal="center" vertical="center" wrapText="1"/>
    </xf>
    <xf numFmtId="9" fontId="29" fillId="0" borderId="327" xfId="1" applyFont="1" applyFill="1" applyBorder="1" applyAlignment="1">
      <alignment horizontal="center" vertical="center" wrapText="1"/>
    </xf>
    <xf numFmtId="9" fontId="29" fillId="0" borderId="200" xfId="1" applyFont="1" applyFill="1" applyBorder="1" applyAlignment="1">
      <alignment horizontal="center" vertical="center" wrapText="1"/>
    </xf>
    <xf numFmtId="9" fontId="29" fillId="0" borderId="434" xfId="1" applyFont="1" applyFill="1" applyBorder="1" applyAlignment="1">
      <alignment horizontal="center" vertical="center"/>
    </xf>
    <xf numFmtId="9" fontId="29" fillId="0" borderId="327" xfId="1" applyFont="1" applyFill="1" applyBorder="1" applyAlignment="1">
      <alignment horizontal="center" vertical="center"/>
    </xf>
    <xf numFmtId="9" fontId="29" fillId="0" borderId="200" xfId="1" applyFont="1" applyFill="1" applyBorder="1" applyAlignment="1">
      <alignment horizontal="center" vertical="center"/>
    </xf>
    <xf numFmtId="9" fontId="29" fillId="7" borderId="135" xfId="1" applyFont="1" applyFill="1" applyBorder="1" applyAlignment="1">
      <alignment horizontal="center" vertical="center" wrapText="1"/>
    </xf>
    <xf numFmtId="9" fontId="29" fillId="7" borderId="327" xfId="1" applyFont="1" applyFill="1" applyBorder="1" applyAlignment="1">
      <alignment horizontal="center" vertical="center" wrapText="1"/>
    </xf>
    <xf numFmtId="9" fontId="29" fillId="7" borderId="200" xfId="1" applyFont="1" applyFill="1" applyBorder="1" applyAlignment="1">
      <alignment horizontal="center" vertical="center" wrapText="1"/>
    </xf>
    <xf numFmtId="0" fontId="177" fillId="125" borderId="135" xfId="0" applyFont="1" applyFill="1" applyBorder="1" applyAlignment="1">
      <alignment horizontal="center" vertical="center" wrapText="1"/>
    </xf>
    <xf numFmtId="0" fontId="177" fillId="125" borderId="327" xfId="0" applyFont="1" applyFill="1" applyBorder="1" applyAlignment="1">
      <alignment horizontal="center" vertical="center" wrapText="1"/>
    </xf>
    <xf numFmtId="0" fontId="177" fillId="125" borderId="161" xfId="0" applyFont="1" applyFill="1" applyBorder="1" applyAlignment="1">
      <alignment horizontal="center" vertical="center" wrapText="1"/>
    </xf>
    <xf numFmtId="0" fontId="177" fillId="0" borderId="0" xfId="0" applyFont="1" applyFill="1" applyBorder="1" applyAlignment="1">
      <alignment horizontal="center" vertical="center"/>
    </xf>
    <xf numFmtId="0" fontId="177" fillId="0" borderId="0" xfId="0" applyFont="1" applyFill="1" applyBorder="1" applyAlignment="1">
      <alignment horizontal="center" vertical="center" wrapText="1"/>
    </xf>
    <xf numFmtId="0" fontId="177" fillId="125" borderId="286" xfId="0" applyFont="1" applyFill="1" applyBorder="1" applyAlignment="1">
      <alignment horizontal="center" vertical="center"/>
    </xf>
    <xf numFmtId="0" fontId="177" fillId="127" borderId="5" xfId="0" applyFont="1" applyFill="1" applyBorder="1" applyAlignment="1">
      <alignment horizontal="center" vertical="center" wrapText="1"/>
    </xf>
    <xf numFmtId="0" fontId="177" fillId="125" borderId="228" xfId="0" applyFont="1" applyFill="1" applyBorder="1" applyAlignment="1">
      <alignment horizontal="center" vertical="center"/>
    </xf>
    <xf numFmtId="0" fontId="177" fillId="125" borderId="210" xfId="0" applyFont="1" applyFill="1" applyBorder="1" applyAlignment="1">
      <alignment horizontal="center" vertical="center"/>
    </xf>
    <xf numFmtId="0" fontId="177" fillId="127" borderId="462" xfId="0" applyFont="1" applyFill="1" applyBorder="1" applyAlignment="1">
      <alignment horizontal="center" vertical="center"/>
    </xf>
    <xf numFmtId="0" fontId="177" fillId="127" borderId="482" xfId="0" applyFont="1" applyFill="1" applyBorder="1" applyAlignment="1">
      <alignment horizontal="center" vertical="center"/>
    </xf>
    <xf numFmtId="0" fontId="177" fillId="127" borderId="119" xfId="0" applyFont="1" applyFill="1" applyBorder="1" applyAlignment="1">
      <alignment horizontal="center" vertical="center"/>
    </xf>
    <xf numFmtId="0" fontId="177" fillId="125" borderId="261" xfId="0" applyFont="1" applyFill="1" applyBorder="1" applyAlignment="1">
      <alignment horizontal="center" vertical="center"/>
    </xf>
    <xf numFmtId="0" fontId="177" fillId="125" borderId="285" xfId="0" applyFont="1" applyFill="1" applyBorder="1" applyAlignment="1">
      <alignment horizontal="center" vertical="center" wrapText="1"/>
    </xf>
    <xf numFmtId="0" fontId="177" fillId="125" borderId="286" xfId="0" applyFont="1" applyFill="1" applyBorder="1" applyAlignment="1">
      <alignment horizontal="center" vertical="center" wrapText="1"/>
    </xf>
    <xf numFmtId="0" fontId="177" fillId="125" borderId="135" xfId="0" applyFont="1" applyFill="1" applyBorder="1" applyAlignment="1">
      <alignment horizontal="center" vertical="center"/>
    </xf>
    <xf numFmtId="0" fontId="177" fillId="125" borderId="161" xfId="0" applyFont="1" applyFill="1" applyBorder="1" applyAlignment="1">
      <alignment horizontal="center" vertical="center"/>
    </xf>
    <xf numFmtId="0" fontId="177" fillId="125" borderId="328" xfId="0" applyFont="1" applyFill="1" applyBorder="1" applyAlignment="1">
      <alignment horizontal="center" vertical="center" wrapText="1"/>
    </xf>
    <xf numFmtId="0" fontId="177" fillId="125" borderId="465" xfId="0" applyFont="1" applyFill="1" applyBorder="1" applyAlignment="1">
      <alignment horizontal="center" vertical="center" wrapText="1"/>
    </xf>
    <xf numFmtId="0" fontId="35" fillId="3" borderId="265" xfId="0" applyFont="1" applyFill="1" applyBorder="1" applyAlignment="1">
      <alignment horizontal="center" vertical="center"/>
    </xf>
    <xf numFmtId="0" fontId="35" fillId="3" borderId="267" xfId="0" applyFont="1" applyFill="1" applyBorder="1" applyAlignment="1">
      <alignment horizontal="center" vertical="center"/>
    </xf>
    <xf numFmtId="0" fontId="35" fillId="3" borderId="264" xfId="0" applyFont="1" applyFill="1" applyBorder="1" applyAlignment="1">
      <alignment horizontal="center" vertical="center"/>
    </xf>
    <xf numFmtId="0" fontId="29" fillId="0" borderId="0" xfId="0" applyFont="1" applyFill="1" applyBorder="1" applyAlignment="1">
      <alignment horizontal="center" vertical="center"/>
    </xf>
    <xf numFmtId="0" fontId="172" fillId="7" borderId="0" xfId="0" applyFont="1" applyFill="1" applyBorder="1" applyAlignment="1">
      <alignment horizontal="center" vertical="center"/>
    </xf>
    <xf numFmtId="0" fontId="172" fillId="7" borderId="84" xfId="0" applyFont="1" applyFill="1" applyBorder="1" applyAlignment="1">
      <alignment horizontal="center" vertical="center"/>
    </xf>
    <xf numFmtId="0" fontId="29" fillId="7" borderId="0" xfId="0" applyFont="1" applyFill="1" applyBorder="1" applyAlignment="1">
      <alignment horizontal="center" vertical="center"/>
    </xf>
    <xf numFmtId="0" fontId="29" fillId="7" borderId="84" xfId="0" applyFont="1" applyFill="1" applyBorder="1" applyAlignment="1">
      <alignment horizontal="center" vertical="center"/>
    </xf>
    <xf numFmtId="0" fontId="172" fillId="5" borderId="216" xfId="0" applyFont="1" applyFill="1" applyBorder="1" applyAlignment="1">
      <alignment horizontal="center" vertical="center" wrapText="1"/>
    </xf>
    <xf numFmtId="0" fontId="172" fillId="5" borderId="6" xfId="0" applyFont="1" applyFill="1" applyBorder="1" applyAlignment="1">
      <alignment horizontal="center" vertical="center" wrapText="1"/>
    </xf>
    <xf numFmtId="0" fontId="172" fillId="5" borderId="194" xfId="0" applyFont="1" applyFill="1" applyBorder="1" applyAlignment="1">
      <alignment horizontal="center" vertical="center"/>
    </xf>
    <xf numFmtId="0" fontId="172" fillId="5" borderId="195" xfId="0" applyFont="1" applyFill="1" applyBorder="1" applyAlignment="1">
      <alignment horizontal="center" vertical="center"/>
    </xf>
    <xf numFmtId="0" fontId="172" fillId="5" borderId="196" xfId="0" applyFont="1" applyFill="1" applyBorder="1" applyAlignment="1">
      <alignment horizontal="center" vertical="center"/>
    </xf>
    <xf numFmtId="0" fontId="172" fillId="5" borderId="236" xfId="0" applyFont="1" applyFill="1" applyBorder="1" applyAlignment="1">
      <alignment horizontal="center" vertical="center" wrapText="1"/>
    </xf>
    <xf numFmtId="0" fontId="172" fillId="5" borderId="236" xfId="0" applyFont="1" applyFill="1" applyBorder="1" applyAlignment="1">
      <alignment horizontal="center" vertical="center"/>
    </xf>
    <xf numFmtId="0" fontId="209" fillId="7" borderId="0" xfId="0" applyFont="1" applyFill="1" applyAlignment="1">
      <alignment horizontal="center" vertical="center"/>
    </xf>
    <xf numFmtId="0" fontId="177" fillId="125" borderId="462" xfId="0" applyFont="1" applyFill="1" applyBorder="1" applyAlignment="1">
      <alignment horizontal="center" vertical="center"/>
    </xf>
    <xf numFmtId="0" fontId="177" fillId="125" borderId="46" xfId="0" applyFont="1" applyFill="1" applyBorder="1" applyAlignment="1">
      <alignment horizontal="center" vertical="center"/>
    </xf>
    <xf numFmtId="0" fontId="177" fillId="125" borderId="47" xfId="0" applyFont="1" applyFill="1" applyBorder="1" applyAlignment="1">
      <alignment horizontal="center" vertical="center"/>
    </xf>
    <xf numFmtId="226" fontId="177" fillId="125" borderId="228" xfId="0" applyNumberFormat="1" applyFont="1" applyFill="1" applyBorder="1" applyAlignment="1">
      <alignment horizontal="center" vertical="center" wrapText="1"/>
    </xf>
    <xf numFmtId="226" fontId="177" fillId="125" borderId="210" xfId="0" applyNumberFormat="1" applyFont="1" applyFill="1" applyBorder="1" applyAlignment="1">
      <alignment horizontal="center" vertical="center" wrapText="1"/>
    </xf>
    <xf numFmtId="0" fontId="46" fillId="6" borderId="606" xfId="0" applyFont="1" applyFill="1" applyBorder="1" applyAlignment="1">
      <alignment horizontal="center" vertical="center"/>
    </xf>
    <xf numFmtId="0" fontId="193" fillId="0" borderId="0" xfId="0" applyFont="1" applyAlignment="1">
      <alignment horizontal="center" vertical="center"/>
    </xf>
    <xf numFmtId="0" fontId="177" fillId="125" borderId="62" xfId="0" applyFont="1" applyFill="1" applyBorder="1" applyAlignment="1">
      <alignment horizontal="center" vertical="center"/>
    </xf>
    <xf numFmtId="0" fontId="177" fillId="127" borderId="223" xfId="0" applyFont="1" applyFill="1" applyBorder="1" applyAlignment="1">
      <alignment horizontal="center" vertical="center"/>
    </xf>
    <xf numFmtId="0" fontId="177" fillId="127" borderId="227" xfId="0" applyFont="1" applyFill="1" applyBorder="1" applyAlignment="1">
      <alignment horizontal="center" vertical="center"/>
    </xf>
    <xf numFmtId="0" fontId="177" fillId="125" borderId="596" xfId="0" applyFont="1" applyFill="1" applyBorder="1" applyAlignment="1">
      <alignment horizontal="center" vertical="center"/>
    </xf>
    <xf numFmtId="0" fontId="177" fillId="127" borderId="599" xfId="0" applyFont="1" applyFill="1" applyBorder="1" applyAlignment="1">
      <alignment horizontal="center" vertical="center"/>
    </xf>
    <xf numFmtId="0" fontId="177" fillId="125" borderId="587" xfId="0" applyFont="1" applyFill="1" applyBorder="1" applyAlignment="1">
      <alignment horizontal="center" vertical="center"/>
    </xf>
    <xf numFmtId="0" fontId="58" fillId="0" borderId="0" xfId="0" applyFont="1" applyFill="1" applyBorder="1" applyAlignment="1">
      <alignment horizontal="center" vertical="center"/>
    </xf>
    <xf numFmtId="0" fontId="177" fillId="127" borderId="592" xfId="0" applyFont="1" applyFill="1" applyBorder="1" applyAlignment="1">
      <alignment horizontal="center" vertical="center"/>
    </xf>
    <xf numFmtId="0" fontId="177" fillId="127" borderId="305" xfId="0" applyFont="1" applyFill="1" applyBorder="1" applyAlignment="1">
      <alignment horizontal="center" vertical="center"/>
    </xf>
    <xf numFmtId="0" fontId="177" fillId="125" borderId="590" xfId="0" applyFont="1" applyFill="1" applyBorder="1" applyAlignment="1">
      <alignment horizontal="center" vertical="center"/>
    </xf>
    <xf numFmtId="31" fontId="172" fillId="0" borderId="0" xfId="0" applyNumberFormat="1" applyFont="1" applyBorder="1" applyAlignment="1">
      <alignment horizontal="right" vertical="center"/>
    </xf>
    <xf numFmtId="31" fontId="172" fillId="0" borderId="204" xfId="0" applyNumberFormat="1" applyFont="1" applyBorder="1" applyAlignment="1">
      <alignment horizontal="right" vertical="center"/>
    </xf>
    <xf numFmtId="0" fontId="172" fillId="0" borderId="204" xfId="0" applyFont="1" applyBorder="1" applyAlignment="1">
      <alignment horizontal="right" vertical="center"/>
    </xf>
    <xf numFmtId="0" fontId="177" fillId="125" borderId="6" xfId="0" applyFont="1" applyFill="1" applyBorder="1" applyAlignment="1">
      <alignment horizontal="center" vertical="center" wrapText="1"/>
    </xf>
    <xf numFmtId="0" fontId="177" fillId="125" borderId="591" xfId="0" applyFont="1" applyFill="1" applyBorder="1" applyAlignment="1">
      <alignment horizontal="center" vertical="center"/>
    </xf>
    <xf numFmtId="38" fontId="58" fillId="7" borderId="601" xfId="2" applyNumberFormat="1" applyFont="1" applyFill="1" applyBorder="1" applyAlignment="1">
      <alignment horizontal="center" vertical="center"/>
    </xf>
    <xf numFmtId="38" fontId="58" fillId="7" borderId="160" xfId="2" applyNumberFormat="1" applyFont="1" applyFill="1" applyBorder="1" applyAlignment="1">
      <alignment horizontal="center" vertical="center"/>
    </xf>
    <xf numFmtId="0" fontId="177" fillId="125" borderId="281" xfId="0" applyFont="1" applyFill="1" applyBorder="1" applyAlignment="1">
      <alignment horizontal="center" vertical="center"/>
    </xf>
    <xf numFmtId="0" fontId="177" fillId="125" borderId="280" xfId="0" applyFont="1" applyFill="1" applyBorder="1" applyAlignment="1">
      <alignment horizontal="center" vertical="center"/>
    </xf>
    <xf numFmtId="0" fontId="177" fillId="125" borderId="301" xfId="0" applyFont="1" applyFill="1" applyBorder="1" applyAlignment="1">
      <alignment horizontal="center" vertical="center"/>
    </xf>
    <xf numFmtId="0" fontId="177" fillId="125" borderId="371" xfId="0" applyFont="1" applyFill="1" applyBorder="1" applyAlignment="1">
      <alignment horizontal="center" vertical="center"/>
    </xf>
    <xf numFmtId="0" fontId="177" fillId="125" borderId="377" xfId="0" applyFont="1" applyFill="1" applyBorder="1" applyAlignment="1">
      <alignment horizontal="center" vertical="center"/>
    </xf>
    <xf numFmtId="38" fontId="58" fillId="7" borderId="600" xfId="2" applyNumberFormat="1" applyFont="1" applyFill="1" applyBorder="1" applyAlignment="1">
      <alignment horizontal="center" vertical="center"/>
    </xf>
    <xf numFmtId="38" fontId="58" fillId="7" borderId="210" xfId="2" applyNumberFormat="1" applyFont="1" applyFill="1" applyBorder="1" applyAlignment="1">
      <alignment horizontal="center" vertical="center"/>
    </xf>
    <xf numFmtId="38" fontId="58" fillId="7" borderId="228" xfId="2" applyNumberFormat="1" applyFont="1" applyFill="1" applyBorder="1" applyAlignment="1">
      <alignment horizontal="center" vertical="center"/>
    </xf>
    <xf numFmtId="38" fontId="58" fillId="7" borderId="6" xfId="2" applyNumberFormat="1" applyFont="1" applyFill="1" applyBorder="1" applyAlignment="1">
      <alignment horizontal="center" vertical="center"/>
    </xf>
    <xf numFmtId="0" fontId="58" fillId="0" borderId="434" xfId="0" applyFont="1" applyFill="1" applyBorder="1" applyAlignment="1">
      <alignment horizontal="center" vertical="center" wrapText="1"/>
    </xf>
    <xf numFmtId="0" fontId="58" fillId="0" borderId="327" xfId="0" applyFont="1" applyFill="1" applyBorder="1" applyAlignment="1">
      <alignment horizontal="center" vertical="center"/>
    </xf>
    <xf numFmtId="0" fontId="58" fillId="0" borderId="200" xfId="0" applyFont="1" applyFill="1" applyBorder="1" applyAlignment="1">
      <alignment horizontal="center" vertical="center"/>
    </xf>
    <xf numFmtId="0" fontId="58" fillId="7" borderId="135" xfId="0" applyFont="1" applyFill="1" applyBorder="1" applyAlignment="1">
      <alignment horizontal="center" vertical="center"/>
    </xf>
    <xf numFmtId="0" fontId="58" fillId="7" borderId="200" xfId="0" applyFont="1" applyFill="1" applyBorder="1" applyAlignment="1">
      <alignment horizontal="center" vertical="center"/>
    </xf>
    <xf numFmtId="0" fontId="58" fillId="7" borderId="327" xfId="0" applyFont="1" applyFill="1" applyBorder="1" applyAlignment="1">
      <alignment horizontal="center" vertical="center" wrapText="1"/>
    </xf>
    <xf numFmtId="0" fontId="177" fillId="125" borderId="366" xfId="0" applyFont="1" applyFill="1" applyBorder="1" applyAlignment="1">
      <alignment horizontal="center" vertical="center"/>
    </xf>
    <xf numFmtId="0" fontId="177" fillId="125" borderId="123" xfId="0" applyFont="1" applyFill="1" applyBorder="1" applyAlignment="1">
      <alignment horizontal="center" vertical="center"/>
    </xf>
    <xf numFmtId="38" fontId="58" fillId="7" borderId="598" xfId="2" applyNumberFormat="1" applyFont="1" applyFill="1" applyBorder="1" applyAlignment="1">
      <alignment horizontal="center" vertical="center"/>
    </xf>
    <xf numFmtId="38" fontId="58" fillId="7" borderId="307" xfId="2" applyNumberFormat="1" applyFont="1" applyFill="1" applyBorder="1" applyAlignment="1">
      <alignment horizontal="center" vertical="center"/>
    </xf>
    <xf numFmtId="38" fontId="58" fillId="7" borderId="261" xfId="2" applyNumberFormat="1" applyFont="1" applyFill="1" applyBorder="1" applyAlignment="1">
      <alignment horizontal="center" vertical="center"/>
    </xf>
    <xf numFmtId="38" fontId="58" fillId="7" borderId="219" xfId="2" applyNumberFormat="1" applyFont="1" applyFill="1" applyBorder="1" applyAlignment="1">
      <alignment horizontal="center" vertical="center"/>
    </xf>
    <xf numFmtId="9" fontId="58" fillId="7" borderId="292" xfId="1" applyFont="1" applyFill="1" applyBorder="1" applyAlignment="1">
      <alignment horizontal="center" vertical="center"/>
    </xf>
    <xf numFmtId="9" fontId="58" fillId="7" borderId="5" xfId="1" applyFont="1" applyFill="1" applyBorder="1" applyAlignment="1">
      <alignment horizontal="center" vertical="center"/>
    </xf>
    <xf numFmtId="0" fontId="58" fillId="7" borderId="434" xfId="0" applyFont="1" applyFill="1" applyBorder="1" applyAlignment="1">
      <alignment horizontal="center" vertical="center" wrapText="1"/>
    </xf>
    <xf numFmtId="0" fontId="58" fillId="7" borderId="327" xfId="0" applyFont="1" applyFill="1" applyBorder="1" applyAlignment="1">
      <alignment horizontal="center" vertical="center"/>
    </xf>
    <xf numFmtId="9" fontId="58" fillId="7" borderId="228" xfId="1" applyFont="1" applyFill="1" applyBorder="1" applyAlignment="1">
      <alignment horizontal="center" vertical="center"/>
    </xf>
    <xf numFmtId="9" fontId="58" fillId="7" borderId="6" xfId="1" applyFont="1" applyFill="1" applyBorder="1" applyAlignment="1">
      <alignment horizontal="center" vertical="center"/>
    </xf>
    <xf numFmtId="38" fontId="58" fillId="7" borderId="292" xfId="2" applyNumberFormat="1" applyFont="1" applyFill="1" applyBorder="1" applyAlignment="1">
      <alignment horizontal="center" vertical="center"/>
    </xf>
    <xf numFmtId="38" fontId="58" fillId="7" borderId="5" xfId="2" applyNumberFormat="1" applyFont="1" applyFill="1" applyBorder="1" applyAlignment="1">
      <alignment horizontal="center" vertical="center"/>
    </xf>
    <xf numFmtId="38" fontId="58" fillId="7" borderId="216" xfId="2" applyNumberFormat="1" applyFont="1" applyFill="1" applyBorder="1" applyAlignment="1">
      <alignment horizontal="center" vertical="center"/>
    </xf>
    <xf numFmtId="0" fontId="177" fillId="125" borderId="57" xfId="0" applyFont="1" applyFill="1" applyBorder="1" applyAlignment="1">
      <alignment horizontal="center" vertical="center"/>
    </xf>
    <xf numFmtId="0" fontId="177" fillId="127" borderId="260" xfId="0" applyFont="1" applyFill="1" applyBorder="1" applyAlignment="1">
      <alignment horizontal="center" vertical="center"/>
    </xf>
    <xf numFmtId="0" fontId="177" fillId="127" borderId="66" xfId="0" applyFont="1" applyFill="1" applyBorder="1" applyAlignment="1">
      <alignment horizontal="center" vertical="center"/>
    </xf>
    <xf numFmtId="0" fontId="177" fillId="127" borderId="243" xfId="0" applyFont="1" applyFill="1" applyBorder="1" applyAlignment="1">
      <alignment horizontal="center" vertical="center"/>
    </xf>
    <xf numFmtId="0" fontId="178" fillId="127" borderId="281" xfId="0" applyFont="1" applyFill="1" applyBorder="1" applyAlignment="1">
      <alignment horizontal="center" vertical="center"/>
    </xf>
    <xf numFmtId="0" fontId="178" fillId="127" borderId="599" xfId="0" applyFont="1" applyFill="1" applyBorder="1" applyAlignment="1">
      <alignment horizontal="center" vertical="center"/>
    </xf>
    <xf numFmtId="0" fontId="178" fillId="127" borderId="319" xfId="0" applyFont="1" applyFill="1" applyBorder="1" applyAlignment="1">
      <alignment horizontal="center" vertical="center"/>
    </xf>
    <xf numFmtId="0" fontId="177" fillId="125" borderId="606" xfId="0" applyFont="1" applyFill="1" applyBorder="1" applyAlignment="1">
      <alignment horizontal="center" vertical="center"/>
    </xf>
    <xf numFmtId="0" fontId="177" fillId="125" borderId="608" xfId="0" applyFont="1" applyFill="1" applyBorder="1" applyAlignment="1">
      <alignment horizontal="center" vertical="center"/>
    </xf>
    <xf numFmtId="0" fontId="178" fillId="127" borderId="261" xfId="0" applyFont="1" applyFill="1" applyBorder="1" applyAlignment="1">
      <alignment horizontal="center" vertical="center"/>
    </xf>
    <xf numFmtId="0" fontId="178" fillId="127" borderId="159" xfId="0" applyFont="1" applyFill="1" applyBorder="1" applyAlignment="1">
      <alignment horizontal="center" vertical="center"/>
    </xf>
    <xf numFmtId="0" fontId="178" fillId="127" borderId="219" xfId="0" applyFont="1" applyFill="1" applyBorder="1" applyAlignment="1">
      <alignment horizontal="center" vertical="center"/>
    </xf>
    <xf numFmtId="0" fontId="168" fillId="3" borderId="35" xfId="0" applyFont="1" applyFill="1" applyBorder="1" applyAlignment="1">
      <alignment horizontal="center" vertical="center"/>
    </xf>
    <xf numFmtId="0" fontId="178" fillId="127" borderId="119" xfId="0" applyFont="1" applyFill="1" applyBorder="1" applyAlignment="1">
      <alignment horizontal="center" vertical="center"/>
    </xf>
    <xf numFmtId="0" fontId="178" fillId="127" borderId="316" xfId="0" applyFont="1" applyFill="1" applyBorder="1" applyAlignment="1">
      <alignment horizontal="center" vertical="center"/>
    </xf>
    <xf numFmtId="0" fontId="178" fillId="127" borderId="282" xfId="0" applyFont="1" applyFill="1" applyBorder="1" applyAlignment="1">
      <alignment horizontal="center" vertical="center"/>
    </xf>
    <xf numFmtId="0" fontId="178" fillId="127" borderId="135" xfId="0" applyFont="1" applyFill="1" applyBorder="1" applyAlignment="1">
      <alignment horizontal="center" vertical="center"/>
    </xf>
    <xf numFmtId="0" fontId="178" fillId="127" borderId="200" xfId="0" applyFont="1" applyFill="1" applyBorder="1" applyAlignment="1">
      <alignment horizontal="center" vertical="center"/>
    </xf>
    <xf numFmtId="0" fontId="178" fillId="127" borderId="243" xfId="0" applyFont="1" applyFill="1" applyBorder="1" applyAlignment="1">
      <alignment horizontal="center" vertical="center"/>
    </xf>
    <xf numFmtId="0" fontId="178" fillId="127" borderId="95" xfId="0" applyFont="1" applyFill="1" applyBorder="1" applyAlignment="1">
      <alignment horizontal="center" vertical="center"/>
    </xf>
    <xf numFmtId="9" fontId="58" fillId="0" borderId="464" xfId="1" applyFont="1" applyBorder="1" applyAlignment="1">
      <alignment horizontal="center" vertical="center"/>
    </xf>
    <xf numFmtId="9" fontId="58" fillId="0" borderId="210" xfId="1" applyFont="1" applyBorder="1" applyAlignment="1">
      <alignment horizontal="center" vertical="center"/>
    </xf>
    <xf numFmtId="38" fontId="58" fillId="0" borderId="464" xfId="2" applyNumberFormat="1" applyFont="1" applyBorder="1" applyAlignment="1">
      <alignment horizontal="center" vertical="center"/>
    </xf>
    <xf numFmtId="38" fontId="58" fillId="0" borderId="210" xfId="2" applyNumberFormat="1" applyFont="1" applyBorder="1" applyAlignment="1">
      <alignment horizontal="center" vertical="center"/>
    </xf>
    <xf numFmtId="38" fontId="58" fillId="0" borderId="602" xfId="2" applyNumberFormat="1" applyFont="1" applyFill="1" applyBorder="1" applyAlignment="1">
      <alignment horizontal="center" vertical="center"/>
    </xf>
    <xf numFmtId="38" fontId="58" fillId="0" borderId="209" xfId="2" applyNumberFormat="1" applyFont="1" applyFill="1" applyBorder="1" applyAlignment="1">
      <alignment horizontal="center" vertical="center"/>
    </xf>
    <xf numFmtId="223" fontId="58" fillId="0" borderId="600" xfId="0" applyNumberFormat="1" applyFont="1" applyBorder="1" applyAlignment="1">
      <alignment horizontal="center" vertical="center"/>
    </xf>
    <xf numFmtId="223" fontId="58" fillId="0" borderId="210" xfId="0" applyNumberFormat="1" applyFont="1" applyBorder="1" applyAlignment="1">
      <alignment horizontal="center" vertical="center"/>
    </xf>
    <xf numFmtId="0" fontId="58" fillId="3" borderId="0" xfId="0" applyFont="1" applyFill="1" applyBorder="1" applyAlignment="1">
      <alignment horizontal="center" vertical="center"/>
    </xf>
    <xf numFmtId="0" fontId="177" fillId="125" borderId="200" xfId="0" applyFont="1" applyFill="1" applyBorder="1" applyAlignment="1">
      <alignment horizontal="center" vertical="center"/>
    </xf>
    <xf numFmtId="38" fontId="58" fillId="0" borderId="350" xfId="2" applyNumberFormat="1" applyFont="1" applyFill="1" applyBorder="1" applyAlignment="1">
      <alignment horizontal="center" vertical="center"/>
    </xf>
    <xf numFmtId="38" fontId="58" fillId="0" borderId="23" xfId="2" applyNumberFormat="1" applyFont="1" applyFill="1" applyBorder="1" applyAlignment="1">
      <alignment horizontal="center" vertical="center"/>
    </xf>
    <xf numFmtId="0" fontId="177" fillId="127" borderId="467" xfId="0" applyFont="1" applyFill="1" applyBorder="1" applyAlignment="1">
      <alignment horizontal="center" vertical="center"/>
    </xf>
    <xf numFmtId="0" fontId="177" fillId="125" borderId="44" xfId="0" applyFont="1" applyFill="1" applyBorder="1" applyAlignment="1">
      <alignment horizontal="center" vertical="center"/>
    </xf>
    <xf numFmtId="0" fontId="177" fillId="125" borderId="306" xfId="0" applyFont="1" applyFill="1" applyBorder="1" applyAlignment="1">
      <alignment horizontal="center" vertical="center"/>
    </xf>
    <xf numFmtId="0" fontId="177" fillId="127" borderId="135" xfId="0" applyFont="1" applyFill="1" applyBorder="1" applyAlignment="1">
      <alignment horizontal="center" vertical="center" wrapText="1"/>
    </xf>
    <xf numFmtId="38" fontId="58" fillId="0" borderId="228" xfId="2" applyNumberFormat="1" applyFont="1" applyBorder="1" applyAlignment="1">
      <alignment horizontal="center" vertical="center"/>
    </xf>
    <xf numFmtId="38" fontId="58" fillId="0" borderId="6" xfId="2" applyNumberFormat="1" applyFont="1" applyBorder="1" applyAlignment="1">
      <alignment horizontal="center" vertical="center"/>
    </xf>
    <xf numFmtId="9" fontId="58" fillId="0" borderId="228" xfId="1" applyFont="1" applyBorder="1" applyAlignment="1">
      <alignment horizontal="center" vertical="center"/>
    </xf>
    <xf numFmtId="9" fontId="58" fillId="0" borderId="6" xfId="1" applyFont="1" applyBorder="1" applyAlignment="1">
      <alignment horizontal="center" vertical="center"/>
    </xf>
    <xf numFmtId="9" fontId="58" fillId="0" borderId="5" xfId="1" applyFont="1" applyBorder="1" applyAlignment="1">
      <alignment horizontal="center" vertical="center"/>
    </xf>
    <xf numFmtId="223" fontId="58" fillId="0" borderId="228" xfId="0" applyNumberFormat="1" applyFont="1" applyBorder="1" applyAlignment="1">
      <alignment horizontal="center" vertical="center"/>
    </xf>
    <xf numFmtId="223" fontId="58" fillId="0" borderId="5" xfId="0" applyNumberFormat="1" applyFont="1" applyBorder="1" applyAlignment="1">
      <alignment horizontal="center" vertical="center"/>
    </xf>
    <xf numFmtId="3" fontId="58" fillId="7" borderId="228" xfId="2" quotePrefix="1" applyNumberFormat="1" applyFont="1" applyFill="1" applyBorder="1" applyAlignment="1">
      <alignment horizontal="center" vertical="center"/>
    </xf>
    <xf numFmtId="3" fontId="58" fillId="7" borderId="5" xfId="2" quotePrefix="1" applyNumberFormat="1" applyFont="1" applyFill="1" applyBorder="1" applyAlignment="1">
      <alignment horizontal="center" vertical="center"/>
    </xf>
    <xf numFmtId="223" fontId="58" fillId="0" borderId="6" xfId="0" applyNumberFormat="1" applyFont="1" applyBorder="1" applyAlignment="1">
      <alignment horizontal="center" vertical="center"/>
    </xf>
    <xf numFmtId="0" fontId="177" fillId="125" borderId="219" xfId="0" applyFont="1" applyFill="1" applyBorder="1" applyAlignment="1">
      <alignment horizontal="center" vertical="center"/>
    </xf>
    <xf numFmtId="0" fontId="172" fillId="93" borderId="694" xfId="0" applyFont="1" applyFill="1" applyBorder="1" applyAlignment="1">
      <alignment horizontal="center" vertical="center"/>
    </xf>
    <xf numFmtId="0" fontId="172" fillId="93" borderId="746" xfId="0" applyFont="1" applyFill="1" applyBorder="1" applyAlignment="1">
      <alignment horizontal="center" vertical="center"/>
    </xf>
    <xf numFmtId="0" fontId="172" fillId="93" borderId="747" xfId="0" applyFont="1" applyFill="1" applyBorder="1" applyAlignment="1">
      <alignment horizontal="center" vertical="center"/>
    </xf>
    <xf numFmtId="38" fontId="177" fillId="127" borderId="223" xfId="0" applyNumberFormat="1" applyFont="1" applyFill="1" applyBorder="1" applyAlignment="1">
      <alignment horizontal="center" vertical="center"/>
    </xf>
    <xf numFmtId="38" fontId="177" fillId="127" borderId="227" xfId="0" applyNumberFormat="1" applyFont="1" applyFill="1" applyBorder="1" applyAlignment="1">
      <alignment horizontal="center" vertical="center"/>
    </xf>
    <xf numFmtId="0" fontId="172" fillId="93" borderId="730" xfId="0" applyFont="1" applyFill="1" applyBorder="1" applyAlignment="1">
      <alignment horizontal="center" vertical="center"/>
    </xf>
    <xf numFmtId="0" fontId="172" fillId="93" borderId="693" xfId="0" applyFont="1" applyFill="1" applyBorder="1" applyAlignment="1">
      <alignment horizontal="center" vertical="center"/>
    </xf>
    <xf numFmtId="0" fontId="172" fillId="93" borderId="697" xfId="0" applyFont="1" applyFill="1" applyBorder="1" applyAlignment="1">
      <alignment horizontal="center" vertical="center"/>
    </xf>
    <xf numFmtId="0" fontId="172" fillId="93" borderId="606" xfId="0" applyFont="1" applyFill="1" applyBorder="1" applyAlignment="1">
      <alignment horizontal="center" vertical="center"/>
    </xf>
    <xf numFmtId="0" fontId="172" fillId="93" borderId="745" xfId="0" applyFont="1" applyFill="1" applyBorder="1" applyAlignment="1">
      <alignment horizontal="center" vertical="center"/>
    </xf>
    <xf numFmtId="0" fontId="172" fillId="93" borderId="6" xfId="0" applyFont="1" applyFill="1" applyBorder="1" applyAlignment="1">
      <alignment horizontal="center" vertical="center"/>
    </xf>
    <xf numFmtId="223" fontId="58" fillId="7" borderId="120" xfId="2" applyNumberFormat="1" applyFont="1" applyFill="1" applyBorder="1" applyAlignment="1">
      <alignment horizontal="center" vertical="center"/>
    </xf>
    <xf numFmtId="223" fontId="58" fillId="7" borderId="513" xfId="2" applyNumberFormat="1" applyFont="1" applyFill="1" applyBorder="1" applyAlignment="1">
      <alignment horizontal="center" vertical="center"/>
    </xf>
    <xf numFmtId="0" fontId="177" fillId="125" borderId="327" xfId="0" applyFont="1" applyFill="1" applyBorder="1" applyAlignment="1">
      <alignment horizontal="center" vertical="center"/>
    </xf>
    <xf numFmtId="223" fontId="58" fillId="7" borderId="600" xfId="2" applyNumberFormat="1" applyFont="1" applyFill="1" applyBorder="1" applyAlignment="1">
      <alignment horizontal="center" vertical="center"/>
    </xf>
    <xf numFmtId="223" fontId="58" fillId="7" borderId="210" xfId="2" applyNumberFormat="1" applyFont="1" applyFill="1" applyBorder="1" applyAlignment="1">
      <alignment horizontal="center" vertical="center"/>
    </xf>
    <xf numFmtId="223" fontId="58" fillId="7" borderId="228" xfId="2" applyNumberFormat="1" applyFont="1" applyFill="1" applyBorder="1" applyAlignment="1">
      <alignment horizontal="center" vertical="center"/>
    </xf>
    <xf numFmtId="223" fontId="58" fillId="7" borderId="6" xfId="2" applyNumberFormat="1" applyFont="1" applyFill="1" applyBorder="1" applyAlignment="1">
      <alignment horizontal="center" vertical="center"/>
    </xf>
    <xf numFmtId="38" fontId="58" fillId="7" borderId="159" xfId="2" applyNumberFormat="1" applyFont="1" applyFill="1" applyBorder="1" applyAlignment="1">
      <alignment horizontal="center" vertical="center"/>
    </xf>
    <xf numFmtId="38" fontId="58" fillId="7" borderId="599" xfId="2" applyNumberFormat="1" applyFont="1" applyFill="1" applyBorder="1" applyAlignment="1">
      <alignment horizontal="center" vertical="center"/>
    </xf>
    <xf numFmtId="9" fontId="58" fillId="7" borderId="600" xfId="1" applyFont="1" applyFill="1" applyBorder="1" applyAlignment="1">
      <alignment horizontal="center" vertical="center"/>
    </xf>
    <xf numFmtId="9" fontId="58" fillId="7" borderId="210" xfId="1" applyFont="1" applyFill="1" applyBorder="1" applyAlignment="1">
      <alignment horizontal="center" vertical="center"/>
    </xf>
    <xf numFmtId="38" fontId="58" fillId="7" borderId="120" xfId="2" applyNumberFormat="1" applyFont="1" applyFill="1" applyBorder="1" applyAlignment="1">
      <alignment horizontal="center" vertical="center"/>
    </xf>
    <xf numFmtId="38" fontId="58" fillId="7" borderId="513" xfId="2" applyNumberFormat="1" applyFont="1" applyFill="1" applyBorder="1" applyAlignment="1">
      <alignment horizontal="center" vertical="center"/>
    </xf>
    <xf numFmtId="0" fontId="184" fillId="93" borderId="717" xfId="0" applyFont="1" applyFill="1" applyBorder="1" applyAlignment="1">
      <alignment horizontal="center" vertical="center"/>
    </xf>
    <xf numFmtId="0" fontId="184" fillId="93" borderId="718" xfId="0" applyFont="1" applyFill="1" applyBorder="1" applyAlignment="1">
      <alignment horizontal="center" vertical="center"/>
    </xf>
    <xf numFmtId="0" fontId="172" fillId="93" borderId="731" xfId="0" applyFont="1" applyFill="1" applyBorder="1" applyAlignment="1">
      <alignment horizontal="center" vertical="center"/>
    </xf>
    <xf numFmtId="0" fontId="172" fillId="93" borderId="704" xfId="0" applyFont="1" applyFill="1" applyBorder="1" applyAlignment="1">
      <alignment horizontal="center" vertical="center"/>
    </xf>
    <xf numFmtId="0" fontId="184" fillId="93" borderId="730" xfId="0" applyFont="1" applyFill="1" applyBorder="1" applyAlignment="1">
      <alignment horizontal="center" vertical="center" wrapText="1"/>
    </xf>
    <xf numFmtId="0" fontId="184" fillId="93" borderId="697" xfId="0" applyFont="1" applyFill="1" applyBorder="1" applyAlignment="1">
      <alignment horizontal="center" vertical="center" wrapText="1"/>
    </xf>
    <xf numFmtId="0" fontId="184" fillId="93" borderId="704" xfId="0" applyFont="1" applyFill="1" applyBorder="1" applyAlignment="1">
      <alignment horizontal="center" vertical="center" wrapText="1"/>
    </xf>
    <xf numFmtId="0" fontId="184" fillId="93" borderId="706" xfId="0" applyFont="1" applyFill="1" applyBorder="1" applyAlignment="1">
      <alignment horizontal="center" vertical="center"/>
    </xf>
    <xf numFmtId="0" fontId="184" fillId="93" borderId="740" xfId="0" applyFont="1" applyFill="1" applyBorder="1" applyAlignment="1">
      <alignment horizontal="center" vertical="center"/>
    </xf>
    <xf numFmtId="0" fontId="177" fillId="125" borderId="367" xfId="0" applyFont="1" applyFill="1" applyBorder="1" applyAlignment="1">
      <alignment horizontal="center" vertical="center"/>
    </xf>
    <xf numFmtId="0" fontId="177" fillId="125" borderId="319" xfId="0" applyFont="1" applyFill="1" applyBorder="1" applyAlignment="1">
      <alignment horizontal="center" vertical="center"/>
    </xf>
    <xf numFmtId="0" fontId="177" fillId="125" borderId="243" xfId="0" applyFont="1" applyFill="1" applyBorder="1" applyAlignment="1">
      <alignment horizontal="center" vertical="center"/>
    </xf>
    <xf numFmtId="38" fontId="29" fillId="117" borderId="464" xfId="0" applyNumberFormat="1" applyFont="1" applyFill="1" applyBorder="1" applyAlignment="1">
      <alignment horizontal="center" vertical="center"/>
    </xf>
    <xf numFmtId="38" fontId="29" fillId="117" borderId="6" xfId="0" applyNumberFormat="1" applyFont="1" applyFill="1" applyBorder="1" applyAlignment="1">
      <alignment horizontal="center" vertical="center"/>
    </xf>
    <xf numFmtId="0" fontId="177" fillId="125" borderId="119" xfId="0" applyFont="1" applyFill="1" applyBorder="1" applyAlignment="1">
      <alignment horizontal="center" vertical="center" wrapText="1"/>
    </xf>
    <xf numFmtId="0" fontId="177" fillId="125" borderId="576" xfId="0" applyFont="1" applyFill="1" applyBorder="1" applyAlignment="1">
      <alignment horizontal="center" vertical="center" wrapText="1"/>
    </xf>
    <xf numFmtId="223" fontId="29" fillId="0" borderId="241" xfId="0" applyNumberFormat="1" applyFont="1" applyBorder="1" applyAlignment="1">
      <alignment horizontal="center" vertical="center" wrapText="1"/>
    </xf>
    <xf numFmtId="223" fontId="29" fillId="0" borderId="6" xfId="0" applyNumberFormat="1" applyFont="1" applyBorder="1" applyAlignment="1">
      <alignment horizontal="center" vertical="center" wrapText="1"/>
    </xf>
    <xf numFmtId="0" fontId="29" fillId="0" borderId="0" xfId="0" applyFont="1" applyAlignment="1">
      <alignment horizontal="center" vertical="center"/>
    </xf>
    <xf numFmtId="0" fontId="177" fillId="125" borderId="219" xfId="0" applyFont="1" applyFill="1" applyBorder="1" applyAlignment="1">
      <alignment horizontal="center" vertical="center" wrapText="1"/>
    </xf>
    <xf numFmtId="0" fontId="177" fillId="125" borderId="214" xfId="0" applyFont="1" applyFill="1" applyBorder="1" applyAlignment="1">
      <alignment horizontal="center" vertical="center" wrapText="1"/>
    </xf>
    <xf numFmtId="223" fontId="166" fillId="0" borderId="241" xfId="0" applyNumberFormat="1" applyFont="1" applyBorder="1" applyAlignment="1">
      <alignment horizontal="center" vertical="center" wrapText="1"/>
    </xf>
    <xf numFmtId="223" fontId="166" fillId="0" borderId="6" xfId="0" applyNumberFormat="1" applyFont="1" applyBorder="1" applyAlignment="1">
      <alignment horizontal="center" vertical="center" wrapText="1"/>
    </xf>
    <xf numFmtId="225" fontId="58" fillId="0" borderId="241" xfId="0" applyNumberFormat="1" applyFont="1" applyBorder="1" applyAlignment="1">
      <alignment horizontal="center" vertical="center"/>
    </xf>
    <xf numFmtId="225" fontId="58" fillId="0" borderId="6" xfId="0" applyNumberFormat="1" applyFont="1" applyBorder="1" applyAlignment="1">
      <alignment horizontal="center" vertical="center"/>
    </xf>
    <xf numFmtId="0" fontId="177" fillId="125" borderId="513" xfId="0" applyFont="1" applyFill="1" applyBorder="1" applyAlignment="1">
      <alignment horizontal="center" vertical="center" wrapText="1"/>
    </xf>
    <xf numFmtId="38" fontId="29" fillId="0" borderId="241" xfId="0" applyNumberFormat="1" applyFont="1" applyBorder="1" applyAlignment="1">
      <alignment horizontal="center" vertical="center"/>
    </xf>
    <xf numFmtId="38" fontId="29" fillId="0" borderId="6" xfId="0" applyNumberFormat="1" applyFont="1" applyBorder="1" applyAlignment="1">
      <alignment horizontal="center" vertical="center"/>
    </xf>
    <xf numFmtId="38" fontId="29" fillId="0" borderId="464" xfId="0" applyNumberFormat="1" applyFont="1" applyBorder="1" applyAlignment="1">
      <alignment horizontal="center" vertical="center"/>
    </xf>
    <xf numFmtId="38" fontId="58" fillId="0" borderId="241" xfId="0" applyNumberFormat="1" applyFont="1" applyBorder="1" applyAlignment="1">
      <alignment horizontal="center" vertical="center"/>
    </xf>
    <xf numFmtId="38" fontId="58" fillId="0" borderId="6" xfId="0" applyNumberFormat="1" applyFont="1" applyBorder="1" applyAlignment="1">
      <alignment horizontal="center" vertical="center"/>
    </xf>
    <xf numFmtId="0" fontId="177" fillId="125" borderId="214" xfId="0" applyFont="1" applyFill="1" applyBorder="1" applyAlignment="1">
      <alignment horizontal="center" vertical="center"/>
    </xf>
    <xf numFmtId="0" fontId="177" fillId="125" borderId="602" xfId="0" applyFont="1" applyFill="1" applyBorder="1" applyAlignment="1">
      <alignment horizontal="center" vertical="center"/>
    </xf>
    <xf numFmtId="0" fontId="177" fillId="125" borderId="600" xfId="0" applyFont="1" applyFill="1" applyBorder="1" applyAlignment="1">
      <alignment horizontal="center" vertical="center"/>
    </xf>
    <xf numFmtId="0" fontId="177" fillId="125" borderId="216" xfId="0" applyFont="1" applyFill="1" applyBorder="1" applyAlignment="1">
      <alignment horizontal="center" vertical="center"/>
    </xf>
    <xf numFmtId="223" fontId="29" fillId="0" borderId="241" xfId="0" applyNumberFormat="1" applyFont="1" applyBorder="1" applyAlignment="1">
      <alignment horizontal="center" vertical="center"/>
    </xf>
    <xf numFmtId="223" fontId="29" fillId="0" borderId="6" xfId="0" applyNumberFormat="1" applyFont="1" applyBorder="1" applyAlignment="1">
      <alignment horizontal="center" vertical="center"/>
    </xf>
    <xf numFmtId="9" fontId="58" fillId="0" borderId="241" xfId="1" applyFont="1" applyBorder="1" applyAlignment="1">
      <alignment horizontal="center" vertical="center"/>
    </xf>
    <xf numFmtId="38" fontId="58" fillId="0" borderId="464" xfId="0" applyNumberFormat="1" applyFont="1" applyBorder="1" applyAlignment="1">
      <alignment horizontal="center" vertical="center"/>
    </xf>
    <xf numFmtId="223" fontId="166" fillId="0" borderId="291" xfId="0" applyNumberFormat="1" applyFont="1" applyBorder="1" applyAlignment="1">
      <alignment horizontal="center" vertical="center" wrapText="1"/>
    </xf>
    <xf numFmtId="223" fontId="166" fillId="0" borderId="23" xfId="0" applyNumberFormat="1" applyFont="1" applyBorder="1" applyAlignment="1">
      <alignment horizontal="center" vertical="center" wrapText="1"/>
    </xf>
    <xf numFmtId="223" fontId="166" fillId="117" borderId="241" xfId="0" applyNumberFormat="1" applyFont="1" applyFill="1" applyBorder="1" applyAlignment="1">
      <alignment horizontal="center" vertical="center" wrapText="1"/>
    </xf>
    <xf numFmtId="223" fontId="166" fillId="117" borderId="6" xfId="0" applyNumberFormat="1" applyFont="1" applyFill="1" applyBorder="1" applyAlignment="1">
      <alignment horizontal="center" vertical="center" wrapText="1"/>
    </xf>
    <xf numFmtId="38" fontId="166" fillId="0" borderId="464" xfId="0" applyNumberFormat="1" applyFont="1" applyBorder="1" applyAlignment="1">
      <alignment horizontal="center" vertical="center" wrapText="1"/>
    </xf>
    <xf numFmtId="38" fontId="166" fillId="0" borderId="6" xfId="0" applyNumberFormat="1" applyFont="1" applyBorder="1" applyAlignment="1">
      <alignment horizontal="center" vertical="center" wrapText="1"/>
    </xf>
    <xf numFmtId="0" fontId="178" fillId="127" borderId="194" xfId="0" applyFont="1" applyFill="1" applyBorder="1" applyAlignment="1">
      <alignment horizontal="center" vertical="center" wrapText="1"/>
    </xf>
    <xf numFmtId="0" fontId="178" fillId="127" borderId="196" xfId="0" applyFont="1" applyFill="1" applyBorder="1" applyAlignment="1">
      <alignment horizontal="center" vertical="center" wrapText="1"/>
    </xf>
    <xf numFmtId="0" fontId="178" fillId="127" borderId="214" xfId="0" applyFont="1" applyFill="1" applyBorder="1" applyAlignment="1">
      <alignment horizontal="center" vertical="center" wrapText="1"/>
    </xf>
    <xf numFmtId="0" fontId="178" fillId="127" borderId="463" xfId="0" applyFont="1" applyFill="1" applyBorder="1" applyAlignment="1">
      <alignment horizontal="center" vertical="center" wrapText="1"/>
    </xf>
    <xf numFmtId="0" fontId="178" fillId="127" borderId="491" xfId="0" applyFont="1" applyFill="1" applyBorder="1" applyAlignment="1">
      <alignment horizontal="center" vertical="center" wrapText="1"/>
    </xf>
    <xf numFmtId="0" fontId="177" fillId="125" borderId="223" xfId="0" applyFont="1" applyFill="1" applyBorder="1" applyAlignment="1">
      <alignment horizontal="center" vertical="center" wrapText="1"/>
    </xf>
    <xf numFmtId="0" fontId="177" fillId="125" borderId="224" xfId="0" applyFont="1" applyFill="1" applyBorder="1" applyAlignment="1">
      <alignment horizontal="center" vertical="center" wrapText="1"/>
    </xf>
    <xf numFmtId="0" fontId="177" fillId="125" borderId="512" xfId="0" applyFont="1" applyFill="1" applyBorder="1" applyAlignment="1">
      <alignment horizontal="center" vertical="center" wrapText="1"/>
    </xf>
    <xf numFmtId="0" fontId="178" fillId="127" borderId="38" xfId="0" applyFont="1" applyFill="1" applyBorder="1" applyAlignment="1">
      <alignment horizontal="center" vertical="center" wrapText="1"/>
    </xf>
    <xf numFmtId="0" fontId="178" fillId="127" borderId="23" xfId="0" applyFont="1" applyFill="1" applyBorder="1" applyAlignment="1">
      <alignment horizontal="center" vertical="center" wrapText="1"/>
    </xf>
    <xf numFmtId="0" fontId="177" fillId="125" borderId="512" xfId="0" applyFont="1" applyFill="1" applyBorder="1" applyAlignment="1">
      <alignment horizontal="center" vertical="center"/>
    </xf>
    <xf numFmtId="0" fontId="177" fillId="125" borderId="513" xfId="0" applyFont="1" applyFill="1" applyBorder="1" applyAlignment="1">
      <alignment horizontal="center" vertical="center"/>
    </xf>
    <xf numFmtId="0" fontId="177" fillId="125" borderId="269" xfId="0" applyFont="1" applyFill="1" applyBorder="1" applyAlignment="1">
      <alignment horizontal="center" vertical="center" wrapText="1"/>
    </xf>
    <xf numFmtId="0" fontId="177" fillId="125" borderId="598" xfId="0" applyFont="1" applyFill="1" applyBorder="1" applyAlignment="1">
      <alignment horizontal="center" vertical="center"/>
    </xf>
    <xf numFmtId="0" fontId="177" fillId="125" borderId="604" xfId="0" applyFont="1" applyFill="1" applyBorder="1" applyAlignment="1">
      <alignment horizontal="center" vertical="center"/>
    </xf>
    <xf numFmtId="0" fontId="177" fillId="125" borderId="496" xfId="0" applyFont="1" applyFill="1" applyBorder="1" applyAlignment="1">
      <alignment horizontal="center" vertical="center"/>
    </xf>
    <xf numFmtId="0" fontId="177" fillId="125" borderId="470" xfId="0" applyFont="1" applyFill="1" applyBorder="1" applyAlignment="1">
      <alignment horizontal="center" vertical="center"/>
    </xf>
    <xf numFmtId="0" fontId="177" fillId="125" borderId="515" xfId="0" applyFont="1" applyFill="1" applyBorder="1" applyAlignment="1">
      <alignment horizontal="center" vertical="center"/>
    </xf>
    <xf numFmtId="0" fontId="177" fillId="125" borderId="350" xfId="0" applyFont="1" applyFill="1" applyBorder="1" applyAlignment="1">
      <alignment horizontal="center" vertical="center"/>
    </xf>
    <xf numFmtId="0" fontId="177" fillId="125" borderId="606" xfId="0" applyFont="1" applyFill="1" applyBorder="1" applyAlignment="1">
      <alignment horizontal="center" vertical="center" wrapText="1"/>
    </xf>
    <xf numFmtId="0" fontId="177" fillId="125" borderId="607" xfId="0" applyFont="1" applyFill="1" applyBorder="1" applyAlignment="1">
      <alignment horizontal="center" vertical="center" wrapText="1"/>
    </xf>
    <xf numFmtId="0" fontId="178" fillId="127" borderId="607" xfId="0" applyFont="1" applyFill="1" applyBorder="1" applyAlignment="1">
      <alignment horizontal="center" vertical="center" wrapText="1"/>
    </xf>
    <xf numFmtId="38" fontId="166" fillId="0" borderId="600" xfId="0" applyNumberFormat="1" applyFont="1" applyBorder="1" applyAlignment="1">
      <alignment horizontal="center" vertical="center" wrapText="1"/>
    </xf>
    <xf numFmtId="38" fontId="166" fillId="117" borderId="600" xfId="0" applyNumberFormat="1" applyFont="1" applyFill="1" applyBorder="1" applyAlignment="1">
      <alignment horizontal="center" vertical="center" wrapText="1"/>
    </xf>
    <xf numFmtId="38" fontId="166" fillId="117" borderId="6" xfId="0" applyNumberFormat="1" applyFont="1" applyFill="1" applyBorder="1" applyAlignment="1">
      <alignment horizontal="center" vertical="center" wrapText="1"/>
    </xf>
    <xf numFmtId="38" fontId="29" fillId="0" borderId="600" xfId="0" applyNumberFormat="1" applyFont="1" applyBorder="1" applyAlignment="1">
      <alignment horizontal="center" vertical="center"/>
    </xf>
    <xf numFmtId="9" fontId="187" fillId="0" borderId="600" xfId="1" applyFont="1" applyBorder="1" applyAlignment="1">
      <alignment horizontal="center" vertical="center"/>
    </xf>
    <xf numFmtId="9" fontId="187" fillId="0" borderId="6" xfId="1" applyFont="1" applyBorder="1" applyAlignment="1">
      <alignment horizontal="center" vertical="center"/>
    </xf>
    <xf numFmtId="225" fontId="58" fillId="0" borderId="592" xfId="0" applyNumberFormat="1" applyFont="1" applyBorder="1" applyAlignment="1">
      <alignment horizontal="center" vertical="center"/>
    </xf>
    <xf numFmtId="225" fontId="58" fillId="0" borderId="200" xfId="0" applyNumberFormat="1" applyFont="1" applyBorder="1" applyAlignment="1">
      <alignment horizontal="center" vertical="center"/>
    </xf>
    <xf numFmtId="0" fontId="177" fillId="125" borderId="607" xfId="0" applyFont="1" applyFill="1" applyBorder="1" applyAlignment="1">
      <alignment horizontal="center" vertical="center"/>
    </xf>
    <xf numFmtId="225" fontId="58" fillId="0" borderId="592" xfId="0" applyNumberFormat="1" applyFont="1" applyBorder="1" applyAlignment="1">
      <alignment horizontal="center" vertical="center" wrapText="1"/>
    </xf>
    <xf numFmtId="9" fontId="58" fillId="0" borderId="600" xfId="1" applyFont="1" applyBorder="1" applyAlignment="1">
      <alignment horizontal="center" vertical="center"/>
    </xf>
    <xf numFmtId="0" fontId="178" fillId="127" borderId="597" xfId="0" applyFont="1" applyFill="1" applyBorder="1" applyAlignment="1">
      <alignment horizontal="center" vertical="center" wrapText="1"/>
    </xf>
    <xf numFmtId="0" fontId="178" fillId="127" borderId="613" xfId="0" applyFont="1" applyFill="1" applyBorder="1" applyAlignment="1">
      <alignment horizontal="center" vertical="center" wrapText="1"/>
    </xf>
    <xf numFmtId="0" fontId="177" fillId="125" borderId="45" xfId="0" applyFont="1" applyFill="1" applyBorder="1" applyAlignment="1">
      <alignment horizontal="center" vertical="center" wrapText="1"/>
    </xf>
    <xf numFmtId="0" fontId="177" fillId="125" borderId="605" xfId="0" applyFont="1" applyFill="1" applyBorder="1" applyAlignment="1">
      <alignment horizontal="center" vertical="center" wrapText="1"/>
    </xf>
    <xf numFmtId="0" fontId="35" fillId="15" borderId="602" xfId="0" applyFont="1" applyFill="1" applyBorder="1" applyAlignment="1">
      <alignment horizontal="center" vertical="center"/>
    </xf>
    <xf numFmtId="0" fontId="35" fillId="15" borderId="600" xfId="0" applyFont="1" applyFill="1" applyBorder="1" applyAlignment="1">
      <alignment horizontal="center" vertical="center"/>
    </xf>
    <xf numFmtId="0" fontId="35" fillId="15" borderId="269" xfId="0" applyFont="1" applyFill="1" applyBorder="1" applyAlignment="1">
      <alignment horizontal="center" vertical="center"/>
    </xf>
    <xf numFmtId="0" fontId="35" fillId="15" borderId="567" xfId="0" applyFont="1" applyFill="1" applyBorder="1" applyAlignment="1">
      <alignment horizontal="center" vertical="center"/>
    </xf>
    <xf numFmtId="0" fontId="172" fillId="15" borderId="269" xfId="0" applyFont="1" applyFill="1" applyBorder="1" applyAlignment="1">
      <alignment horizontal="center" vertical="center" wrapText="1"/>
    </xf>
    <xf numFmtId="0" fontId="172" fillId="15" borderId="269" xfId="0" applyFont="1" applyFill="1" applyBorder="1" applyAlignment="1">
      <alignment horizontal="center" vertical="center"/>
    </xf>
    <xf numFmtId="0" fontId="166" fillId="0" borderId="265" xfId="0" applyFont="1" applyBorder="1" applyAlignment="1">
      <alignment horizontal="center" vertical="center" wrapText="1"/>
    </xf>
    <xf numFmtId="0" fontId="166" fillId="0" borderId="264" xfId="0" applyFont="1" applyBorder="1" applyAlignment="1">
      <alignment horizontal="center" vertical="center" wrapText="1"/>
    </xf>
    <xf numFmtId="0" fontId="179" fillId="15" borderId="269" xfId="0" applyFont="1" applyFill="1" applyBorder="1" applyAlignment="1">
      <alignment horizontal="center" vertical="center" wrapText="1"/>
    </xf>
    <xf numFmtId="0" fontId="179" fillId="15" borderId="119" xfId="0" applyFont="1" applyFill="1" applyBorder="1" applyAlignment="1">
      <alignment horizontal="center" vertical="center" wrapText="1"/>
    </xf>
    <xf numFmtId="0" fontId="179" fillId="15" borderId="607" xfId="0" applyFont="1" applyFill="1" applyBorder="1" applyAlignment="1">
      <alignment horizontal="center" vertical="center" wrapText="1"/>
    </xf>
    <xf numFmtId="0" fontId="179" fillId="15" borderId="608" xfId="0" applyFont="1" applyFill="1" applyBorder="1" applyAlignment="1">
      <alignment horizontal="center" vertical="center" wrapText="1"/>
    </xf>
    <xf numFmtId="0" fontId="179" fillId="15" borderId="135" xfId="0" applyFont="1" applyFill="1" applyBorder="1" applyAlignment="1">
      <alignment horizontal="center" vertical="center" wrapText="1"/>
    </xf>
    <xf numFmtId="0" fontId="179" fillId="15" borderId="200" xfId="0" applyFont="1" applyFill="1" applyBorder="1" applyAlignment="1">
      <alignment horizontal="center" vertical="center" wrapText="1"/>
    </xf>
    <xf numFmtId="0" fontId="179" fillId="15" borderId="605" xfId="0" applyFont="1" applyFill="1" applyBorder="1" applyAlignment="1">
      <alignment horizontal="center" vertical="center" wrapText="1"/>
    </xf>
    <xf numFmtId="0" fontId="179" fillId="6" borderId="269" xfId="0" applyFont="1" applyFill="1" applyBorder="1" applyAlignment="1">
      <alignment horizontal="center" vertical="center" wrapText="1"/>
    </xf>
    <xf numFmtId="0" fontId="179" fillId="15" borderId="495" xfId="0" applyFont="1" applyFill="1" applyBorder="1" applyAlignment="1">
      <alignment horizontal="center" vertical="center" wrapText="1"/>
    </xf>
    <xf numFmtId="0" fontId="177" fillId="125" borderId="200" xfId="0" applyFont="1" applyFill="1" applyBorder="1" applyAlignment="1">
      <alignment horizontal="center" vertical="center" wrapText="1"/>
    </xf>
    <xf numFmtId="0" fontId="177" fillId="125" borderId="38" xfId="0" applyFont="1" applyFill="1" applyBorder="1" applyAlignment="1">
      <alignment horizontal="center" vertical="center" wrapText="1"/>
    </xf>
    <xf numFmtId="0" fontId="177" fillId="125" borderId="461" xfId="0" applyFont="1" applyFill="1" applyBorder="1" applyAlignment="1">
      <alignment horizontal="center" vertical="center" wrapText="1"/>
    </xf>
    <xf numFmtId="0" fontId="177" fillId="125" borderId="514" xfId="0" applyFont="1" applyFill="1" applyBorder="1" applyAlignment="1">
      <alignment horizontal="center" vertical="center" wrapText="1"/>
    </xf>
    <xf numFmtId="0" fontId="179" fillId="15" borderId="461" xfId="0" applyFont="1" applyFill="1" applyBorder="1" applyAlignment="1">
      <alignment horizontal="center" vertical="center" wrapText="1"/>
    </xf>
    <xf numFmtId="0" fontId="179" fillId="15" borderId="261" xfId="0" applyFont="1" applyFill="1" applyBorder="1" applyAlignment="1">
      <alignment horizontal="center" vertical="center" wrapText="1"/>
    </xf>
    <xf numFmtId="0" fontId="179" fillId="15" borderId="219" xfId="0" applyFont="1" applyFill="1" applyBorder="1" applyAlignment="1">
      <alignment horizontal="center" vertical="center" wrapText="1"/>
    </xf>
    <xf numFmtId="0" fontId="35" fillId="15" borderId="604" xfId="0" applyFont="1" applyFill="1" applyBorder="1" applyAlignment="1">
      <alignment horizontal="center" vertical="center"/>
    </xf>
    <xf numFmtId="0" fontId="35" fillId="15" borderId="496" xfId="0" applyFont="1" applyFill="1" applyBorder="1" applyAlignment="1">
      <alignment horizontal="center" vertical="center"/>
    </xf>
    <xf numFmtId="0" fontId="35" fillId="15" borderId="470" xfId="0" applyFont="1" applyFill="1" applyBorder="1" applyAlignment="1">
      <alignment horizontal="center" vertical="center"/>
    </xf>
    <xf numFmtId="0" fontId="172" fillId="15" borderId="214" xfId="0" applyFont="1" applyFill="1" applyBorder="1" applyAlignment="1">
      <alignment horizontal="center" vertical="center" wrapText="1"/>
    </xf>
    <xf numFmtId="0" fontId="172" fillId="15" borderId="214" xfId="0" applyFont="1" applyFill="1" applyBorder="1" applyAlignment="1">
      <alignment horizontal="center" vertical="center"/>
    </xf>
    <xf numFmtId="0" fontId="166" fillId="0" borderId="194" xfId="0" applyFont="1" applyBorder="1" applyAlignment="1">
      <alignment horizontal="center" vertical="center" wrapText="1"/>
    </xf>
    <xf numFmtId="0" fontId="166" fillId="0" borderId="196" xfId="0" applyFont="1" applyBorder="1" applyAlignment="1">
      <alignment horizontal="center" vertical="center" wrapText="1"/>
    </xf>
    <xf numFmtId="0" fontId="35" fillId="15" borderId="214" xfId="0" applyFont="1" applyFill="1" applyBorder="1" applyAlignment="1">
      <alignment horizontal="center" vertical="center"/>
    </xf>
    <xf numFmtId="0" fontId="179" fillId="15" borderId="214" xfId="0" applyFont="1" applyFill="1" applyBorder="1" applyAlignment="1">
      <alignment horizontal="center" vertical="center" wrapText="1"/>
    </xf>
    <xf numFmtId="0" fontId="179" fillId="6" borderId="214" xfId="0" applyFont="1" applyFill="1" applyBorder="1" applyAlignment="1">
      <alignment horizontal="center" vertical="center" wrapText="1"/>
    </xf>
    <xf numFmtId="0" fontId="178" fillId="127" borderId="605" xfId="0" applyFont="1" applyFill="1" applyBorder="1" applyAlignment="1">
      <alignment horizontal="center" vertical="center" wrapText="1"/>
    </xf>
    <xf numFmtId="0" fontId="166" fillId="0" borderId="605" xfId="0" applyFont="1" applyBorder="1" applyAlignment="1">
      <alignment horizontal="center" vertical="center" wrapText="1"/>
    </xf>
    <xf numFmtId="0" fontId="166" fillId="0" borderId="613" xfId="0" applyFont="1" applyBorder="1" applyAlignment="1">
      <alignment horizontal="center" vertical="center" wrapText="1"/>
    </xf>
    <xf numFmtId="0" fontId="177" fillId="125" borderId="608" xfId="0" applyFont="1" applyFill="1" applyBorder="1" applyAlignment="1">
      <alignment horizontal="center" vertical="center" wrapText="1"/>
    </xf>
    <xf numFmtId="0" fontId="177" fillId="125" borderId="515" xfId="0" applyFont="1" applyFill="1" applyBorder="1" applyAlignment="1">
      <alignment horizontal="center" vertical="center" wrapText="1"/>
    </xf>
    <xf numFmtId="0" fontId="177" fillId="125" borderId="495" xfId="0" applyFont="1" applyFill="1" applyBorder="1" applyAlignment="1">
      <alignment horizontal="center" vertical="center" wrapText="1"/>
    </xf>
    <xf numFmtId="0" fontId="35" fillId="0" borderId="45" xfId="0" applyFont="1" applyFill="1" applyBorder="1" applyAlignment="1">
      <alignment horizontal="center" vertical="center"/>
    </xf>
    <xf numFmtId="0" fontId="35" fillId="0" borderId="47" xfId="0" applyFont="1" applyFill="1" applyBorder="1" applyAlignment="1">
      <alignment horizontal="center" vertical="center"/>
    </xf>
    <xf numFmtId="0" fontId="35" fillId="0" borderId="514" xfId="0" applyFont="1" applyFill="1" applyBorder="1" applyAlignment="1">
      <alignment horizontal="center" vertical="center"/>
    </xf>
    <xf numFmtId="0" fontId="35" fillId="0" borderId="516" xfId="0" applyFont="1" applyFill="1" applyBorder="1" applyAlignment="1">
      <alignment horizontal="center" vertical="center"/>
    </xf>
    <xf numFmtId="0" fontId="35" fillId="0" borderId="605" xfId="0" applyFont="1" applyFill="1" applyBorder="1" applyAlignment="1">
      <alignment horizontal="center" vertical="center"/>
    </xf>
    <xf numFmtId="0" fontId="35" fillId="0" borderId="613" xfId="0" applyFont="1" applyFill="1" applyBorder="1" applyAlignment="1">
      <alignment horizontal="center" vertical="center"/>
    </xf>
    <xf numFmtId="0" fontId="35" fillId="116" borderId="0" xfId="0" applyFont="1" applyFill="1" applyBorder="1" applyAlignment="1" applyProtection="1">
      <alignment horizontal="center" vertical="center" readingOrder="1"/>
      <protection locked="0"/>
    </xf>
    <xf numFmtId="0" fontId="179" fillId="0" borderId="0" xfId="0" applyFont="1" applyBorder="1" applyAlignment="1">
      <alignment horizontal="left" vertical="center" wrapText="1" readingOrder="1"/>
    </xf>
    <xf numFmtId="0" fontId="168" fillId="0" borderId="0" xfId="0" applyFont="1" applyBorder="1" applyAlignment="1">
      <alignment horizontal="left" vertical="center" wrapText="1" readingOrder="1"/>
    </xf>
    <xf numFmtId="178" fontId="179" fillId="7" borderId="600" xfId="0" applyNumberFormat="1" applyFont="1" applyFill="1" applyBorder="1" applyAlignment="1">
      <alignment horizontal="center" vertical="center" wrapText="1" readingOrder="1"/>
    </xf>
    <xf numFmtId="178" fontId="179" fillId="7" borderId="6" xfId="0" applyNumberFormat="1" applyFont="1" applyFill="1" applyBorder="1" applyAlignment="1">
      <alignment horizontal="center" vertical="center" wrapText="1" readingOrder="1"/>
    </xf>
    <xf numFmtId="0" fontId="179" fillId="0" borderId="261" xfId="0" applyFont="1" applyFill="1" applyBorder="1" applyAlignment="1">
      <alignment horizontal="center" vertical="center" wrapText="1" readingOrder="1"/>
    </xf>
    <xf numFmtId="0" fontId="179" fillId="0" borderId="95" xfId="0" applyFont="1" applyFill="1" applyBorder="1" applyAlignment="1">
      <alignment horizontal="center" vertical="center" wrapText="1" readingOrder="1"/>
    </xf>
    <xf numFmtId="0" fontId="179" fillId="0" borderId="219" xfId="0" applyFont="1" applyFill="1" applyBorder="1" applyAlignment="1">
      <alignment horizontal="center" vertical="center" wrapText="1" readingOrder="1"/>
    </xf>
    <xf numFmtId="0" fontId="177" fillId="125" borderId="660" xfId="0" applyFont="1" applyFill="1" applyBorder="1" applyAlignment="1">
      <alignment horizontal="center" vertical="center"/>
    </xf>
    <xf numFmtId="0" fontId="177" fillId="125" borderId="661" xfId="0" applyFont="1" applyFill="1" applyBorder="1" applyAlignment="1">
      <alignment horizontal="center" vertical="center"/>
    </xf>
    <xf numFmtId="0" fontId="178" fillId="127" borderId="663" xfId="0" applyFont="1" applyFill="1" applyBorder="1" applyAlignment="1">
      <alignment horizontal="center" vertical="center" wrapText="1" readingOrder="1"/>
    </xf>
    <xf numFmtId="0" fontId="178" fillId="127" borderId="655" xfId="0" applyFont="1" applyFill="1" applyBorder="1" applyAlignment="1">
      <alignment horizontal="center" vertical="center" wrapText="1" readingOrder="1"/>
    </xf>
    <xf numFmtId="0" fontId="178" fillId="127" borderId="656" xfId="0" applyFont="1" applyFill="1" applyBorder="1" applyAlignment="1">
      <alignment horizontal="center" vertical="center" wrapText="1" readingOrder="1"/>
    </xf>
    <xf numFmtId="0" fontId="178" fillId="127" borderId="657" xfId="0" applyFont="1" applyFill="1" applyBorder="1" applyAlignment="1">
      <alignment horizontal="center" vertical="center" wrapText="1" readingOrder="1"/>
    </xf>
    <xf numFmtId="0" fontId="177" fillId="128" borderId="658" xfId="0" applyFont="1" applyFill="1" applyBorder="1" applyAlignment="1">
      <alignment horizontal="center" vertical="center" wrapText="1" readingOrder="1"/>
    </xf>
    <xf numFmtId="0" fontId="177" fillId="128" borderId="670" xfId="0" applyFont="1" applyFill="1" applyBorder="1" applyAlignment="1">
      <alignment horizontal="center" vertical="center" wrapText="1" readingOrder="1"/>
    </xf>
    <xf numFmtId="0" fontId="177" fillId="125" borderId="119" xfId="0" applyFont="1" applyFill="1" applyBorder="1" applyAlignment="1">
      <alignment horizontal="center" vertical="center" wrapText="1" readingOrder="1"/>
    </xf>
    <xf numFmtId="0" fontId="177" fillId="125" borderId="120" xfId="0" applyFont="1" applyFill="1" applyBorder="1" applyAlignment="1">
      <alignment horizontal="center" vertical="center" wrapText="1" readingOrder="1"/>
    </xf>
    <xf numFmtId="0" fontId="177" fillId="125" borderId="272" xfId="0" applyFont="1" applyFill="1" applyBorder="1" applyAlignment="1">
      <alignment horizontal="center" vertical="center" wrapText="1" readingOrder="1"/>
    </xf>
    <xf numFmtId="0" fontId="177" fillId="125" borderId="274" xfId="0" applyFont="1" applyFill="1" applyBorder="1" applyAlignment="1">
      <alignment horizontal="center" vertical="center" wrapText="1" readingOrder="1"/>
    </xf>
    <xf numFmtId="0" fontId="177" fillId="125" borderId="45" xfId="0" applyFont="1" applyFill="1" applyBorder="1" applyAlignment="1">
      <alignment horizontal="center" vertical="center"/>
    </xf>
    <xf numFmtId="0" fontId="177" fillId="128" borderId="54" xfId="0" applyFont="1" applyFill="1" applyBorder="1" applyAlignment="1">
      <alignment horizontal="center" vertical="center" wrapText="1" readingOrder="1"/>
    </xf>
    <xf numFmtId="0" fontId="30" fillId="0" borderId="366" xfId="0" applyFont="1" applyBorder="1" applyAlignment="1">
      <alignment horizontal="center" vertical="center"/>
    </xf>
    <xf numFmtId="0" fontId="30" fillId="0" borderId="266" xfId="0" applyFont="1" applyBorder="1" applyAlignment="1">
      <alignment horizontal="center" vertical="center"/>
    </xf>
    <xf numFmtId="0" fontId="30" fillId="0" borderId="123" xfId="0" applyFont="1" applyBorder="1" applyAlignment="1">
      <alignment horizontal="center" vertical="center"/>
    </xf>
    <xf numFmtId="0" fontId="177" fillId="125" borderId="311" xfId="0" applyFont="1" applyFill="1" applyBorder="1" applyAlignment="1">
      <alignment horizontal="center" vertical="center" wrapText="1" readingOrder="1"/>
    </xf>
    <xf numFmtId="0" fontId="177" fillId="125" borderId="390" xfId="0" applyFont="1" applyFill="1" applyBorder="1" applyAlignment="1">
      <alignment horizontal="center" vertical="center" wrapText="1" readingOrder="1"/>
    </xf>
    <xf numFmtId="0" fontId="178" fillId="127" borderId="82" xfId="0" applyFont="1" applyFill="1" applyBorder="1" applyAlignment="1">
      <alignment horizontal="center" vertical="center" wrapText="1" readingOrder="1"/>
    </xf>
    <xf numFmtId="0" fontId="178" fillId="127" borderId="253" xfId="0" applyFont="1" applyFill="1" applyBorder="1" applyAlignment="1">
      <alignment horizontal="center" vertical="center" wrapText="1" readingOrder="1"/>
    </xf>
    <xf numFmtId="0" fontId="178" fillId="127" borderId="478" xfId="0" applyFont="1" applyFill="1" applyBorder="1" applyAlignment="1">
      <alignment horizontal="center" vertical="center" wrapText="1" readingOrder="1"/>
    </xf>
    <xf numFmtId="0" fontId="178" fillId="127" borderId="83" xfId="0" applyFont="1" applyFill="1" applyBorder="1" applyAlignment="1">
      <alignment horizontal="center" vertical="center" wrapText="1" readingOrder="1"/>
    </xf>
    <xf numFmtId="0" fontId="177" fillId="125" borderId="366" xfId="0" applyFont="1" applyFill="1" applyBorder="1" applyAlignment="1">
      <alignment horizontal="center" vertical="center" wrapText="1" readingOrder="1"/>
    </xf>
    <xf numFmtId="0" fontId="177" fillId="125" borderId="266" xfId="0" applyFont="1" applyFill="1" applyBorder="1" applyAlignment="1">
      <alignment horizontal="center" vertical="center" wrapText="1" readingOrder="1"/>
    </xf>
    <xf numFmtId="0" fontId="178" fillId="127" borderId="654" xfId="0" applyFont="1" applyFill="1" applyBorder="1" applyAlignment="1">
      <alignment horizontal="center" vertical="center" wrapText="1" readingOrder="1"/>
    </xf>
    <xf numFmtId="0" fontId="177" fillId="128" borderId="659" xfId="0" applyFont="1" applyFill="1" applyBorder="1" applyAlignment="1">
      <alignment horizontal="center" vertical="center" wrapText="1" readingOrder="1"/>
    </xf>
    <xf numFmtId="177" fontId="187" fillId="3" borderId="478" xfId="1" applyNumberFormat="1" applyFont="1" applyFill="1" applyBorder="1" applyAlignment="1">
      <alignment horizontal="center" vertical="center" wrapText="1"/>
    </xf>
    <xf numFmtId="177" fontId="187" fillId="3" borderId="643" xfId="1" applyNumberFormat="1" applyFont="1" applyFill="1" applyBorder="1" applyAlignment="1">
      <alignment horizontal="center" vertical="center" wrapText="1"/>
    </xf>
    <xf numFmtId="177" fontId="187" fillId="3" borderId="644" xfId="1" applyNumberFormat="1" applyFont="1" applyFill="1" applyBorder="1" applyAlignment="1">
      <alignment horizontal="center" vertical="center" wrapText="1"/>
    </xf>
    <xf numFmtId="0" fontId="172" fillId="15" borderId="512" xfId="0" applyFont="1" applyFill="1" applyBorder="1" applyAlignment="1">
      <alignment horizontal="center" vertical="center"/>
    </xf>
    <xf numFmtId="0" fontId="172" fillId="15" borderId="513" xfId="0" applyFont="1" applyFill="1" applyBorder="1" applyAlignment="1">
      <alignment horizontal="center" vertical="center"/>
    </xf>
    <xf numFmtId="0" fontId="172" fillId="15" borderId="210" xfId="0" applyFont="1" applyFill="1" applyBorder="1" applyAlignment="1">
      <alignment horizontal="center" vertical="center"/>
    </xf>
    <xf numFmtId="0" fontId="172" fillId="15" borderId="160" xfId="0" applyFont="1" applyFill="1" applyBorder="1" applyAlignment="1">
      <alignment horizontal="center" vertical="center"/>
    </xf>
    <xf numFmtId="0" fontId="172" fillId="15" borderId="161" xfId="0" applyFont="1" applyFill="1" applyBorder="1" applyAlignment="1">
      <alignment horizontal="center" vertical="center"/>
    </xf>
    <xf numFmtId="0" fontId="58" fillId="15" borderId="607" xfId="0" applyFont="1" applyFill="1" applyBorder="1" applyAlignment="1">
      <alignment horizontal="center" vertical="center"/>
    </xf>
    <xf numFmtId="0" fontId="58" fillId="15" borderId="600" xfId="0" applyFont="1" applyFill="1" applyBorder="1" applyAlignment="1">
      <alignment horizontal="center" vertical="center"/>
    </xf>
    <xf numFmtId="0" fontId="58" fillId="15" borderId="6" xfId="0" applyFont="1" applyFill="1" applyBorder="1" applyAlignment="1">
      <alignment horizontal="center" vertical="center"/>
    </xf>
    <xf numFmtId="0" fontId="172" fillId="15" borderId="228" xfId="0" applyFont="1" applyFill="1" applyBorder="1" applyAlignment="1">
      <alignment horizontal="center" vertical="center" wrapText="1"/>
    </xf>
    <xf numFmtId="0" fontId="172" fillId="15" borderId="6" xfId="0" applyFont="1" applyFill="1" applyBorder="1" applyAlignment="1">
      <alignment horizontal="center" vertical="center" wrapText="1"/>
    </xf>
    <xf numFmtId="0" fontId="58" fillId="15" borderId="599" xfId="0" applyFont="1" applyFill="1" applyBorder="1" applyAlignment="1">
      <alignment horizontal="center" vertical="center"/>
    </xf>
    <xf numFmtId="0" fontId="58" fillId="15" borderId="95" xfId="0" applyFont="1" applyFill="1" applyBorder="1" applyAlignment="1">
      <alignment horizontal="center" vertical="center"/>
    </xf>
    <xf numFmtId="0" fontId="172" fillId="15" borderId="121" xfId="0" applyFont="1" applyFill="1" applyBorder="1" applyAlignment="1">
      <alignment horizontal="center" vertical="center"/>
    </xf>
    <xf numFmtId="0" fontId="172" fillId="15" borderId="201" xfId="0" applyFont="1" applyFill="1" applyBorder="1" applyAlignment="1">
      <alignment horizontal="center" vertical="center"/>
    </xf>
    <xf numFmtId="0" fontId="172" fillId="15" borderId="120" xfId="0" applyFont="1" applyFill="1" applyBorder="1" applyAlignment="1">
      <alignment horizontal="center" vertical="center" wrapText="1"/>
    </xf>
    <xf numFmtId="0" fontId="58" fillId="15" borderId="600" xfId="0" applyFont="1" applyFill="1" applyBorder="1" applyAlignment="1">
      <alignment horizontal="center" vertical="center" wrapText="1"/>
    </xf>
    <xf numFmtId="0" fontId="58" fillId="15" borderId="5" xfId="0" applyFont="1" applyFill="1" applyBorder="1" applyAlignment="1">
      <alignment horizontal="center" vertical="center"/>
    </xf>
    <xf numFmtId="0" fontId="172" fillId="15" borderId="119" xfId="0" applyFont="1" applyFill="1" applyBorder="1" applyAlignment="1">
      <alignment horizontal="center" vertical="center"/>
    </xf>
    <xf numFmtId="0" fontId="172" fillId="15" borderId="607" xfId="0" applyFont="1" applyFill="1" applyBorder="1" applyAlignment="1">
      <alignment horizontal="center" vertical="center"/>
    </xf>
    <xf numFmtId="0" fontId="172" fillId="15" borderId="120" xfId="0" applyFont="1" applyFill="1" applyBorder="1" applyAlignment="1">
      <alignment horizontal="center" vertical="center"/>
    </xf>
    <xf numFmtId="0" fontId="172" fillId="15" borderId="606" xfId="0" applyFont="1" applyFill="1" applyBorder="1" applyAlignment="1">
      <alignment horizontal="center" vertical="center"/>
    </xf>
    <xf numFmtId="0" fontId="172" fillId="15" borderId="45" xfId="0" applyFont="1" applyFill="1" applyBorder="1" applyAlignment="1">
      <alignment horizontal="center" vertical="center"/>
    </xf>
    <xf numFmtId="0" fontId="172" fillId="15" borderId="605" xfId="0" applyFont="1" applyFill="1" applyBorder="1" applyAlignment="1">
      <alignment horizontal="center" vertical="center"/>
    </xf>
    <xf numFmtId="0" fontId="172" fillId="15" borderId="46" xfId="0" applyFont="1" applyFill="1" applyBorder="1" applyAlignment="1">
      <alignment horizontal="center" vertical="center"/>
    </xf>
    <xf numFmtId="0" fontId="172" fillId="15" borderId="266" xfId="0" applyFont="1" applyFill="1" applyBorder="1" applyAlignment="1">
      <alignment horizontal="center" vertical="center"/>
    </xf>
    <xf numFmtId="0" fontId="172" fillId="15" borderId="47" xfId="0" applyFont="1" applyFill="1" applyBorder="1" applyAlignment="1">
      <alignment horizontal="center" vertical="center"/>
    </xf>
    <xf numFmtId="0" fontId="0" fillId="0" borderId="21" xfId="0" applyBorder="1" applyAlignment="1">
      <alignment horizontal="center" vertical="center"/>
    </xf>
    <xf numFmtId="0" fontId="32" fillId="7" borderId="21" xfId="0" applyFont="1" applyFill="1" applyBorder="1" applyAlignment="1">
      <alignment horizontal="center" vertical="center"/>
    </xf>
    <xf numFmtId="0" fontId="28" fillId="7" borderId="21" xfId="0" applyFont="1" applyFill="1" applyBorder="1" applyAlignment="1">
      <alignment horizontal="center" vertical="center"/>
    </xf>
    <xf numFmtId="0" fontId="32" fillId="7" borderId="22" xfId="0" applyFont="1" applyFill="1" applyBorder="1" applyAlignment="1">
      <alignment horizontal="center" vertical="center"/>
    </xf>
    <xf numFmtId="0" fontId="32" fillId="7" borderId="12" xfId="0" applyFont="1" applyFill="1" applyBorder="1" applyAlignment="1">
      <alignment horizontal="center" vertical="center"/>
    </xf>
    <xf numFmtId="0" fontId="32" fillId="7" borderId="14" xfId="0" applyFont="1" applyFill="1" applyBorder="1" applyAlignment="1">
      <alignment horizontal="center" vertical="center"/>
    </xf>
    <xf numFmtId="0" fontId="32" fillId="7" borderId="36" xfId="0" applyFont="1" applyFill="1" applyBorder="1" applyAlignment="1">
      <alignment horizontal="center" vertical="center"/>
    </xf>
    <xf numFmtId="0" fontId="32" fillId="7" borderId="29" xfId="0" applyFont="1" applyFill="1" applyBorder="1" applyAlignment="1">
      <alignment horizontal="center" vertical="center"/>
    </xf>
    <xf numFmtId="0" fontId="32" fillId="7" borderId="37" xfId="0" applyFont="1" applyFill="1" applyBorder="1" applyAlignment="1">
      <alignment horizontal="center" vertical="center"/>
    </xf>
    <xf numFmtId="0" fontId="28" fillId="7" borderId="37" xfId="0" applyFont="1" applyFill="1" applyBorder="1" applyAlignment="1">
      <alignment horizontal="center" vertical="center"/>
    </xf>
    <xf numFmtId="0" fontId="28" fillId="7" borderId="26" xfId="0" applyFont="1" applyFill="1" applyBorder="1" applyAlignment="1">
      <alignment horizontal="center" vertical="center"/>
    </xf>
    <xf numFmtId="0" fontId="28" fillId="7" borderId="15" xfId="0" applyFont="1" applyFill="1" applyBorder="1" applyAlignment="1">
      <alignment horizontal="center" vertical="center"/>
    </xf>
    <xf numFmtId="0" fontId="28" fillId="7" borderId="27" xfId="0" applyFont="1" applyFill="1" applyBorder="1" applyAlignment="1">
      <alignment horizontal="center" vertical="center"/>
    </xf>
    <xf numFmtId="0" fontId="28" fillId="3" borderId="21" xfId="0" applyFont="1" applyFill="1" applyBorder="1" applyAlignment="1" applyProtection="1">
      <alignment horizontal="center" vertical="center"/>
      <protection locked="0"/>
    </xf>
    <xf numFmtId="0" fontId="185" fillId="138" borderId="618" xfId="0" applyFont="1" applyFill="1" applyBorder="1" applyAlignment="1">
      <alignment horizontal="center" vertical="center"/>
    </xf>
    <xf numFmtId="0" fontId="185" fillId="138" borderId="619" xfId="0" applyFont="1" applyFill="1" applyBorder="1" applyAlignment="1">
      <alignment horizontal="center" vertical="center"/>
    </xf>
    <xf numFmtId="0" fontId="185" fillId="146" borderId="517" xfId="0" applyFont="1" applyFill="1" applyBorder="1" applyAlignment="1">
      <alignment horizontal="center" vertical="center"/>
    </xf>
    <xf numFmtId="0" fontId="185" fillId="146" borderId="162" xfId="0" applyFont="1" applyFill="1" applyBorder="1" applyAlignment="1">
      <alignment horizontal="center" vertical="center"/>
    </xf>
    <xf numFmtId="0" fontId="185" fillId="146" borderId="261" xfId="0" applyFont="1" applyFill="1" applyBorder="1" applyAlignment="1">
      <alignment horizontal="center" vertical="center"/>
    </xf>
    <xf numFmtId="0" fontId="185" fillId="146" borderId="95" xfId="0" applyFont="1" applyFill="1" applyBorder="1" applyAlignment="1">
      <alignment horizontal="center" vertical="center"/>
    </xf>
    <xf numFmtId="0" fontId="185" fillId="146" borderId="159" xfId="0" applyFont="1" applyFill="1" applyBorder="1" applyAlignment="1">
      <alignment horizontal="center" vertical="center"/>
    </xf>
    <xf numFmtId="0" fontId="125" fillId="5" borderId="366" xfId="0" applyFont="1" applyFill="1" applyBorder="1" applyAlignment="1">
      <alignment horizontal="center" vertical="center"/>
    </xf>
    <xf numFmtId="0" fontId="125" fillId="5" borderId="123" xfId="0" applyFont="1" applyFill="1" applyBorder="1" applyAlignment="1">
      <alignment horizontal="center" vertical="center"/>
    </xf>
    <xf numFmtId="0" fontId="125" fillId="5" borderId="307" xfId="0" applyFont="1" applyFill="1" applyBorder="1" applyAlignment="1">
      <alignment horizontal="center" vertical="center"/>
    </xf>
    <xf numFmtId="0" fontId="125" fillId="5" borderId="118" xfId="0" applyFont="1" applyFill="1" applyBorder="1" applyAlignment="1">
      <alignment horizontal="center" vertical="center"/>
    </xf>
    <xf numFmtId="0" fontId="125" fillId="5" borderId="517" xfId="0" applyFont="1" applyFill="1" applyBorder="1" applyAlignment="1">
      <alignment horizontal="center" vertical="center"/>
    </xf>
    <xf numFmtId="0" fontId="125" fillId="5" borderId="162" xfId="0" applyFont="1" applyFill="1" applyBorder="1" applyAlignment="1">
      <alignment horizontal="center" vertical="center"/>
    </xf>
    <xf numFmtId="0" fontId="185" fillId="146" borderId="285" xfId="0" applyFont="1" applyFill="1" applyBorder="1" applyAlignment="1">
      <alignment horizontal="center" vertical="center"/>
    </xf>
    <xf numFmtId="0" fontId="185" fillId="146" borderId="389" xfId="0" applyFont="1" applyFill="1" applyBorder="1" applyAlignment="1">
      <alignment horizontal="center" vertical="center"/>
    </xf>
    <xf numFmtId="0" fontId="35" fillId="139" borderId="45" xfId="0" applyFont="1" applyFill="1" applyBorder="1" applyAlignment="1">
      <alignment horizontal="center" vertical="center"/>
    </xf>
    <xf numFmtId="0" fontId="35" fillId="139" borderId="47" xfId="0" applyFont="1" applyFill="1" applyBorder="1" applyAlignment="1">
      <alignment horizontal="center" vertical="center"/>
    </xf>
    <xf numFmtId="0" fontId="35" fillId="139" borderId="135" xfId="0" applyFont="1" applyFill="1" applyBorder="1" applyAlignment="1">
      <alignment horizontal="center" vertical="center" wrapText="1"/>
    </xf>
    <xf numFmtId="0" fontId="35" fillId="139" borderId="161" xfId="0" applyFont="1" applyFill="1" applyBorder="1" applyAlignment="1">
      <alignment horizontal="center" vertical="center"/>
    </xf>
    <xf numFmtId="0" fontId="35" fillId="139" borderId="228" xfId="0" applyFont="1" applyFill="1" applyBorder="1" applyAlignment="1">
      <alignment horizontal="center" vertical="center" wrapText="1"/>
    </xf>
    <xf numFmtId="0" fontId="35" fillId="139" borderId="210" xfId="0" applyFont="1" applyFill="1" applyBorder="1" applyAlignment="1">
      <alignment horizontal="center" vertical="center"/>
    </xf>
    <xf numFmtId="0" fontId="247" fillId="139" borderId="62" xfId="0" applyFont="1" applyFill="1" applyBorder="1" applyAlignment="1">
      <alignment horizontal="center" vertical="center"/>
    </xf>
    <xf numFmtId="0" fontId="247" fillId="139" borderId="46" xfId="0" applyFont="1" applyFill="1" applyBorder="1" applyAlignment="1">
      <alignment horizontal="center" vertical="center"/>
    </xf>
    <xf numFmtId="0" fontId="247" fillId="139" borderId="123" xfId="0" applyFont="1" applyFill="1" applyBorder="1" applyAlignment="1">
      <alignment horizontal="center" vertical="center"/>
    </xf>
    <xf numFmtId="0" fontId="35" fillId="139" borderId="119" xfId="0" applyFont="1" applyFill="1" applyBorder="1" applyAlignment="1">
      <alignment horizontal="center" vertical="center"/>
    </xf>
    <xf numFmtId="0" fontId="35" fillId="139" borderId="482" xfId="0" applyFont="1" applyFill="1" applyBorder="1" applyAlignment="1">
      <alignment horizontal="center" vertical="center"/>
    </xf>
    <xf numFmtId="0" fontId="35" fillId="139" borderId="46" xfId="0" applyFont="1" applyFill="1" applyBorder="1" applyAlignment="1">
      <alignment horizontal="center" vertical="center"/>
    </xf>
    <xf numFmtId="0" fontId="230" fillId="131" borderId="366" xfId="0" applyFont="1" applyFill="1" applyBorder="1" applyAlignment="1">
      <alignment horizontal="center" vertical="center"/>
    </xf>
    <xf numFmtId="0" fontId="230" fillId="131" borderId="517" xfId="0" applyFont="1" applyFill="1" applyBorder="1" applyAlignment="1">
      <alignment horizontal="center" vertical="center"/>
    </xf>
    <xf numFmtId="0" fontId="35" fillId="143" borderId="121" xfId="0" applyFont="1" applyFill="1" applyBorder="1" applyAlignment="1">
      <alignment horizontal="center" vertical="center" wrapText="1"/>
    </xf>
    <xf numFmtId="0" fontId="35" fillId="143" borderId="608" xfId="0" applyFont="1" applyFill="1" applyBorder="1" applyAlignment="1">
      <alignment horizontal="center" vertical="center"/>
    </xf>
    <xf numFmtId="0" fontId="35" fillId="143" borderId="120" xfId="0" applyFont="1" applyFill="1" applyBorder="1" applyAlignment="1">
      <alignment horizontal="center" vertical="center" wrapText="1"/>
    </xf>
    <xf numFmtId="0" fontId="35" fillId="143" borderId="606" xfId="0" applyFont="1" applyFill="1" applyBorder="1" applyAlignment="1">
      <alignment horizontal="center" vertical="center"/>
    </xf>
    <xf numFmtId="0" fontId="35" fillId="143" borderId="119" xfId="0" applyFont="1" applyFill="1" applyBorder="1" applyAlignment="1">
      <alignment horizontal="center" vertical="center"/>
    </xf>
    <xf numFmtId="0" fontId="35" fillId="143" borderId="607" xfId="0" applyFont="1" applyFill="1" applyBorder="1" applyAlignment="1">
      <alignment horizontal="center" vertical="center"/>
    </xf>
    <xf numFmtId="0" fontId="35" fillId="138" borderId="119" xfId="0" applyFont="1" applyFill="1" applyBorder="1" applyAlignment="1">
      <alignment horizontal="center" vertical="center" wrapText="1"/>
    </xf>
    <xf numFmtId="0" fontId="35" fillId="138" borderId="512" xfId="0" applyFont="1" applyFill="1" applyBorder="1" applyAlignment="1">
      <alignment horizontal="center" vertical="center"/>
    </xf>
    <xf numFmtId="0" fontId="197" fillId="0" borderId="5" xfId="0" applyFont="1" applyBorder="1" applyAlignment="1">
      <alignment horizontal="center" vertical="center" wrapText="1"/>
    </xf>
    <xf numFmtId="0" fontId="197" fillId="0" borderId="210" xfId="0" applyFont="1" applyBorder="1" applyAlignment="1">
      <alignment horizontal="center" vertical="center" wrapText="1"/>
    </xf>
    <xf numFmtId="0" fontId="246" fillId="138" borderId="119" xfId="0" applyFont="1" applyFill="1" applyBorder="1" applyAlignment="1">
      <alignment horizontal="center" vertical="center"/>
    </xf>
    <xf numFmtId="0" fontId="246" fillId="138" borderId="120" xfId="0" applyFont="1" applyFill="1" applyBorder="1" applyAlignment="1">
      <alignment horizontal="center" vertical="center"/>
    </xf>
    <xf numFmtId="0" fontId="246" fillId="138" borderId="135" xfId="0" applyFont="1" applyFill="1" applyBorder="1" applyAlignment="1">
      <alignment horizontal="center" vertical="center"/>
    </xf>
    <xf numFmtId="0" fontId="230" fillId="142" borderId="62" xfId="0" applyFont="1" applyFill="1" applyBorder="1" applyAlignment="1">
      <alignment horizontal="center" vertical="center"/>
    </xf>
    <xf numFmtId="0" fontId="230" fillId="142" borderId="518" xfId="0" applyFont="1" applyFill="1" applyBorder="1" applyAlignment="1">
      <alignment horizontal="center" vertical="center"/>
    </xf>
    <xf numFmtId="0" fontId="56" fillId="142" borderId="119" xfId="0" applyFont="1" applyFill="1" applyBorder="1" applyAlignment="1">
      <alignment horizontal="center" vertical="center"/>
    </xf>
    <xf numFmtId="0" fontId="56" fillId="142" borderId="120" xfId="0" applyFont="1" applyFill="1" applyBorder="1" applyAlignment="1">
      <alignment horizontal="center" vertical="center"/>
    </xf>
    <xf numFmtId="0" fontId="56" fillId="142" borderId="45" xfId="0" applyFont="1" applyFill="1" applyBorder="1" applyAlignment="1">
      <alignment horizontal="center" vertical="center"/>
    </xf>
    <xf numFmtId="0" fontId="230" fillId="142" borderId="135" xfId="0" applyFont="1" applyFill="1" applyBorder="1" applyAlignment="1">
      <alignment horizontal="center" vertical="center" wrapText="1"/>
    </xf>
    <xf numFmtId="0" fontId="230" fillId="142" borderId="161" xfId="0" applyFont="1" applyFill="1" applyBorder="1" applyAlignment="1">
      <alignment horizontal="center" vertical="center"/>
    </xf>
    <xf numFmtId="0" fontId="35" fillId="138" borderId="482" xfId="0" applyFont="1" applyFill="1" applyBorder="1" applyAlignment="1">
      <alignment horizontal="center" vertical="center"/>
    </xf>
    <xf numFmtId="0" fontId="35" fillId="138" borderId="120" xfId="0" applyFont="1" applyFill="1" applyBorder="1" applyAlignment="1">
      <alignment horizontal="center" vertical="center"/>
    </xf>
    <xf numFmtId="0" fontId="35" fillId="138" borderId="513" xfId="0" applyFont="1" applyFill="1" applyBorder="1" applyAlignment="1">
      <alignment horizontal="center" vertical="center"/>
    </xf>
    <xf numFmtId="0" fontId="35" fillId="138" borderId="121" xfId="0" applyFont="1" applyFill="1" applyBorder="1" applyAlignment="1">
      <alignment horizontal="center" vertical="center"/>
    </xf>
    <xf numFmtId="0" fontId="35" fillId="138" borderId="515" xfId="0" applyFont="1" applyFill="1" applyBorder="1" applyAlignment="1">
      <alignment horizontal="center" vertical="center"/>
    </xf>
    <xf numFmtId="0" fontId="35" fillId="142" borderId="62" xfId="0" applyFont="1" applyFill="1" applyBorder="1" applyAlignment="1">
      <alignment horizontal="center" vertical="center"/>
    </xf>
    <xf numFmtId="0" fontId="35" fillId="142" borderId="46" xfId="0" applyFont="1" applyFill="1" applyBorder="1" applyAlignment="1">
      <alignment horizontal="center" vertical="center"/>
    </xf>
    <xf numFmtId="0" fontId="35" fillId="142" borderId="123" xfId="0" applyFont="1" applyFill="1" applyBorder="1" applyAlignment="1">
      <alignment horizontal="center" vertical="center"/>
    </xf>
    <xf numFmtId="0" fontId="247" fillId="131" borderId="119" xfId="0" applyFont="1" applyFill="1" applyBorder="1" applyAlignment="1">
      <alignment horizontal="center" vertical="center"/>
    </xf>
    <xf numFmtId="0" fontId="247" fillId="131" borderId="120" xfId="0" applyFont="1" applyFill="1" applyBorder="1" applyAlignment="1">
      <alignment horizontal="center" vertical="center"/>
    </xf>
    <xf numFmtId="0" fontId="247" fillId="131" borderId="135" xfId="0" applyFont="1" applyFill="1" applyBorder="1" applyAlignment="1">
      <alignment horizontal="center" vertical="center"/>
    </xf>
    <xf numFmtId="0" fontId="247" fillId="143" borderId="119" xfId="0" applyFont="1" applyFill="1" applyBorder="1" applyAlignment="1">
      <alignment horizontal="center" vertical="center"/>
    </xf>
    <xf numFmtId="0" fontId="247" fillId="143" borderId="120" xfId="0" applyFont="1" applyFill="1" applyBorder="1" applyAlignment="1">
      <alignment horizontal="center" vertical="center"/>
    </xf>
    <xf numFmtId="0" fontId="247" fillId="143" borderId="135" xfId="0" applyFont="1" applyFill="1" applyBorder="1" applyAlignment="1">
      <alignment horizontal="center" vertical="center"/>
    </xf>
    <xf numFmtId="0" fontId="230" fillId="142" borderId="332" xfId="0" applyFont="1" applyFill="1" applyBorder="1" applyAlignment="1">
      <alignment horizontal="center" vertical="center" wrapText="1"/>
    </xf>
    <xf numFmtId="0" fontId="230" fillId="142" borderId="160" xfId="0" applyFont="1" applyFill="1" applyBorder="1" applyAlignment="1">
      <alignment horizontal="center" vertical="center"/>
    </xf>
    <xf numFmtId="0" fontId="35" fillId="131" borderId="45" xfId="0" applyFont="1" applyFill="1" applyBorder="1" applyAlignment="1">
      <alignment horizontal="center" vertical="center" wrapText="1"/>
    </xf>
    <xf numFmtId="177" fontId="35" fillId="131" borderId="120" xfId="0" applyNumberFormat="1" applyFont="1" applyFill="1" applyBorder="1" applyAlignment="1">
      <alignment horizontal="center" vertical="center" wrapText="1"/>
    </xf>
    <xf numFmtId="177" fontId="35" fillId="131" borderId="513" xfId="0" applyNumberFormat="1" applyFont="1" applyFill="1" applyBorder="1" applyAlignment="1">
      <alignment horizontal="center" vertical="center"/>
    </xf>
    <xf numFmtId="0" fontId="45" fillId="0" borderId="307" xfId="0" applyFont="1" applyBorder="1" applyAlignment="1">
      <alignment horizontal="left" vertical="center"/>
    </xf>
    <xf numFmtId="0" fontId="45" fillId="0" borderId="0" xfId="0" applyFont="1" applyBorder="1" applyAlignment="1">
      <alignment horizontal="left" vertical="center"/>
    </xf>
    <xf numFmtId="0" fontId="230" fillId="0" borderId="607" xfId="0" applyFont="1" applyBorder="1" applyAlignment="1">
      <alignment horizontal="center" vertical="center"/>
    </xf>
    <xf numFmtId="0" fontId="230" fillId="0" borderId="606" xfId="0" applyFont="1" applyBorder="1" applyAlignment="1">
      <alignment horizontal="center" vertical="center"/>
    </xf>
    <xf numFmtId="0" fontId="230" fillId="0" borderId="608" xfId="0" applyFont="1" applyBorder="1" applyAlignment="1">
      <alignment horizontal="center" vertical="center"/>
    </xf>
    <xf numFmtId="0" fontId="30" fillId="131" borderId="119" xfId="0" applyFont="1" applyFill="1" applyBorder="1" applyAlignment="1">
      <alignment horizontal="center" vertical="center"/>
    </xf>
    <xf numFmtId="0" fontId="30" fillId="131" borderId="120" xfId="0" applyFont="1" applyFill="1" applyBorder="1" applyAlignment="1">
      <alignment horizontal="center" vertical="center"/>
    </xf>
    <xf numFmtId="0" fontId="30" fillId="131" borderId="121" xfId="0" applyFont="1" applyFill="1" applyBorder="1" applyAlignment="1">
      <alignment horizontal="center" vertical="center"/>
    </xf>
    <xf numFmtId="223" fontId="256" fillId="137" borderId="606" xfId="0" applyNumberFormat="1" applyFont="1" applyFill="1" applyBorder="1" applyAlignment="1">
      <alignment horizontal="center" vertical="center"/>
    </xf>
    <xf numFmtId="223" fontId="257" fillId="144" borderId="600" xfId="0" applyNumberFormat="1" applyFont="1" applyFill="1" applyBorder="1" applyAlignment="1">
      <alignment horizontal="center" vertical="center" wrapText="1"/>
    </xf>
    <xf numFmtId="223" fontId="257" fillId="144" borderId="5" xfId="0" applyNumberFormat="1" applyFont="1" applyFill="1" applyBorder="1" applyAlignment="1">
      <alignment horizontal="center" vertical="center" wrapText="1"/>
    </xf>
    <xf numFmtId="223" fontId="257" fillId="144" borderId="6" xfId="0" applyNumberFormat="1" applyFont="1" applyFill="1" applyBorder="1" applyAlignment="1">
      <alignment horizontal="center" vertical="center" wrapText="1"/>
    </xf>
    <xf numFmtId="0" fontId="30" fillId="131" borderId="512" xfId="0" applyFont="1" applyFill="1" applyBorder="1" applyAlignment="1">
      <alignment horizontal="center" vertical="center"/>
    </xf>
    <xf numFmtId="0" fontId="30" fillId="131" borderId="513" xfId="0" applyFont="1" applyFill="1" applyBorder="1" applyAlignment="1">
      <alignment horizontal="center" vertical="center"/>
    </xf>
    <xf numFmtId="0" fontId="30" fillId="131" borderId="515" xfId="0" applyFont="1" applyFill="1" applyBorder="1" applyAlignment="1">
      <alignment horizontal="center" vertical="center"/>
    </xf>
    <xf numFmtId="0" fontId="230" fillId="138" borderId="62" xfId="0" applyFont="1" applyFill="1" applyBorder="1" applyAlignment="1">
      <alignment horizontal="center" vertical="center"/>
    </xf>
    <xf numFmtId="0" fontId="230" fillId="138" borderId="46" xfId="0" applyFont="1" applyFill="1" applyBorder="1" applyAlignment="1">
      <alignment horizontal="center" vertical="center"/>
    </xf>
    <xf numFmtId="0" fontId="230" fillId="138" borderId="57" xfId="0" applyFont="1" applyFill="1" applyBorder="1" applyAlignment="1">
      <alignment horizontal="center" vertical="center"/>
    </xf>
    <xf numFmtId="0" fontId="35" fillId="138" borderId="135" xfId="0" applyFont="1" applyFill="1" applyBorder="1" applyAlignment="1">
      <alignment horizontal="center" vertical="center"/>
    </xf>
    <xf numFmtId="0" fontId="35" fillId="138" borderId="161" xfId="0" applyFont="1" applyFill="1" applyBorder="1" applyAlignment="1">
      <alignment horizontal="center" vertical="center"/>
    </xf>
    <xf numFmtId="0" fontId="35" fillId="138" borderId="228" xfId="0" applyFont="1" applyFill="1" applyBorder="1" applyAlignment="1">
      <alignment horizontal="center" vertical="center"/>
    </xf>
    <xf numFmtId="0" fontId="35" fillId="138" borderId="210" xfId="0" applyFont="1" applyFill="1" applyBorder="1" applyAlignment="1">
      <alignment horizontal="center" vertical="center"/>
    </xf>
    <xf numFmtId="223" fontId="58" fillId="0" borderId="44" xfId="0" applyNumberFormat="1" applyFont="1" applyBorder="1" applyAlignment="1">
      <alignment horizontal="center" vertical="center"/>
    </xf>
    <xf numFmtId="223" fontId="58" fillId="0" borderId="306" xfId="0" applyNumberFormat="1" applyFont="1" applyBorder="1" applyAlignment="1">
      <alignment horizontal="center" vertical="center"/>
    </xf>
    <xf numFmtId="38" fontId="58" fillId="7" borderId="608" xfId="2" applyNumberFormat="1" applyFont="1" applyFill="1" applyBorder="1" applyAlignment="1">
      <alignment horizontal="center" vertical="center"/>
    </xf>
    <xf numFmtId="38" fontId="177" fillId="127" borderId="224" xfId="0" applyNumberFormat="1" applyFont="1" applyFill="1" applyBorder="1" applyAlignment="1">
      <alignment horizontal="center" vertical="center"/>
    </xf>
    <xf numFmtId="223" fontId="58" fillId="0" borderId="595" xfId="0" applyNumberFormat="1" applyFont="1" applyBorder="1" applyAlignment="1">
      <alignment horizontal="center" vertical="center"/>
    </xf>
    <xf numFmtId="0" fontId="178" fillId="127" borderId="607" xfId="0" applyFont="1" applyFill="1" applyBorder="1" applyAlignment="1">
      <alignment horizontal="center" vertical="center"/>
    </xf>
    <xf numFmtId="0" fontId="177" fillId="127" borderId="224" xfId="0" applyFont="1" applyFill="1" applyBorder="1" applyAlignment="1">
      <alignment horizontal="center" vertical="center"/>
    </xf>
    <xf numFmtId="223" fontId="58" fillId="0" borderId="608" xfId="0" applyNumberFormat="1" applyFont="1" applyBorder="1" applyAlignment="1">
      <alignment horizontal="center" vertical="center"/>
    </xf>
    <xf numFmtId="0" fontId="178" fillId="127" borderId="512" xfId="0" applyFont="1" applyFill="1" applyBorder="1" applyAlignment="1">
      <alignment horizontal="center" vertical="center"/>
    </xf>
    <xf numFmtId="0" fontId="178" fillId="127" borderId="592" xfId="0" applyFont="1" applyFill="1" applyBorder="1" applyAlignment="1">
      <alignment horizontal="center" vertical="center"/>
    </xf>
    <xf numFmtId="0" fontId="0" fillId="0" borderId="228" xfId="0" applyBorder="1" applyAlignment="1">
      <alignment horizontal="center" vertical="center"/>
    </xf>
    <xf numFmtId="0" fontId="0" fillId="0" borderId="5" xfId="0" applyBorder="1" applyAlignment="1">
      <alignment horizontal="center" vertical="center"/>
    </xf>
    <xf numFmtId="0" fontId="262" fillId="117" borderId="0" xfId="0" applyFont="1" applyFill="1" applyAlignment="1">
      <alignment horizontal="center" vertical="center"/>
    </xf>
    <xf numFmtId="0" fontId="0" fillId="0" borderId="120" xfId="0" applyBorder="1" applyAlignment="1">
      <alignment horizontal="center" vertical="center"/>
    </xf>
    <xf numFmtId="0" fontId="0" fillId="0" borderId="606" xfId="0" applyBorder="1" applyAlignment="1">
      <alignment horizontal="center" vertical="center"/>
    </xf>
    <xf numFmtId="0" fontId="0" fillId="0" borderId="6" xfId="0" applyBorder="1" applyAlignment="1">
      <alignment horizontal="center" vertical="center"/>
    </xf>
    <xf numFmtId="0" fontId="0" fillId="0" borderId="600" xfId="0" applyBorder="1" applyAlignment="1">
      <alignment horizontal="center" vertical="center"/>
    </xf>
    <xf numFmtId="0" fontId="0" fillId="0" borderId="645" xfId="0" applyBorder="1" applyAlignment="1">
      <alignment horizontal="center" vertical="center"/>
    </xf>
    <xf numFmtId="0" fontId="0" fillId="0" borderId="210" xfId="0" applyBorder="1" applyAlignment="1">
      <alignment horizontal="center" vertical="center"/>
    </xf>
    <xf numFmtId="0" fontId="0" fillId="0" borderId="513" xfId="0" applyBorder="1" applyAlignment="1">
      <alignment horizontal="center" vertical="center"/>
    </xf>
    <xf numFmtId="0" fontId="263" fillId="117" borderId="0" xfId="0" applyFont="1" applyFill="1" applyAlignment="1">
      <alignment horizontal="center" vertical="center"/>
    </xf>
    <xf numFmtId="0" fontId="46" fillId="0" borderId="119" xfId="0" applyFont="1" applyBorder="1" applyAlignment="1">
      <alignment horizontal="center" vertical="center"/>
    </xf>
    <xf numFmtId="0" fontId="46" fillId="0" borderId="512" xfId="0" applyFont="1" applyBorder="1" applyAlignment="1">
      <alignment horizontal="center" vertical="center"/>
    </xf>
    <xf numFmtId="0" fontId="46" fillId="0" borderId="307" xfId="0" applyFont="1" applyBorder="1" applyAlignment="1">
      <alignment horizontal="center" vertical="center"/>
    </xf>
    <xf numFmtId="0" fontId="46" fillId="0" borderId="118" xfId="0" applyFont="1" applyBorder="1" applyAlignment="1">
      <alignment horizontal="center" vertical="center"/>
    </xf>
    <xf numFmtId="0" fontId="46" fillId="4" borderId="223" xfId="0" applyFont="1" applyFill="1" applyBorder="1" applyAlignment="1">
      <alignment horizontal="center" vertical="center"/>
    </xf>
    <xf numFmtId="0" fontId="46" fillId="4" borderId="227" xfId="0" applyFont="1" applyFill="1" applyBorder="1" applyAlignment="1">
      <alignment horizontal="center" vertical="center"/>
    </xf>
    <xf numFmtId="0" fontId="46" fillId="0" borderId="607" xfId="0" applyFont="1" applyBorder="1" applyAlignment="1">
      <alignment horizontal="center" vertical="center"/>
    </xf>
    <xf numFmtId="0" fontId="46" fillId="0" borderId="219" xfId="0" applyFont="1" applyBorder="1" applyAlignment="1">
      <alignment horizontal="center" vertical="center"/>
    </xf>
    <xf numFmtId="0" fontId="46" fillId="0" borderId="599" xfId="0" applyFont="1" applyBorder="1" applyAlignment="1">
      <alignment horizontal="center" vertical="center"/>
    </xf>
    <xf numFmtId="0" fontId="46" fillId="0" borderId="366" xfId="0" applyFont="1" applyBorder="1" applyAlignment="1">
      <alignment horizontal="center" vertical="center"/>
    </xf>
    <xf numFmtId="0" fontId="46" fillId="0" borderId="123" xfId="0" applyFont="1" applyBorder="1" applyAlignment="1">
      <alignment horizontal="center" vertical="center"/>
    </xf>
    <xf numFmtId="0" fontId="46" fillId="0" borderId="285" xfId="0" applyFont="1" applyBorder="1" applyAlignment="1">
      <alignment horizontal="center" vertical="center"/>
    </xf>
    <xf numFmtId="0" fontId="46" fillId="0" borderId="389" xfId="0" applyFont="1" applyBorder="1" applyAlignment="1">
      <alignment horizontal="center" vertical="center"/>
    </xf>
    <xf numFmtId="0" fontId="0" fillId="0" borderId="366" xfId="0" applyBorder="1" applyAlignment="1">
      <alignment horizontal="center" vertical="center"/>
    </xf>
    <xf numFmtId="0" fontId="0" fillId="0" borderId="123" xfId="0" applyBorder="1" applyAlignment="1">
      <alignment horizontal="center" vertical="center"/>
    </xf>
    <xf numFmtId="0" fontId="0" fillId="0" borderId="119" xfId="0" applyBorder="1" applyAlignment="1">
      <alignment horizontal="center" vertical="center"/>
    </xf>
    <xf numFmtId="0" fontId="0" fillId="0" borderId="607" xfId="0" applyBorder="1" applyAlignment="1">
      <alignment horizontal="center" vertical="center"/>
    </xf>
    <xf numFmtId="0" fontId="0" fillId="0" borderId="512" xfId="0" applyBorder="1" applyAlignment="1">
      <alignment horizontal="center" vertical="center"/>
    </xf>
    <xf numFmtId="0" fontId="0" fillId="0" borderId="219" xfId="0" applyBorder="1" applyAlignment="1">
      <alignment horizontal="center" vertical="center"/>
    </xf>
    <xf numFmtId="0" fontId="0" fillId="0" borderId="599" xfId="0" applyBorder="1" applyAlignment="1">
      <alignment horizontal="center" vertical="center"/>
    </xf>
    <xf numFmtId="0" fontId="0" fillId="0" borderId="307" xfId="0" applyBorder="1" applyAlignment="1">
      <alignment horizontal="center" vertical="center"/>
    </xf>
    <xf numFmtId="0" fontId="0" fillId="0" borderId="118" xfId="0" applyBorder="1" applyAlignment="1">
      <alignment horizontal="center" vertical="center"/>
    </xf>
    <xf numFmtId="0" fontId="0" fillId="0" borderId="285" xfId="0" applyBorder="1" applyAlignment="1">
      <alignment horizontal="center" vertical="center"/>
    </xf>
    <xf numFmtId="0" fontId="0" fillId="0" borderId="389" xfId="0" applyBorder="1" applyAlignment="1">
      <alignment horizontal="center" vertical="center"/>
    </xf>
    <xf numFmtId="0" fontId="0" fillId="0" borderId="95" xfId="0" applyFill="1" applyBorder="1" applyAlignment="1">
      <alignment horizontal="center" vertical="center"/>
    </xf>
    <xf numFmtId="0" fontId="0" fillId="0" borderId="261" xfId="0" applyFill="1" applyBorder="1" applyAlignment="1">
      <alignment horizontal="center" vertical="center"/>
    </xf>
    <xf numFmtId="0" fontId="0" fillId="0" borderId="159" xfId="0" applyFill="1" applyBorder="1" applyAlignment="1">
      <alignment horizontal="center" vertical="center"/>
    </xf>
    <xf numFmtId="0" fontId="243" fillId="0" borderId="44" xfId="0" applyFont="1" applyBorder="1" applyAlignment="1">
      <alignment horizontal="left" vertical="center" wrapText="1"/>
    </xf>
    <xf numFmtId="0" fontId="44" fillId="0" borderId="94" xfId="0" applyFont="1" applyBorder="1" applyAlignment="1">
      <alignment horizontal="left" vertical="center" wrapText="1"/>
    </xf>
    <xf numFmtId="0" fontId="44" fillId="0" borderId="50" xfId="0" applyFont="1" applyBorder="1" applyAlignment="1">
      <alignment horizontal="left" vertical="center" wrapText="1"/>
    </xf>
    <xf numFmtId="0" fontId="44" fillId="0" borderId="44" xfId="0" applyFont="1" applyBorder="1" applyAlignment="1">
      <alignment horizontal="left" vertical="center"/>
    </xf>
    <xf numFmtId="0" fontId="44" fillId="0" borderId="50" xfId="0" applyFont="1" applyBorder="1" applyAlignment="1">
      <alignment horizontal="left" vertical="center"/>
    </xf>
    <xf numFmtId="0" fontId="46" fillId="0" borderId="261" xfId="0" applyFont="1" applyBorder="1" applyAlignment="1">
      <alignment horizontal="center" vertical="center"/>
    </xf>
    <xf numFmtId="0" fontId="46" fillId="0" borderId="95" xfId="0" applyFont="1" applyBorder="1" applyAlignment="1">
      <alignment horizontal="center" vertical="center"/>
    </xf>
    <xf numFmtId="0" fontId="46" fillId="0" borderId="159" xfId="0" applyFont="1" applyBorder="1" applyAlignment="1">
      <alignment horizontal="center" vertical="center"/>
    </xf>
    <xf numFmtId="0" fontId="46" fillId="0" borderId="95" xfId="0" applyFont="1" applyFill="1" applyBorder="1" applyAlignment="1">
      <alignment horizontal="center" vertical="center"/>
    </xf>
    <xf numFmtId="0" fontId="46" fillId="0" borderId="261" xfId="0" applyFont="1" applyFill="1" applyBorder="1" applyAlignment="1">
      <alignment horizontal="center" vertical="center"/>
    </xf>
    <xf numFmtId="0" fontId="46" fillId="0" borderId="159" xfId="0" applyFont="1" applyFill="1" applyBorder="1" applyAlignment="1">
      <alignment horizontal="center" vertical="center"/>
    </xf>
    <xf numFmtId="0" fontId="0" fillId="0" borderId="599" xfId="0" applyFill="1" applyBorder="1" applyAlignment="1">
      <alignment horizontal="center" vertical="center"/>
    </xf>
    <xf numFmtId="0" fontId="0" fillId="0" borderId="602" xfId="0" applyBorder="1" applyAlignment="1">
      <alignment horizontal="left" vertical="top" wrapText="1"/>
    </xf>
    <xf numFmtId="0" fontId="0" fillId="0" borderId="84" xfId="0" applyBorder="1" applyAlignment="1">
      <alignment horizontal="left" vertical="top"/>
    </xf>
    <xf numFmtId="0" fontId="0" fillId="0" borderId="23" xfId="0" applyBorder="1" applyAlignment="1">
      <alignment horizontal="left" vertical="top"/>
    </xf>
    <xf numFmtId="0" fontId="177" fillId="125" borderId="517" xfId="0" applyFont="1" applyFill="1" applyBorder="1" applyAlignment="1">
      <alignment horizontal="center" vertical="center" wrapText="1" readingOrder="1"/>
    </xf>
    <xf numFmtId="0" fontId="177" fillId="125" borderId="204" xfId="0" applyFont="1" applyFill="1" applyBorder="1" applyAlignment="1">
      <alignment horizontal="center" vertical="center" wrapText="1" readingOrder="1"/>
    </xf>
    <xf numFmtId="0" fontId="178" fillId="127" borderId="219" xfId="0" applyFont="1" applyFill="1" applyBorder="1" applyAlignment="1">
      <alignment horizontal="center" vertical="center" wrapText="1" readingOrder="1"/>
    </xf>
    <xf numFmtId="0" fontId="178" fillId="127" borderId="607" xfId="0" applyFont="1" applyFill="1" applyBorder="1" applyAlignment="1">
      <alignment horizontal="center" vertical="center" wrapText="1" readingOrder="1"/>
    </xf>
    <xf numFmtId="0" fontId="178" fillId="127" borderId="599" xfId="0" applyFont="1" applyFill="1" applyBorder="1" applyAlignment="1">
      <alignment horizontal="center" vertical="center" wrapText="1" readingOrder="1"/>
    </xf>
    <xf numFmtId="0" fontId="178" fillId="127" borderId="119" xfId="0" applyFont="1" applyFill="1" applyBorder="1" applyAlignment="1">
      <alignment horizontal="center" vertical="center" wrapText="1" readingOrder="1"/>
    </xf>
    <xf numFmtId="0" fontId="178" fillId="127" borderId="512" xfId="0" applyFont="1" applyFill="1" applyBorder="1" applyAlignment="1">
      <alignment horizontal="center" vertical="center" wrapText="1" readingOrder="1"/>
    </xf>
    <xf numFmtId="0" fontId="177" fillId="128" borderId="512" xfId="0" applyFont="1" applyFill="1" applyBorder="1" applyAlignment="1">
      <alignment horizontal="center" vertical="center" wrapText="1" readingOrder="1"/>
    </xf>
    <xf numFmtId="0" fontId="177" fillId="128" borderId="514" xfId="0" applyFont="1" applyFill="1" applyBorder="1" applyAlignment="1">
      <alignment horizontal="center" vertical="center" wrapText="1" readingOrder="1"/>
    </xf>
    <xf numFmtId="0" fontId="39" fillId="125" borderId="730" xfId="0" applyFont="1" applyFill="1" applyBorder="1" applyAlignment="1">
      <alignment horizontal="center" vertical="center"/>
    </xf>
    <xf numFmtId="0" fontId="39" fillId="125" borderId="693" xfId="0" applyFont="1" applyFill="1" applyBorder="1" applyAlignment="1">
      <alignment horizontal="center" vertical="center"/>
    </xf>
    <xf numFmtId="0" fontId="39" fillId="125" borderId="694" xfId="0" applyFont="1" applyFill="1" applyBorder="1" applyAlignment="1">
      <alignment horizontal="center" vertical="center"/>
    </xf>
    <xf numFmtId="0" fontId="39" fillId="125" borderId="732" xfId="0" applyFont="1" applyFill="1" applyBorder="1" applyAlignment="1">
      <alignment horizontal="center" vertical="center"/>
    </xf>
    <xf numFmtId="0" fontId="177" fillId="125" borderId="690" xfId="0" applyFont="1" applyFill="1" applyBorder="1" applyAlignment="1">
      <alignment horizontal="center" vertical="center" wrapText="1" readingOrder="1"/>
    </xf>
    <xf numFmtId="0" fontId="177" fillId="125" borderId="691" xfId="0" applyFont="1" applyFill="1" applyBorder="1" applyAlignment="1">
      <alignment horizontal="center" vertical="center" wrapText="1" readingOrder="1"/>
    </xf>
    <xf numFmtId="0" fontId="177" fillId="125" borderId="695" xfId="0" applyFont="1" applyFill="1" applyBorder="1" applyAlignment="1">
      <alignment horizontal="center" vertical="center" wrapText="1" readingOrder="1"/>
    </xf>
    <xf numFmtId="0" fontId="39" fillId="125" borderId="731" xfId="0" applyFont="1" applyFill="1" applyBorder="1" applyAlignment="1">
      <alignment horizontal="center" vertical="center"/>
    </xf>
    <xf numFmtId="0" fontId="177" fillId="128" borderId="704" xfId="0" applyFont="1" applyFill="1" applyBorder="1" applyAlignment="1">
      <alignment horizontal="center" vertical="center" wrapText="1" readingOrder="1"/>
    </xf>
    <xf numFmtId="0" fontId="177" fillId="128" borderId="706" xfId="0" applyFont="1" applyFill="1" applyBorder="1" applyAlignment="1">
      <alignment horizontal="center" vertical="center" wrapText="1" readingOrder="1"/>
    </xf>
    <xf numFmtId="0" fontId="178" fillId="127" borderId="696" xfId="0" applyFont="1" applyFill="1" applyBorder="1" applyAlignment="1">
      <alignment horizontal="center" vertical="center" wrapText="1" readingOrder="1"/>
    </xf>
    <xf numFmtId="0" fontId="178" fillId="127" borderId="697" xfId="0" applyFont="1" applyFill="1" applyBorder="1" applyAlignment="1">
      <alignment horizontal="center" vertical="center" wrapText="1" readingOrder="1"/>
    </xf>
    <xf numFmtId="0" fontId="178" fillId="127" borderId="734" xfId="0" applyFont="1" applyFill="1" applyBorder="1" applyAlignment="1">
      <alignment horizontal="center" vertical="center" wrapText="1" readingOrder="1"/>
    </xf>
    <xf numFmtId="0" fontId="178" fillId="127" borderId="703" xfId="0" applyFont="1" applyFill="1" applyBorder="1" applyAlignment="1">
      <alignment horizontal="center" vertical="center" wrapText="1" readingOrder="1"/>
    </xf>
    <xf numFmtId="0" fontId="178" fillId="127" borderId="698" xfId="0" applyFont="1" applyFill="1" applyBorder="1" applyAlignment="1">
      <alignment horizontal="center" vertical="center" wrapText="1" readingOrder="1"/>
    </xf>
    <xf numFmtId="0" fontId="177" fillId="128" borderId="735" xfId="0" applyFont="1" applyFill="1" applyBorder="1" applyAlignment="1">
      <alignment horizontal="center" vertical="center" wrapText="1" readingOrder="1"/>
    </xf>
    <xf numFmtId="0" fontId="177" fillId="128" borderId="736" xfId="0" applyFont="1" applyFill="1" applyBorder="1" applyAlignment="1">
      <alignment horizontal="center" vertical="center" wrapText="1" readingOrder="1"/>
    </xf>
    <xf numFmtId="0" fontId="177" fillId="125" borderId="730" xfId="0" applyFont="1" applyFill="1" applyBorder="1" applyAlignment="1">
      <alignment horizontal="center" vertical="center" wrapText="1" readingOrder="1"/>
    </xf>
    <xf numFmtId="0" fontId="177" fillId="125" borderId="694" xfId="0" applyFont="1" applyFill="1" applyBorder="1" applyAlignment="1">
      <alignment horizontal="center" vertical="center" wrapText="1" readingOrder="1"/>
    </xf>
    <xf numFmtId="0" fontId="177" fillId="125" borderId="698" xfId="0" applyFont="1" applyFill="1" applyBorder="1" applyAlignment="1">
      <alignment horizontal="center" vertical="center" wrapText="1" readingOrder="1"/>
    </xf>
    <xf numFmtId="0" fontId="177" fillId="125" borderId="601" xfId="0" applyFont="1" applyFill="1" applyBorder="1" applyAlignment="1">
      <alignment horizontal="center" vertical="center" wrapText="1" readingOrder="1"/>
    </xf>
    <xf numFmtId="177" fontId="206" fillId="3" borderId="720" xfId="0" applyNumberFormat="1" applyFont="1" applyFill="1" applyBorder="1" applyAlignment="1">
      <alignment horizontal="center" vertical="center"/>
    </xf>
    <xf numFmtId="177" fontId="206" fillId="3" borderId="721" xfId="0" applyNumberFormat="1" applyFont="1" applyFill="1" applyBorder="1" applyAlignment="1">
      <alignment horizontal="center" vertical="center"/>
    </xf>
    <xf numFmtId="0" fontId="177" fillId="128" borderId="723" xfId="0" applyFont="1" applyFill="1" applyBorder="1" applyAlignment="1">
      <alignment horizontal="center" vertical="center" wrapText="1" readingOrder="1"/>
    </xf>
    <xf numFmtId="0" fontId="177" fillId="128" borderId="724" xfId="0" applyFont="1" applyFill="1" applyBorder="1" applyAlignment="1">
      <alignment horizontal="center" vertical="center" wrapText="1" readingOrder="1"/>
    </xf>
    <xf numFmtId="0" fontId="206" fillId="3" borderId="717" xfId="0" applyFont="1" applyFill="1" applyBorder="1" applyAlignment="1">
      <alignment horizontal="center" vertical="center"/>
    </xf>
    <xf numFmtId="0" fontId="206" fillId="3" borderId="718" xfId="0" applyFont="1" applyFill="1" applyBorder="1" applyAlignment="1">
      <alignment horizontal="center" vertical="center"/>
    </xf>
    <xf numFmtId="177" fontId="206" fillId="3" borderId="718" xfId="0" applyNumberFormat="1" applyFont="1" applyFill="1" applyBorder="1" applyAlignment="1">
      <alignment horizontal="center" vertical="center"/>
    </xf>
    <xf numFmtId="177" fontId="206" fillId="3" borderId="719" xfId="0" applyNumberFormat="1" applyFont="1" applyFill="1" applyBorder="1" applyAlignment="1">
      <alignment horizontal="center" vertical="center"/>
    </xf>
    <xf numFmtId="0" fontId="177" fillId="125" borderId="692" xfId="0" applyFont="1" applyFill="1" applyBorder="1" applyAlignment="1">
      <alignment horizontal="center" vertical="center"/>
    </xf>
    <xf numFmtId="0" fontId="177" fillId="125" borderId="693" xfId="0" applyFont="1" applyFill="1" applyBorder="1" applyAlignment="1">
      <alignment horizontal="center" vertical="center"/>
    </xf>
    <xf numFmtId="0" fontId="177" fillId="125" borderId="694" xfId="0" applyFont="1" applyFill="1" applyBorder="1" applyAlignment="1">
      <alignment horizontal="center" vertical="center"/>
    </xf>
    <xf numFmtId="0" fontId="177" fillId="125" borderId="711" xfId="0" applyFont="1" applyFill="1" applyBorder="1" applyAlignment="1">
      <alignment horizontal="center" vertical="center"/>
    </xf>
    <xf numFmtId="0" fontId="177" fillId="125" borderId="728" xfId="0" applyFont="1" applyFill="1" applyBorder="1" applyAlignment="1">
      <alignment horizontal="center" vertical="center"/>
    </xf>
    <xf numFmtId="0" fontId="177" fillId="125" borderId="712" xfId="0" applyFont="1" applyFill="1" applyBorder="1" applyAlignment="1">
      <alignment horizontal="center" vertical="center"/>
    </xf>
    <xf numFmtId="0" fontId="177" fillId="125" borderId="742" xfId="0" applyFont="1" applyFill="1" applyBorder="1" applyAlignment="1">
      <alignment horizontal="center" vertical="center" wrapText="1" readingOrder="1"/>
    </xf>
    <xf numFmtId="0" fontId="177" fillId="125" borderId="743" xfId="0" applyFont="1" applyFill="1" applyBorder="1" applyAlignment="1">
      <alignment horizontal="center" vertical="center" wrapText="1" readingOrder="1"/>
    </xf>
    <xf numFmtId="0" fontId="177" fillId="125" borderId="744" xfId="0" applyFont="1" applyFill="1" applyBorder="1" applyAlignment="1">
      <alignment horizontal="center" vertical="center" wrapText="1" readingOrder="1"/>
    </xf>
    <xf numFmtId="0" fontId="177" fillId="125" borderId="162" xfId="0" applyFont="1" applyFill="1" applyBorder="1" applyAlignment="1">
      <alignment horizontal="center" vertical="center" wrapText="1" readingOrder="1"/>
    </xf>
  </cellXfs>
  <cellStyles count="45151">
    <cellStyle name=" " xfId="7"/>
    <cellStyle name=" _97연말" xfId="8"/>
    <cellStyle name=" _97연말1" xfId="9"/>
    <cellStyle name=" _Book1" xfId="10"/>
    <cellStyle name="&quot;" xfId="11"/>
    <cellStyle name="&quot; 2" xfId="20842"/>
    <cellStyle name="&quot; 2 2" xfId="41718"/>
    <cellStyle name="&quot; 3" xfId="24131"/>
    <cellStyle name="&quot; 3 2" xfId="45001"/>
    <cellStyle name="&quot; 4" xfId="24297"/>
    <cellStyle name="&quot;큰제목&quot;" xfId="12"/>
    <cellStyle name="#,##0" xfId="13"/>
    <cellStyle name="#,##0 10" xfId="24298"/>
    <cellStyle name="#,##0 2" xfId="1202"/>
    <cellStyle name="#,##0 2 2" xfId="3323"/>
    <cellStyle name="#,##0 2 2 2" xfId="5596"/>
    <cellStyle name="#,##0 2 2 2 2" xfId="22304"/>
    <cellStyle name="#,##0 2 2 2 2 2" xfId="43179"/>
    <cellStyle name="#,##0 2 2 2 3" xfId="21340"/>
    <cellStyle name="#,##0 2 2 2 3 2" xfId="42215"/>
    <cellStyle name="#,##0 2 2 2 4" xfId="23809"/>
    <cellStyle name="#,##0 2 2 2 4 2" xfId="44681"/>
    <cellStyle name="#,##0 2 2 2 5" xfId="14605"/>
    <cellStyle name="#,##0 2 2 2 5 2" xfId="35481"/>
    <cellStyle name="#,##0 2 2 2 6" xfId="26743"/>
    <cellStyle name="#,##0 2 2 3" xfId="21675"/>
    <cellStyle name="#,##0 2 2 3 2" xfId="42550"/>
    <cellStyle name="#,##0 2 2 4" xfId="23316"/>
    <cellStyle name="#,##0 2 2 4 2" xfId="44188"/>
    <cellStyle name="#,##0 2 2 5" xfId="21368"/>
    <cellStyle name="#,##0 2 2 5 2" xfId="42243"/>
    <cellStyle name="#,##0 2 2 6" xfId="12786"/>
    <cellStyle name="#,##0 2 2 6 2" xfId="33663"/>
    <cellStyle name="#,##0 2 2 7" xfId="24913"/>
    <cellStyle name="#,##0 2 3" xfId="9207"/>
    <cellStyle name="#,##0 2 3 2" xfId="21134"/>
    <cellStyle name="#,##0 2 3 2 2" xfId="42009"/>
    <cellStyle name="#,##0 2 3 3" xfId="22189"/>
    <cellStyle name="#,##0 2 3 3 2" xfId="43064"/>
    <cellStyle name="#,##0 2 3 4" xfId="18210"/>
    <cellStyle name="#,##0 2 3 4 2" xfId="39086"/>
    <cellStyle name="#,##0 2 3 5" xfId="30348"/>
    <cellStyle name="#,##0 2 4" xfId="21148"/>
    <cellStyle name="#,##0 2 4 2" xfId="42023"/>
    <cellStyle name="#,##0 2 5" xfId="12201"/>
    <cellStyle name="#,##0 2 5 2" xfId="33090"/>
    <cellStyle name="#,##0 2 6" xfId="24305"/>
    <cellStyle name="#,##0 3" xfId="3322"/>
    <cellStyle name="#,##0 3 2" xfId="5595"/>
    <cellStyle name="#,##0 3 2 2" xfId="22303"/>
    <cellStyle name="#,##0 3 2 2 2" xfId="43178"/>
    <cellStyle name="#,##0 3 2 3" xfId="23723"/>
    <cellStyle name="#,##0 3 2 3 2" xfId="44595"/>
    <cellStyle name="#,##0 3 2 4" xfId="21016"/>
    <cellStyle name="#,##0 3 2 4 2" xfId="41891"/>
    <cellStyle name="#,##0 3 2 5" xfId="14604"/>
    <cellStyle name="#,##0 3 2 5 2" xfId="35480"/>
    <cellStyle name="#,##0 3 2 6" xfId="26742"/>
    <cellStyle name="#,##0 3 3" xfId="21674"/>
    <cellStyle name="#,##0 3 3 2" xfId="42549"/>
    <cellStyle name="#,##0 3 4" xfId="21825"/>
    <cellStyle name="#,##0 3 4 2" xfId="42700"/>
    <cellStyle name="#,##0 3 5" xfId="23245"/>
    <cellStyle name="#,##0 3 5 2" xfId="44118"/>
    <cellStyle name="#,##0 3 6" xfId="12785"/>
    <cellStyle name="#,##0 3 6 2" xfId="33662"/>
    <cellStyle name="#,##0 3 7" xfId="24912"/>
    <cellStyle name="#,##0 4" xfId="9206"/>
    <cellStyle name="#,##0 4 2" xfId="23799"/>
    <cellStyle name="#,##0 4 2 2" xfId="44671"/>
    <cellStyle name="#,##0 4 3" xfId="21359"/>
    <cellStyle name="#,##0 4 3 2" xfId="42234"/>
    <cellStyle name="#,##0 4 4" xfId="18209"/>
    <cellStyle name="#,##0 4 4 2" xfId="39085"/>
    <cellStyle name="#,##0 4 5" xfId="30347"/>
    <cellStyle name="#,##0 5" xfId="12183"/>
    <cellStyle name="#,##0 5 2" xfId="33082"/>
    <cellStyle name="#,##0 6" xfId="20859"/>
    <cellStyle name="#,##0 6 2" xfId="41735"/>
    <cellStyle name="#,##0 7" xfId="12089"/>
    <cellStyle name="#,##0 7 2" xfId="32994"/>
    <cellStyle name="#,##0 8" xfId="24132"/>
    <cellStyle name="#,##0 8 2" xfId="45002"/>
    <cellStyle name="#,##0 9" xfId="24181"/>
    <cellStyle name="#,##0 9 2" xfId="45049"/>
    <cellStyle name="??&amp;O?&amp;H?_x0008__x000f__x0007_?_x0007__x0001__x0001_" xfId="14"/>
    <cellStyle name="??&amp;O?&amp;H?_x0008_??_x0007__x0001__x0001_" xfId="15"/>
    <cellStyle name="?W?_laroux" xfId="17"/>
    <cellStyle name="?曹%U?&amp;H?_x0008_?s_x000a__x0007__x0001__x0001_" xfId="16"/>
    <cellStyle name="_02-02-P004 마가렛트호텔현설용물량" xfId="18"/>
    <cellStyle name="_02-02-P004 마가렛트호텔현설용물량_06년판매계획(최종)" xfId="19"/>
    <cellStyle name="_02-02-P004 마가렛트호텔현설용물량_06년판매계획(최종)_12" xfId="1203"/>
    <cellStyle name="_02-02-P004 마가렛트호텔현설용물량_06년판매계획(최종)_2006년실적" xfId="20"/>
    <cellStyle name="_02-02-P004 마가렛트호텔현설용물량_06년판매계획(최종)_2006년실적_2007년도 경영계획" xfId="21"/>
    <cellStyle name="_02-02-P004 마가렛트호텔현설용물량_06년판매계획(최종)_2006년실적_2007년도 경영계획_GI 수정안" xfId="22"/>
    <cellStyle name="_02-02-P004 마가렛트호텔현설용물량_06년판매계획(최종)_2007년 판매계획(GI)" xfId="23"/>
    <cellStyle name="_02-02-P004 마가렛트호텔현설용물량_06년판매계획(최종)_2007년 판매계획(GI)_2007년도 경영계획" xfId="24"/>
    <cellStyle name="_02-02-P004 마가렛트호텔현설용물량_06년판매계획(최종)_2007년 판매계획(GI)_2007년도 경영계획_GI 수정안" xfId="25"/>
    <cellStyle name="_02-02-P004 마가렛트호텔현설용물량_06년판매계획(최종)_2007년판매계획(영업안)_영업2차확정안_20061103" xfId="26"/>
    <cellStyle name="_02-02-P004 마가렛트호텔현설용물량_06년판매계획(최종)_2007년판매계획(영업안)_영업2차확정안_20061103_2007년도 경영계획" xfId="27"/>
    <cellStyle name="_02-02-P004 마가렛트호텔현설용물량_06년판매계획(최종)_2007년판매계획(영업안)_영업2차확정안_20061103_2007년도 경영계획_GI 수정안" xfId="28"/>
    <cellStyle name="_02-02-P004 마가렛트호텔현설용물량_06년판매계획(최종)_5월 경영실적" xfId="1204"/>
    <cellStyle name="_02-02-P004 마가렛트호텔현설용물량_06년판매계획(최종)_6월 경영실적" xfId="1205"/>
    <cellStyle name="_02-02-P004 마가렛트호텔현설용물량_06년판매계획(최종)_7월 경영실적" xfId="1206"/>
    <cellStyle name="_02-02-P004 마가렛트호텔현설용물량_06년판매계획(최종)_7월 경영실적_9월 경영실적" xfId="1207"/>
    <cellStyle name="_02-02-P004 마가렛트호텔현설용물량_06년판매계획(최종)_7월 경영실적_9월 경영실적_12" xfId="1208"/>
    <cellStyle name="_02-02-P004 마가렛트호텔현설용물량_06년판매계획(최종)_7월 경영실적_9월 경영실적_5월 경영실적" xfId="1209"/>
    <cellStyle name="_02-02-P004 마가렛트호텔현설용물량_06년판매계획(최종)_7월 경영실적_9월 경영실적_6월 경영실적" xfId="1210"/>
    <cellStyle name="_02-02-P004 마가렛트호텔현설용물량_06년판매계획(최종)_7월 경영실적_9월 경영실적_7월 경영실적" xfId="1211"/>
    <cellStyle name="_02-02-P004 마가렛트호텔현설용물량_06년판매계획(최종)_7월 경영실적_9월 경영실적_GI매원" xfId="1212"/>
    <cellStyle name="_02-02-P004 마가렛트호텔현설용물량_06년판매계획(최종)_7월 경영실적_9월 경영실적_Sheet1" xfId="1213"/>
    <cellStyle name="_02-02-P004 마가렛트호텔현설용물량_06년판매계획(최종)_7월 경영실적_9월 경영실적_칼라매원" xfId="1214"/>
    <cellStyle name="_02-02-P004 마가렛트호텔현설용물량_06년판매계획(최종)_GI매원" xfId="1215"/>
    <cellStyle name="_02-02-P004 마가렛트호텔현설용물량_06년판매계획(최종)_Sheet1" xfId="1216"/>
    <cellStyle name="_02-02-P004 마가렛트호텔현설용물량_06년판매계획(최종)_칼라매원" xfId="1217"/>
    <cellStyle name="_02-02-P004 마가렛트호텔현설용물량_12" xfId="1218"/>
    <cellStyle name="_02-02-P004 마가렛트호텔현설용물량_2006년 경영계획(1안)" xfId="29"/>
    <cellStyle name="_02-02-P004 마가렛트호텔현설용물량_2006년 경영계획(1안)_12" xfId="1219"/>
    <cellStyle name="_02-02-P004 마가렛트호텔현설용물량_2006년 경영계획(1안)_2006년실적" xfId="30"/>
    <cellStyle name="_02-02-P004 마가렛트호텔현설용물량_2006년 경영계획(1안)_2006년실적_2007년도 경영계획" xfId="31"/>
    <cellStyle name="_02-02-P004 마가렛트호텔현설용물량_2006년 경영계획(1안)_2006년실적_2007년도 경영계획_GI 수정안" xfId="32"/>
    <cellStyle name="_02-02-P004 마가렛트호텔현설용물량_2006년 경영계획(1안)_2007년 판매계획(GI)" xfId="33"/>
    <cellStyle name="_02-02-P004 마가렛트호텔현설용물량_2006년 경영계획(1안)_2007년 판매계획(GI)_2007년도 경영계획" xfId="34"/>
    <cellStyle name="_02-02-P004 마가렛트호텔현설용물량_2006년 경영계획(1안)_2007년 판매계획(GI)_2007년도 경영계획_GI 수정안" xfId="35"/>
    <cellStyle name="_02-02-P004 마가렛트호텔현설용물량_2006년 경영계획(1안)_2007년판매계획(영업안)_영업2차확정안_20061103" xfId="36"/>
    <cellStyle name="_02-02-P004 마가렛트호텔현설용물량_2006년 경영계획(1안)_2007년판매계획(영업안)_영업2차확정안_20061103_2007년도 경영계획" xfId="37"/>
    <cellStyle name="_02-02-P004 마가렛트호텔현설용물량_2006년 경영계획(1안)_2007년판매계획(영업안)_영업2차확정안_20061103_2007년도 경영계획_GI 수정안" xfId="38"/>
    <cellStyle name="_02-02-P004 마가렛트호텔현설용물량_2006년 경영계획(1안)_5월 경영실적" xfId="1220"/>
    <cellStyle name="_02-02-P004 마가렛트호텔현설용물량_2006년 경영계획(1안)_6월 경영실적" xfId="1221"/>
    <cellStyle name="_02-02-P004 마가렛트호텔현설용물량_2006년 경영계획(1안)_7월 경영실적" xfId="1222"/>
    <cellStyle name="_02-02-P004 마가렛트호텔현설용물량_2006년 경영계획(1안)_7월 경영실적_9월 경영실적" xfId="1223"/>
    <cellStyle name="_02-02-P004 마가렛트호텔현설용물량_2006년 경영계획(1안)_7월 경영실적_9월 경영실적_12" xfId="1224"/>
    <cellStyle name="_02-02-P004 마가렛트호텔현설용물량_2006년 경영계획(1안)_7월 경영실적_9월 경영실적_5월 경영실적" xfId="1225"/>
    <cellStyle name="_02-02-P004 마가렛트호텔현설용물량_2006년 경영계획(1안)_7월 경영실적_9월 경영실적_6월 경영실적" xfId="1226"/>
    <cellStyle name="_02-02-P004 마가렛트호텔현설용물량_2006년 경영계획(1안)_7월 경영실적_9월 경영실적_7월 경영실적" xfId="1227"/>
    <cellStyle name="_02-02-P004 마가렛트호텔현설용물량_2006년 경영계획(1안)_7월 경영실적_9월 경영실적_GI매원" xfId="1228"/>
    <cellStyle name="_02-02-P004 마가렛트호텔현설용물량_2006년 경영계획(1안)_7월 경영실적_9월 경영실적_Sheet1" xfId="1229"/>
    <cellStyle name="_02-02-P004 마가렛트호텔현설용물량_2006년 경영계획(1안)_7월 경영실적_9월 경영실적_칼라매원" xfId="1230"/>
    <cellStyle name="_02-02-P004 마가렛트호텔현설용물량_2006년 경영계획(1안)_GI매원" xfId="1231"/>
    <cellStyle name="_02-02-P004 마가렛트호텔현설용물량_2006년 경영계획(1안)_Sheet1" xfId="1232"/>
    <cellStyle name="_02-02-P004 마가렛트호텔현설용물량_2006년 경영계획(1안)_칼라매원" xfId="1233"/>
    <cellStyle name="_02-02-P004 마가렛트호텔현설용물량_2006년 경영계획(안)" xfId="39"/>
    <cellStyle name="_02-02-P004 마가렛트호텔현설용물량_2006년 경영계획(안)_12" xfId="1234"/>
    <cellStyle name="_02-02-P004 마가렛트호텔현설용물량_2006년 경영계획(안)_2006년실적" xfId="40"/>
    <cellStyle name="_02-02-P004 마가렛트호텔현설용물량_2006년 경영계획(안)_2006년실적_2007년도 경영계획" xfId="41"/>
    <cellStyle name="_02-02-P004 마가렛트호텔현설용물량_2006년 경영계획(안)_2006년실적_2007년도 경영계획_GI 수정안" xfId="42"/>
    <cellStyle name="_02-02-P004 마가렛트호텔현설용물량_2006년 경영계획(안)_2007년 판매계획(GI)" xfId="43"/>
    <cellStyle name="_02-02-P004 마가렛트호텔현설용물량_2006년 경영계획(안)_2007년 판매계획(GI)_2007년도 경영계획" xfId="44"/>
    <cellStyle name="_02-02-P004 마가렛트호텔현설용물량_2006년 경영계획(안)_2007년 판매계획(GI)_2007년도 경영계획_GI 수정안" xfId="45"/>
    <cellStyle name="_02-02-P004 마가렛트호텔현설용물량_2006년 경영계획(안)_2007년판매계획(영업안)_영업2차확정안_20061103" xfId="46"/>
    <cellStyle name="_02-02-P004 마가렛트호텔현설용물량_2006년 경영계획(안)_2007년판매계획(영업안)_영업2차확정안_20061103_2007년도 경영계획" xfId="47"/>
    <cellStyle name="_02-02-P004 마가렛트호텔현설용물량_2006년 경영계획(안)_2007년판매계획(영업안)_영업2차확정안_20061103_2007년도 경영계획_GI 수정안" xfId="48"/>
    <cellStyle name="_02-02-P004 마가렛트호텔현설용물량_2006년 경영계획(안)_5월 경영실적" xfId="1235"/>
    <cellStyle name="_02-02-P004 마가렛트호텔현설용물량_2006년 경영계획(안)_6월 경영실적" xfId="1236"/>
    <cellStyle name="_02-02-P004 마가렛트호텔현설용물량_2006년 경영계획(안)_7월 경영실적" xfId="1237"/>
    <cellStyle name="_02-02-P004 마가렛트호텔현설용물량_2006년 경영계획(안)_7월 경영실적_9월 경영실적" xfId="1238"/>
    <cellStyle name="_02-02-P004 마가렛트호텔현설용물량_2006년 경영계획(안)_7월 경영실적_9월 경영실적_12" xfId="1239"/>
    <cellStyle name="_02-02-P004 마가렛트호텔현설용물량_2006년 경영계획(안)_7월 경영실적_9월 경영실적_5월 경영실적" xfId="1240"/>
    <cellStyle name="_02-02-P004 마가렛트호텔현설용물량_2006년 경영계획(안)_7월 경영실적_9월 경영실적_6월 경영실적" xfId="1241"/>
    <cellStyle name="_02-02-P004 마가렛트호텔현설용물량_2006년 경영계획(안)_7월 경영실적_9월 경영실적_7월 경영실적" xfId="1242"/>
    <cellStyle name="_02-02-P004 마가렛트호텔현설용물량_2006년 경영계획(안)_7월 경영실적_9월 경영실적_GI매원" xfId="1243"/>
    <cellStyle name="_02-02-P004 마가렛트호텔현설용물량_2006년 경영계획(안)_7월 경영실적_9월 경영실적_Sheet1" xfId="1244"/>
    <cellStyle name="_02-02-P004 마가렛트호텔현설용물량_2006년 경영계획(안)_7월 경영실적_9월 경영실적_칼라매원" xfId="1245"/>
    <cellStyle name="_02-02-P004 마가렛트호텔현설용물량_2006년 경영계획(안)_GI매원" xfId="1246"/>
    <cellStyle name="_02-02-P004 마가렛트호텔현설용물량_2006년 경영계획(안)_Sheet1" xfId="1247"/>
    <cellStyle name="_02-02-P004 마가렛트호텔현설용물량_2006년 경영계획(안)_칼라매원" xfId="1248"/>
    <cellStyle name="_02-02-P004 마가렛트호텔현설용물량_2006년실적" xfId="49"/>
    <cellStyle name="_02-02-P004 마가렛트호텔현설용물량_2006년실적_2007년도 경영계획" xfId="50"/>
    <cellStyle name="_02-02-P004 마가렛트호텔현설용물량_2006년실적_2007년도 경영계획_GI 수정안" xfId="51"/>
    <cellStyle name="_02-02-P004 마가렛트호텔현설용물량_2007년 판매계획(GI)" xfId="52"/>
    <cellStyle name="_02-02-P004 마가렛트호텔현설용물량_2007년 판매계획(GI)_2007년도 경영계획" xfId="53"/>
    <cellStyle name="_02-02-P004 마가렛트호텔현설용물량_2007년 판매계획(GI)_2007년도 경영계획_GI 수정안" xfId="54"/>
    <cellStyle name="_02-02-P004 마가렛트호텔현설용물량_2007년판매계획(영업안)_영업2차확정안_20061103" xfId="55"/>
    <cellStyle name="_02-02-P004 마가렛트호텔현설용물량_2007년판매계획(영업안)_영업2차확정안_20061103_2007년도 경영계획" xfId="56"/>
    <cellStyle name="_02-02-P004 마가렛트호텔현설용물량_2007년판매계획(영업안)_영업2차확정안_20061103_2007년도 경영계획_GI 수정안" xfId="57"/>
    <cellStyle name="_02-02-P004 마가렛트호텔현설용물량_2008년 도급비 지급현황" xfId="4469"/>
    <cellStyle name="_02-02-P004 마가렛트호텔현설용물량_2008년 도급비 지급현황_2008년 도급비 지급현황" xfId="4464"/>
    <cellStyle name="_02-02-P004 마가렛트호텔현설용물량_2008년 도급비 지급현황_2008년 도급비 지급현황_2008년 도급비 지급현황" xfId="4459"/>
    <cellStyle name="_02-02-P004 마가렛트호텔현설용물량_2008년 도급비 지급현황_2008년 도급비 지급현황_2008년 도급비 지급현황_2009년 도급비 지급현황" xfId="4454"/>
    <cellStyle name="_02-02-P004 마가렛트호텔현설용물량_2008년 도급비 지급현황_2009년 도급비 지급현황" xfId="4449"/>
    <cellStyle name="_02-02-P004 마가렛트호텔현설용물량_5월 경영실적" xfId="1249"/>
    <cellStyle name="_02-02-P004 마가렛트호텔현설용물량_6월 경영실적" xfId="1250"/>
    <cellStyle name="_02-02-P004 마가렛트호텔현설용물량_7월 경영실적" xfId="1251"/>
    <cellStyle name="_02-02-P004 마가렛트호텔현설용물량_7월 경영실적_9월 경영실적" xfId="1252"/>
    <cellStyle name="_02-02-P004 마가렛트호텔현설용물량_7월 경영실적_9월 경영실적_12" xfId="1253"/>
    <cellStyle name="_02-02-P004 마가렛트호텔현설용물량_7월 경영실적_9월 경영실적_5월 경영실적" xfId="1254"/>
    <cellStyle name="_02-02-P004 마가렛트호텔현설용물량_7월 경영실적_9월 경영실적_6월 경영실적" xfId="1255"/>
    <cellStyle name="_02-02-P004 마가렛트호텔현설용물량_7월 경영실적_9월 경영실적_7월 경영실적" xfId="1256"/>
    <cellStyle name="_02-02-P004 마가렛트호텔현설용물량_7월 경영실적_9월 경영실적_GI매원" xfId="1257"/>
    <cellStyle name="_02-02-P004 마가렛트호텔현설용물량_7월 경영실적_9월 경영실적_Sheet1" xfId="1258"/>
    <cellStyle name="_02-02-P004 마가렛트호텔현설용물량_7월 경영실적_9월 경영실적_칼라매원" xfId="1259"/>
    <cellStyle name="_02-02-P004 마가렛트호텔현설용물량_GI매원" xfId="1260"/>
    <cellStyle name="_02-02-P004 마가렛트호텔현설용물량_Sheet1" xfId="1261"/>
    <cellStyle name="_02-02-P004 마가렛트호텔현설용물량_칼라매원" xfId="1262"/>
    <cellStyle name="_02-02-P007 온양반도체" xfId="58"/>
    <cellStyle name="_02-02-P007 온양반도체_06년판매계획(최종)" xfId="59"/>
    <cellStyle name="_02-02-P007 온양반도체_06년판매계획(최종)_12" xfId="1263"/>
    <cellStyle name="_02-02-P007 온양반도체_06년판매계획(최종)_2006년실적" xfId="60"/>
    <cellStyle name="_02-02-P007 온양반도체_06년판매계획(최종)_2006년실적_2007년도 경영계획" xfId="61"/>
    <cellStyle name="_02-02-P007 온양반도체_06년판매계획(최종)_2006년실적_2007년도 경영계획_GI 수정안" xfId="62"/>
    <cellStyle name="_02-02-P007 온양반도체_06년판매계획(최종)_2007년 판매계획(GI)" xfId="63"/>
    <cellStyle name="_02-02-P007 온양반도체_06년판매계획(최종)_2007년 판매계획(GI)_2007년도 경영계획" xfId="64"/>
    <cellStyle name="_02-02-P007 온양반도체_06년판매계획(최종)_2007년 판매계획(GI)_2007년도 경영계획_GI 수정안" xfId="65"/>
    <cellStyle name="_02-02-P007 온양반도체_06년판매계획(최종)_2007년판매계획(영업안)_영업2차확정안_20061103" xfId="66"/>
    <cellStyle name="_02-02-P007 온양반도체_06년판매계획(최종)_2007년판매계획(영업안)_영업2차확정안_20061103_2007년도 경영계획" xfId="67"/>
    <cellStyle name="_02-02-P007 온양반도체_06년판매계획(최종)_2007년판매계획(영업안)_영업2차확정안_20061103_2007년도 경영계획_GI 수정안" xfId="68"/>
    <cellStyle name="_02-02-P007 온양반도체_06년판매계획(최종)_5월 경영실적" xfId="1264"/>
    <cellStyle name="_02-02-P007 온양반도체_06년판매계획(최종)_6월 경영실적" xfId="1265"/>
    <cellStyle name="_02-02-P007 온양반도체_06년판매계획(최종)_7월 경영실적" xfId="1266"/>
    <cellStyle name="_02-02-P007 온양반도체_06년판매계획(최종)_7월 경영실적_9월 경영실적" xfId="1267"/>
    <cellStyle name="_02-02-P007 온양반도체_06년판매계획(최종)_7월 경영실적_9월 경영실적_12" xfId="1268"/>
    <cellStyle name="_02-02-P007 온양반도체_06년판매계획(최종)_7월 경영실적_9월 경영실적_5월 경영실적" xfId="1269"/>
    <cellStyle name="_02-02-P007 온양반도체_06년판매계획(최종)_7월 경영실적_9월 경영실적_6월 경영실적" xfId="1270"/>
    <cellStyle name="_02-02-P007 온양반도체_06년판매계획(최종)_7월 경영실적_9월 경영실적_7월 경영실적" xfId="1271"/>
    <cellStyle name="_02-02-P007 온양반도체_06년판매계획(최종)_7월 경영실적_9월 경영실적_GI매원" xfId="1272"/>
    <cellStyle name="_02-02-P007 온양반도체_06년판매계획(최종)_7월 경영실적_9월 경영실적_Sheet1" xfId="1273"/>
    <cellStyle name="_02-02-P007 온양반도체_06년판매계획(최종)_7월 경영실적_9월 경영실적_칼라매원" xfId="1274"/>
    <cellStyle name="_02-02-P007 온양반도체_06년판매계획(최종)_GI매원" xfId="1275"/>
    <cellStyle name="_02-02-P007 온양반도체_06년판매계획(최종)_Sheet1" xfId="1276"/>
    <cellStyle name="_02-02-P007 온양반도체_06년판매계획(최종)_칼라매원" xfId="1277"/>
    <cellStyle name="_02-02-P007 온양반도체_12" xfId="1278"/>
    <cellStyle name="_02-02-P007 온양반도체_2006년 경영계획(1안)" xfId="69"/>
    <cellStyle name="_02-02-P007 온양반도체_2006년 경영계획(1안)_12" xfId="1279"/>
    <cellStyle name="_02-02-P007 온양반도체_2006년 경영계획(1안)_2006년실적" xfId="70"/>
    <cellStyle name="_02-02-P007 온양반도체_2006년 경영계획(1안)_2006년실적_2007년도 경영계획" xfId="71"/>
    <cellStyle name="_02-02-P007 온양반도체_2006년 경영계획(1안)_2006년실적_2007년도 경영계획_GI 수정안" xfId="72"/>
    <cellStyle name="_02-02-P007 온양반도체_2006년 경영계획(1안)_2007년 판매계획(GI)" xfId="73"/>
    <cellStyle name="_02-02-P007 온양반도체_2006년 경영계획(1안)_2007년 판매계획(GI)_2007년도 경영계획" xfId="74"/>
    <cellStyle name="_02-02-P007 온양반도체_2006년 경영계획(1안)_2007년 판매계획(GI)_2007년도 경영계획_GI 수정안" xfId="75"/>
    <cellStyle name="_02-02-P007 온양반도체_2006년 경영계획(1안)_2007년판매계획(영업안)_영업2차확정안_20061103" xfId="76"/>
    <cellStyle name="_02-02-P007 온양반도체_2006년 경영계획(1안)_2007년판매계획(영업안)_영업2차확정안_20061103_2007년도 경영계획" xfId="77"/>
    <cellStyle name="_02-02-P007 온양반도체_2006년 경영계획(1안)_2007년판매계획(영업안)_영업2차확정안_20061103_2007년도 경영계획_GI 수정안" xfId="78"/>
    <cellStyle name="_02-02-P007 온양반도체_2006년 경영계획(1안)_5월 경영실적" xfId="1280"/>
    <cellStyle name="_02-02-P007 온양반도체_2006년 경영계획(1안)_6월 경영실적" xfId="1281"/>
    <cellStyle name="_02-02-P007 온양반도체_2006년 경영계획(1안)_7월 경영실적" xfId="1282"/>
    <cellStyle name="_02-02-P007 온양반도체_2006년 경영계획(1안)_7월 경영실적_9월 경영실적" xfId="1283"/>
    <cellStyle name="_02-02-P007 온양반도체_2006년 경영계획(1안)_7월 경영실적_9월 경영실적_12" xfId="1284"/>
    <cellStyle name="_02-02-P007 온양반도체_2006년 경영계획(1안)_7월 경영실적_9월 경영실적_5월 경영실적" xfId="1285"/>
    <cellStyle name="_02-02-P007 온양반도체_2006년 경영계획(1안)_7월 경영실적_9월 경영실적_6월 경영실적" xfId="1286"/>
    <cellStyle name="_02-02-P007 온양반도체_2006년 경영계획(1안)_7월 경영실적_9월 경영실적_7월 경영실적" xfId="1287"/>
    <cellStyle name="_02-02-P007 온양반도체_2006년 경영계획(1안)_7월 경영실적_9월 경영실적_GI매원" xfId="1288"/>
    <cellStyle name="_02-02-P007 온양반도체_2006년 경영계획(1안)_7월 경영실적_9월 경영실적_Sheet1" xfId="1289"/>
    <cellStyle name="_02-02-P007 온양반도체_2006년 경영계획(1안)_7월 경영실적_9월 경영실적_칼라매원" xfId="1290"/>
    <cellStyle name="_02-02-P007 온양반도체_2006년 경영계획(1안)_GI매원" xfId="1291"/>
    <cellStyle name="_02-02-P007 온양반도체_2006년 경영계획(1안)_Sheet1" xfId="1292"/>
    <cellStyle name="_02-02-P007 온양반도체_2006년 경영계획(1안)_칼라매원" xfId="1293"/>
    <cellStyle name="_02-02-P007 온양반도체_2006년 경영계획(안)" xfId="79"/>
    <cellStyle name="_02-02-P007 온양반도체_2006년 경영계획(안)_12" xfId="1294"/>
    <cellStyle name="_02-02-P007 온양반도체_2006년 경영계획(안)_2006년실적" xfId="80"/>
    <cellStyle name="_02-02-P007 온양반도체_2006년 경영계획(안)_2006년실적_2007년도 경영계획" xfId="81"/>
    <cellStyle name="_02-02-P007 온양반도체_2006년 경영계획(안)_2006년실적_2007년도 경영계획_GI 수정안" xfId="82"/>
    <cellStyle name="_02-02-P007 온양반도체_2006년 경영계획(안)_2007년 판매계획(GI)" xfId="83"/>
    <cellStyle name="_02-02-P007 온양반도체_2006년 경영계획(안)_2007년 판매계획(GI)_2007년도 경영계획" xfId="84"/>
    <cellStyle name="_02-02-P007 온양반도체_2006년 경영계획(안)_2007년 판매계획(GI)_2007년도 경영계획_GI 수정안" xfId="85"/>
    <cellStyle name="_02-02-P007 온양반도체_2006년 경영계획(안)_2007년판매계획(영업안)_영업2차확정안_20061103" xfId="86"/>
    <cellStyle name="_02-02-P007 온양반도체_2006년 경영계획(안)_2007년판매계획(영업안)_영업2차확정안_20061103_2007년도 경영계획" xfId="87"/>
    <cellStyle name="_02-02-P007 온양반도체_2006년 경영계획(안)_2007년판매계획(영업안)_영업2차확정안_20061103_2007년도 경영계획_GI 수정안" xfId="88"/>
    <cellStyle name="_02-02-P007 온양반도체_2006년 경영계획(안)_5월 경영실적" xfId="1295"/>
    <cellStyle name="_02-02-P007 온양반도체_2006년 경영계획(안)_6월 경영실적" xfId="1296"/>
    <cellStyle name="_02-02-P007 온양반도체_2006년 경영계획(안)_7월 경영실적" xfId="1297"/>
    <cellStyle name="_02-02-P007 온양반도체_2006년 경영계획(안)_7월 경영실적_9월 경영실적" xfId="1298"/>
    <cellStyle name="_02-02-P007 온양반도체_2006년 경영계획(안)_7월 경영실적_9월 경영실적_12" xfId="1299"/>
    <cellStyle name="_02-02-P007 온양반도체_2006년 경영계획(안)_7월 경영실적_9월 경영실적_5월 경영실적" xfId="1300"/>
    <cellStyle name="_02-02-P007 온양반도체_2006년 경영계획(안)_7월 경영실적_9월 경영실적_6월 경영실적" xfId="1301"/>
    <cellStyle name="_02-02-P007 온양반도체_2006년 경영계획(안)_7월 경영실적_9월 경영실적_7월 경영실적" xfId="1302"/>
    <cellStyle name="_02-02-P007 온양반도체_2006년 경영계획(안)_7월 경영실적_9월 경영실적_GI매원" xfId="1303"/>
    <cellStyle name="_02-02-P007 온양반도체_2006년 경영계획(안)_7월 경영실적_9월 경영실적_Sheet1" xfId="1304"/>
    <cellStyle name="_02-02-P007 온양반도체_2006년 경영계획(안)_7월 경영실적_9월 경영실적_칼라매원" xfId="1305"/>
    <cellStyle name="_02-02-P007 온양반도체_2006년 경영계획(안)_GI매원" xfId="1306"/>
    <cellStyle name="_02-02-P007 온양반도체_2006년 경영계획(안)_Sheet1" xfId="1307"/>
    <cellStyle name="_02-02-P007 온양반도체_2006년 경영계획(안)_칼라매원" xfId="1308"/>
    <cellStyle name="_02-02-P007 온양반도체_2006년실적" xfId="89"/>
    <cellStyle name="_02-02-P007 온양반도체_2006년실적_2007년도 경영계획" xfId="90"/>
    <cellStyle name="_02-02-P007 온양반도체_2006년실적_2007년도 경영계획_GI 수정안" xfId="91"/>
    <cellStyle name="_02-02-P007 온양반도체_2007년 판매계획(GI)" xfId="92"/>
    <cellStyle name="_02-02-P007 온양반도체_2007년 판매계획(GI)_2007년도 경영계획" xfId="93"/>
    <cellStyle name="_02-02-P007 온양반도체_2007년 판매계획(GI)_2007년도 경영계획_GI 수정안" xfId="94"/>
    <cellStyle name="_02-02-P007 온양반도체_2007년판매계획(영업안)_영업2차확정안_20061103" xfId="95"/>
    <cellStyle name="_02-02-P007 온양반도체_2007년판매계획(영업안)_영업2차확정안_20061103_2007년도 경영계획" xfId="96"/>
    <cellStyle name="_02-02-P007 온양반도체_2007년판매계획(영업안)_영업2차확정안_20061103_2007년도 경영계획_GI 수정안" xfId="97"/>
    <cellStyle name="_02-02-P007 온양반도체_2008년 도급비 지급현황" xfId="4426"/>
    <cellStyle name="_02-02-P007 온양반도체_2008년 도급비 지급현황_2008년 도급비 지급현황" xfId="4421"/>
    <cellStyle name="_02-02-P007 온양반도체_2008년 도급비 지급현황_2008년 도급비 지급현황_2008년 도급비 지급현황" xfId="4416"/>
    <cellStyle name="_02-02-P007 온양반도체_2008년 도급비 지급현황_2008년 도급비 지급현황_2008년 도급비 지급현황_2009년 도급비 지급현황" xfId="4411"/>
    <cellStyle name="_02-02-P007 온양반도체_2008년 도급비 지급현황_2009년 도급비 지급현황" xfId="4406"/>
    <cellStyle name="_02-02-P007 온양반도체_5월 경영실적" xfId="1309"/>
    <cellStyle name="_02-02-P007 온양반도체_6월 경영실적" xfId="1310"/>
    <cellStyle name="_02-02-P007 온양반도체_7월 경영실적" xfId="1311"/>
    <cellStyle name="_02-02-P007 온양반도체_7월 경영실적_9월 경영실적" xfId="1312"/>
    <cellStyle name="_02-02-P007 온양반도체_7월 경영실적_9월 경영실적_12" xfId="1313"/>
    <cellStyle name="_02-02-P007 온양반도체_7월 경영실적_9월 경영실적_5월 경영실적" xfId="1314"/>
    <cellStyle name="_02-02-P007 온양반도체_7월 경영실적_9월 경영실적_6월 경영실적" xfId="1315"/>
    <cellStyle name="_02-02-P007 온양반도체_7월 경영실적_9월 경영실적_7월 경영실적" xfId="1316"/>
    <cellStyle name="_02-02-P007 온양반도체_7월 경영실적_9월 경영실적_GI매원" xfId="1317"/>
    <cellStyle name="_02-02-P007 온양반도체_7월 경영실적_9월 경영실적_Sheet1" xfId="1318"/>
    <cellStyle name="_02-02-P007 온양반도체_7월 경영실적_9월 경영실적_칼라매원" xfId="1319"/>
    <cellStyle name="_02-02-P007 온양반도체_GI매원" xfId="1320"/>
    <cellStyle name="_02-02-P007 온양반도체_Sheet1" xfId="1321"/>
    <cellStyle name="_02-02-P007 온양반도체_칼라매원" xfId="1322"/>
    <cellStyle name="_02-03-P006 삼성전자2단지공사" xfId="98"/>
    <cellStyle name="_02-03-P006 삼성전자2단지공사_06년판매계획(최종)" xfId="99"/>
    <cellStyle name="_02-03-P006 삼성전자2단지공사_06년판매계획(최종)_12" xfId="1323"/>
    <cellStyle name="_02-03-P006 삼성전자2단지공사_06년판매계획(최종)_2006년실적" xfId="100"/>
    <cellStyle name="_02-03-P006 삼성전자2단지공사_06년판매계획(최종)_2006년실적_2007년도 경영계획" xfId="101"/>
    <cellStyle name="_02-03-P006 삼성전자2단지공사_06년판매계획(최종)_2006년실적_2007년도 경영계획_GI 수정안" xfId="102"/>
    <cellStyle name="_02-03-P006 삼성전자2단지공사_06년판매계획(최종)_2007년 판매계획(GI)" xfId="103"/>
    <cellStyle name="_02-03-P006 삼성전자2단지공사_06년판매계획(최종)_2007년 판매계획(GI)_2007년도 경영계획" xfId="104"/>
    <cellStyle name="_02-03-P006 삼성전자2단지공사_06년판매계획(최종)_2007년 판매계획(GI)_2007년도 경영계획_GI 수정안" xfId="105"/>
    <cellStyle name="_02-03-P006 삼성전자2단지공사_06년판매계획(최종)_2007년판매계획(영업안)_영업2차확정안_20061103" xfId="106"/>
    <cellStyle name="_02-03-P006 삼성전자2단지공사_06년판매계획(최종)_2007년판매계획(영업안)_영업2차확정안_20061103_2007년도 경영계획" xfId="107"/>
    <cellStyle name="_02-03-P006 삼성전자2단지공사_06년판매계획(최종)_2007년판매계획(영업안)_영업2차확정안_20061103_2007년도 경영계획_GI 수정안" xfId="108"/>
    <cellStyle name="_02-03-P006 삼성전자2단지공사_06년판매계획(최종)_5월 경영실적" xfId="1324"/>
    <cellStyle name="_02-03-P006 삼성전자2단지공사_06년판매계획(최종)_6월 경영실적" xfId="1325"/>
    <cellStyle name="_02-03-P006 삼성전자2단지공사_06년판매계획(최종)_7월 경영실적" xfId="1326"/>
    <cellStyle name="_02-03-P006 삼성전자2단지공사_06년판매계획(최종)_7월 경영실적_9월 경영실적" xfId="1327"/>
    <cellStyle name="_02-03-P006 삼성전자2단지공사_06년판매계획(최종)_7월 경영실적_9월 경영실적_12" xfId="1328"/>
    <cellStyle name="_02-03-P006 삼성전자2단지공사_06년판매계획(최종)_7월 경영실적_9월 경영실적_5월 경영실적" xfId="1329"/>
    <cellStyle name="_02-03-P006 삼성전자2단지공사_06년판매계획(최종)_7월 경영실적_9월 경영실적_6월 경영실적" xfId="1330"/>
    <cellStyle name="_02-03-P006 삼성전자2단지공사_06년판매계획(최종)_7월 경영실적_9월 경영실적_7월 경영실적" xfId="1331"/>
    <cellStyle name="_02-03-P006 삼성전자2단지공사_06년판매계획(최종)_7월 경영실적_9월 경영실적_GI매원" xfId="1332"/>
    <cellStyle name="_02-03-P006 삼성전자2단지공사_06년판매계획(최종)_7월 경영실적_9월 경영실적_Sheet1" xfId="1333"/>
    <cellStyle name="_02-03-P006 삼성전자2단지공사_06년판매계획(최종)_7월 경영실적_9월 경영실적_칼라매원" xfId="1334"/>
    <cellStyle name="_02-03-P006 삼성전자2단지공사_06년판매계획(최종)_GI매원" xfId="1335"/>
    <cellStyle name="_02-03-P006 삼성전자2단지공사_06년판매계획(최종)_Sheet1" xfId="1336"/>
    <cellStyle name="_02-03-P006 삼성전자2단지공사_06년판매계획(최종)_칼라매원" xfId="1337"/>
    <cellStyle name="_02-03-P006 삼성전자2단지공사_12" xfId="1338"/>
    <cellStyle name="_02-03-P006 삼성전자2단지공사_2006년 경영계획(1안)" xfId="109"/>
    <cellStyle name="_02-03-P006 삼성전자2단지공사_2006년 경영계획(1안)_12" xfId="1339"/>
    <cellStyle name="_02-03-P006 삼성전자2단지공사_2006년 경영계획(1안)_2006년실적" xfId="110"/>
    <cellStyle name="_02-03-P006 삼성전자2단지공사_2006년 경영계획(1안)_2006년실적_2007년도 경영계획" xfId="111"/>
    <cellStyle name="_02-03-P006 삼성전자2단지공사_2006년 경영계획(1안)_2006년실적_2007년도 경영계획_GI 수정안" xfId="112"/>
    <cellStyle name="_02-03-P006 삼성전자2단지공사_2006년 경영계획(1안)_2007년 판매계획(GI)" xfId="113"/>
    <cellStyle name="_02-03-P006 삼성전자2단지공사_2006년 경영계획(1안)_2007년 판매계획(GI)_2007년도 경영계획" xfId="114"/>
    <cellStyle name="_02-03-P006 삼성전자2단지공사_2006년 경영계획(1안)_2007년 판매계획(GI)_2007년도 경영계획_GI 수정안" xfId="115"/>
    <cellStyle name="_02-03-P006 삼성전자2단지공사_2006년 경영계획(1안)_2007년판매계획(영업안)_영업2차확정안_20061103" xfId="116"/>
    <cellStyle name="_02-03-P006 삼성전자2단지공사_2006년 경영계획(1안)_2007년판매계획(영업안)_영업2차확정안_20061103_2007년도 경영계획" xfId="117"/>
    <cellStyle name="_02-03-P006 삼성전자2단지공사_2006년 경영계획(1안)_2007년판매계획(영업안)_영업2차확정안_20061103_2007년도 경영계획_GI 수정안" xfId="118"/>
    <cellStyle name="_02-03-P006 삼성전자2단지공사_2006년 경영계획(1안)_5월 경영실적" xfId="1340"/>
    <cellStyle name="_02-03-P006 삼성전자2단지공사_2006년 경영계획(1안)_6월 경영실적" xfId="1341"/>
    <cellStyle name="_02-03-P006 삼성전자2단지공사_2006년 경영계획(1안)_7월 경영실적" xfId="1342"/>
    <cellStyle name="_02-03-P006 삼성전자2단지공사_2006년 경영계획(1안)_7월 경영실적_9월 경영실적" xfId="1343"/>
    <cellStyle name="_02-03-P006 삼성전자2단지공사_2006년 경영계획(1안)_7월 경영실적_9월 경영실적_12" xfId="1344"/>
    <cellStyle name="_02-03-P006 삼성전자2단지공사_2006년 경영계획(1안)_7월 경영실적_9월 경영실적_5월 경영실적" xfId="1345"/>
    <cellStyle name="_02-03-P006 삼성전자2단지공사_2006년 경영계획(1안)_7월 경영실적_9월 경영실적_6월 경영실적" xfId="1346"/>
    <cellStyle name="_02-03-P006 삼성전자2단지공사_2006년 경영계획(1안)_7월 경영실적_9월 경영실적_7월 경영실적" xfId="1347"/>
    <cellStyle name="_02-03-P006 삼성전자2단지공사_2006년 경영계획(1안)_7월 경영실적_9월 경영실적_GI매원" xfId="1348"/>
    <cellStyle name="_02-03-P006 삼성전자2단지공사_2006년 경영계획(1안)_7월 경영실적_9월 경영실적_Sheet1" xfId="1349"/>
    <cellStyle name="_02-03-P006 삼성전자2단지공사_2006년 경영계획(1안)_7월 경영실적_9월 경영실적_칼라매원" xfId="1350"/>
    <cellStyle name="_02-03-P006 삼성전자2단지공사_2006년 경영계획(1안)_GI매원" xfId="1351"/>
    <cellStyle name="_02-03-P006 삼성전자2단지공사_2006년 경영계획(1안)_Sheet1" xfId="1352"/>
    <cellStyle name="_02-03-P006 삼성전자2단지공사_2006년 경영계획(1안)_칼라매원" xfId="1353"/>
    <cellStyle name="_02-03-P006 삼성전자2단지공사_2006년 경영계획(안)" xfId="119"/>
    <cellStyle name="_02-03-P006 삼성전자2단지공사_2006년 경영계획(안)_12" xfId="1354"/>
    <cellStyle name="_02-03-P006 삼성전자2단지공사_2006년 경영계획(안)_2006년실적" xfId="120"/>
    <cellStyle name="_02-03-P006 삼성전자2단지공사_2006년 경영계획(안)_2006년실적_2007년도 경영계획" xfId="121"/>
    <cellStyle name="_02-03-P006 삼성전자2단지공사_2006년 경영계획(안)_2006년실적_2007년도 경영계획_GI 수정안" xfId="122"/>
    <cellStyle name="_02-03-P006 삼성전자2단지공사_2006년 경영계획(안)_2007년 판매계획(GI)" xfId="123"/>
    <cellStyle name="_02-03-P006 삼성전자2단지공사_2006년 경영계획(안)_2007년 판매계획(GI)_2007년도 경영계획" xfId="124"/>
    <cellStyle name="_02-03-P006 삼성전자2단지공사_2006년 경영계획(안)_2007년 판매계획(GI)_2007년도 경영계획_GI 수정안" xfId="125"/>
    <cellStyle name="_02-03-P006 삼성전자2단지공사_2006년 경영계획(안)_2007년판매계획(영업안)_영업2차확정안_20061103" xfId="126"/>
    <cellStyle name="_02-03-P006 삼성전자2단지공사_2006년 경영계획(안)_2007년판매계획(영업안)_영업2차확정안_20061103_2007년도 경영계획" xfId="127"/>
    <cellStyle name="_02-03-P006 삼성전자2단지공사_2006년 경영계획(안)_2007년판매계획(영업안)_영업2차확정안_20061103_2007년도 경영계획_GI 수정안" xfId="128"/>
    <cellStyle name="_02-03-P006 삼성전자2단지공사_2006년 경영계획(안)_5월 경영실적" xfId="1355"/>
    <cellStyle name="_02-03-P006 삼성전자2단지공사_2006년 경영계획(안)_6월 경영실적" xfId="1356"/>
    <cellStyle name="_02-03-P006 삼성전자2단지공사_2006년 경영계획(안)_7월 경영실적" xfId="1357"/>
    <cellStyle name="_02-03-P006 삼성전자2단지공사_2006년 경영계획(안)_7월 경영실적_9월 경영실적" xfId="1358"/>
    <cellStyle name="_02-03-P006 삼성전자2단지공사_2006년 경영계획(안)_7월 경영실적_9월 경영실적_12" xfId="1359"/>
    <cellStyle name="_02-03-P006 삼성전자2단지공사_2006년 경영계획(안)_7월 경영실적_9월 경영실적_5월 경영실적" xfId="1360"/>
    <cellStyle name="_02-03-P006 삼성전자2단지공사_2006년 경영계획(안)_7월 경영실적_9월 경영실적_6월 경영실적" xfId="1361"/>
    <cellStyle name="_02-03-P006 삼성전자2단지공사_2006년 경영계획(안)_7월 경영실적_9월 경영실적_7월 경영실적" xfId="1362"/>
    <cellStyle name="_02-03-P006 삼성전자2단지공사_2006년 경영계획(안)_7월 경영실적_9월 경영실적_GI매원" xfId="1363"/>
    <cellStyle name="_02-03-P006 삼성전자2단지공사_2006년 경영계획(안)_7월 경영실적_9월 경영실적_Sheet1" xfId="1364"/>
    <cellStyle name="_02-03-P006 삼성전자2단지공사_2006년 경영계획(안)_7월 경영실적_9월 경영실적_칼라매원" xfId="1365"/>
    <cellStyle name="_02-03-P006 삼성전자2단지공사_2006년 경영계획(안)_GI매원" xfId="1366"/>
    <cellStyle name="_02-03-P006 삼성전자2단지공사_2006년 경영계획(안)_Sheet1" xfId="1367"/>
    <cellStyle name="_02-03-P006 삼성전자2단지공사_2006년 경영계획(안)_칼라매원" xfId="1368"/>
    <cellStyle name="_02-03-P006 삼성전자2단지공사_2006년실적" xfId="129"/>
    <cellStyle name="_02-03-P006 삼성전자2단지공사_2006년실적_2007년도 경영계획" xfId="130"/>
    <cellStyle name="_02-03-P006 삼성전자2단지공사_2006년실적_2007년도 경영계획_GI 수정안" xfId="131"/>
    <cellStyle name="_02-03-P006 삼성전자2단지공사_2007년 판매계획(GI)" xfId="132"/>
    <cellStyle name="_02-03-P006 삼성전자2단지공사_2007년 판매계획(GI)_2007년도 경영계획" xfId="133"/>
    <cellStyle name="_02-03-P006 삼성전자2단지공사_2007년 판매계획(GI)_2007년도 경영계획_GI 수정안" xfId="134"/>
    <cellStyle name="_02-03-P006 삼성전자2단지공사_2007년판매계획(영업안)_영업2차확정안_20061103" xfId="135"/>
    <cellStyle name="_02-03-P006 삼성전자2단지공사_2007년판매계획(영업안)_영업2차확정안_20061103_2007년도 경영계획" xfId="136"/>
    <cellStyle name="_02-03-P006 삼성전자2단지공사_2007년판매계획(영업안)_영업2차확정안_20061103_2007년도 경영계획_GI 수정안" xfId="137"/>
    <cellStyle name="_02-03-P006 삼성전자2단지공사_2008년 도급비 지급현황" xfId="4389"/>
    <cellStyle name="_02-03-P006 삼성전자2단지공사_2008년 도급비 지급현황_2008년 도급비 지급현황" xfId="4387"/>
    <cellStyle name="_02-03-P006 삼성전자2단지공사_2008년 도급비 지급현황_2008년 도급비 지급현황_2008년 도급비 지급현황" xfId="4382"/>
    <cellStyle name="_02-03-P006 삼성전자2단지공사_2008년 도급비 지급현황_2008년 도급비 지급현황_2008년 도급비 지급현황_2009년 도급비 지급현황" xfId="4377"/>
    <cellStyle name="_02-03-P006 삼성전자2단지공사_2008년 도급비 지급현황_2009년 도급비 지급현황" xfId="4372"/>
    <cellStyle name="_02-03-P006 삼성전자2단지공사_5월 경영실적" xfId="1369"/>
    <cellStyle name="_02-03-P006 삼성전자2단지공사_6월 경영실적" xfId="1370"/>
    <cellStyle name="_02-03-P006 삼성전자2단지공사_7월 경영실적" xfId="1371"/>
    <cellStyle name="_02-03-P006 삼성전자2단지공사_7월 경영실적_9월 경영실적" xfId="1372"/>
    <cellStyle name="_02-03-P006 삼성전자2단지공사_7월 경영실적_9월 경영실적_12" xfId="1373"/>
    <cellStyle name="_02-03-P006 삼성전자2단지공사_7월 경영실적_9월 경영실적_5월 경영실적" xfId="1374"/>
    <cellStyle name="_02-03-P006 삼성전자2단지공사_7월 경영실적_9월 경영실적_6월 경영실적" xfId="1375"/>
    <cellStyle name="_02-03-P006 삼성전자2단지공사_7월 경영실적_9월 경영실적_7월 경영실적" xfId="1376"/>
    <cellStyle name="_02-03-P006 삼성전자2단지공사_7월 경영실적_9월 경영실적_GI매원" xfId="1377"/>
    <cellStyle name="_02-03-P006 삼성전자2단지공사_7월 경영실적_9월 경영실적_Sheet1" xfId="1378"/>
    <cellStyle name="_02-03-P006 삼성전자2단지공사_7월 경영실적_9월 경영실적_칼라매원" xfId="1379"/>
    <cellStyle name="_02-03-P006 삼성전자2단지공사_GI매원" xfId="1380"/>
    <cellStyle name="_02-03-P006 삼성전자2단지공사_Sheet1" xfId="1381"/>
    <cellStyle name="_02-03-P006 삼성전자2단지공사_칼라매원" xfId="1382"/>
    <cellStyle name="_02-03-P007 아산페기물매립장" xfId="138"/>
    <cellStyle name="_02-03-P011-01 삼성전자2단지 폐수처리시설공사" xfId="139"/>
    <cellStyle name="_02-11-P002 서초 오피스텔신축전기공사" xfId="140"/>
    <cellStyle name="_02-11-P002 서초 오피스텔신축전기공사_06년판매계획(최종)" xfId="141"/>
    <cellStyle name="_02-11-P002 서초 오피스텔신축전기공사_06년판매계획(최종)_12" xfId="1383"/>
    <cellStyle name="_02-11-P002 서초 오피스텔신축전기공사_06년판매계획(최종)_2006년실적" xfId="142"/>
    <cellStyle name="_02-11-P002 서초 오피스텔신축전기공사_06년판매계획(최종)_2006년실적_2007년도 경영계획" xfId="143"/>
    <cellStyle name="_02-11-P002 서초 오피스텔신축전기공사_06년판매계획(최종)_2006년실적_2007년도 경영계획_GI 수정안" xfId="144"/>
    <cellStyle name="_02-11-P002 서초 오피스텔신축전기공사_06년판매계획(최종)_2007년 판매계획(GI)" xfId="145"/>
    <cellStyle name="_02-11-P002 서초 오피스텔신축전기공사_06년판매계획(최종)_2007년 판매계획(GI)_2007년도 경영계획" xfId="146"/>
    <cellStyle name="_02-11-P002 서초 오피스텔신축전기공사_06년판매계획(최종)_2007년 판매계획(GI)_2007년도 경영계획_GI 수정안" xfId="147"/>
    <cellStyle name="_02-11-P002 서초 오피스텔신축전기공사_06년판매계획(최종)_2007년판매계획(영업안)_영업2차확정안_20061103" xfId="148"/>
    <cellStyle name="_02-11-P002 서초 오피스텔신축전기공사_06년판매계획(최종)_2007년판매계획(영업안)_영업2차확정안_20061103_2007년도 경영계획" xfId="149"/>
    <cellStyle name="_02-11-P002 서초 오피스텔신축전기공사_06년판매계획(최종)_2007년판매계획(영업안)_영업2차확정안_20061103_2007년도 경영계획_GI 수정안" xfId="150"/>
    <cellStyle name="_02-11-P002 서초 오피스텔신축전기공사_06년판매계획(최종)_5월 경영실적" xfId="1384"/>
    <cellStyle name="_02-11-P002 서초 오피스텔신축전기공사_06년판매계획(최종)_6월 경영실적" xfId="1385"/>
    <cellStyle name="_02-11-P002 서초 오피스텔신축전기공사_06년판매계획(최종)_7월 경영실적" xfId="1386"/>
    <cellStyle name="_02-11-P002 서초 오피스텔신축전기공사_06년판매계획(최종)_7월 경영실적_9월 경영실적" xfId="1387"/>
    <cellStyle name="_02-11-P002 서초 오피스텔신축전기공사_06년판매계획(최종)_7월 경영실적_9월 경영실적_12" xfId="1388"/>
    <cellStyle name="_02-11-P002 서초 오피스텔신축전기공사_06년판매계획(최종)_7월 경영실적_9월 경영실적_5월 경영실적" xfId="1389"/>
    <cellStyle name="_02-11-P002 서초 오피스텔신축전기공사_06년판매계획(최종)_7월 경영실적_9월 경영실적_6월 경영실적" xfId="1390"/>
    <cellStyle name="_02-11-P002 서초 오피스텔신축전기공사_06년판매계획(최종)_7월 경영실적_9월 경영실적_7월 경영실적" xfId="1391"/>
    <cellStyle name="_02-11-P002 서초 오피스텔신축전기공사_06년판매계획(최종)_7월 경영실적_9월 경영실적_GI매원" xfId="1392"/>
    <cellStyle name="_02-11-P002 서초 오피스텔신축전기공사_06년판매계획(최종)_7월 경영실적_9월 경영실적_Sheet1" xfId="1393"/>
    <cellStyle name="_02-11-P002 서초 오피스텔신축전기공사_06년판매계획(최종)_7월 경영실적_9월 경영실적_칼라매원" xfId="1394"/>
    <cellStyle name="_02-11-P002 서초 오피스텔신축전기공사_06년판매계획(최종)_GI매원" xfId="1395"/>
    <cellStyle name="_02-11-P002 서초 오피스텔신축전기공사_06년판매계획(최종)_Sheet1" xfId="1396"/>
    <cellStyle name="_02-11-P002 서초 오피스텔신축전기공사_06년판매계획(최종)_칼라매원" xfId="1397"/>
    <cellStyle name="_02-11-P002 서초 오피스텔신축전기공사_12" xfId="1398"/>
    <cellStyle name="_02-11-P002 서초 오피스텔신축전기공사_2006년 경영계획(1안)" xfId="151"/>
    <cellStyle name="_02-11-P002 서초 오피스텔신축전기공사_2006년 경영계획(1안)_12" xfId="1399"/>
    <cellStyle name="_02-11-P002 서초 오피스텔신축전기공사_2006년 경영계획(1안)_2006년실적" xfId="152"/>
    <cellStyle name="_02-11-P002 서초 오피스텔신축전기공사_2006년 경영계획(1안)_2006년실적_2007년도 경영계획" xfId="153"/>
    <cellStyle name="_02-11-P002 서초 오피스텔신축전기공사_2006년 경영계획(1안)_2006년실적_2007년도 경영계획_GI 수정안" xfId="154"/>
    <cellStyle name="_02-11-P002 서초 오피스텔신축전기공사_2006년 경영계획(1안)_2007년 판매계획(GI)" xfId="155"/>
    <cellStyle name="_02-11-P002 서초 오피스텔신축전기공사_2006년 경영계획(1안)_2007년 판매계획(GI)_2007년도 경영계획" xfId="156"/>
    <cellStyle name="_02-11-P002 서초 오피스텔신축전기공사_2006년 경영계획(1안)_2007년 판매계획(GI)_2007년도 경영계획_GI 수정안" xfId="157"/>
    <cellStyle name="_02-11-P002 서초 오피스텔신축전기공사_2006년 경영계획(1안)_2007년판매계획(영업안)_영업2차확정안_20061103" xfId="158"/>
    <cellStyle name="_02-11-P002 서초 오피스텔신축전기공사_2006년 경영계획(1안)_2007년판매계획(영업안)_영업2차확정안_20061103_2007년도 경영계획" xfId="159"/>
    <cellStyle name="_02-11-P002 서초 오피스텔신축전기공사_2006년 경영계획(1안)_2007년판매계획(영업안)_영업2차확정안_20061103_2007년도 경영계획_GI 수정안" xfId="160"/>
    <cellStyle name="_02-11-P002 서초 오피스텔신축전기공사_2006년 경영계획(1안)_5월 경영실적" xfId="1400"/>
    <cellStyle name="_02-11-P002 서초 오피스텔신축전기공사_2006년 경영계획(1안)_6월 경영실적" xfId="1401"/>
    <cellStyle name="_02-11-P002 서초 오피스텔신축전기공사_2006년 경영계획(1안)_7월 경영실적" xfId="1402"/>
    <cellStyle name="_02-11-P002 서초 오피스텔신축전기공사_2006년 경영계획(1안)_7월 경영실적_9월 경영실적" xfId="1403"/>
    <cellStyle name="_02-11-P002 서초 오피스텔신축전기공사_2006년 경영계획(1안)_7월 경영실적_9월 경영실적_12" xfId="1404"/>
    <cellStyle name="_02-11-P002 서초 오피스텔신축전기공사_2006년 경영계획(1안)_7월 경영실적_9월 경영실적_5월 경영실적" xfId="1405"/>
    <cellStyle name="_02-11-P002 서초 오피스텔신축전기공사_2006년 경영계획(1안)_7월 경영실적_9월 경영실적_6월 경영실적" xfId="1406"/>
    <cellStyle name="_02-11-P002 서초 오피스텔신축전기공사_2006년 경영계획(1안)_7월 경영실적_9월 경영실적_7월 경영실적" xfId="1407"/>
    <cellStyle name="_02-11-P002 서초 오피스텔신축전기공사_2006년 경영계획(1안)_7월 경영실적_9월 경영실적_GI매원" xfId="1408"/>
    <cellStyle name="_02-11-P002 서초 오피스텔신축전기공사_2006년 경영계획(1안)_7월 경영실적_9월 경영실적_Sheet1" xfId="1409"/>
    <cellStyle name="_02-11-P002 서초 오피스텔신축전기공사_2006년 경영계획(1안)_7월 경영실적_9월 경영실적_칼라매원" xfId="1410"/>
    <cellStyle name="_02-11-P002 서초 오피스텔신축전기공사_2006년 경영계획(1안)_GI매원" xfId="1411"/>
    <cellStyle name="_02-11-P002 서초 오피스텔신축전기공사_2006년 경영계획(1안)_Sheet1" xfId="1412"/>
    <cellStyle name="_02-11-P002 서초 오피스텔신축전기공사_2006년 경영계획(1안)_칼라매원" xfId="1413"/>
    <cellStyle name="_02-11-P002 서초 오피스텔신축전기공사_2006년 경영계획(안)" xfId="161"/>
    <cellStyle name="_02-11-P002 서초 오피스텔신축전기공사_2006년 경영계획(안)_12" xfId="1414"/>
    <cellStyle name="_02-11-P002 서초 오피스텔신축전기공사_2006년 경영계획(안)_2006년실적" xfId="162"/>
    <cellStyle name="_02-11-P002 서초 오피스텔신축전기공사_2006년 경영계획(안)_2006년실적_2007년도 경영계획" xfId="163"/>
    <cellStyle name="_02-11-P002 서초 오피스텔신축전기공사_2006년 경영계획(안)_2006년실적_2007년도 경영계획_GI 수정안" xfId="164"/>
    <cellStyle name="_02-11-P002 서초 오피스텔신축전기공사_2006년 경영계획(안)_2007년 판매계획(GI)" xfId="165"/>
    <cellStyle name="_02-11-P002 서초 오피스텔신축전기공사_2006년 경영계획(안)_2007년 판매계획(GI)_2007년도 경영계획" xfId="166"/>
    <cellStyle name="_02-11-P002 서초 오피스텔신축전기공사_2006년 경영계획(안)_2007년 판매계획(GI)_2007년도 경영계획_GI 수정안" xfId="167"/>
    <cellStyle name="_02-11-P002 서초 오피스텔신축전기공사_2006년 경영계획(안)_2007년판매계획(영업안)_영업2차확정안_20061103" xfId="168"/>
    <cellStyle name="_02-11-P002 서초 오피스텔신축전기공사_2006년 경영계획(안)_2007년판매계획(영업안)_영업2차확정안_20061103_2007년도 경영계획" xfId="169"/>
    <cellStyle name="_02-11-P002 서초 오피스텔신축전기공사_2006년 경영계획(안)_2007년판매계획(영업안)_영업2차확정안_20061103_2007년도 경영계획_GI 수정안" xfId="170"/>
    <cellStyle name="_02-11-P002 서초 오피스텔신축전기공사_2006년 경영계획(안)_5월 경영실적" xfId="1415"/>
    <cellStyle name="_02-11-P002 서초 오피스텔신축전기공사_2006년 경영계획(안)_6월 경영실적" xfId="1416"/>
    <cellStyle name="_02-11-P002 서초 오피스텔신축전기공사_2006년 경영계획(안)_7월 경영실적" xfId="1417"/>
    <cellStyle name="_02-11-P002 서초 오피스텔신축전기공사_2006년 경영계획(안)_7월 경영실적_9월 경영실적" xfId="1418"/>
    <cellStyle name="_02-11-P002 서초 오피스텔신축전기공사_2006년 경영계획(안)_7월 경영실적_9월 경영실적_12" xfId="1419"/>
    <cellStyle name="_02-11-P002 서초 오피스텔신축전기공사_2006년 경영계획(안)_7월 경영실적_9월 경영실적_5월 경영실적" xfId="1420"/>
    <cellStyle name="_02-11-P002 서초 오피스텔신축전기공사_2006년 경영계획(안)_7월 경영실적_9월 경영실적_6월 경영실적" xfId="1421"/>
    <cellStyle name="_02-11-P002 서초 오피스텔신축전기공사_2006년 경영계획(안)_7월 경영실적_9월 경영실적_7월 경영실적" xfId="1422"/>
    <cellStyle name="_02-11-P002 서초 오피스텔신축전기공사_2006년 경영계획(안)_7월 경영실적_9월 경영실적_GI매원" xfId="1423"/>
    <cellStyle name="_02-11-P002 서초 오피스텔신축전기공사_2006년 경영계획(안)_7월 경영실적_9월 경영실적_Sheet1" xfId="1424"/>
    <cellStyle name="_02-11-P002 서초 오피스텔신축전기공사_2006년 경영계획(안)_7월 경영실적_9월 경영실적_칼라매원" xfId="1425"/>
    <cellStyle name="_02-11-P002 서초 오피스텔신축전기공사_2006년 경영계획(안)_GI매원" xfId="1426"/>
    <cellStyle name="_02-11-P002 서초 오피스텔신축전기공사_2006년 경영계획(안)_Sheet1" xfId="1427"/>
    <cellStyle name="_02-11-P002 서초 오피스텔신축전기공사_2006년 경영계획(안)_칼라매원" xfId="1428"/>
    <cellStyle name="_02-11-P002 서초 오피스텔신축전기공사_2006년실적" xfId="171"/>
    <cellStyle name="_02-11-P002 서초 오피스텔신축전기공사_2006년실적_2007년도 경영계획" xfId="172"/>
    <cellStyle name="_02-11-P002 서초 오피스텔신축전기공사_2006년실적_2007년도 경영계획_GI 수정안" xfId="173"/>
    <cellStyle name="_02-11-P002 서초 오피스텔신축전기공사_2007년 판매계획(GI)" xfId="174"/>
    <cellStyle name="_02-11-P002 서초 오피스텔신축전기공사_2007년 판매계획(GI)_2007년도 경영계획" xfId="175"/>
    <cellStyle name="_02-11-P002 서초 오피스텔신축전기공사_2007년 판매계획(GI)_2007년도 경영계획_GI 수정안" xfId="176"/>
    <cellStyle name="_02-11-P002 서초 오피스텔신축전기공사_2007년판매계획(영업안)_영업2차확정안_20061103" xfId="177"/>
    <cellStyle name="_02-11-P002 서초 오피스텔신축전기공사_2007년판매계획(영업안)_영업2차확정안_20061103_2007년도 경영계획" xfId="178"/>
    <cellStyle name="_02-11-P002 서초 오피스텔신축전기공사_2007년판매계획(영업안)_영업2차확정안_20061103_2007년도 경영계획_GI 수정안" xfId="179"/>
    <cellStyle name="_02-11-P002 서초 오피스텔신축전기공사_2008년 도급비 지급현황" xfId="4343"/>
    <cellStyle name="_02-11-P002 서초 오피스텔신축전기공사_2008년 도급비 지급현황_2008년 도급비 지급현황" xfId="4338"/>
    <cellStyle name="_02-11-P002 서초 오피스텔신축전기공사_2008년 도급비 지급현황_2008년 도급비 지급현황_2008년 도급비 지급현황" xfId="4333"/>
    <cellStyle name="_02-11-P002 서초 오피스텔신축전기공사_2008년 도급비 지급현황_2008년 도급비 지급현황_2008년 도급비 지급현황_2009년 도급비 지급현황" xfId="4328"/>
    <cellStyle name="_02-11-P002 서초 오피스텔신축전기공사_2008년 도급비 지급현황_2009년 도급비 지급현황" xfId="4323"/>
    <cellStyle name="_02-11-P002 서초 오피스텔신축전기공사_5월 경영실적" xfId="1429"/>
    <cellStyle name="_02-11-P002 서초 오피스텔신축전기공사_6월 경영실적" xfId="1430"/>
    <cellStyle name="_02-11-P002 서초 오피스텔신축전기공사_7월 경영실적" xfId="1431"/>
    <cellStyle name="_02-11-P002 서초 오피스텔신축전기공사_7월 경영실적_9월 경영실적" xfId="1432"/>
    <cellStyle name="_02-11-P002 서초 오피스텔신축전기공사_7월 경영실적_9월 경영실적_12" xfId="1433"/>
    <cellStyle name="_02-11-P002 서초 오피스텔신축전기공사_7월 경영실적_9월 경영실적_5월 경영실적" xfId="1434"/>
    <cellStyle name="_02-11-P002 서초 오피스텔신축전기공사_7월 경영실적_9월 경영실적_6월 경영실적" xfId="1435"/>
    <cellStyle name="_02-11-P002 서초 오피스텔신축전기공사_7월 경영실적_9월 경영실적_7월 경영실적" xfId="1436"/>
    <cellStyle name="_02-11-P002 서초 오피스텔신축전기공사_7월 경영실적_9월 경영실적_GI매원" xfId="1437"/>
    <cellStyle name="_02-11-P002 서초 오피스텔신축전기공사_7월 경영실적_9월 경영실적_Sheet1" xfId="1438"/>
    <cellStyle name="_02-11-P002 서초 오피스텔신축전기공사_7월 경영실적_9월 경영실적_칼라매원" xfId="1439"/>
    <cellStyle name="_02-11-P002 서초 오피스텔신축전기공사_GI매원" xfId="1440"/>
    <cellStyle name="_02-11-P002 서초 오피스텔신축전기공사_Sheet1" xfId="1441"/>
    <cellStyle name="_02-11-P002 서초 오피스텔신축전기공사_칼라매원" xfId="1442"/>
    <cellStyle name="_03-03-P003-01 수도권 전기계장내역서" xfId="180"/>
    <cellStyle name="_06년판매계획(최종)" xfId="181"/>
    <cellStyle name="_06년판매계획(최종)_12" xfId="1443"/>
    <cellStyle name="_06년판매계획(최종)_2006년실적" xfId="182"/>
    <cellStyle name="_06년판매계획(최종)_2006년실적_2007년도 경영계획" xfId="183"/>
    <cellStyle name="_06년판매계획(최종)_2006년실적_2007년도 경영계획_GI 수정안" xfId="184"/>
    <cellStyle name="_06년판매계획(최종)_2007년 판매계획(GI)" xfId="185"/>
    <cellStyle name="_06년판매계획(최종)_2007년 판매계획(GI)_2007년도 경영계획" xfId="186"/>
    <cellStyle name="_06년판매계획(최종)_2007년 판매계획(GI)_2007년도 경영계획_GI 수정안" xfId="187"/>
    <cellStyle name="_06년판매계획(최종)_2007년판매계획(영업안)_영업2차확정안_20061103" xfId="188"/>
    <cellStyle name="_06년판매계획(최종)_2007년판매계획(영업안)_영업2차확정안_20061103_2007년도 경영계획" xfId="189"/>
    <cellStyle name="_06년판매계획(최종)_2007년판매계획(영업안)_영업2차확정안_20061103_2007년도 경영계획_GI 수정안" xfId="190"/>
    <cellStyle name="_06년판매계획(최종)_5월 경영실적" xfId="1444"/>
    <cellStyle name="_06년판매계획(최종)_6월 경영실적" xfId="1445"/>
    <cellStyle name="_06년판매계획(최종)_7월 경영실적" xfId="1446"/>
    <cellStyle name="_06년판매계획(최종)_7월 경영실적_9월 경영실적" xfId="1447"/>
    <cellStyle name="_06년판매계획(최종)_7월 경영실적_9월 경영실적_12" xfId="1448"/>
    <cellStyle name="_06년판매계획(최종)_7월 경영실적_9월 경영실적_5월 경영실적" xfId="1449"/>
    <cellStyle name="_06년판매계획(최종)_7월 경영실적_9월 경영실적_6월 경영실적" xfId="1450"/>
    <cellStyle name="_06년판매계획(최종)_7월 경영실적_9월 경영실적_7월 경영실적" xfId="1451"/>
    <cellStyle name="_06년판매계획(최종)_7월 경영실적_9월 경영실적_GI매원" xfId="1452"/>
    <cellStyle name="_06년판매계획(최종)_7월 경영실적_9월 경영실적_Sheet1" xfId="1453"/>
    <cellStyle name="_06년판매계획(최종)_7월 경영실적_9월 경영실적_칼라매원" xfId="1454"/>
    <cellStyle name="_06년판매계획(최종)_GI매원" xfId="1455"/>
    <cellStyle name="_06년판매계획(최종)_Sheet1" xfId="1456"/>
    <cellStyle name="_06년판매계획(최종)_칼라매원" xfId="1457"/>
    <cellStyle name="_07-02-P008 서초화재신축공사" xfId="191"/>
    <cellStyle name="_07-02-P008 서초화재신축공사_06년판매계획(최종)" xfId="192"/>
    <cellStyle name="_07-02-P008 서초화재신축공사_06년판매계획(최종)_12" xfId="1458"/>
    <cellStyle name="_07-02-P008 서초화재신축공사_06년판매계획(최종)_2006년실적" xfId="193"/>
    <cellStyle name="_07-02-P008 서초화재신축공사_06년판매계획(최종)_2006년실적_2007년도 경영계획" xfId="194"/>
    <cellStyle name="_07-02-P008 서초화재신축공사_06년판매계획(최종)_2006년실적_2007년도 경영계획_GI 수정안" xfId="195"/>
    <cellStyle name="_07-02-P008 서초화재신축공사_06년판매계획(최종)_2007년 판매계획(GI)" xfId="196"/>
    <cellStyle name="_07-02-P008 서초화재신축공사_06년판매계획(최종)_2007년 판매계획(GI)_2007년도 경영계획" xfId="197"/>
    <cellStyle name="_07-02-P008 서초화재신축공사_06년판매계획(최종)_2007년 판매계획(GI)_2007년도 경영계획_GI 수정안" xfId="198"/>
    <cellStyle name="_07-02-P008 서초화재신축공사_06년판매계획(최종)_2007년판매계획(영업안)_영업2차확정안_20061103" xfId="199"/>
    <cellStyle name="_07-02-P008 서초화재신축공사_06년판매계획(최종)_2007년판매계획(영업안)_영업2차확정안_20061103_2007년도 경영계획" xfId="200"/>
    <cellStyle name="_07-02-P008 서초화재신축공사_06년판매계획(최종)_2007년판매계획(영업안)_영업2차확정안_20061103_2007년도 경영계획_GI 수정안" xfId="201"/>
    <cellStyle name="_07-02-P008 서초화재신축공사_06년판매계획(최종)_5월 경영실적" xfId="1459"/>
    <cellStyle name="_07-02-P008 서초화재신축공사_06년판매계획(최종)_6월 경영실적" xfId="1460"/>
    <cellStyle name="_07-02-P008 서초화재신축공사_06년판매계획(최종)_7월 경영실적" xfId="1461"/>
    <cellStyle name="_07-02-P008 서초화재신축공사_06년판매계획(최종)_7월 경영실적_9월 경영실적" xfId="1462"/>
    <cellStyle name="_07-02-P008 서초화재신축공사_06년판매계획(최종)_7월 경영실적_9월 경영실적_12" xfId="1463"/>
    <cellStyle name="_07-02-P008 서초화재신축공사_06년판매계획(최종)_7월 경영실적_9월 경영실적_5월 경영실적" xfId="1464"/>
    <cellStyle name="_07-02-P008 서초화재신축공사_06년판매계획(최종)_7월 경영실적_9월 경영실적_6월 경영실적" xfId="1465"/>
    <cellStyle name="_07-02-P008 서초화재신축공사_06년판매계획(최종)_7월 경영실적_9월 경영실적_7월 경영실적" xfId="1466"/>
    <cellStyle name="_07-02-P008 서초화재신축공사_06년판매계획(최종)_7월 경영실적_9월 경영실적_GI매원" xfId="1467"/>
    <cellStyle name="_07-02-P008 서초화재신축공사_06년판매계획(최종)_7월 경영실적_9월 경영실적_Sheet1" xfId="1468"/>
    <cellStyle name="_07-02-P008 서초화재신축공사_06년판매계획(최종)_7월 경영실적_9월 경영실적_칼라매원" xfId="1469"/>
    <cellStyle name="_07-02-P008 서초화재신축공사_06년판매계획(최종)_GI매원" xfId="1470"/>
    <cellStyle name="_07-02-P008 서초화재신축공사_06년판매계획(최종)_Sheet1" xfId="1471"/>
    <cellStyle name="_07-02-P008 서초화재신축공사_06년판매계획(최종)_칼라매원" xfId="1472"/>
    <cellStyle name="_07-02-P008 서초화재신축공사_12" xfId="1473"/>
    <cellStyle name="_07-02-P008 서초화재신축공사_2006년 경영계획(1안)" xfId="202"/>
    <cellStyle name="_07-02-P008 서초화재신축공사_2006년 경영계획(1안)_12" xfId="1474"/>
    <cellStyle name="_07-02-P008 서초화재신축공사_2006년 경영계획(1안)_2006년실적" xfId="203"/>
    <cellStyle name="_07-02-P008 서초화재신축공사_2006년 경영계획(1안)_2006년실적_2007년도 경영계획" xfId="204"/>
    <cellStyle name="_07-02-P008 서초화재신축공사_2006년 경영계획(1안)_2006년실적_2007년도 경영계획_GI 수정안" xfId="205"/>
    <cellStyle name="_07-02-P008 서초화재신축공사_2006년 경영계획(1안)_2007년 판매계획(GI)" xfId="206"/>
    <cellStyle name="_07-02-P008 서초화재신축공사_2006년 경영계획(1안)_2007년 판매계획(GI)_2007년도 경영계획" xfId="207"/>
    <cellStyle name="_07-02-P008 서초화재신축공사_2006년 경영계획(1안)_2007년 판매계획(GI)_2007년도 경영계획_GI 수정안" xfId="208"/>
    <cellStyle name="_07-02-P008 서초화재신축공사_2006년 경영계획(1안)_2007년판매계획(영업안)_영업2차확정안_20061103" xfId="209"/>
    <cellStyle name="_07-02-P008 서초화재신축공사_2006년 경영계획(1안)_2007년판매계획(영업안)_영업2차확정안_20061103_2007년도 경영계획" xfId="210"/>
    <cellStyle name="_07-02-P008 서초화재신축공사_2006년 경영계획(1안)_2007년판매계획(영업안)_영업2차확정안_20061103_2007년도 경영계획_GI 수정안" xfId="211"/>
    <cellStyle name="_07-02-P008 서초화재신축공사_2006년 경영계획(1안)_5월 경영실적" xfId="1475"/>
    <cellStyle name="_07-02-P008 서초화재신축공사_2006년 경영계획(1안)_6월 경영실적" xfId="1476"/>
    <cellStyle name="_07-02-P008 서초화재신축공사_2006년 경영계획(1안)_7월 경영실적" xfId="1477"/>
    <cellStyle name="_07-02-P008 서초화재신축공사_2006년 경영계획(1안)_7월 경영실적_9월 경영실적" xfId="1478"/>
    <cellStyle name="_07-02-P008 서초화재신축공사_2006년 경영계획(1안)_7월 경영실적_9월 경영실적_12" xfId="1479"/>
    <cellStyle name="_07-02-P008 서초화재신축공사_2006년 경영계획(1안)_7월 경영실적_9월 경영실적_5월 경영실적" xfId="1480"/>
    <cellStyle name="_07-02-P008 서초화재신축공사_2006년 경영계획(1안)_7월 경영실적_9월 경영실적_6월 경영실적" xfId="1481"/>
    <cellStyle name="_07-02-P008 서초화재신축공사_2006년 경영계획(1안)_7월 경영실적_9월 경영실적_7월 경영실적" xfId="1482"/>
    <cellStyle name="_07-02-P008 서초화재신축공사_2006년 경영계획(1안)_7월 경영실적_9월 경영실적_GI매원" xfId="1483"/>
    <cellStyle name="_07-02-P008 서초화재신축공사_2006년 경영계획(1안)_7월 경영실적_9월 경영실적_Sheet1" xfId="1484"/>
    <cellStyle name="_07-02-P008 서초화재신축공사_2006년 경영계획(1안)_7월 경영실적_9월 경영실적_칼라매원" xfId="1485"/>
    <cellStyle name="_07-02-P008 서초화재신축공사_2006년 경영계획(1안)_GI매원" xfId="1486"/>
    <cellStyle name="_07-02-P008 서초화재신축공사_2006년 경영계획(1안)_Sheet1" xfId="1487"/>
    <cellStyle name="_07-02-P008 서초화재신축공사_2006년 경영계획(1안)_칼라매원" xfId="1488"/>
    <cellStyle name="_07-02-P008 서초화재신축공사_2006년 경영계획(안)" xfId="212"/>
    <cellStyle name="_07-02-P008 서초화재신축공사_2006년 경영계획(안)_12" xfId="1489"/>
    <cellStyle name="_07-02-P008 서초화재신축공사_2006년 경영계획(안)_2006년실적" xfId="213"/>
    <cellStyle name="_07-02-P008 서초화재신축공사_2006년 경영계획(안)_2006년실적_2007년도 경영계획" xfId="214"/>
    <cellStyle name="_07-02-P008 서초화재신축공사_2006년 경영계획(안)_2006년실적_2007년도 경영계획_GI 수정안" xfId="215"/>
    <cellStyle name="_07-02-P008 서초화재신축공사_2006년 경영계획(안)_2007년 판매계획(GI)" xfId="216"/>
    <cellStyle name="_07-02-P008 서초화재신축공사_2006년 경영계획(안)_2007년 판매계획(GI)_2007년도 경영계획" xfId="217"/>
    <cellStyle name="_07-02-P008 서초화재신축공사_2006년 경영계획(안)_2007년 판매계획(GI)_2007년도 경영계획_GI 수정안" xfId="218"/>
    <cellStyle name="_07-02-P008 서초화재신축공사_2006년 경영계획(안)_2007년판매계획(영업안)_영업2차확정안_20061103" xfId="219"/>
    <cellStyle name="_07-02-P008 서초화재신축공사_2006년 경영계획(안)_2007년판매계획(영업안)_영업2차확정안_20061103_2007년도 경영계획" xfId="220"/>
    <cellStyle name="_07-02-P008 서초화재신축공사_2006년 경영계획(안)_2007년판매계획(영업안)_영업2차확정안_20061103_2007년도 경영계획_GI 수정안" xfId="221"/>
    <cellStyle name="_07-02-P008 서초화재신축공사_2006년 경영계획(안)_5월 경영실적" xfId="1490"/>
    <cellStyle name="_07-02-P008 서초화재신축공사_2006년 경영계획(안)_6월 경영실적" xfId="1491"/>
    <cellStyle name="_07-02-P008 서초화재신축공사_2006년 경영계획(안)_7월 경영실적" xfId="1492"/>
    <cellStyle name="_07-02-P008 서초화재신축공사_2006년 경영계획(안)_7월 경영실적_9월 경영실적" xfId="1493"/>
    <cellStyle name="_07-02-P008 서초화재신축공사_2006년 경영계획(안)_7월 경영실적_9월 경영실적_12" xfId="1494"/>
    <cellStyle name="_07-02-P008 서초화재신축공사_2006년 경영계획(안)_7월 경영실적_9월 경영실적_5월 경영실적" xfId="1495"/>
    <cellStyle name="_07-02-P008 서초화재신축공사_2006년 경영계획(안)_7월 경영실적_9월 경영실적_6월 경영실적" xfId="1496"/>
    <cellStyle name="_07-02-P008 서초화재신축공사_2006년 경영계획(안)_7월 경영실적_9월 경영실적_7월 경영실적" xfId="1497"/>
    <cellStyle name="_07-02-P008 서초화재신축공사_2006년 경영계획(안)_7월 경영실적_9월 경영실적_GI매원" xfId="1498"/>
    <cellStyle name="_07-02-P008 서초화재신축공사_2006년 경영계획(안)_7월 경영실적_9월 경영실적_Sheet1" xfId="1499"/>
    <cellStyle name="_07-02-P008 서초화재신축공사_2006년 경영계획(안)_7월 경영실적_9월 경영실적_칼라매원" xfId="1500"/>
    <cellStyle name="_07-02-P008 서초화재신축공사_2006년 경영계획(안)_GI매원" xfId="1501"/>
    <cellStyle name="_07-02-P008 서초화재신축공사_2006년 경영계획(안)_Sheet1" xfId="1502"/>
    <cellStyle name="_07-02-P008 서초화재신축공사_2006년 경영계획(안)_칼라매원" xfId="1503"/>
    <cellStyle name="_07-02-P008 서초화재신축공사_2006년실적" xfId="222"/>
    <cellStyle name="_07-02-P008 서초화재신축공사_2006년실적_2007년도 경영계획" xfId="223"/>
    <cellStyle name="_07-02-P008 서초화재신축공사_2006년실적_2007년도 경영계획_GI 수정안" xfId="224"/>
    <cellStyle name="_07-02-P008 서초화재신축공사_2007년 판매계획(GI)" xfId="225"/>
    <cellStyle name="_07-02-P008 서초화재신축공사_2007년 판매계획(GI)_2007년도 경영계획" xfId="226"/>
    <cellStyle name="_07-02-P008 서초화재신축공사_2007년 판매계획(GI)_2007년도 경영계획_GI 수정안" xfId="227"/>
    <cellStyle name="_07-02-P008 서초화재신축공사_2007년판매계획(영업안)_영업2차확정안_20061103" xfId="228"/>
    <cellStyle name="_07-02-P008 서초화재신축공사_2007년판매계획(영업안)_영업2차확정안_20061103_2007년도 경영계획" xfId="229"/>
    <cellStyle name="_07-02-P008 서초화재신축공사_2007년판매계획(영업안)_영업2차확정안_20061103_2007년도 경영계획_GI 수정안" xfId="230"/>
    <cellStyle name="_07-02-P008 서초화재신축공사_2008년 도급비 지급현황" xfId="4318"/>
    <cellStyle name="_07-02-P008 서초화재신축공사_2008년 도급비 지급현황_2008년 도급비 지급현황" xfId="4317"/>
    <cellStyle name="_07-02-P008 서초화재신축공사_2008년 도급비 지급현황_2008년 도급비 지급현황_2008년 도급비 지급현황" xfId="4316"/>
    <cellStyle name="_07-02-P008 서초화재신축공사_2008년 도급비 지급현황_2008년 도급비 지급현황_2008년 도급비 지급현황_2009년 도급비 지급현황" xfId="4315"/>
    <cellStyle name="_07-02-P008 서초화재신축공사_2008년 도급비 지급현황_2009년 도급비 지급현황" xfId="4314"/>
    <cellStyle name="_07-02-P008 서초화재신축공사_5월 경영실적" xfId="1504"/>
    <cellStyle name="_07-02-P008 서초화재신축공사_6월 경영실적" xfId="1505"/>
    <cellStyle name="_07-02-P008 서초화재신축공사_7월 경영실적" xfId="1506"/>
    <cellStyle name="_07-02-P008 서초화재신축공사_7월 경영실적_9월 경영실적" xfId="1507"/>
    <cellStyle name="_07-02-P008 서초화재신축공사_7월 경영실적_9월 경영실적_12" xfId="1508"/>
    <cellStyle name="_07-02-P008 서초화재신축공사_7월 경영실적_9월 경영실적_5월 경영실적" xfId="1509"/>
    <cellStyle name="_07-02-P008 서초화재신축공사_7월 경영실적_9월 경영실적_6월 경영실적" xfId="1510"/>
    <cellStyle name="_07-02-P008 서초화재신축공사_7월 경영실적_9월 경영실적_7월 경영실적" xfId="1511"/>
    <cellStyle name="_07-02-P008 서초화재신축공사_7월 경영실적_9월 경영실적_GI매원" xfId="1512"/>
    <cellStyle name="_07-02-P008 서초화재신축공사_7월 경영실적_9월 경영실적_Sheet1" xfId="1513"/>
    <cellStyle name="_07-02-P008 서초화재신축공사_7월 경영실적_9월 경영실적_칼라매원" xfId="1514"/>
    <cellStyle name="_07-02-P008 서초화재신축공사_GI매원" xfId="1515"/>
    <cellStyle name="_07-02-P008 서초화재신축공사_Sheet1" xfId="1516"/>
    <cellStyle name="_07-02-P008 서초화재신축공사_칼라매원" xfId="1517"/>
    <cellStyle name="_08년 판재사업본부예산_품의" xfId="4313"/>
    <cellStyle name="_09년판재예산집계표_LIM" xfId="4312"/>
    <cellStyle name="_12" xfId="1518"/>
    <cellStyle name="_2006년 경영계획(1안)" xfId="231"/>
    <cellStyle name="_2006년 경영계획(1안)_12" xfId="1519"/>
    <cellStyle name="_2006년 경영계획(1안)_2006년실적" xfId="232"/>
    <cellStyle name="_2006년 경영계획(1안)_2006년실적_2007년도 경영계획" xfId="233"/>
    <cellStyle name="_2006년 경영계획(1안)_2006년실적_2007년도 경영계획_GI 수정안" xfId="234"/>
    <cellStyle name="_2006년 경영계획(1안)_2007년 판매계획(GI)" xfId="235"/>
    <cellStyle name="_2006년 경영계획(1안)_2007년 판매계획(GI)_2007년도 경영계획" xfId="236"/>
    <cellStyle name="_2006년 경영계획(1안)_2007년 판매계획(GI)_2007년도 경영계획_GI 수정안" xfId="237"/>
    <cellStyle name="_2006년 경영계획(1안)_2007년판매계획(영업안)_영업2차확정안_20061103" xfId="238"/>
    <cellStyle name="_2006년 경영계획(1안)_2007년판매계획(영업안)_영업2차확정안_20061103_2007년도 경영계획" xfId="239"/>
    <cellStyle name="_2006년 경영계획(1안)_2007년판매계획(영업안)_영업2차확정안_20061103_2007년도 경영계획_GI 수정안" xfId="240"/>
    <cellStyle name="_2006년 경영계획(1안)_5월 경영실적" xfId="1520"/>
    <cellStyle name="_2006년 경영계획(1안)_6월 경영실적" xfId="1521"/>
    <cellStyle name="_2006년 경영계획(1안)_7월 경영실적" xfId="1522"/>
    <cellStyle name="_2006년 경영계획(1안)_7월 경영실적_9월 경영실적" xfId="1523"/>
    <cellStyle name="_2006년 경영계획(1안)_7월 경영실적_9월 경영실적_12" xfId="1524"/>
    <cellStyle name="_2006년 경영계획(1안)_7월 경영실적_9월 경영실적_5월 경영실적" xfId="1525"/>
    <cellStyle name="_2006년 경영계획(1안)_7월 경영실적_9월 경영실적_6월 경영실적" xfId="1526"/>
    <cellStyle name="_2006년 경영계획(1안)_7월 경영실적_9월 경영실적_7월 경영실적" xfId="1527"/>
    <cellStyle name="_2006년 경영계획(1안)_7월 경영실적_9월 경영실적_GI매원" xfId="1528"/>
    <cellStyle name="_2006년 경영계획(1안)_7월 경영실적_9월 경영실적_Sheet1" xfId="1529"/>
    <cellStyle name="_2006년 경영계획(1안)_7월 경영실적_9월 경영실적_칼라매원" xfId="1530"/>
    <cellStyle name="_2006년 경영계획(1안)_GI매원" xfId="1531"/>
    <cellStyle name="_2006년 경영계획(1안)_Sheet1" xfId="1532"/>
    <cellStyle name="_2006년 경영계획(1안)_칼라매원" xfId="1533"/>
    <cellStyle name="_2006년 경영계획(안)" xfId="241"/>
    <cellStyle name="_2006년 경영계획(안)_12" xfId="1534"/>
    <cellStyle name="_2006년 경영계획(안)_2006년실적" xfId="242"/>
    <cellStyle name="_2006년 경영계획(안)_2006년실적_2007년도 경영계획" xfId="243"/>
    <cellStyle name="_2006년 경영계획(안)_2006년실적_2007년도 경영계획_GI 수정안" xfId="244"/>
    <cellStyle name="_2006년 경영계획(안)_2007년 판매계획(GI)" xfId="245"/>
    <cellStyle name="_2006년 경영계획(안)_2007년 판매계획(GI)_2007년도 경영계획" xfId="246"/>
    <cellStyle name="_2006년 경영계획(안)_2007년 판매계획(GI)_2007년도 경영계획_GI 수정안" xfId="247"/>
    <cellStyle name="_2006년 경영계획(안)_2007년판매계획(영업안)_영업2차확정안_20061103" xfId="248"/>
    <cellStyle name="_2006년 경영계획(안)_2007년판매계획(영업안)_영업2차확정안_20061103_2007년도 경영계획" xfId="249"/>
    <cellStyle name="_2006년 경영계획(안)_2007년판매계획(영업안)_영업2차확정안_20061103_2007년도 경영계획_GI 수정안" xfId="250"/>
    <cellStyle name="_2006년 경영계획(안)_5월 경영실적" xfId="1535"/>
    <cellStyle name="_2006년 경영계획(안)_6월 경영실적" xfId="1536"/>
    <cellStyle name="_2006년 경영계획(안)_7월 경영실적" xfId="1537"/>
    <cellStyle name="_2006년 경영계획(안)_7월 경영실적_9월 경영실적" xfId="1538"/>
    <cellStyle name="_2006년 경영계획(안)_7월 경영실적_9월 경영실적_12" xfId="1539"/>
    <cellStyle name="_2006년 경영계획(안)_7월 경영실적_9월 경영실적_5월 경영실적" xfId="1540"/>
    <cellStyle name="_2006년 경영계획(안)_7월 경영실적_9월 경영실적_6월 경영실적" xfId="1541"/>
    <cellStyle name="_2006년 경영계획(안)_7월 경영실적_9월 경영실적_7월 경영실적" xfId="1542"/>
    <cellStyle name="_2006년 경영계획(안)_7월 경영실적_9월 경영실적_GI매원" xfId="1543"/>
    <cellStyle name="_2006년 경영계획(안)_7월 경영실적_9월 경영실적_Sheet1" xfId="1544"/>
    <cellStyle name="_2006년 경영계획(안)_7월 경영실적_9월 경영실적_칼라매원" xfId="1545"/>
    <cellStyle name="_2006년 경영계획(안)_GI매원" xfId="1546"/>
    <cellStyle name="_2006년 경영계획(안)_Sheet1" xfId="1547"/>
    <cellStyle name="_2006년 경영계획(안)_칼라매원" xfId="1548"/>
    <cellStyle name="_2006년실적" xfId="251"/>
    <cellStyle name="_2006년실적_2007년도 경영계획" xfId="252"/>
    <cellStyle name="_2006년실적_2007년도 경영계획_GI 수정안" xfId="253"/>
    <cellStyle name="_2007년 판매계획(GI)" xfId="254"/>
    <cellStyle name="_2007년 판매계획(GI)_2007년도 경영계획" xfId="255"/>
    <cellStyle name="_2007년 판매계획(GI)_2007년도 경영계획_GI 수정안" xfId="256"/>
    <cellStyle name="_2007년판매계획(영업안)_영업2차확정안_20061103" xfId="257"/>
    <cellStyle name="_2007년판매계획(영업안)_영업2차확정안_20061103_2007년도 경영계획" xfId="258"/>
    <cellStyle name="_2007년판매계획(영업안)_영업2차확정안_20061103_2007년도 경영계획_GI 수정안" xfId="259"/>
    <cellStyle name="_2008년 도급비 지급현황" xfId="4306"/>
    <cellStyle name="_2008년 도급비 지급현황_2008년 도급비 지급현황" xfId="4305"/>
    <cellStyle name="_2008년 도급비 지급현황_2008년 도급비 지급현황_2008년 도급비 지급현황" xfId="4299"/>
    <cellStyle name="_2008년 도급비 지급현황_2008년 도급비 지급현황_2008년 도급비 지급현황_2009년 도급비 지급현황" xfId="4298"/>
    <cellStyle name="_2008년 도급비 지급현황_2009년 도급비 지급현황" xfId="4297"/>
    <cellStyle name="_2009년 예산편성안(최종)" xfId="4296"/>
    <cellStyle name="_2009예산실적" xfId="4295"/>
    <cellStyle name="_2009예산편성_창원업무지원팀" xfId="4294"/>
    <cellStyle name="_2010 군산 예산" xfId="4293"/>
    <cellStyle name="_2010년 예산편성안(최종)" xfId="4292"/>
    <cellStyle name="_3_2009년 예산편성" xfId="4291"/>
    <cellStyle name="_3_2009년 예산편성(국)" xfId="4290"/>
    <cellStyle name="_3-8.동력산출서" xfId="260"/>
    <cellStyle name="_3-8.동력산출서_06년판매계획(최종)" xfId="261"/>
    <cellStyle name="_3-8.동력산출서_06년판매계획(최종)_12" xfId="1549"/>
    <cellStyle name="_3-8.동력산출서_06년판매계획(최종)_2006년실적" xfId="262"/>
    <cellStyle name="_3-8.동력산출서_06년판매계획(최종)_2006년실적_2007년도 경영계획" xfId="263"/>
    <cellStyle name="_3-8.동력산출서_06년판매계획(최종)_2006년실적_2007년도 경영계획_GI 수정안" xfId="264"/>
    <cellStyle name="_3-8.동력산출서_06년판매계획(최종)_2007년 판매계획(GI)" xfId="265"/>
    <cellStyle name="_3-8.동력산출서_06년판매계획(최종)_2007년 판매계획(GI)_2007년도 경영계획" xfId="266"/>
    <cellStyle name="_3-8.동력산출서_06년판매계획(최종)_2007년 판매계획(GI)_2007년도 경영계획_GI 수정안" xfId="267"/>
    <cellStyle name="_3-8.동력산출서_06년판매계획(최종)_2007년판매계획(영업안)_영업2차확정안_20061103" xfId="268"/>
    <cellStyle name="_3-8.동력산출서_06년판매계획(최종)_2007년판매계획(영업안)_영업2차확정안_20061103_2007년도 경영계획" xfId="269"/>
    <cellStyle name="_3-8.동력산출서_06년판매계획(최종)_2007년판매계획(영업안)_영업2차확정안_20061103_2007년도 경영계획_GI 수정안" xfId="270"/>
    <cellStyle name="_3-8.동력산출서_06년판매계획(최종)_5월 경영실적" xfId="1550"/>
    <cellStyle name="_3-8.동력산출서_06년판매계획(최종)_6월 경영실적" xfId="1551"/>
    <cellStyle name="_3-8.동력산출서_06년판매계획(최종)_7월 경영실적" xfId="1552"/>
    <cellStyle name="_3-8.동력산출서_06년판매계획(최종)_7월 경영실적_9월 경영실적" xfId="1553"/>
    <cellStyle name="_3-8.동력산출서_06년판매계획(최종)_7월 경영실적_9월 경영실적_12" xfId="1554"/>
    <cellStyle name="_3-8.동력산출서_06년판매계획(최종)_7월 경영실적_9월 경영실적_5월 경영실적" xfId="1555"/>
    <cellStyle name="_3-8.동력산출서_06년판매계획(최종)_7월 경영실적_9월 경영실적_6월 경영실적" xfId="1556"/>
    <cellStyle name="_3-8.동력산출서_06년판매계획(최종)_7월 경영실적_9월 경영실적_7월 경영실적" xfId="1557"/>
    <cellStyle name="_3-8.동력산출서_06년판매계획(최종)_7월 경영실적_9월 경영실적_GI매원" xfId="1558"/>
    <cellStyle name="_3-8.동력산출서_06년판매계획(최종)_7월 경영실적_9월 경영실적_Sheet1" xfId="1559"/>
    <cellStyle name="_3-8.동력산출서_06년판매계획(최종)_7월 경영실적_9월 경영실적_칼라매원" xfId="1560"/>
    <cellStyle name="_3-8.동력산출서_06년판매계획(최종)_GI매원" xfId="1561"/>
    <cellStyle name="_3-8.동력산출서_06년판매계획(최종)_Sheet1" xfId="1562"/>
    <cellStyle name="_3-8.동력산출서_06년판매계획(최종)_칼라매원" xfId="1563"/>
    <cellStyle name="_3-8.동력산출서_12" xfId="1564"/>
    <cellStyle name="_3-8.동력산출서_2006년 경영계획(1안)" xfId="271"/>
    <cellStyle name="_3-8.동력산출서_2006년 경영계획(1안)_12" xfId="1565"/>
    <cellStyle name="_3-8.동력산출서_2006년 경영계획(1안)_2006년실적" xfId="272"/>
    <cellStyle name="_3-8.동력산출서_2006년 경영계획(1안)_2006년실적_2007년도 경영계획" xfId="273"/>
    <cellStyle name="_3-8.동력산출서_2006년 경영계획(1안)_2006년실적_2007년도 경영계획_GI 수정안" xfId="274"/>
    <cellStyle name="_3-8.동력산출서_2006년 경영계획(1안)_2007년 판매계획(GI)" xfId="275"/>
    <cellStyle name="_3-8.동력산출서_2006년 경영계획(1안)_2007년 판매계획(GI)_2007년도 경영계획" xfId="276"/>
    <cellStyle name="_3-8.동력산출서_2006년 경영계획(1안)_2007년 판매계획(GI)_2007년도 경영계획_GI 수정안" xfId="277"/>
    <cellStyle name="_3-8.동력산출서_2006년 경영계획(1안)_2007년판매계획(영업안)_영업2차확정안_20061103" xfId="278"/>
    <cellStyle name="_3-8.동력산출서_2006년 경영계획(1안)_2007년판매계획(영업안)_영업2차확정안_20061103_2007년도 경영계획" xfId="279"/>
    <cellStyle name="_3-8.동력산출서_2006년 경영계획(1안)_2007년판매계획(영업안)_영업2차확정안_20061103_2007년도 경영계획_GI 수정안" xfId="280"/>
    <cellStyle name="_3-8.동력산출서_2006년 경영계획(1안)_5월 경영실적" xfId="1566"/>
    <cellStyle name="_3-8.동력산출서_2006년 경영계획(1안)_6월 경영실적" xfId="1567"/>
    <cellStyle name="_3-8.동력산출서_2006년 경영계획(1안)_7월 경영실적" xfId="1568"/>
    <cellStyle name="_3-8.동력산출서_2006년 경영계획(1안)_7월 경영실적_9월 경영실적" xfId="1569"/>
    <cellStyle name="_3-8.동력산출서_2006년 경영계획(1안)_7월 경영실적_9월 경영실적_12" xfId="1570"/>
    <cellStyle name="_3-8.동력산출서_2006년 경영계획(1안)_7월 경영실적_9월 경영실적_5월 경영실적" xfId="1571"/>
    <cellStyle name="_3-8.동력산출서_2006년 경영계획(1안)_7월 경영실적_9월 경영실적_6월 경영실적" xfId="1572"/>
    <cellStyle name="_3-8.동력산출서_2006년 경영계획(1안)_7월 경영실적_9월 경영실적_7월 경영실적" xfId="1573"/>
    <cellStyle name="_3-8.동력산출서_2006년 경영계획(1안)_7월 경영실적_9월 경영실적_GI매원" xfId="1574"/>
    <cellStyle name="_3-8.동력산출서_2006년 경영계획(1안)_7월 경영실적_9월 경영실적_Sheet1" xfId="1575"/>
    <cellStyle name="_3-8.동력산출서_2006년 경영계획(1안)_7월 경영실적_9월 경영실적_칼라매원" xfId="1576"/>
    <cellStyle name="_3-8.동력산출서_2006년 경영계획(1안)_GI매원" xfId="1577"/>
    <cellStyle name="_3-8.동력산출서_2006년 경영계획(1안)_Sheet1" xfId="1578"/>
    <cellStyle name="_3-8.동력산출서_2006년 경영계획(1안)_칼라매원" xfId="1579"/>
    <cellStyle name="_3-8.동력산출서_2006년 경영계획(안)" xfId="281"/>
    <cellStyle name="_3-8.동력산출서_2006년 경영계획(안)_12" xfId="1580"/>
    <cellStyle name="_3-8.동력산출서_2006년 경영계획(안)_2006년실적" xfId="282"/>
    <cellStyle name="_3-8.동력산출서_2006년 경영계획(안)_2006년실적_2007년도 경영계획" xfId="283"/>
    <cellStyle name="_3-8.동력산출서_2006년 경영계획(안)_2006년실적_2007년도 경영계획_GI 수정안" xfId="284"/>
    <cellStyle name="_3-8.동력산출서_2006년 경영계획(안)_2007년 판매계획(GI)" xfId="285"/>
    <cellStyle name="_3-8.동력산출서_2006년 경영계획(안)_2007년 판매계획(GI)_2007년도 경영계획" xfId="286"/>
    <cellStyle name="_3-8.동력산출서_2006년 경영계획(안)_2007년 판매계획(GI)_2007년도 경영계획_GI 수정안" xfId="287"/>
    <cellStyle name="_3-8.동력산출서_2006년 경영계획(안)_2007년판매계획(영업안)_영업2차확정안_20061103" xfId="288"/>
    <cellStyle name="_3-8.동력산출서_2006년 경영계획(안)_2007년판매계획(영업안)_영업2차확정안_20061103_2007년도 경영계획" xfId="289"/>
    <cellStyle name="_3-8.동력산출서_2006년 경영계획(안)_2007년판매계획(영업안)_영업2차확정안_20061103_2007년도 경영계획_GI 수정안" xfId="290"/>
    <cellStyle name="_3-8.동력산출서_2006년 경영계획(안)_5월 경영실적" xfId="1581"/>
    <cellStyle name="_3-8.동력산출서_2006년 경영계획(안)_6월 경영실적" xfId="1582"/>
    <cellStyle name="_3-8.동력산출서_2006년 경영계획(안)_7월 경영실적" xfId="1583"/>
    <cellStyle name="_3-8.동력산출서_2006년 경영계획(안)_7월 경영실적_9월 경영실적" xfId="1584"/>
    <cellStyle name="_3-8.동력산출서_2006년 경영계획(안)_7월 경영실적_9월 경영실적_12" xfId="1585"/>
    <cellStyle name="_3-8.동력산출서_2006년 경영계획(안)_7월 경영실적_9월 경영실적_5월 경영실적" xfId="1586"/>
    <cellStyle name="_3-8.동력산출서_2006년 경영계획(안)_7월 경영실적_9월 경영실적_6월 경영실적" xfId="1587"/>
    <cellStyle name="_3-8.동력산출서_2006년 경영계획(안)_7월 경영실적_9월 경영실적_7월 경영실적" xfId="1588"/>
    <cellStyle name="_3-8.동력산출서_2006년 경영계획(안)_7월 경영실적_9월 경영실적_GI매원" xfId="1589"/>
    <cellStyle name="_3-8.동력산출서_2006년 경영계획(안)_7월 경영실적_9월 경영실적_Sheet1" xfId="1590"/>
    <cellStyle name="_3-8.동력산출서_2006년 경영계획(안)_7월 경영실적_9월 경영실적_칼라매원" xfId="1591"/>
    <cellStyle name="_3-8.동력산출서_2006년 경영계획(안)_GI매원" xfId="1592"/>
    <cellStyle name="_3-8.동력산출서_2006년 경영계획(안)_Sheet1" xfId="1593"/>
    <cellStyle name="_3-8.동력산출서_2006년 경영계획(안)_칼라매원" xfId="1594"/>
    <cellStyle name="_3-8.동력산출서_2006년실적" xfId="291"/>
    <cellStyle name="_3-8.동력산출서_2006년실적_2007년도 경영계획" xfId="292"/>
    <cellStyle name="_3-8.동력산출서_2006년실적_2007년도 경영계획_GI 수정안" xfId="293"/>
    <cellStyle name="_3-8.동력산출서_2007년 판매계획(GI)" xfId="294"/>
    <cellStyle name="_3-8.동력산출서_2007년 판매계획(GI)_2007년도 경영계획" xfId="295"/>
    <cellStyle name="_3-8.동력산출서_2007년 판매계획(GI)_2007년도 경영계획_GI 수정안" xfId="296"/>
    <cellStyle name="_3-8.동력산출서_2007년판매계획(영업안)_영업2차확정안_20061103" xfId="297"/>
    <cellStyle name="_3-8.동력산출서_2007년판매계획(영업안)_영업2차확정안_20061103_2007년도 경영계획" xfId="298"/>
    <cellStyle name="_3-8.동력산출서_2007년판매계획(영업안)_영업2차확정안_20061103_2007년도 경영계획_GI 수정안" xfId="299"/>
    <cellStyle name="_3-8.동력산출서_2008년 도급비 지급현황" xfId="4289"/>
    <cellStyle name="_3-8.동력산출서_2008년 도급비 지급현황_2008년 도급비 지급현황" xfId="4288"/>
    <cellStyle name="_3-8.동력산출서_2008년 도급비 지급현황_2008년 도급비 지급현황_2008년 도급비 지급현황" xfId="4287"/>
    <cellStyle name="_3-8.동력산출서_2008년 도급비 지급현황_2008년 도급비 지급현황_2008년 도급비 지급현황_2009년 도급비 지급현황" xfId="4286"/>
    <cellStyle name="_3-8.동력산출서_2008년 도급비 지급현황_2009년 도급비 지급현황" xfId="4285"/>
    <cellStyle name="_3-8.동력산출서_5월 경영실적" xfId="1595"/>
    <cellStyle name="_3-8.동력산출서_6월 경영실적" xfId="1596"/>
    <cellStyle name="_3-8.동력산출서_7월 경영실적" xfId="1597"/>
    <cellStyle name="_3-8.동력산출서_7월 경영실적_9월 경영실적" xfId="1598"/>
    <cellStyle name="_3-8.동력산출서_7월 경영실적_9월 경영실적_12" xfId="1599"/>
    <cellStyle name="_3-8.동력산출서_7월 경영실적_9월 경영실적_5월 경영실적" xfId="1600"/>
    <cellStyle name="_3-8.동력산출서_7월 경영실적_9월 경영실적_6월 경영실적" xfId="1601"/>
    <cellStyle name="_3-8.동력산출서_7월 경영실적_9월 경영실적_7월 경영실적" xfId="1602"/>
    <cellStyle name="_3-8.동력산출서_7월 경영실적_9월 경영실적_GI매원" xfId="1603"/>
    <cellStyle name="_3-8.동력산출서_7월 경영실적_9월 경영실적_Sheet1" xfId="1604"/>
    <cellStyle name="_3-8.동력산출서_7월 경영실적_9월 경영실적_칼라매원" xfId="1605"/>
    <cellStyle name="_3-8.동력산출서_GI매원" xfId="1606"/>
    <cellStyle name="_3-8.동력산출서_Sheet1" xfId="1607"/>
    <cellStyle name="_3-8.동력산출서_칼라매원" xfId="1608"/>
    <cellStyle name="_4_1 2008 운영예산편성" xfId="4276"/>
    <cellStyle name="_5월 경영실적" xfId="1609"/>
    <cellStyle name="_6월 경영실적" xfId="1610"/>
    <cellStyle name="_7월 경영실적" xfId="1611"/>
    <cellStyle name="_7월 경영실적_9월 경영실적" xfId="1612"/>
    <cellStyle name="_7월 경영실적_9월 경영실적_12" xfId="1613"/>
    <cellStyle name="_7월 경영실적_9월 경영실적_5월 경영실적" xfId="1614"/>
    <cellStyle name="_7월 경영실적_9월 경영실적_6월 경영실적" xfId="1615"/>
    <cellStyle name="_7월 경영실적_9월 경영실적_7월 경영실적" xfId="1616"/>
    <cellStyle name="_7월 경영실적_9월 경영실적_GI매원" xfId="1617"/>
    <cellStyle name="_7월 경영실적_9월 경영실적_Sheet1" xfId="1618"/>
    <cellStyle name="_7월 경영실적_9월 경영실적_칼라매원" xfId="1619"/>
    <cellStyle name="_8월" xfId="300"/>
    <cellStyle name="_8월_1_2010년 예산편성_판재_태원이" xfId="4274"/>
    <cellStyle name="_8월_2010 군산 예산" xfId="4273"/>
    <cellStyle name="_Book1" xfId="951"/>
    <cellStyle name="_CGL0604월분석" xfId="952"/>
    <cellStyle name="_CGL0605월분석" xfId="953"/>
    <cellStyle name="_CGL0606월분석" xfId="954"/>
    <cellStyle name="_CGL0607월분석" xfId="955"/>
    <cellStyle name="_CGL0608월분석" xfId="956"/>
    <cellStyle name="_GI매원" xfId="1620"/>
    <cellStyle name="_H001 울산 E-MART 신축공사" xfId="957"/>
    <cellStyle name="_H002 남양주 양지리 쌍용아파트 신축공사" xfId="958"/>
    <cellStyle name="_H002 남양주 양지리 쌍용아파트 신축공사_06년판매계획(최종)" xfId="959"/>
    <cellStyle name="_H002 남양주 양지리 쌍용아파트 신축공사_06년판매계획(최종)_12" xfId="1621"/>
    <cellStyle name="_H002 남양주 양지리 쌍용아파트 신축공사_06년판매계획(최종)_2006년실적" xfId="960"/>
    <cellStyle name="_H002 남양주 양지리 쌍용아파트 신축공사_06년판매계획(최종)_2006년실적_2007년도 경영계획" xfId="961"/>
    <cellStyle name="_H002 남양주 양지리 쌍용아파트 신축공사_06년판매계획(최종)_2006년실적_2007년도 경영계획_GI 수정안" xfId="962"/>
    <cellStyle name="_H002 남양주 양지리 쌍용아파트 신축공사_06년판매계획(최종)_2007년 판매계획(GI)" xfId="963"/>
    <cellStyle name="_H002 남양주 양지리 쌍용아파트 신축공사_06년판매계획(최종)_2007년 판매계획(GI)_2007년도 경영계획" xfId="964"/>
    <cellStyle name="_H002 남양주 양지리 쌍용아파트 신축공사_06년판매계획(최종)_2007년 판매계획(GI)_2007년도 경영계획_GI 수정안" xfId="965"/>
    <cellStyle name="_H002 남양주 양지리 쌍용아파트 신축공사_06년판매계획(최종)_2007년판매계획(영업안)_영업2차확정안_20061103" xfId="966"/>
    <cellStyle name="_H002 남양주 양지리 쌍용아파트 신축공사_06년판매계획(최종)_2007년판매계획(영업안)_영업2차확정안_20061103_2007년도 경영계획" xfId="967"/>
    <cellStyle name="_H002 남양주 양지리 쌍용아파트 신축공사_06년판매계획(최종)_2007년판매계획(영업안)_영업2차확정안_20061103_2007년도 경영계획_GI 수정안" xfId="968"/>
    <cellStyle name="_H002 남양주 양지리 쌍용아파트 신축공사_06년판매계획(최종)_5월 경영실적" xfId="1622"/>
    <cellStyle name="_H002 남양주 양지리 쌍용아파트 신축공사_06년판매계획(최종)_6월 경영실적" xfId="1623"/>
    <cellStyle name="_H002 남양주 양지리 쌍용아파트 신축공사_06년판매계획(최종)_7월 경영실적" xfId="1624"/>
    <cellStyle name="_H002 남양주 양지리 쌍용아파트 신축공사_06년판매계획(최종)_7월 경영실적_9월 경영실적" xfId="1625"/>
    <cellStyle name="_H002 남양주 양지리 쌍용아파트 신축공사_06년판매계획(최종)_7월 경영실적_9월 경영실적_12" xfId="1626"/>
    <cellStyle name="_H002 남양주 양지리 쌍용아파트 신축공사_06년판매계획(최종)_7월 경영실적_9월 경영실적_5월 경영실적" xfId="1627"/>
    <cellStyle name="_H002 남양주 양지리 쌍용아파트 신축공사_06년판매계획(최종)_7월 경영실적_9월 경영실적_6월 경영실적" xfId="1628"/>
    <cellStyle name="_H002 남양주 양지리 쌍용아파트 신축공사_06년판매계획(최종)_7월 경영실적_9월 경영실적_7월 경영실적" xfId="1629"/>
    <cellStyle name="_H002 남양주 양지리 쌍용아파트 신축공사_06년판매계획(최종)_7월 경영실적_9월 경영실적_GI매원" xfId="1630"/>
    <cellStyle name="_H002 남양주 양지리 쌍용아파트 신축공사_06년판매계획(최종)_7월 경영실적_9월 경영실적_Sheet1" xfId="1631"/>
    <cellStyle name="_H002 남양주 양지리 쌍용아파트 신축공사_06년판매계획(최종)_7월 경영실적_9월 경영실적_칼라매원" xfId="1632"/>
    <cellStyle name="_H002 남양주 양지리 쌍용아파트 신축공사_06년판매계획(최종)_GI매원" xfId="1633"/>
    <cellStyle name="_H002 남양주 양지리 쌍용아파트 신축공사_06년판매계획(최종)_Sheet1" xfId="1634"/>
    <cellStyle name="_H002 남양주 양지리 쌍용아파트 신축공사_06년판매계획(최종)_칼라매원" xfId="1635"/>
    <cellStyle name="_H002 남양주 양지리 쌍용아파트 신축공사_12" xfId="1636"/>
    <cellStyle name="_H002 남양주 양지리 쌍용아파트 신축공사_2006년 경영계획(1안)" xfId="969"/>
    <cellStyle name="_H002 남양주 양지리 쌍용아파트 신축공사_2006년 경영계획(1안)_12" xfId="1637"/>
    <cellStyle name="_H002 남양주 양지리 쌍용아파트 신축공사_2006년 경영계획(1안)_2006년실적" xfId="970"/>
    <cellStyle name="_H002 남양주 양지리 쌍용아파트 신축공사_2006년 경영계획(1안)_2006년실적_2007년도 경영계획" xfId="971"/>
    <cellStyle name="_H002 남양주 양지리 쌍용아파트 신축공사_2006년 경영계획(1안)_2006년실적_2007년도 경영계획_GI 수정안" xfId="972"/>
    <cellStyle name="_H002 남양주 양지리 쌍용아파트 신축공사_2006년 경영계획(1안)_2007년 판매계획(GI)" xfId="973"/>
    <cellStyle name="_H002 남양주 양지리 쌍용아파트 신축공사_2006년 경영계획(1안)_2007년 판매계획(GI)_2007년도 경영계획" xfId="974"/>
    <cellStyle name="_H002 남양주 양지리 쌍용아파트 신축공사_2006년 경영계획(1안)_2007년 판매계획(GI)_2007년도 경영계획_GI 수정안" xfId="975"/>
    <cellStyle name="_H002 남양주 양지리 쌍용아파트 신축공사_2006년 경영계획(1안)_2007년판매계획(영업안)_영업2차확정안_20061103" xfId="976"/>
    <cellStyle name="_H002 남양주 양지리 쌍용아파트 신축공사_2006년 경영계획(1안)_2007년판매계획(영업안)_영업2차확정안_20061103_2007년도 경영계획" xfId="977"/>
    <cellStyle name="_H002 남양주 양지리 쌍용아파트 신축공사_2006년 경영계획(1안)_2007년판매계획(영업안)_영업2차확정안_20061103_2007년도 경영계획_GI 수정안" xfId="978"/>
    <cellStyle name="_H002 남양주 양지리 쌍용아파트 신축공사_2006년 경영계획(1안)_5월 경영실적" xfId="1638"/>
    <cellStyle name="_H002 남양주 양지리 쌍용아파트 신축공사_2006년 경영계획(1안)_6월 경영실적" xfId="1639"/>
    <cellStyle name="_H002 남양주 양지리 쌍용아파트 신축공사_2006년 경영계획(1안)_7월 경영실적" xfId="1640"/>
    <cellStyle name="_H002 남양주 양지리 쌍용아파트 신축공사_2006년 경영계획(1안)_7월 경영실적_9월 경영실적" xfId="1641"/>
    <cellStyle name="_H002 남양주 양지리 쌍용아파트 신축공사_2006년 경영계획(1안)_7월 경영실적_9월 경영실적_12" xfId="1642"/>
    <cellStyle name="_H002 남양주 양지리 쌍용아파트 신축공사_2006년 경영계획(1안)_7월 경영실적_9월 경영실적_5월 경영실적" xfId="1643"/>
    <cellStyle name="_H002 남양주 양지리 쌍용아파트 신축공사_2006년 경영계획(1안)_7월 경영실적_9월 경영실적_6월 경영실적" xfId="1644"/>
    <cellStyle name="_H002 남양주 양지리 쌍용아파트 신축공사_2006년 경영계획(1안)_7월 경영실적_9월 경영실적_7월 경영실적" xfId="1645"/>
    <cellStyle name="_H002 남양주 양지리 쌍용아파트 신축공사_2006년 경영계획(1안)_7월 경영실적_9월 경영실적_GI매원" xfId="1646"/>
    <cellStyle name="_H002 남양주 양지리 쌍용아파트 신축공사_2006년 경영계획(1안)_7월 경영실적_9월 경영실적_Sheet1" xfId="1647"/>
    <cellStyle name="_H002 남양주 양지리 쌍용아파트 신축공사_2006년 경영계획(1안)_7월 경영실적_9월 경영실적_칼라매원" xfId="1648"/>
    <cellStyle name="_H002 남양주 양지리 쌍용아파트 신축공사_2006년 경영계획(1안)_GI매원" xfId="1649"/>
    <cellStyle name="_H002 남양주 양지리 쌍용아파트 신축공사_2006년 경영계획(1안)_Sheet1" xfId="1650"/>
    <cellStyle name="_H002 남양주 양지리 쌍용아파트 신축공사_2006년 경영계획(1안)_칼라매원" xfId="1651"/>
    <cellStyle name="_H002 남양주 양지리 쌍용아파트 신축공사_2006년 경영계획(안)" xfId="979"/>
    <cellStyle name="_H002 남양주 양지리 쌍용아파트 신축공사_2006년 경영계획(안)_12" xfId="1652"/>
    <cellStyle name="_H002 남양주 양지리 쌍용아파트 신축공사_2006년 경영계획(안)_2006년실적" xfId="980"/>
    <cellStyle name="_H002 남양주 양지리 쌍용아파트 신축공사_2006년 경영계획(안)_2006년실적_2007년도 경영계획" xfId="981"/>
    <cellStyle name="_H002 남양주 양지리 쌍용아파트 신축공사_2006년 경영계획(안)_2006년실적_2007년도 경영계획_GI 수정안" xfId="982"/>
    <cellStyle name="_H002 남양주 양지리 쌍용아파트 신축공사_2006년 경영계획(안)_2007년 판매계획(GI)" xfId="983"/>
    <cellStyle name="_H002 남양주 양지리 쌍용아파트 신축공사_2006년 경영계획(안)_2007년 판매계획(GI)_2007년도 경영계획" xfId="984"/>
    <cellStyle name="_H002 남양주 양지리 쌍용아파트 신축공사_2006년 경영계획(안)_2007년 판매계획(GI)_2007년도 경영계획_GI 수정안" xfId="985"/>
    <cellStyle name="_H002 남양주 양지리 쌍용아파트 신축공사_2006년 경영계획(안)_2007년판매계획(영업안)_영업2차확정안_20061103" xfId="986"/>
    <cellStyle name="_H002 남양주 양지리 쌍용아파트 신축공사_2006년 경영계획(안)_2007년판매계획(영업안)_영업2차확정안_20061103_2007년도 경영계획" xfId="987"/>
    <cellStyle name="_H002 남양주 양지리 쌍용아파트 신축공사_2006년 경영계획(안)_2007년판매계획(영업안)_영업2차확정안_20061103_2007년도 경영계획_GI 수정안" xfId="988"/>
    <cellStyle name="_H002 남양주 양지리 쌍용아파트 신축공사_2006년 경영계획(안)_5월 경영실적" xfId="1653"/>
    <cellStyle name="_H002 남양주 양지리 쌍용아파트 신축공사_2006년 경영계획(안)_6월 경영실적" xfId="1654"/>
    <cellStyle name="_H002 남양주 양지리 쌍용아파트 신축공사_2006년 경영계획(안)_7월 경영실적" xfId="1655"/>
    <cellStyle name="_H002 남양주 양지리 쌍용아파트 신축공사_2006년 경영계획(안)_7월 경영실적_9월 경영실적" xfId="1656"/>
    <cellStyle name="_H002 남양주 양지리 쌍용아파트 신축공사_2006년 경영계획(안)_7월 경영실적_9월 경영실적_12" xfId="1657"/>
    <cellStyle name="_H002 남양주 양지리 쌍용아파트 신축공사_2006년 경영계획(안)_7월 경영실적_9월 경영실적_5월 경영실적" xfId="1658"/>
    <cellStyle name="_H002 남양주 양지리 쌍용아파트 신축공사_2006년 경영계획(안)_7월 경영실적_9월 경영실적_6월 경영실적" xfId="1659"/>
    <cellStyle name="_H002 남양주 양지리 쌍용아파트 신축공사_2006년 경영계획(안)_7월 경영실적_9월 경영실적_7월 경영실적" xfId="1660"/>
    <cellStyle name="_H002 남양주 양지리 쌍용아파트 신축공사_2006년 경영계획(안)_7월 경영실적_9월 경영실적_GI매원" xfId="1661"/>
    <cellStyle name="_H002 남양주 양지리 쌍용아파트 신축공사_2006년 경영계획(안)_7월 경영실적_9월 경영실적_Sheet1" xfId="1662"/>
    <cellStyle name="_H002 남양주 양지리 쌍용아파트 신축공사_2006년 경영계획(안)_7월 경영실적_9월 경영실적_칼라매원" xfId="1663"/>
    <cellStyle name="_H002 남양주 양지리 쌍용아파트 신축공사_2006년 경영계획(안)_GI매원" xfId="1664"/>
    <cellStyle name="_H002 남양주 양지리 쌍용아파트 신축공사_2006년 경영계획(안)_Sheet1" xfId="1665"/>
    <cellStyle name="_H002 남양주 양지리 쌍용아파트 신축공사_2006년 경영계획(안)_칼라매원" xfId="1666"/>
    <cellStyle name="_H002 남양주 양지리 쌍용아파트 신축공사_2006년실적" xfId="989"/>
    <cellStyle name="_H002 남양주 양지리 쌍용아파트 신축공사_2006년실적_2007년도 경영계획" xfId="990"/>
    <cellStyle name="_H002 남양주 양지리 쌍용아파트 신축공사_2006년실적_2007년도 경영계획_GI 수정안" xfId="991"/>
    <cellStyle name="_H002 남양주 양지리 쌍용아파트 신축공사_2007년 판매계획(GI)" xfId="992"/>
    <cellStyle name="_H002 남양주 양지리 쌍용아파트 신축공사_2007년 판매계획(GI)_2007년도 경영계획" xfId="993"/>
    <cellStyle name="_H002 남양주 양지리 쌍용아파트 신축공사_2007년 판매계획(GI)_2007년도 경영계획_GI 수정안" xfId="994"/>
    <cellStyle name="_H002 남양주 양지리 쌍용아파트 신축공사_2007년판매계획(영업안)_영업2차확정안_20061103" xfId="995"/>
    <cellStyle name="_H002 남양주 양지리 쌍용아파트 신축공사_2007년판매계획(영업안)_영업2차확정안_20061103_2007년도 경영계획" xfId="996"/>
    <cellStyle name="_H002 남양주 양지리 쌍용아파트 신축공사_2007년판매계획(영업안)_영업2차확정안_20061103_2007년도 경영계획_GI 수정안" xfId="997"/>
    <cellStyle name="_H002 남양주 양지리 쌍용아파트 신축공사_2008년 도급비 지급현황" xfId="4270"/>
    <cellStyle name="_H002 남양주 양지리 쌍용아파트 신축공사_2008년 도급비 지급현황_2008년 도급비 지급현황" xfId="4269"/>
    <cellStyle name="_H002 남양주 양지리 쌍용아파트 신축공사_2008년 도급비 지급현황_2008년 도급비 지급현황_2008년 도급비 지급현황" xfId="4268"/>
    <cellStyle name="_H002 남양주 양지리 쌍용아파트 신축공사_2008년 도급비 지급현황_2008년 도급비 지급현황_2008년 도급비 지급현황_2009년 도급비 지급현황" xfId="4267"/>
    <cellStyle name="_H002 남양주 양지리 쌍용아파트 신축공사_2008년 도급비 지급현황_2009년 도급비 지급현황" xfId="4266"/>
    <cellStyle name="_H002 남양주 양지리 쌍용아파트 신축공사_5월 경영실적" xfId="1667"/>
    <cellStyle name="_H002 남양주 양지리 쌍용아파트 신축공사_6월 경영실적" xfId="1668"/>
    <cellStyle name="_H002 남양주 양지리 쌍용아파트 신축공사_7월 경영실적" xfId="1669"/>
    <cellStyle name="_H002 남양주 양지리 쌍용아파트 신축공사_7월 경영실적_9월 경영실적" xfId="1670"/>
    <cellStyle name="_H002 남양주 양지리 쌍용아파트 신축공사_7월 경영실적_9월 경영실적_12" xfId="1671"/>
    <cellStyle name="_H002 남양주 양지리 쌍용아파트 신축공사_7월 경영실적_9월 경영실적_5월 경영실적" xfId="1672"/>
    <cellStyle name="_H002 남양주 양지리 쌍용아파트 신축공사_7월 경영실적_9월 경영실적_6월 경영실적" xfId="1673"/>
    <cellStyle name="_H002 남양주 양지리 쌍용아파트 신축공사_7월 경영실적_9월 경영실적_7월 경영실적" xfId="1674"/>
    <cellStyle name="_H002 남양주 양지리 쌍용아파트 신축공사_7월 경영실적_9월 경영실적_GI매원" xfId="1675"/>
    <cellStyle name="_H002 남양주 양지리 쌍용아파트 신축공사_7월 경영실적_9월 경영실적_Sheet1" xfId="1676"/>
    <cellStyle name="_H002 남양주 양지리 쌍용아파트 신축공사_7월 경영실적_9월 경영실적_칼라매원" xfId="1677"/>
    <cellStyle name="_H002 남양주 양지리 쌍용아파트 신축공사_GI매원" xfId="1678"/>
    <cellStyle name="_H002 남양주 양지리 쌍용아파트 신축공사_Sheet1" xfId="1679"/>
    <cellStyle name="_H002 남양주 양지리 쌍용아파트 신축공사_칼라매원" xfId="1680"/>
    <cellStyle name="_H003 삼성화재 서초사옥 신축공사" xfId="998"/>
    <cellStyle name="_H003-1 삼성화재 서초사옥 신축공사" xfId="999"/>
    <cellStyle name="_H006 신세계 도곡점 식품관 신축공사" xfId="1000"/>
    <cellStyle name="_LOSS COST84(CCL)" xfId="1001"/>
    <cellStyle name="_Sheet1" xfId="1681"/>
    <cellStyle name="_가실행양식" xfId="301"/>
    <cellStyle name="_갑지양식" xfId="302"/>
    <cellStyle name="_갑지양식_06년판매계획(최종)" xfId="303"/>
    <cellStyle name="_갑지양식_06년판매계획(최종)_12" xfId="1682"/>
    <cellStyle name="_갑지양식_06년판매계획(최종)_2006년실적" xfId="304"/>
    <cellStyle name="_갑지양식_06년판매계획(최종)_2006년실적_2007년도 경영계획" xfId="305"/>
    <cellStyle name="_갑지양식_06년판매계획(최종)_2006년실적_2007년도 경영계획_GI 수정안" xfId="306"/>
    <cellStyle name="_갑지양식_06년판매계획(최종)_2007년 판매계획(GI)" xfId="307"/>
    <cellStyle name="_갑지양식_06년판매계획(최종)_2007년 판매계획(GI)_2007년도 경영계획" xfId="308"/>
    <cellStyle name="_갑지양식_06년판매계획(최종)_2007년 판매계획(GI)_2007년도 경영계획_GI 수정안" xfId="309"/>
    <cellStyle name="_갑지양식_06년판매계획(최종)_2007년판매계획(영업안)_영업2차확정안_20061103" xfId="310"/>
    <cellStyle name="_갑지양식_06년판매계획(최종)_2007년판매계획(영업안)_영업2차확정안_20061103_2007년도 경영계획" xfId="311"/>
    <cellStyle name="_갑지양식_06년판매계획(최종)_2007년판매계획(영업안)_영업2차확정안_20061103_2007년도 경영계획_GI 수정안" xfId="312"/>
    <cellStyle name="_갑지양식_06년판매계획(최종)_5월 경영실적" xfId="1683"/>
    <cellStyle name="_갑지양식_06년판매계획(최종)_6월 경영실적" xfId="1684"/>
    <cellStyle name="_갑지양식_06년판매계획(최종)_7월 경영실적" xfId="1685"/>
    <cellStyle name="_갑지양식_06년판매계획(최종)_7월 경영실적_9월 경영실적" xfId="1686"/>
    <cellStyle name="_갑지양식_06년판매계획(최종)_7월 경영실적_9월 경영실적_12" xfId="1687"/>
    <cellStyle name="_갑지양식_06년판매계획(최종)_7월 경영실적_9월 경영실적_5월 경영실적" xfId="1688"/>
    <cellStyle name="_갑지양식_06년판매계획(최종)_7월 경영실적_9월 경영실적_6월 경영실적" xfId="1689"/>
    <cellStyle name="_갑지양식_06년판매계획(최종)_7월 경영실적_9월 경영실적_7월 경영실적" xfId="1690"/>
    <cellStyle name="_갑지양식_06년판매계획(최종)_7월 경영실적_9월 경영실적_GI매원" xfId="1691"/>
    <cellStyle name="_갑지양식_06년판매계획(최종)_7월 경영실적_9월 경영실적_Sheet1" xfId="1692"/>
    <cellStyle name="_갑지양식_06년판매계획(최종)_7월 경영실적_9월 경영실적_칼라매원" xfId="1693"/>
    <cellStyle name="_갑지양식_06년판매계획(최종)_GI매원" xfId="1694"/>
    <cellStyle name="_갑지양식_06년판매계획(최종)_Sheet1" xfId="1695"/>
    <cellStyle name="_갑지양식_06년판매계획(최종)_칼라매원" xfId="1696"/>
    <cellStyle name="_갑지양식_12" xfId="1697"/>
    <cellStyle name="_갑지양식_2006년 경영계획(1안)" xfId="313"/>
    <cellStyle name="_갑지양식_2006년 경영계획(1안)_12" xfId="1698"/>
    <cellStyle name="_갑지양식_2006년 경영계획(1안)_2006년실적" xfId="314"/>
    <cellStyle name="_갑지양식_2006년 경영계획(1안)_2006년실적_2007년도 경영계획" xfId="315"/>
    <cellStyle name="_갑지양식_2006년 경영계획(1안)_2006년실적_2007년도 경영계획_GI 수정안" xfId="316"/>
    <cellStyle name="_갑지양식_2006년 경영계획(1안)_2007년 판매계획(GI)" xfId="317"/>
    <cellStyle name="_갑지양식_2006년 경영계획(1안)_2007년 판매계획(GI)_2007년도 경영계획" xfId="318"/>
    <cellStyle name="_갑지양식_2006년 경영계획(1안)_2007년 판매계획(GI)_2007년도 경영계획_GI 수정안" xfId="319"/>
    <cellStyle name="_갑지양식_2006년 경영계획(1안)_2007년판매계획(영업안)_영업2차확정안_20061103" xfId="320"/>
    <cellStyle name="_갑지양식_2006년 경영계획(1안)_2007년판매계획(영업안)_영업2차확정안_20061103_2007년도 경영계획" xfId="321"/>
    <cellStyle name="_갑지양식_2006년 경영계획(1안)_2007년판매계획(영업안)_영업2차확정안_20061103_2007년도 경영계획_GI 수정안" xfId="322"/>
    <cellStyle name="_갑지양식_2006년 경영계획(1안)_5월 경영실적" xfId="1699"/>
    <cellStyle name="_갑지양식_2006년 경영계획(1안)_6월 경영실적" xfId="1700"/>
    <cellStyle name="_갑지양식_2006년 경영계획(1안)_7월 경영실적" xfId="1701"/>
    <cellStyle name="_갑지양식_2006년 경영계획(1안)_7월 경영실적_9월 경영실적" xfId="1702"/>
    <cellStyle name="_갑지양식_2006년 경영계획(1안)_7월 경영실적_9월 경영실적_12" xfId="1703"/>
    <cellStyle name="_갑지양식_2006년 경영계획(1안)_7월 경영실적_9월 경영실적_5월 경영실적" xfId="1704"/>
    <cellStyle name="_갑지양식_2006년 경영계획(1안)_7월 경영실적_9월 경영실적_6월 경영실적" xfId="1705"/>
    <cellStyle name="_갑지양식_2006년 경영계획(1안)_7월 경영실적_9월 경영실적_7월 경영실적" xfId="1706"/>
    <cellStyle name="_갑지양식_2006년 경영계획(1안)_7월 경영실적_9월 경영실적_GI매원" xfId="1707"/>
    <cellStyle name="_갑지양식_2006년 경영계획(1안)_7월 경영실적_9월 경영실적_Sheet1" xfId="1708"/>
    <cellStyle name="_갑지양식_2006년 경영계획(1안)_7월 경영실적_9월 경영실적_칼라매원" xfId="1709"/>
    <cellStyle name="_갑지양식_2006년 경영계획(1안)_GI매원" xfId="1710"/>
    <cellStyle name="_갑지양식_2006년 경영계획(1안)_Sheet1" xfId="1711"/>
    <cellStyle name="_갑지양식_2006년 경영계획(1안)_칼라매원" xfId="1712"/>
    <cellStyle name="_갑지양식_2006년 경영계획(안)" xfId="323"/>
    <cellStyle name="_갑지양식_2006년 경영계획(안)_12" xfId="1713"/>
    <cellStyle name="_갑지양식_2006년 경영계획(안)_2006년실적" xfId="324"/>
    <cellStyle name="_갑지양식_2006년 경영계획(안)_2006년실적_2007년도 경영계획" xfId="325"/>
    <cellStyle name="_갑지양식_2006년 경영계획(안)_2006년실적_2007년도 경영계획_GI 수정안" xfId="326"/>
    <cellStyle name="_갑지양식_2006년 경영계획(안)_2007년 판매계획(GI)" xfId="327"/>
    <cellStyle name="_갑지양식_2006년 경영계획(안)_2007년 판매계획(GI)_2007년도 경영계획" xfId="328"/>
    <cellStyle name="_갑지양식_2006년 경영계획(안)_2007년 판매계획(GI)_2007년도 경영계획_GI 수정안" xfId="329"/>
    <cellStyle name="_갑지양식_2006년 경영계획(안)_2007년판매계획(영업안)_영업2차확정안_20061103" xfId="330"/>
    <cellStyle name="_갑지양식_2006년 경영계획(안)_2007년판매계획(영업안)_영업2차확정안_20061103_2007년도 경영계획" xfId="331"/>
    <cellStyle name="_갑지양식_2006년 경영계획(안)_2007년판매계획(영업안)_영업2차확정안_20061103_2007년도 경영계획_GI 수정안" xfId="332"/>
    <cellStyle name="_갑지양식_2006년 경영계획(안)_5월 경영실적" xfId="1714"/>
    <cellStyle name="_갑지양식_2006년 경영계획(안)_6월 경영실적" xfId="1715"/>
    <cellStyle name="_갑지양식_2006년 경영계획(안)_7월 경영실적" xfId="1716"/>
    <cellStyle name="_갑지양식_2006년 경영계획(안)_7월 경영실적_9월 경영실적" xfId="1717"/>
    <cellStyle name="_갑지양식_2006년 경영계획(안)_7월 경영실적_9월 경영실적_12" xfId="1718"/>
    <cellStyle name="_갑지양식_2006년 경영계획(안)_7월 경영실적_9월 경영실적_5월 경영실적" xfId="1719"/>
    <cellStyle name="_갑지양식_2006년 경영계획(안)_7월 경영실적_9월 경영실적_6월 경영실적" xfId="1720"/>
    <cellStyle name="_갑지양식_2006년 경영계획(안)_7월 경영실적_9월 경영실적_7월 경영실적" xfId="1721"/>
    <cellStyle name="_갑지양식_2006년 경영계획(안)_7월 경영실적_9월 경영실적_GI매원" xfId="1722"/>
    <cellStyle name="_갑지양식_2006년 경영계획(안)_7월 경영실적_9월 경영실적_Sheet1" xfId="1723"/>
    <cellStyle name="_갑지양식_2006년 경영계획(안)_7월 경영실적_9월 경영실적_칼라매원" xfId="1724"/>
    <cellStyle name="_갑지양식_2006년 경영계획(안)_GI매원" xfId="1725"/>
    <cellStyle name="_갑지양식_2006년 경영계획(안)_Sheet1" xfId="1726"/>
    <cellStyle name="_갑지양식_2006년 경영계획(안)_칼라매원" xfId="1727"/>
    <cellStyle name="_갑지양식_2006년실적" xfId="333"/>
    <cellStyle name="_갑지양식_2006년실적_2007년도 경영계획" xfId="334"/>
    <cellStyle name="_갑지양식_2006년실적_2007년도 경영계획_GI 수정안" xfId="335"/>
    <cellStyle name="_갑지양식_2007년 판매계획(GI)" xfId="336"/>
    <cellStyle name="_갑지양식_2007년 판매계획(GI)_2007년도 경영계획" xfId="337"/>
    <cellStyle name="_갑지양식_2007년 판매계획(GI)_2007년도 경영계획_GI 수정안" xfId="338"/>
    <cellStyle name="_갑지양식_2007년판매계획(영업안)_영업2차확정안_20061103" xfId="339"/>
    <cellStyle name="_갑지양식_2007년판매계획(영업안)_영업2차확정안_20061103_2007년도 경영계획" xfId="340"/>
    <cellStyle name="_갑지양식_2007년판매계획(영업안)_영업2차확정안_20061103_2007년도 경영계획_GI 수정안" xfId="341"/>
    <cellStyle name="_갑지양식_2008년 도급비 지급현황" xfId="4265"/>
    <cellStyle name="_갑지양식_2008년 도급비 지급현황_2008년 도급비 지급현황" xfId="4264"/>
    <cellStyle name="_갑지양식_2008년 도급비 지급현황_2008년 도급비 지급현황_2008년 도급비 지급현황" xfId="4263"/>
    <cellStyle name="_갑지양식_2008년 도급비 지급현황_2008년 도급비 지급현황_2008년 도급비 지급현황_2009년 도급비 지급현황" xfId="4262"/>
    <cellStyle name="_갑지양식_2008년 도급비 지급현황_2009년 도급비 지급현황" xfId="4261"/>
    <cellStyle name="_갑지양식_5월 경영실적" xfId="1728"/>
    <cellStyle name="_갑지양식_6월 경영실적" xfId="1729"/>
    <cellStyle name="_갑지양식_7월 경영실적" xfId="1730"/>
    <cellStyle name="_갑지양식_7월 경영실적_9월 경영실적" xfId="1731"/>
    <cellStyle name="_갑지양식_7월 경영실적_9월 경영실적_12" xfId="1732"/>
    <cellStyle name="_갑지양식_7월 경영실적_9월 경영실적_5월 경영실적" xfId="1733"/>
    <cellStyle name="_갑지양식_7월 경영실적_9월 경영실적_6월 경영실적" xfId="1734"/>
    <cellStyle name="_갑지양식_7월 경영실적_9월 경영실적_7월 경영실적" xfId="1735"/>
    <cellStyle name="_갑지양식_7월 경영실적_9월 경영실적_GI매원" xfId="1736"/>
    <cellStyle name="_갑지양식_7월 경영실적_9월 경영실적_Sheet1" xfId="1737"/>
    <cellStyle name="_갑지양식_7월 경영실적_9월 경영실적_칼라매원" xfId="1738"/>
    <cellStyle name="_갑지양식_GI매원" xfId="1739"/>
    <cellStyle name="_갑지양식_Sheet1" xfId="1740"/>
    <cellStyle name="_갑지양식_칼라매원" xfId="1741"/>
    <cellStyle name="_견적공종대비" xfId="342"/>
    <cellStyle name="_견적공종대비_06년판매계획(최종)" xfId="343"/>
    <cellStyle name="_견적공종대비_06년판매계획(최종)_12" xfId="1742"/>
    <cellStyle name="_견적공종대비_06년판매계획(최종)_2006년실적" xfId="344"/>
    <cellStyle name="_견적공종대비_06년판매계획(최종)_2006년실적_2007년도 경영계획" xfId="345"/>
    <cellStyle name="_견적공종대비_06년판매계획(최종)_2006년실적_2007년도 경영계획_GI 수정안" xfId="346"/>
    <cellStyle name="_견적공종대비_06년판매계획(최종)_2007년 판매계획(GI)" xfId="347"/>
    <cellStyle name="_견적공종대비_06년판매계획(최종)_2007년 판매계획(GI)_2007년도 경영계획" xfId="348"/>
    <cellStyle name="_견적공종대비_06년판매계획(최종)_2007년 판매계획(GI)_2007년도 경영계획_GI 수정안" xfId="349"/>
    <cellStyle name="_견적공종대비_06년판매계획(최종)_2007년판매계획(영업안)_영업2차확정안_20061103" xfId="350"/>
    <cellStyle name="_견적공종대비_06년판매계획(최종)_2007년판매계획(영업안)_영업2차확정안_20061103_2007년도 경영계획" xfId="351"/>
    <cellStyle name="_견적공종대비_06년판매계획(최종)_2007년판매계획(영업안)_영업2차확정안_20061103_2007년도 경영계획_GI 수정안" xfId="352"/>
    <cellStyle name="_견적공종대비_06년판매계획(최종)_5월 경영실적" xfId="1743"/>
    <cellStyle name="_견적공종대비_06년판매계획(최종)_6월 경영실적" xfId="1744"/>
    <cellStyle name="_견적공종대비_06년판매계획(최종)_7월 경영실적" xfId="1745"/>
    <cellStyle name="_견적공종대비_06년판매계획(최종)_7월 경영실적_9월 경영실적" xfId="1746"/>
    <cellStyle name="_견적공종대비_06년판매계획(최종)_7월 경영실적_9월 경영실적_12" xfId="1747"/>
    <cellStyle name="_견적공종대비_06년판매계획(최종)_7월 경영실적_9월 경영실적_5월 경영실적" xfId="1748"/>
    <cellStyle name="_견적공종대비_06년판매계획(최종)_7월 경영실적_9월 경영실적_6월 경영실적" xfId="1749"/>
    <cellStyle name="_견적공종대비_06년판매계획(최종)_7월 경영실적_9월 경영실적_7월 경영실적" xfId="1750"/>
    <cellStyle name="_견적공종대비_06년판매계획(최종)_7월 경영실적_9월 경영실적_GI매원" xfId="1751"/>
    <cellStyle name="_견적공종대비_06년판매계획(최종)_7월 경영실적_9월 경영실적_Sheet1" xfId="1752"/>
    <cellStyle name="_견적공종대비_06년판매계획(최종)_7월 경영실적_9월 경영실적_칼라매원" xfId="1753"/>
    <cellStyle name="_견적공종대비_06년판매계획(최종)_GI매원" xfId="1754"/>
    <cellStyle name="_견적공종대비_06년판매계획(최종)_Sheet1" xfId="1755"/>
    <cellStyle name="_견적공종대비_06년판매계획(최종)_칼라매원" xfId="1756"/>
    <cellStyle name="_견적공종대비_12" xfId="1757"/>
    <cellStyle name="_견적공종대비_2006년 경영계획(1안)" xfId="353"/>
    <cellStyle name="_견적공종대비_2006년 경영계획(1안)_12" xfId="1758"/>
    <cellStyle name="_견적공종대비_2006년 경영계획(1안)_2006년실적" xfId="354"/>
    <cellStyle name="_견적공종대비_2006년 경영계획(1안)_2006년실적_2007년도 경영계획" xfId="355"/>
    <cellStyle name="_견적공종대비_2006년 경영계획(1안)_2006년실적_2007년도 경영계획_GI 수정안" xfId="356"/>
    <cellStyle name="_견적공종대비_2006년 경영계획(1안)_2007년 판매계획(GI)" xfId="357"/>
    <cellStyle name="_견적공종대비_2006년 경영계획(1안)_2007년 판매계획(GI)_2007년도 경영계획" xfId="358"/>
    <cellStyle name="_견적공종대비_2006년 경영계획(1안)_2007년 판매계획(GI)_2007년도 경영계획_GI 수정안" xfId="359"/>
    <cellStyle name="_견적공종대비_2006년 경영계획(1안)_2007년판매계획(영업안)_영업2차확정안_20061103" xfId="360"/>
    <cellStyle name="_견적공종대비_2006년 경영계획(1안)_2007년판매계획(영업안)_영업2차확정안_20061103_2007년도 경영계획" xfId="361"/>
    <cellStyle name="_견적공종대비_2006년 경영계획(1안)_2007년판매계획(영업안)_영업2차확정안_20061103_2007년도 경영계획_GI 수정안" xfId="362"/>
    <cellStyle name="_견적공종대비_2006년 경영계획(1안)_5월 경영실적" xfId="1759"/>
    <cellStyle name="_견적공종대비_2006년 경영계획(1안)_6월 경영실적" xfId="1760"/>
    <cellStyle name="_견적공종대비_2006년 경영계획(1안)_7월 경영실적" xfId="1761"/>
    <cellStyle name="_견적공종대비_2006년 경영계획(1안)_7월 경영실적_9월 경영실적" xfId="1762"/>
    <cellStyle name="_견적공종대비_2006년 경영계획(1안)_7월 경영실적_9월 경영실적_12" xfId="1763"/>
    <cellStyle name="_견적공종대비_2006년 경영계획(1안)_7월 경영실적_9월 경영실적_5월 경영실적" xfId="1764"/>
    <cellStyle name="_견적공종대비_2006년 경영계획(1안)_7월 경영실적_9월 경영실적_6월 경영실적" xfId="1765"/>
    <cellStyle name="_견적공종대비_2006년 경영계획(1안)_7월 경영실적_9월 경영실적_7월 경영실적" xfId="1766"/>
    <cellStyle name="_견적공종대비_2006년 경영계획(1안)_7월 경영실적_9월 경영실적_GI매원" xfId="1767"/>
    <cellStyle name="_견적공종대비_2006년 경영계획(1안)_7월 경영실적_9월 경영실적_Sheet1" xfId="1768"/>
    <cellStyle name="_견적공종대비_2006년 경영계획(1안)_7월 경영실적_9월 경영실적_칼라매원" xfId="1769"/>
    <cellStyle name="_견적공종대비_2006년 경영계획(1안)_GI매원" xfId="1770"/>
    <cellStyle name="_견적공종대비_2006년 경영계획(1안)_Sheet1" xfId="1771"/>
    <cellStyle name="_견적공종대비_2006년 경영계획(1안)_칼라매원" xfId="1772"/>
    <cellStyle name="_견적공종대비_2006년 경영계획(안)" xfId="363"/>
    <cellStyle name="_견적공종대비_2006년 경영계획(안)_12" xfId="1773"/>
    <cellStyle name="_견적공종대비_2006년 경영계획(안)_2006년실적" xfId="364"/>
    <cellStyle name="_견적공종대비_2006년 경영계획(안)_2006년실적_2007년도 경영계획" xfId="365"/>
    <cellStyle name="_견적공종대비_2006년 경영계획(안)_2006년실적_2007년도 경영계획_GI 수정안" xfId="366"/>
    <cellStyle name="_견적공종대비_2006년 경영계획(안)_2007년 판매계획(GI)" xfId="367"/>
    <cellStyle name="_견적공종대비_2006년 경영계획(안)_2007년 판매계획(GI)_2007년도 경영계획" xfId="368"/>
    <cellStyle name="_견적공종대비_2006년 경영계획(안)_2007년 판매계획(GI)_2007년도 경영계획_GI 수정안" xfId="369"/>
    <cellStyle name="_견적공종대비_2006년 경영계획(안)_2007년판매계획(영업안)_영업2차확정안_20061103" xfId="370"/>
    <cellStyle name="_견적공종대비_2006년 경영계획(안)_2007년판매계획(영업안)_영업2차확정안_20061103_2007년도 경영계획" xfId="371"/>
    <cellStyle name="_견적공종대비_2006년 경영계획(안)_2007년판매계획(영업안)_영업2차확정안_20061103_2007년도 경영계획_GI 수정안" xfId="372"/>
    <cellStyle name="_견적공종대비_2006년 경영계획(안)_5월 경영실적" xfId="1774"/>
    <cellStyle name="_견적공종대비_2006년 경영계획(안)_6월 경영실적" xfId="1775"/>
    <cellStyle name="_견적공종대비_2006년 경영계획(안)_7월 경영실적" xfId="1776"/>
    <cellStyle name="_견적공종대비_2006년 경영계획(안)_7월 경영실적_9월 경영실적" xfId="1777"/>
    <cellStyle name="_견적공종대비_2006년 경영계획(안)_7월 경영실적_9월 경영실적_12" xfId="1778"/>
    <cellStyle name="_견적공종대비_2006년 경영계획(안)_7월 경영실적_9월 경영실적_5월 경영실적" xfId="1779"/>
    <cellStyle name="_견적공종대비_2006년 경영계획(안)_7월 경영실적_9월 경영실적_6월 경영실적" xfId="1780"/>
    <cellStyle name="_견적공종대비_2006년 경영계획(안)_7월 경영실적_9월 경영실적_7월 경영실적" xfId="1781"/>
    <cellStyle name="_견적공종대비_2006년 경영계획(안)_7월 경영실적_9월 경영실적_GI매원" xfId="1782"/>
    <cellStyle name="_견적공종대비_2006년 경영계획(안)_7월 경영실적_9월 경영실적_Sheet1" xfId="1783"/>
    <cellStyle name="_견적공종대비_2006년 경영계획(안)_7월 경영실적_9월 경영실적_칼라매원" xfId="1784"/>
    <cellStyle name="_견적공종대비_2006년 경영계획(안)_GI매원" xfId="1785"/>
    <cellStyle name="_견적공종대비_2006년 경영계획(안)_Sheet1" xfId="1786"/>
    <cellStyle name="_견적공종대비_2006년 경영계획(안)_칼라매원" xfId="1787"/>
    <cellStyle name="_견적공종대비_2006년실적" xfId="373"/>
    <cellStyle name="_견적공종대비_2006년실적_2007년도 경영계획" xfId="374"/>
    <cellStyle name="_견적공종대비_2006년실적_2007년도 경영계획_GI 수정안" xfId="375"/>
    <cellStyle name="_견적공종대비_2007년 판매계획(GI)" xfId="376"/>
    <cellStyle name="_견적공종대비_2007년 판매계획(GI)_2007년도 경영계획" xfId="377"/>
    <cellStyle name="_견적공종대비_2007년 판매계획(GI)_2007년도 경영계획_GI 수정안" xfId="378"/>
    <cellStyle name="_견적공종대비_2007년판매계획(영업안)_영업2차확정안_20061103" xfId="379"/>
    <cellStyle name="_견적공종대비_2007년판매계획(영업안)_영업2차확정안_20061103_2007년도 경영계획" xfId="380"/>
    <cellStyle name="_견적공종대비_2007년판매계획(영업안)_영업2차확정안_20061103_2007년도 경영계획_GI 수정안" xfId="381"/>
    <cellStyle name="_견적공종대비_2008년 도급비 지급현황" xfId="4260"/>
    <cellStyle name="_견적공종대비_2008년 도급비 지급현황_2008년 도급비 지급현황" xfId="4259"/>
    <cellStyle name="_견적공종대비_2008년 도급비 지급현황_2008년 도급비 지급현황_2008년 도급비 지급현황" xfId="4258"/>
    <cellStyle name="_견적공종대비_2008년 도급비 지급현황_2008년 도급비 지급현황_2008년 도급비 지급현황_2009년 도급비 지급현황" xfId="4257"/>
    <cellStyle name="_견적공종대비_2008년 도급비 지급현황_2009년 도급비 지급현황" xfId="4256"/>
    <cellStyle name="_견적공종대비_5월 경영실적" xfId="1788"/>
    <cellStyle name="_견적공종대비_6월 경영실적" xfId="1789"/>
    <cellStyle name="_견적공종대비_7월 경영실적" xfId="1790"/>
    <cellStyle name="_견적공종대비_7월 경영실적_9월 경영실적" xfId="1791"/>
    <cellStyle name="_견적공종대비_7월 경영실적_9월 경영실적_12" xfId="1792"/>
    <cellStyle name="_견적공종대비_7월 경영실적_9월 경영실적_5월 경영실적" xfId="1793"/>
    <cellStyle name="_견적공종대비_7월 경영실적_9월 경영실적_6월 경영실적" xfId="1794"/>
    <cellStyle name="_견적공종대비_7월 경영실적_9월 경영실적_7월 경영실적" xfId="1795"/>
    <cellStyle name="_견적공종대비_7월 경영실적_9월 경영실적_GI매원" xfId="1796"/>
    <cellStyle name="_견적공종대비_7월 경영실적_9월 경영실적_Sheet1" xfId="1797"/>
    <cellStyle name="_견적공종대비_7월 경영실적_9월 경영실적_칼라매원" xfId="1798"/>
    <cellStyle name="_견적공종대비_GI매원" xfId="1799"/>
    <cellStyle name="_견적공종대비_Sheet1" xfId="1800"/>
    <cellStyle name="_견적공종대비_칼라매원" xfId="1801"/>
    <cellStyle name="_견적서갑지양식" xfId="382"/>
    <cellStyle name="_견적서갑지양식_06년판매계획(최종)" xfId="383"/>
    <cellStyle name="_견적서갑지양식_06년판매계획(최종)_12" xfId="1802"/>
    <cellStyle name="_견적서갑지양식_06년판매계획(최종)_2006년실적" xfId="384"/>
    <cellStyle name="_견적서갑지양식_06년판매계획(최종)_2006년실적_2007년도 경영계획" xfId="385"/>
    <cellStyle name="_견적서갑지양식_06년판매계획(최종)_2006년실적_2007년도 경영계획_GI 수정안" xfId="386"/>
    <cellStyle name="_견적서갑지양식_06년판매계획(최종)_2007년 판매계획(GI)" xfId="387"/>
    <cellStyle name="_견적서갑지양식_06년판매계획(최종)_2007년 판매계획(GI)_2007년도 경영계획" xfId="388"/>
    <cellStyle name="_견적서갑지양식_06년판매계획(최종)_2007년 판매계획(GI)_2007년도 경영계획_GI 수정안" xfId="389"/>
    <cellStyle name="_견적서갑지양식_06년판매계획(최종)_2007년판매계획(영업안)_영업2차확정안_20061103" xfId="390"/>
    <cellStyle name="_견적서갑지양식_06년판매계획(최종)_2007년판매계획(영업안)_영업2차확정안_20061103_2007년도 경영계획" xfId="391"/>
    <cellStyle name="_견적서갑지양식_06년판매계획(최종)_2007년판매계획(영업안)_영업2차확정안_20061103_2007년도 경영계획_GI 수정안" xfId="392"/>
    <cellStyle name="_견적서갑지양식_06년판매계획(최종)_5월 경영실적" xfId="1803"/>
    <cellStyle name="_견적서갑지양식_06년판매계획(최종)_6월 경영실적" xfId="1804"/>
    <cellStyle name="_견적서갑지양식_06년판매계획(최종)_7월 경영실적" xfId="1805"/>
    <cellStyle name="_견적서갑지양식_06년판매계획(최종)_7월 경영실적_9월 경영실적" xfId="1806"/>
    <cellStyle name="_견적서갑지양식_06년판매계획(최종)_7월 경영실적_9월 경영실적_12" xfId="1807"/>
    <cellStyle name="_견적서갑지양식_06년판매계획(최종)_7월 경영실적_9월 경영실적_5월 경영실적" xfId="1808"/>
    <cellStyle name="_견적서갑지양식_06년판매계획(최종)_7월 경영실적_9월 경영실적_6월 경영실적" xfId="1809"/>
    <cellStyle name="_견적서갑지양식_06년판매계획(최종)_7월 경영실적_9월 경영실적_7월 경영실적" xfId="1810"/>
    <cellStyle name="_견적서갑지양식_06년판매계획(최종)_7월 경영실적_9월 경영실적_GI매원" xfId="1811"/>
    <cellStyle name="_견적서갑지양식_06년판매계획(최종)_7월 경영실적_9월 경영실적_Sheet1" xfId="1812"/>
    <cellStyle name="_견적서갑지양식_06년판매계획(최종)_7월 경영실적_9월 경영실적_칼라매원" xfId="1813"/>
    <cellStyle name="_견적서갑지양식_06년판매계획(최종)_GI매원" xfId="1814"/>
    <cellStyle name="_견적서갑지양식_06년판매계획(최종)_Sheet1" xfId="1815"/>
    <cellStyle name="_견적서갑지양식_06년판매계획(최종)_칼라매원" xfId="1816"/>
    <cellStyle name="_견적서갑지양식_12" xfId="1817"/>
    <cellStyle name="_견적서갑지양식_2006년 경영계획(1안)" xfId="393"/>
    <cellStyle name="_견적서갑지양식_2006년 경영계획(1안)_12" xfId="1818"/>
    <cellStyle name="_견적서갑지양식_2006년 경영계획(1안)_2006년실적" xfId="394"/>
    <cellStyle name="_견적서갑지양식_2006년 경영계획(1안)_2006년실적_2007년도 경영계획" xfId="395"/>
    <cellStyle name="_견적서갑지양식_2006년 경영계획(1안)_2006년실적_2007년도 경영계획_GI 수정안" xfId="396"/>
    <cellStyle name="_견적서갑지양식_2006년 경영계획(1안)_2007년 판매계획(GI)" xfId="397"/>
    <cellStyle name="_견적서갑지양식_2006년 경영계획(1안)_2007년 판매계획(GI)_2007년도 경영계획" xfId="398"/>
    <cellStyle name="_견적서갑지양식_2006년 경영계획(1안)_2007년 판매계획(GI)_2007년도 경영계획_GI 수정안" xfId="399"/>
    <cellStyle name="_견적서갑지양식_2006년 경영계획(1안)_2007년판매계획(영업안)_영업2차확정안_20061103" xfId="400"/>
    <cellStyle name="_견적서갑지양식_2006년 경영계획(1안)_2007년판매계획(영업안)_영업2차확정안_20061103_2007년도 경영계획" xfId="401"/>
    <cellStyle name="_견적서갑지양식_2006년 경영계획(1안)_2007년판매계획(영업안)_영업2차확정안_20061103_2007년도 경영계획_GI 수정안" xfId="402"/>
    <cellStyle name="_견적서갑지양식_2006년 경영계획(1안)_5월 경영실적" xfId="1819"/>
    <cellStyle name="_견적서갑지양식_2006년 경영계획(1안)_6월 경영실적" xfId="1820"/>
    <cellStyle name="_견적서갑지양식_2006년 경영계획(1안)_7월 경영실적" xfId="1821"/>
    <cellStyle name="_견적서갑지양식_2006년 경영계획(1안)_7월 경영실적_9월 경영실적" xfId="1822"/>
    <cellStyle name="_견적서갑지양식_2006년 경영계획(1안)_7월 경영실적_9월 경영실적_12" xfId="1823"/>
    <cellStyle name="_견적서갑지양식_2006년 경영계획(1안)_7월 경영실적_9월 경영실적_5월 경영실적" xfId="1824"/>
    <cellStyle name="_견적서갑지양식_2006년 경영계획(1안)_7월 경영실적_9월 경영실적_6월 경영실적" xfId="1825"/>
    <cellStyle name="_견적서갑지양식_2006년 경영계획(1안)_7월 경영실적_9월 경영실적_7월 경영실적" xfId="1826"/>
    <cellStyle name="_견적서갑지양식_2006년 경영계획(1안)_7월 경영실적_9월 경영실적_GI매원" xfId="1827"/>
    <cellStyle name="_견적서갑지양식_2006년 경영계획(1안)_7월 경영실적_9월 경영실적_Sheet1" xfId="1828"/>
    <cellStyle name="_견적서갑지양식_2006년 경영계획(1안)_7월 경영실적_9월 경영실적_칼라매원" xfId="1829"/>
    <cellStyle name="_견적서갑지양식_2006년 경영계획(1안)_GI매원" xfId="1830"/>
    <cellStyle name="_견적서갑지양식_2006년 경영계획(1안)_Sheet1" xfId="1831"/>
    <cellStyle name="_견적서갑지양식_2006년 경영계획(1안)_칼라매원" xfId="1832"/>
    <cellStyle name="_견적서갑지양식_2006년 경영계획(안)" xfId="403"/>
    <cellStyle name="_견적서갑지양식_2006년 경영계획(안)_12" xfId="1833"/>
    <cellStyle name="_견적서갑지양식_2006년 경영계획(안)_2006년실적" xfId="404"/>
    <cellStyle name="_견적서갑지양식_2006년 경영계획(안)_2006년실적_2007년도 경영계획" xfId="405"/>
    <cellStyle name="_견적서갑지양식_2006년 경영계획(안)_2006년실적_2007년도 경영계획_GI 수정안" xfId="406"/>
    <cellStyle name="_견적서갑지양식_2006년 경영계획(안)_2007년 판매계획(GI)" xfId="407"/>
    <cellStyle name="_견적서갑지양식_2006년 경영계획(안)_2007년 판매계획(GI)_2007년도 경영계획" xfId="408"/>
    <cellStyle name="_견적서갑지양식_2006년 경영계획(안)_2007년 판매계획(GI)_2007년도 경영계획_GI 수정안" xfId="409"/>
    <cellStyle name="_견적서갑지양식_2006년 경영계획(안)_2007년판매계획(영업안)_영업2차확정안_20061103" xfId="410"/>
    <cellStyle name="_견적서갑지양식_2006년 경영계획(안)_2007년판매계획(영업안)_영업2차확정안_20061103_2007년도 경영계획" xfId="411"/>
    <cellStyle name="_견적서갑지양식_2006년 경영계획(안)_2007년판매계획(영업안)_영업2차확정안_20061103_2007년도 경영계획_GI 수정안" xfId="412"/>
    <cellStyle name="_견적서갑지양식_2006년 경영계획(안)_5월 경영실적" xfId="1834"/>
    <cellStyle name="_견적서갑지양식_2006년 경영계획(안)_6월 경영실적" xfId="1835"/>
    <cellStyle name="_견적서갑지양식_2006년 경영계획(안)_7월 경영실적" xfId="1836"/>
    <cellStyle name="_견적서갑지양식_2006년 경영계획(안)_7월 경영실적_9월 경영실적" xfId="1837"/>
    <cellStyle name="_견적서갑지양식_2006년 경영계획(안)_7월 경영실적_9월 경영실적_12" xfId="1838"/>
    <cellStyle name="_견적서갑지양식_2006년 경영계획(안)_7월 경영실적_9월 경영실적_5월 경영실적" xfId="1839"/>
    <cellStyle name="_견적서갑지양식_2006년 경영계획(안)_7월 경영실적_9월 경영실적_6월 경영실적" xfId="1840"/>
    <cellStyle name="_견적서갑지양식_2006년 경영계획(안)_7월 경영실적_9월 경영실적_7월 경영실적" xfId="1841"/>
    <cellStyle name="_견적서갑지양식_2006년 경영계획(안)_7월 경영실적_9월 경영실적_GI매원" xfId="1842"/>
    <cellStyle name="_견적서갑지양식_2006년 경영계획(안)_7월 경영실적_9월 경영실적_Sheet1" xfId="1843"/>
    <cellStyle name="_견적서갑지양식_2006년 경영계획(안)_7월 경영실적_9월 경영실적_칼라매원" xfId="1844"/>
    <cellStyle name="_견적서갑지양식_2006년 경영계획(안)_GI매원" xfId="1845"/>
    <cellStyle name="_견적서갑지양식_2006년 경영계획(안)_Sheet1" xfId="1846"/>
    <cellStyle name="_견적서갑지양식_2006년 경영계획(안)_칼라매원" xfId="1847"/>
    <cellStyle name="_견적서갑지양식_2006년실적" xfId="413"/>
    <cellStyle name="_견적서갑지양식_2006년실적_2007년도 경영계획" xfId="414"/>
    <cellStyle name="_견적서갑지양식_2006년실적_2007년도 경영계획_GI 수정안" xfId="415"/>
    <cellStyle name="_견적서갑지양식_2007년 판매계획(GI)" xfId="416"/>
    <cellStyle name="_견적서갑지양식_2007년 판매계획(GI)_2007년도 경영계획" xfId="417"/>
    <cellStyle name="_견적서갑지양식_2007년 판매계획(GI)_2007년도 경영계획_GI 수정안" xfId="418"/>
    <cellStyle name="_견적서갑지양식_2007년판매계획(영업안)_영업2차확정안_20061103" xfId="419"/>
    <cellStyle name="_견적서갑지양식_2007년판매계획(영업안)_영업2차확정안_20061103_2007년도 경영계획" xfId="420"/>
    <cellStyle name="_견적서갑지양식_2007년판매계획(영업안)_영업2차확정안_20061103_2007년도 경영계획_GI 수정안" xfId="421"/>
    <cellStyle name="_견적서갑지양식_2008년 도급비 지급현황" xfId="4255"/>
    <cellStyle name="_견적서갑지양식_2008년 도급비 지급현황_2008년 도급비 지급현황" xfId="4254"/>
    <cellStyle name="_견적서갑지양식_2008년 도급비 지급현황_2008년 도급비 지급현황_2008년 도급비 지급현황" xfId="4253"/>
    <cellStyle name="_견적서갑지양식_2008년 도급비 지급현황_2008년 도급비 지급현황_2008년 도급비 지급현황_2009년 도급비 지급현황" xfId="4252"/>
    <cellStyle name="_견적서갑지양식_2008년 도급비 지급현황_2009년 도급비 지급현황" xfId="4251"/>
    <cellStyle name="_견적서갑지양식_5월 경영실적" xfId="1848"/>
    <cellStyle name="_견적서갑지양식_6월 경영실적" xfId="1849"/>
    <cellStyle name="_견적서갑지양식_7월 경영실적" xfId="1850"/>
    <cellStyle name="_견적서갑지양식_7월 경영실적_9월 경영실적" xfId="1851"/>
    <cellStyle name="_견적서갑지양식_7월 경영실적_9월 경영실적_12" xfId="1852"/>
    <cellStyle name="_견적서갑지양식_7월 경영실적_9월 경영실적_5월 경영실적" xfId="1853"/>
    <cellStyle name="_견적서갑지양식_7월 경영실적_9월 경영실적_6월 경영실적" xfId="1854"/>
    <cellStyle name="_견적서갑지양식_7월 경영실적_9월 경영실적_7월 경영실적" xfId="1855"/>
    <cellStyle name="_견적서갑지양식_7월 경영실적_9월 경영실적_GI매원" xfId="1856"/>
    <cellStyle name="_견적서갑지양식_7월 경영실적_9월 경영실적_Sheet1" xfId="1857"/>
    <cellStyle name="_견적서갑지양식_7월 경영실적_9월 경영실적_칼라매원" xfId="1858"/>
    <cellStyle name="_견적서갑지양식_GI매원" xfId="1859"/>
    <cellStyle name="_견적서갑지양식_Sheet1" xfId="1860"/>
    <cellStyle name="_견적서갑지양식_칼라매원" xfId="1861"/>
    <cellStyle name="_견적서양식" xfId="422"/>
    <cellStyle name="_고가차도산출서" xfId="423"/>
    <cellStyle name="_고려-수원미네시티(작업)" xfId="424"/>
    <cellStyle name="_공량단가산출서" xfId="425"/>
    <cellStyle name="_공량단가산출서_06년판매계획(최종)" xfId="426"/>
    <cellStyle name="_공량단가산출서_06년판매계획(최종)_12" xfId="1862"/>
    <cellStyle name="_공량단가산출서_06년판매계획(최종)_2006년실적" xfId="427"/>
    <cellStyle name="_공량단가산출서_06년판매계획(최종)_2006년실적_2007년도 경영계획" xfId="428"/>
    <cellStyle name="_공량단가산출서_06년판매계획(최종)_2006년실적_2007년도 경영계획_GI 수정안" xfId="429"/>
    <cellStyle name="_공량단가산출서_06년판매계획(최종)_2007년 판매계획(GI)" xfId="430"/>
    <cellStyle name="_공량단가산출서_06년판매계획(최종)_2007년 판매계획(GI)_2007년도 경영계획" xfId="431"/>
    <cellStyle name="_공량단가산출서_06년판매계획(최종)_2007년 판매계획(GI)_2007년도 경영계획_GI 수정안" xfId="432"/>
    <cellStyle name="_공량단가산출서_06년판매계획(최종)_2007년판매계획(영업안)_영업2차확정안_20061103" xfId="433"/>
    <cellStyle name="_공량단가산출서_06년판매계획(최종)_2007년판매계획(영업안)_영업2차확정안_20061103_2007년도 경영계획" xfId="434"/>
    <cellStyle name="_공량단가산출서_06년판매계획(최종)_2007년판매계획(영업안)_영업2차확정안_20061103_2007년도 경영계획_GI 수정안" xfId="435"/>
    <cellStyle name="_공량단가산출서_06년판매계획(최종)_5월 경영실적" xfId="1863"/>
    <cellStyle name="_공량단가산출서_06년판매계획(최종)_6월 경영실적" xfId="1864"/>
    <cellStyle name="_공량단가산출서_06년판매계획(최종)_7월 경영실적" xfId="1865"/>
    <cellStyle name="_공량단가산출서_06년판매계획(최종)_7월 경영실적_9월 경영실적" xfId="1866"/>
    <cellStyle name="_공량단가산출서_06년판매계획(최종)_7월 경영실적_9월 경영실적_12" xfId="1867"/>
    <cellStyle name="_공량단가산출서_06년판매계획(최종)_7월 경영실적_9월 경영실적_5월 경영실적" xfId="1868"/>
    <cellStyle name="_공량단가산출서_06년판매계획(최종)_7월 경영실적_9월 경영실적_6월 경영실적" xfId="1869"/>
    <cellStyle name="_공량단가산출서_06년판매계획(최종)_7월 경영실적_9월 경영실적_7월 경영실적" xfId="1870"/>
    <cellStyle name="_공량단가산출서_06년판매계획(최종)_7월 경영실적_9월 경영실적_GI매원" xfId="1871"/>
    <cellStyle name="_공량단가산출서_06년판매계획(최종)_7월 경영실적_9월 경영실적_Sheet1" xfId="1872"/>
    <cellStyle name="_공량단가산출서_06년판매계획(최종)_7월 경영실적_9월 경영실적_칼라매원" xfId="1873"/>
    <cellStyle name="_공량단가산출서_06년판매계획(최종)_GI매원" xfId="1874"/>
    <cellStyle name="_공량단가산출서_06년판매계획(최종)_Sheet1" xfId="1875"/>
    <cellStyle name="_공량단가산출서_06년판매계획(최종)_칼라매원" xfId="1876"/>
    <cellStyle name="_공량단가산출서_12" xfId="1877"/>
    <cellStyle name="_공량단가산출서_2006년 경영계획(1안)" xfId="436"/>
    <cellStyle name="_공량단가산출서_2006년 경영계획(1안)_12" xfId="1878"/>
    <cellStyle name="_공량단가산출서_2006년 경영계획(1안)_2006년실적" xfId="437"/>
    <cellStyle name="_공량단가산출서_2006년 경영계획(1안)_2006년실적_2007년도 경영계획" xfId="438"/>
    <cellStyle name="_공량단가산출서_2006년 경영계획(1안)_2006년실적_2007년도 경영계획_GI 수정안" xfId="439"/>
    <cellStyle name="_공량단가산출서_2006년 경영계획(1안)_2007년 판매계획(GI)" xfId="440"/>
    <cellStyle name="_공량단가산출서_2006년 경영계획(1안)_2007년 판매계획(GI)_2007년도 경영계획" xfId="441"/>
    <cellStyle name="_공량단가산출서_2006년 경영계획(1안)_2007년 판매계획(GI)_2007년도 경영계획_GI 수정안" xfId="442"/>
    <cellStyle name="_공량단가산출서_2006년 경영계획(1안)_2007년판매계획(영업안)_영업2차확정안_20061103" xfId="443"/>
    <cellStyle name="_공량단가산출서_2006년 경영계획(1안)_2007년판매계획(영업안)_영업2차확정안_20061103_2007년도 경영계획" xfId="444"/>
    <cellStyle name="_공량단가산출서_2006년 경영계획(1안)_2007년판매계획(영업안)_영업2차확정안_20061103_2007년도 경영계획_GI 수정안" xfId="445"/>
    <cellStyle name="_공량단가산출서_2006년 경영계획(1안)_5월 경영실적" xfId="1879"/>
    <cellStyle name="_공량단가산출서_2006년 경영계획(1안)_6월 경영실적" xfId="1880"/>
    <cellStyle name="_공량단가산출서_2006년 경영계획(1안)_7월 경영실적" xfId="1881"/>
    <cellStyle name="_공량단가산출서_2006년 경영계획(1안)_7월 경영실적_9월 경영실적" xfId="1882"/>
    <cellStyle name="_공량단가산출서_2006년 경영계획(1안)_7월 경영실적_9월 경영실적_12" xfId="1883"/>
    <cellStyle name="_공량단가산출서_2006년 경영계획(1안)_7월 경영실적_9월 경영실적_5월 경영실적" xfId="1884"/>
    <cellStyle name="_공량단가산출서_2006년 경영계획(1안)_7월 경영실적_9월 경영실적_6월 경영실적" xfId="1885"/>
    <cellStyle name="_공량단가산출서_2006년 경영계획(1안)_7월 경영실적_9월 경영실적_7월 경영실적" xfId="1886"/>
    <cellStyle name="_공량단가산출서_2006년 경영계획(1안)_7월 경영실적_9월 경영실적_GI매원" xfId="1887"/>
    <cellStyle name="_공량단가산출서_2006년 경영계획(1안)_7월 경영실적_9월 경영실적_Sheet1" xfId="1888"/>
    <cellStyle name="_공량단가산출서_2006년 경영계획(1안)_7월 경영실적_9월 경영실적_칼라매원" xfId="1889"/>
    <cellStyle name="_공량단가산출서_2006년 경영계획(1안)_GI매원" xfId="1890"/>
    <cellStyle name="_공량단가산출서_2006년 경영계획(1안)_Sheet1" xfId="1891"/>
    <cellStyle name="_공량단가산출서_2006년 경영계획(1안)_칼라매원" xfId="1892"/>
    <cellStyle name="_공량단가산출서_2006년 경영계획(안)" xfId="446"/>
    <cellStyle name="_공량단가산출서_2006년 경영계획(안)_12" xfId="1893"/>
    <cellStyle name="_공량단가산출서_2006년 경영계획(안)_2006년실적" xfId="447"/>
    <cellStyle name="_공량단가산출서_2006년 경영계획(안)_2006년실적_2007년도 경영계획" xfId="448"/>
    <cellStyle name="_공량단가산출서_2006년 경영계획(안)_2006년실적_2007년도 경영계획_GI 수정안" xfId="449"/>
    <cellStyle name="_공량단가산출서_2006년 경영계획(안)_2007년 판매계획(GI)" xfId="450"/>
    <cellStyle name="_공량단가산출서_2006년 경영계획(안)_2007년 판매계획(GI)_2007년도 경영계획" xfId="451"/>
    <cellStyle name="_공량단가산출서_2006년 경영계획(안)_2007년 판매계획(GI)_2007년도 경영계획_GI 수정안" xfId="452"/>
    <cellStyle name="_공량단가산출서_2006년 경영계획(안)_2007년판매계획(영업안)_영업2차확정안_20061103" xfId="453"/>
    <cellStyle name="_공량단가산출서_2006년 경영계획(안)_2007년판매계획(영업안)_영업2차확정안_20061103_2007년도 경영계획" xfId="454"/>
    <cellStyle name="_공량단가산출서_2006년 경영계획(안)_2007년판매계획(영업안)_영업2차확정안_20061103_2007년도 경영계획_GI 수정안" xfId="455"/>
    <cellStyle name="_공량단가산출서_2006년 경영계획(안)_5월 경영실적" xfId="1894"/>
    <cellStyle name="_공량단가산출서_2006년 경영계획(안)_6월 경영실적" xfId="1895"/>
    <cellStyle name="_공량단가산출서_2006년 경영계획(안)_7월 경영실적" xfId="1896"/>
    <cellStyle name="_공량단가산출서_2006년 경영계획(안)_7월 경영실적_9월 경영실적" xfId="1897"/>
    <cellStyle name="_공량단가산출서_2006년 경영계획(안)_7월 경영실적_9월 경영실적_12" xfId="1898"/>
    <cellStyle name="_공량단가산출서_2006년 경영계획(안)_7월 경영실적_9월 경영실적_5월 경영실적" xfId="1899"/>
    <cellStyle name="_공량단가산출서_2006년 경영계획(안)_7월 경영실적_9월 경영실적_6월 경영실적" xfId="1900"/>
    <cellStyle name="_공량단가산출서_2006년 경영계획(안)_7월 경영실적_9월 경영실적_7월 경영실적" xfId="1901"/>
    <cellStyle name="_공량단가산출서_2006년 경영계획(안)_7월 경영실적_9월 경영실적_GI매원" xfId="1902"/>
    <cellStyle name="_공량단가산출서_2006년 경영계획(안)_7월 경영실적_9월 경영실적_Sheet1" xfId="1903"/>
    <cellStyle name="_공량단가산출서_2006년 경영계획(안)_7월 경영실적_9월 경영실적_칼라매원" xfId="1904"/>
    <cellStyle name="_공량단가산출서_2006년 경영계획(안)_GI매원" xfId="1905"/>
    <cellStyle name="_공량단가산출서_2006년 경영계획(안)_Sheet1" xfId="1906"/>
    <cellStyle name="_공량단가산출서_2006년 경영계획(안)_칼라매원" xfId="1907"/>
    <cellStyle name="_공량단가산출서_2006년실적" xfId="456"/>
    <cellStyle name="_공량단가산출서_2006년실적_2007년도 경영계획" xfId="457"/>
    <cellStyle name="_공량단가산출서_2006년실적_2007년도 경영계획_GI 수정안" xfId="458"/>
    <cellStyle name="_공량단가산출서_2007년 판매계획(GI)" xfId="459"/>
    <cellStyle name="_공량단가산출서_2007년 판매계획(GI)_2007년도 경영계획" xfId="460"/>
    <cellStyle name="_공량단가산출서_2007년 판매계획(GI)_2007년도 경영계획_GI 수정안" xfId="461"/>
    <cellStyle name="_공량단가산출서_2007년판매계획(영업안)_영업2차확정안_20061103" xfId="462"/>
    <cellStyle name="_공량단가산출서_2007년판매계획(영업안)_영업2차확정안_20061103_2007년도 경영계획" xfId="463"/>
    <cellStyle name="_공량단가산출서_2007년판매계획(영업안)_영업2차확정안_20061103_2007년도 경영계획_GI 수정안" xfId="464"/>
    <cellStyle name="_공량단가산출서_2008년 도급비 지급현황" xfId="4250"/>
    <cellStyle name="_공량단가산출서_2008년 도급비 지급현황_2008년 도급비 지급현황" xfId="4244"/>
    <cellStyle name="_공량단가산출서_2008년 도급비 지급현황_2008년 도급비 지급현황_2008년 도급비 지급현황" xfId="4243"/>
    <cellStyle name="_공량단가산출서_2008년 도급비 지급현황_2008년 도급비 지급현황_2008년 도급비 지급현황_2009년 도급비 지급현황" xfId="4242"/>
    <cellStyle name="_공량단가산출서_2008년 도급비 지급현황_2009년 도급비 지급현황" xfId="4241"/>
    <cellStyle name="_공량단가산출서_5월 경영실적" xfId="1908"/>
    <cellStyle name="_공량단가산출서_6월 경영실적" xfId="1909"/>
    <cellStyle name="_공량단가산출서_7월 경영실적" xfId="1910"/>
    <cellStyle name="_공량단가산출서_7월 경영실적_9월 경영실적" xfId="1911"/>
    <cellStyle name="_공량단가산출서_7월 경영실적_9월 경영실적_12" xfId="1912"/>
    <cellStyle name="_공량단가산출서_7월 경영실적_9월 경영실적_5월 경영실적" xfId="1913"/>
    <cellStyle name="_공량단가산출서_7월 경영실적_9월 경영실적_6월 경영실적" xfId="1914"/>
    <cellStyle name="_공량단가산출서_7월 경영실적_9월 경영실적_7월 경영실적" xfId="1915"/>
    <cellStyle name="_공량단가산출서_7월 경영실적_9월 경영실적_GI매원" xfId="1916"/>
    <cellStyle name="_공량단가산출서_7월 경영실적_9월 경영실적_Sheet1" xfId="1917"/>
    <cellStyle name="_공량단가산출서_7월 경영실적_9월 경영실적_칼라매원" xfId="1918"/>
    <cellStyle name="_공량단가산출서_GI매원" xfId="1919"/>
    <cellStyle name="_공량단가산출서_Sheet1" xfId="1920"/>
    <cellStyle name="_공량단가산출서_칼라매원" xfId="1921"/>
    <cellStyle name="_공량단가산출서r1" xfId="465"/>
    <cellStyle name="_공량단가산출서r1_06년판매계획(최종)" xfId="466"/>
    <cellStyle name="_공량단가산출서r1_06년판매계획(최종)_12" xfId="1922"/>
    <cellStyle name="_공량단가산출서r1_06년판매계획(최종)_2006년실적" xfId="467"/>
    <cellStyle name="_공량단가산출서r1_06년판매계획(최종)_2006년실적_2007년도 경영계획" xfId="468"/>
    <cellStyle name="_공량단가산출서r1_06년판매계획(최종)_2006년실적_2007년도 경영계획_GI 수정안" xfId="469"/>
    <cellStyle name="_공량단가산출서r1_06년판매계획(최종)_2007년 판매계획(GI)" xfId="470"/>
    <cellStyle name="_공량단가산출서r1_06년판매계획(최종)_2007년 판매계획(GI)_2007년도 경영계획" xfId="471"/>
    <cellStyle name="_공량단가산출서r1_06년판매계획(최종)_2007년 판매계획(GI)_2007년도 경영계획_GI 수정안" xfId="472"/>
    <cellStyle name="_공량단가산출서r1_06년판매계획(최종)_2007년판매계획(영업안)_영업2차확정안_20061103" xfId="473"/>
    <cellStyle name="_공량단가산출서r1_06년판매계획(최종)_2007년판매계획(영업안)_영업2차확정안_20061103_2007년도 경영계획" xfId="474"/>
    <cellStyle name="_공량단가산출서r1_06년판매계획(최종)_2007년판매계획(영업안)_영업2차확정안_20061103_2007년도 경영계획_GI 수정안" xfId="475"/>
    <cellStyle name="_공량단가산출서r1_06년판매계획(최종)_5월 경영실적" xfId="1923"/>
    <cellStyle name="_공량단가산출서r1_06년판매계획(최종)_6월 경영실적" xfId="1924"/>
    <cellStyle name="_공량단가산출서r1_06년판매계획(최종)_7월 경영실적" xfId="1925"/>
    <cellStyle name="_공량단가산출서r1_06년판매계획(최종)_7월 경영실적_9월 경영실적" xfId="1926"/>
    <cellStyle name="_공량단가산출서r1_06년판매계획(최종)_7월 경영실적_9월 경영실적_12" xfId="1927"/>
    <cellStyle name="_공량단가산출서r1_06년판매계획(최종)_7월 경영실적_9월 경영실적_5월 경영실적" xfId="1928"/>
    <cellStyle name="_공량단가산출서r1_06년판매계획(최종)_7월 경영실적_9월 경영실적_6월 경영실적" xfId="1929"/>
    <cellStyle name="_공량단가산출서r1_06년판매계획(최종)_7월 경영실적_9월 경영실적_7월 경영실적" xfId="1930"/>
    <cellStyle name="_공량단가산출서r1_06년판매계획(최종)_7월 경영실적_9월 경영실적_GI매원" xfId="1931"/>
    <cellStyle name="_공량단가산출서r1_06년판매계획(최종)_7월 경영실적_9월 경영실적_Sheet1" xfId="1932"/>
    <cellStyle name="_공량단가산출서r1_06년판매계획(최종)_7월 경영실적_9월 경영실적_칼라매원" xfId="1933"/>
    <cellStyle name="_공량단가산출서r1_06년판매계획(최종)_GI매원" xfId="1934"/>
    <cellStyle name="_공량단가산출서r1_06년판매계획(최종)_Sheet1" xfId="1935"/>
    <cellStyle name="_공량단가산출서r1_06년판매계획(최종)_칼라매원" xfId="1936"/>
    <cellStyle name="_공량단가산출서r1_12" xfId="1937"/>
    <cellStyle name="_공량단가산출서r1_2006년 경영계획(1안)" xfId="476"/>
    <cellStyle name="_공량단가산출서r1_2006년 경영계획(1안)_12" xfId="1938"/>
    <cellStyle name="_공량단가산출서r1_2006년 경영계획(1안)_2006년실적" xfId="477"/>
    <cellStyle name="_공량단가산출서r1_2006년 경영계획(1안)_2006년실적_2007년도 경영계획" xfId="478"/>
    <cellStyle name="_공량단가산출서r1_2006년 경영계획(1안)_2006년실적_2007년도 경영계획_GI 수정안" xfId="479"/>
    <cellStyle name="_공량단가산출서r1_2006년 경영계획(1안)_2007년 판매계획(GI)" xfId="480"/>
    <cellStyle name="_공량단가산출서r1_2006년 경영계획(1안)_2007년 판매계획(GI)_2007년도 경영계획" xfId="481"/>
    <cellStyle name="_공량단가산출서r1_2006년 경영계획(1안)_2007년 판매계획(GI)_2007년도 경영계획_GI 수정안" xfId="482"/>
    <cellStyle name="_공량단가산출서r1_2006년 경영계획(1안)_2007년판매계획(영업안)_영업2차확정안_20061103" xfId="483"/>
    <cellStyle name="_공량단가산출서r1_2006년 경영계획(1안)_2007년판매계획(영업안)_영업2차확정안_20061103_2007년도 경영계획" xfId="484"/>
    <cellStyle name="_공량단가산출서r1_2006년 경영계획(1안)_2007년판매계획(영업안)_영업2차확정안_20061103_2007년도 경영계획_GI 수정안" xfId="485"/>
    <cellStyle name="_공량단가산출서r1_2006년 경영계획(1안)_5월 경영실적" xfId="1939"/>
    <cellStyle name="_공량단가산출서r1_2006년 경영계획(1안)_6월 경영실적" xfId="1940"/>
    <cellStyle name="_공량단가산출서r1_2006년 경영계획(1안)_7월 경영실적" xfId="1941"/>
    <cellStyle name="_공량단가산출서r1_2006년 경영계획(1안)_7월 경영실적_9월 경영실적" xfId="1942"/>
    <cellStyle name="_공량단가산출서r1_2006년 경영계획(1안)_7월 경영실적_9월 경영실적_12" xfId="1943"/>
    <cellStyle name="_공량단가산출서r1_2006년 경영계획(1안)_7월 경영실적_9월 경영실적_5월 경영실적" xfId="1944"/>
    <cellStyle name="_공량단가산출서r1_2006년 경영계획(1안)_7월 경영실적_9월 경영실적_6월 경영실적" xfId="1945"/>
    <cellStyle name="_공량단가산출서r1_2006년 경영계획(1안)_7월 경영실적_9월 경영실적_7월 경영실적" xfId="1946"/>
    <cellStyle name="_공량단가산출서r1_2006년 경영계획(1안)_7월 경영실적_9월 경영실적_GI매원" xfId="1947"/>
    <cellStyle name="_공량단가산출서r1_2006년 경영계획(1안)_7월 경영실적_9월 경영실적_Sheet1" xfId="1948"/>
    <cellStyle name="_공량단가산출서r1_2006년 경영계획(1안)_7월 경영실적_9월 경영실적_칼라매원" xfId="1949"/>
    <cellStyle name="_공량단가산출서r1_2006년 경영계획(1안)_GI매원" xfId="1950"/>
    <cellStyle name="_공량단가산출서r1_2006년 경영계획(1안)_Sheet1" xfId="1951"/>
    <cellStyle name="_공량단가산출서r1_2006년 경영계획(1안)_칼라매원" xfId="1952"/>
    <cellStyle name="_공량단가산출서r1_2006년 경영계획(안)" xfId="486"/>
    <cellStyle name="_공량단가산출서r1_2006년 경영계획(안)_12" xfId="1953"/>
    <cellStyle name="_공량단가산출서r1_2006년 경영계획(안)_2006년실적" xfId="487"/>
    <cellStyle name="_공량단가산출서r1_2006년 경영계획(안)_2006년실적_2007년도 경영계획" xfId="488"/>
    <cellStyle name="_공량단가산출서r1_2006년 경영계획(안)_2006년실적_2007년도 경영계획_GI 수정안" xfId="489"/>
    <cellStyle name="_공량단가산출서r1_2006년 경영계획(안)_2007년 판매계획(GI)" xfId="490"/>
    <cellStyle name="_공량단가산출서r1_2006년 경영계획(안)_2007년 판매계획(GI)_2007년도 경영계획" xfId="491"/>
    <cellStyle name="_공량단가산출서r1_2006년 경영계획(안)_2007년 판매계획(GI)_2007년도 경영계획_GI 수정안" xfId="492"/>
    <cellStyle name="_공량단가산출서r1_2006년 경영계획(안)_2007년판매계획(영업안)_영업2차확정안_20061103" xfId="493"/>
    <cellStyle name="_공량단가산출서r1_2006년 경영계획(안)_2007년판매계획(영업안)_영업2차확정안_20061103_2007년도 경영계획" xfId="494"/>
    <cellStyle name="_공량단가산출서r1_2006년 경영계획(안)_2007년판매계획(영업안)_영업2차확정안_20061103_2007년도 경영계획_GI 수정안" xfId="495"/>
    <cellStyle name="_공량단가산출서r1_2006년 경영계획(안)_5월 경영실적" xfId="1954"/>
    <cellStyle name="_공량단가산출서r1_2006년 경영계획(안)_6월 경영실적" xfId="1955"/>
    <cellStyle name="_공량단가산출서r1_2006년 경영계획(안)_7월 경영실적" xfId="1956"/>
    <cellStyle name="_공량단가산출서r1_2006년 경영계획(안)_7월 경영실적_9월 경영실적" xfId="1957"/>
    <cellStyle name="_공량단가산출서r1_2006년 경영계획(안)_7월 경영실적_9월 경영실적_12" xfId="1958"/>
    <cellStyle name="_공량단가산출서r1_2006년 경영계획(안)_7월 경영실적_9월 경영실적_5월 경영실적" xfId="1959"/>
    <cellStyle name="_공량단가산출서r1_2006년 경영계획(안)_7월 경영실적_9월 경영실적_6월 경영실적" xfId="1960"/>
    <cellStyle name="_공량단가산출서r1_2006년 경영계획(안)_7월 경영실적_9월 경영실적_7월 경영실적" xfId="1961"/>
    <cellStyle name="_공량단가산출서r1_2006년 경영계획(안)_7월 경영실적_9월 경영실적_GI매원" xfId="1962"/>
    <cellStyle name="_공량단가산출서r1_2006년 경영계획(안)_7월 경영실적_9월 경영실적_Sheet1" xfId="1963"/>
    <cellStyle name="_공량단가산출서r1_2006년 경영계획(안)_7월 경영실적_9월 경영실적_칼라매원" xfId="1964"/>
    <cellStyle name="_공량단가산출서r1_2006년 경영계획(안)_GI매원" xfId="1965"/>
    <cellStyle name="_공량단가산출서r1_2006년 경영계획(안)_Sheet1" xfId="1966"/>
    <cellStyle name="_공량단가산출서r1_2006년 경영계획(안)_칼라매원" xfId="1967"/>
    <cellStyle name="_공량단가산출서r1_2006년실적" xfId="496"/>
    <cellStyle name="_공량단가산출서r1_2006년실적_2007년도 경영계획" xfId="497"/>
    <cellStyle name="_공량단가산출서r1_2006년실적_2007년도 경영계획_GI 수정안" xfId="498"/>
    <cellStyle name="_공량단가산출서r1_2007년 판매계획(GI)" xfId="499"/>
    <cellStyle name="_공량단가산출서r1_2007년 판매계획(GI)_2007년도 경영계획" xfId="500"/>
    <cellStyle name="_공량단가산출서r1_2007년 판매계획(GI)_2007년도 경영계획_GI 수정안" xfId="501"/>
    <cellStyle name="_공량단가산출서r1_2007년판매계획(영업안)_영업2차확정안_20061103" xfId="502"/>
    <cellStyle name="_공량단가산출서r1_2007년판매계획(영업안)_영업2차확정안_20061103_2007년도 경영계획" xfId="503"/>
    <cellStyle name="_공량단가산출서r1_2007년판매계획(영업안)_영업2차확정안_20061103_2007년도 경영계획_GI 수정안" xfId="504"/>
    <cellStyle name="_공량단가산출서r1_2008년 도급비 지급현황" xfId="4240"/>
    <cellStyle name="_공량단가산출서r1_2008년 도급비 지급현황_2008년 도급비 지급현황" xfId="4239"/>
    <cellStyle name="_공량단가산출서r1_2008년 도급비 지급현황_2008년 도급비 지급현황_2008년 도급비 지급현황" xfId="4238"/>
    <cellStyle name="_공량단가산출서r1_2008년 도급비 지급현황_2008년 도급비 지급현황_2008년 도급비 지급현황_2009년 도급비 지급현황" xfId="4237"/>
    <cellStyle name="_공량단가산출서r1_2008년 도급비 지급현황_2009년 도급비 지급현황" xfId="4236"/>
    <cellStyle name="_공량단가산출서r1_5월 경영실적" xfId="1968"/>
    <cellStyle name="_공량단가산출서r1_6월 경영실적" xfId="1969"/>
    <cellStyle name="_공량단가산출서r1_7월 경영실적" xfId="1970"/>
    <cellStyle name="_공량단가산출서r1_7월 경영실적_9월 경영실적" xfId="1971"/>
    <cellStyle name="_공량단가산출서r1_7월 경영실적_9월 경영실적_12" xfId="1972"/>
    <cellStyle name="_공량단가산출서r1_7월 경영실적_9월 경영실적_5월 경영실적" xfId="1973"/>
    <cellStyle name="_공량단가산출서r1_7월 경영실적_9월 경영실적_6월 경영실적" xfId="1974"/>
    <cellStyle name="_공량단가산출서r1_7월 경영실적_9월 경영실적_7월 경영실적" xfId="1975"/>
    <cellStyle name="_공량단가산출서r1_7월 경영실적_9월 경영실적_GI매원" xfId="1976"/>
    <cellStyle name="_공량단가산출서r1_7월 경영실적_9월 경영실적_Sheet1" xfId="1977"/>
    <cellStyle name="_공량단가산출서r1_7월 경영실적_9월 경영실적_칼라매원" xfId="1978"/>
    <cellStyle name="_공량단가산출서r1_GI매원" xfId="1979"/>
    <cellStyle name="_공량단가산출서r1_Sheet1" xfId="1980"/>
    <cellStyle name="_공량단가산출서r1_칼라매원" xfId="1981"/>
    <cellStyle name="_단가표" xfId="505"/>
    <cellStyle name="_단가표_06년판매계획(최종)" xfId="506"/>
    <cellStyle name="_단가표_06년판매계획(최종)_12" xfId="1982"/>
    <cellStyle name="_단가표_06년판매계획(최종)_2006년실적" xfId="507"/>
    <cellStyle name="_단가표_06년판매계획(최종)_2006년실적_2007년도 경영계획" xfId="508"/>
    <cellStyle name="_단가표_06년판매계획(최종)_2006년실적_2007년도 경영계획_GI 수정안" xfId="509"/>
    <cellStyle name="_단가표_06년판매계획(최종)_2007년 판매계획(GI)" xfId="510"/>
    <cellStyle name="_단가표_06년판매계획(최종)_2007년 판매계획(GI)_2007년도 경영계획" xfId="511"/>
    <cellStyle name="_단가표_06년판매계획(최종)_2007년 판매계획(GI)_2007년도 경영계획_GI 수정안" xfId="512"/>
    <cellStyle name="_단가표_06년판매계획(최종)_2007년판매계획(영업안)_영업2차확정안_20061103" xfId="513"/>
    <cellStyle name="_단가표_06년판매계획(최종)_2007년판매계획(영업안)_영업2차확정안_20061103_2007년도 경영계획" xfId="514"/>
    <cellStyle name="_단가표_06년판매계획(최종)_2007년판매계획(영업안)_영업2차확정안_20061103_2007년도 경영계획_GI 수정안" xfId="515"/>
    <cellStyle name="_단가표_06년판매계획(최종)_5월 경영실적" xfId="1983"/>
    <cellStyle name="_단가표_06년판매계획(최종)_6월 경영실적" xfId="1984"/>
    <cellStyle name="_단가표_06년판매계획(최종)_7월 경영실적" xfId="1985"/>
    <cellStyle name="_단가표_06년판매계획(최종)_7월 경영실적_9월 경영실적" xfId="1986"/>
    <cellStyle name="_단가표_06년판매계획(최종)_7월 경영실적_9월 경영실적_12" xfId="1987"/>
    <cellStyle name="_단가표_06년판매계획(최종)_7월 경영실적_9월 경영실적_5월 경영실적" xfId="1988"/>
    <cellStyle name="_단가표_06년판매계획(최종)_7월 경영실적_9월 경영실적_6월 경영실적" xfId="1989"/>
    <cellStyle name="_단가표_06년판매계획(최종)_7월 경영실적_9월 경영실적_7월 경영실적" xfId="1990"/>
    <cellStyle name="_단가표_06년판매계획(최종)_7월 경영실적_9월 경영실적_GI매원" xfId="1991"/>
    <cellStyle name="_단가표_06년판매계획(최종)_7월 경영실적_9월 경영실적_Sheet1" xfId="1992"/>
    <cellStyle name="_단가표_06년판매계획(최종)_7월 경영실적_9월 경영실적_칼라매원" xfId="1993"/>
    <cellStyle name="_단가표_06년판매계획(최종)_GI매원" xfId="1994"/>
    <cellStyle name="_단가표_06년판매계획(최종)_Sheet1" xfId="1995"/>
    <cellStyle name="_단가표_06년판매계획(최종)_칼라매원" xfId="1996"/>
    <cellStyle name="_단가표_12" xfId="1997"/>
    <cellStyle name="_단가표_2006년 경영계획(1안)" xfId="516"/>
    <cellStyle name="_단가표_2006년 경영계획(1안)_12" xfId="1998"/>
    <cellStyle name="_단가표_2006년 경영계획(1안)_2006년실적" xfId="517"/>
    <cellStyle name="_단가표_2006년 경영계획(1안)_2006년실적_2007년도 경영계획" xfId="518"/>
    <cellStyle name="_단가표_2006년 경영계획(1안)_2006년실적_2007년도 경영계획_GI 수정안" xfId="519"/>
    <cellStyle name="_단가표_2006년 경영계획(1안)_2007년 판매계획(GI)" xfId="520"/>
    <cellStyle name="_단가표_2006년 경영계획(1안)_2007년 판매계획(GI)_2007년도 경영계획" xfId="521"/>
    <cellStyle name="_단가표_2006년 경영계획(1안)_2007년 판매계획(GI)_2007년도 경영계획_GI 수정안" xfId="522"/>
    <cellStyle name="_단가표_2006년 경영계획(1안)_2007년판매계획(영업안)_영업2차확정안_20061103" xfId="523"/>
    <cellStyle name="_단가표_2006년 경영계획(1안)_2007년판매계획(영업안)_영업2차확정안_20061103_2007년도 경영계획" xfId="524"/>
    <cellStyle name="_단가표_2006년 경영계획(1안)_2007년판매계획(영업안)_영업2차확정안_20061103_2007년도 경영계획_GI 수정안" xfId="525"/>
    <cellStyle name="_단가표_2006년 경영계획(1안)_5월 경영실적" xfId="1999"/>
    <cellStyle name="_단가표_2006년 경영계획(1안)_6월 경영실적" xfId="2000"/>
    <cellStyle name="_단가표_2006년 경영계획(1안)_7월 경영실적" xfId="2001"/>
    <cellStyle name="_단가표_2006년 경영계획(1안)_7월 경영실적_9월 경영실적" xfId="2002"/>
    <cellStyle name="_단가표_2006년 경영계획(1안)_7월 경영실적_9월 경영실적_12" xfId="2003"/>
    <cellStyle name="_단가표_2006년 경영계획(1안)_7월 경영실적_9월 경영실적_5월 경영실적" xfId="2004"/>
    <cellStyle name="_단가표_2006년 경영계획(1안)_7월 경영실적_9월 경영실적_6월 경영실적" xfId="2005"/>
    <cellStyle name="_단가표_2006년 경영계획(1안)_7월 경영실적_9월 경영실적_7월 경영실적" xfId="2006"/>
    <cellStyle name="_단가표_2006년 경영계획(1안)_7월 경영실적_9월 경영실적_GI매원" xfId="2007"/>
    <cellStyle name="_단가표_2006년 경영계획(1안)_7월 경영실적_9월 경영실적_Sheet1" xfId="2008"/>
    <cellStyle name="_단가표_2006년 경영계획(1안)_7월 경영실적_9월 경영실적_칼라매원" xfId="2009"/>
    <cellStyle name="_단가표_2006년 경영계획(1안)_GI매원" xfId="2010"/>
    <cellStyle name="_단가표_2006년 경영계획(1안)_Sheet1" xfId="2011"/>
    <cellStyle name="_단가표_2006년 경영계획(1안)_칼라매원" xfId="2012"/>
    <cellStyle name="_단가표_2006년 경영계획(안)" xfId="526"/>
    <cellStyle name="_단가표_2006년 경영계획(안)_12" xfId="2013"/>
    <cellStyle name="_단가표_2006년 경영계획(안)_2006년실적" xfId="527"/>
    <cellStyle name="_단가표_2006년 경영계획(안)_2006년실적_2007년도 경영계획" xfId="528"/>
    <cellStyle name="_단가표_2006년 경영계획(안)_2006년실적_2007년도 경영계획_GI 수정안" xfId="529"/>
    <cellStyle name="_단가표_2006년 경영계획(안)_2007년 판매계획(GI)" xfId="530"/>
    <cellStyle name="_단가표_2006년 경영계획(안)_2007년 판매계획(GI)_2007년도 경영계획" xfId="531"/>
    <cellStyle name="_단가표_2006년 경영계획(안)_2007년 판매계획(GI)_2007년도 경영계획_GI 수정안" xfId="532"/>
    <cellStyle name="_단가표_2006년 경영계획(안)_2007년판매계획(영업안)_영업2차확정안_20061103" xfId="533"/>
    <cellStyle name="_단가표_2006년 경영계획(안)_2007년판매계획(영업안)_영업2차확정안_20061103_2007년도 경영계획" xfId="534"/>
    <cellStyle name="_단가표_2006년 경영계획(안)_2007년판매계획(영업안)_영업2차확정안_20061103_2007년도 경영계획_GI 수정안" xfId="535"/>
    <cellStyle name="_단가표_2006년 경영계획(안)_5월 경영실적" xfId="2014"/>
    <cellStyle name="_단가표_2006년 경영계획(안)_6월 경영실적" xfId="2015"/>
    <cellStyle name="_단가표_2006년 경영계획(안)_7월 경영실적" xfId="2016"/>
    <cellStyle name="_단가표_2006년 경영계획(안)_7월 경영실적_9월 경영실적" xfId="2017"/>
    <cellStyle name="_단가표_2006년 경영계획(안)_7월 경영실적_9월 경영실적_12" xfId="2018"/>
    <cellStyle name="_단가표_2006년 경영계획(안)_7월 경영실적_9월 경영실적_5월 경영실적" xfId="2019"/>
    <cellStyle name="_단가표_2006년 경영계획(안)_7월 경영실적_9월 경영실적_6월 경영실적" xfId="2020"/>
    <cellStyle name="_단가표_2006년 경영계획(안)_7월 경영실적_9월 경영실적_7월 경영실적" xfId="2021"/>
    <cellStyle name="_단가표_2006년 경영계획(안)_7월 경영실적_9월 경영실적_GI매원" xfId="2022"/>
    <cellStyle name="_단가표_2006년 경영계획(안)_7월 경영실적_9월 경영실적_Sheet1" xfId="2023"/>
    <cellStyle name="_단가표_2006년 경영계획(안)_7월 경영실적_9월 경영실적_칼라매원" xfId="2024"/>
    <cellStyle name="_단가표_2006년 경영계획(안)_GI매원" xfId="2025"/>
    <cellStyle name="_단가표_2006년 경영계획(안)_Sheet1" xfId="2026"/>
    <cellStyle name="_단가표_2006년 경영계획(안)_칼라매원" xfId="2027"/>
    <cellStyle name="_단가표_2006년실적" xfId="536"/>
    <cellStyle name="_단가표_2006년실적_2007년도 경영계획" xfId="537"/>
    <cellStyle name="_단가표_2006년실적_2007년도 경영계획_GI 수정안" xfId="538"/>
    <cellStyle name="_단가표_2007년 판매계획(GI)" xfId="539"/>
    <cellStyle name="_단가표_2007년 판매계획(GI)_2007년도 경영계획" xfId="540"/>
    <cellStyle name="_단가표_2007년 판매계획(GI)_2007년도 경영계획_GI 수정안" xfId="541"/>
    <cellStyle name="_단가표_2007년판매계획(영업안)_영업2차확정안_20061103" xfId="542"/>
    <cellStyle name="_단가표_2007년판매계획(영업안)_영업2차확정안_20061103_2007년도 경영계획" xfId="543"/>
    <cellStyle name="_단가표_2007년판매계획(영업안)_영업2차확정안_20061103_2007년도 경영계획_GI 수정안" xfId="544"/>
    <cellStyle name="_단가표_2008년 도급비 지급현황" xfId="4235"/>
    <cellStyle name="_단가표_2008년 도급비 지급현황_2008년 도급비 지급현황" xfId="4234"/>
    <cellStyle name="_단가표_2008년 도급비 지급현황_2008년 도급비 지급현황_2008년 도급비 지급현황" xfId="4233"/>
    <cellStyle name="_단가표_2008년 도급비 지급현황_2008년 도급비 지급현황_2008년 도급비 지급현황_2009년 도급비 지급현황" xfId="4232"/>
    <cellStyle name="_단가표_2008년 도급비 지급현황_2009년 도급비 지급현황" xfId="4231"/>
    <cellStyle name="_단가표_5월 경영실적" xfId="2028"/>
    <cellStyle name="_단가표_6월 경영실적" xfId="2029"/>
    <cellStyle name="_단가표_7월 경영실적" xfId="2030"/>
    <cellStyle name="_단가표_7월 경영실적_9월 경영실적" xfId="2031"/>
    <cellStyle name="_단가표_7월 경영실적_9월 경영실적_12" xfId="2032"/>
    <cellStyle name="_단가표_7월 경영실적_9월 경영실적_5월 경영실적" xfId="2033"/>
    <cellStyle name="_단가표_7월 경영실적_9월 경영실적_6월 경영실적" xfId="2034"/>
    <cellStyle name="_단가표_7월 경영실적_9월 경영실적_7월 경영실적" xfId="2035"/>
    <cellStyle name="_단가표_7월 경영실적_9월 경영실적_GI매원" xfId="2036"/>
    <cellStyle name="_단가표_7월 경영실적_9월 경영실적_Sheet1" xfId="2037"/>
    <cellStyle name="_단가표_7월 경영실적_9월 경영실적_칼라매원" xfId="2038"/>
    <cellStyle name="_단가표_GI매원" xfId="2039"/>
    <cellStyle name="_단가표_Sheet1" xfId="2040"/>
    <cellStyle name="_단가표_칼라매원" xfId="2041"/>
    <cellStyle name="_문정apt(최종)-2" xfId="545"/>
    <cellStyle name="_변경내역서" xfId="546"/>
    <cellStyle name="_변경내역서_06년판매계획(최종)" xfId="547"/>
    <cellStyle name="_변경내역서_06년판매계획(최종)_12" xfId="2042"/>
    <cellStyle name="_변경내역서_06년판매계획(최종)_2006년실적" xfId="548"/>
    <cellStyle name="_변경내역서_06년판매계획(최종)_2006년실적_2007년도 경영계획" xfId="549"/>
    <cellStyle name="_변경내역서_06년판매계획(최종)_2006년실적_2007년도 경영계획_GI 수정안" xfId="550"/>
    <cellStyle name="_변경내역서_06년판매계획(최종)_2007년 판매계획(GI)" xfId="551"/>
    <cellStyle name="_변경내역서_06년판매계획(최종)_2007년 판매계획(GI)_2007년도 경영계획" xfId="552"/>
    <cellStyle name="_변경내역서_06년판매계획(최종)_2007년 판매계획(GI)_2007년도 경영계획_GI 수정안" xfId="553"/>
    <cellStyle name="_변경내역서_06년판매계획(최종)_2007년판매계획(영업안)_영업2차확정안_20061103" xfId="554"/>
    <cellStyle name="_변경내역서_06년판매계획(최종)_2007년판매계획(영업안)_영업2차확정안_20061103_2007년도 경영계획" xfId="555"/>
    <cellStyle name="_변경내역서_06년판매계획(최종)_2007년판매계획(영업안)_영업2차확정안_20061103_2007년도 경영계획_GI 수정안" xfId="556"/>
    <cellStyle name="_변경내역서_06년판매계획(최종)_5월 경영실적" xfId="2043"/>
    <cellStyle name="_변경내역서_06년판매계획(최종)_6월 경영실적" xfId="2044"/>
    <cellStyle name="_변경내역서_06년판매계획(최종)_7월 경영실적" xfId="2045"/>
    <cellStyle name="_변경내역서_06년판매계획(최종)_7월 경영실적_9월 경영실적" xfId="2046"/>
    <cellStyle name="_변경내역서_06년판매계획(최종)_7월 경영실적_9월 경영실적_12" xfId="2047"/>
    <cellStyle name="_변경내역서_06년판매계획(최종)_7월 경영실적_9월 경영실적_5월 경영실적" xfId="2048"/>
    <cellStyle name="_변경내역서_06년판매계획(최종)_7월 경영실적_9월 경영실적_6월 경영실적" xfId="2049"/>
    <cellStyle name="_변경내역서_06년판매계획(최종)_7월 경영실적_9월 경영실적_7월 경영실적" xfId="2050"/>
    <cellStyle name="_변경내역서_06년판매계획(최종)_7월 경영실적_9월 경영실적_GI매원" xfId="2051"/>
    <cellStyle name="_변경내역서_06년판매계획(최종)_7월 경영실적_9월 경영실적_Sheet1" xfId="2052"/>
    <cellStyle name="_변경내역서_06년판매계획(최종)_7월 경영실적_9월 경영실적_칼라매원" xfId="2053"/>
    <cellStyle name="_변경내역서_06년판매계획(최종)_GI매원" xfId="2054"/>
    <cellStyle name="_변경내역서_06년판매계획(최종)_Sheet1" xfId="2055"/>
    <cellStyle name="_변경내역서_06년판매계획(최종)_칼라매원" xfId="2056"/>
    <cellStyle name="_변경내역서_12" xfId="2057"/>
    <cellStyle name="_변경내역서_2006년 경영계획(1안)" xfId="557"/>
    <cellStyle name="_변경내역서_2006년 경영계획(1안)_12" xfId="2058"/>
    <cellStyle name="_변경내역서_2006년 경영계획(1안)_2006년실적" xfId="558"/>
    <cellStyle name="_변경내역서_2006년 경영계획(1안)_2006년실적_2007년도 경영계획" xfId="559"/>
    <cellStyle name="_변경내역서_2006년 경영계획(1안)_2006년실적_2007년도 경영계획_GI 수정안" xfId="560"/>
    <cellStyle name="_변경내역서_2006년 경영계획(1안)_2007년 판매계획(GI)" xfId="561"/>
    <cellStyle name="_변경내역서_2006년 경영계획(1안)_2007년 판매계획(GI)_2007년도 경영계획" xfId="562"/>
    <cellStyle name="_변경내역서_2006년 경영계획(1안)_2007년 판매계획(GI)_2007년도 경영계획_GI 수정안" xfId="563"/>
    <cellStyle name="_변경내역서_2006년 경영계획(1안)_2007년판매계획(영업안)_영업2차확정안_20061103" xfId="564"/>
    <cellStyle name="_변경내역서_2006년 경영계획(1안)_2007년판매계획(영업안)_영업2차확정안_20061103_2007년도 경영계획" xfId="565"/>
    <cellStyle name="_변경내역서_2006년 경영계획(1안)_2007년판매계획(영업안)_영업2차확정안_20061103_2007년도 경영계획_GI 수정안" xfId="566"/>
    <cellStyle name="_변경내역서_2006년 경영계획(1안)_5월 경영실적" xfId="2059"/>
    <cellStyle name="_변경내역서_2006년 경영계획(1안)_6월 경영실적" xfId="2060"/>
    <cellStyle name="_변경내역서_2006년 경영계획(1안)_7월 경영실적" xfId="2061"/>
    <cellStyle name="_변경내역서_2006년 경영계획(1안)_7월 경영실적_9월 경영실적" xfId="2062"/>
    <cellStyle name="_변경내역서_2006년 경영계획(1안)_7월 경영실적_9월 경영실적_12" xfId="2063"/>
    <cellStyle name="_변경내역서_2006년 경영계획(1안)_7월 경영실적_9월 경영실적_5월 경영실적" xfId="2064"/>
    <cellStyle name="_변경내역서_2006년 경영계획(1안)_7월 경영실적_9월 경영실적_6월 경영실적" xfId="2065"/>
    <cellStyle name="_변경내역서_2006년 경영계획(1안)_7월 경영실적_9월 경영실적_7월 경영실적" xfId="2066"/>
    <cellStyle name="_변경내역서_2006년 경영계획(1안)_7월 경영실적_9월 경영실적_GI매원" xfId="2067"/>
    <cellStyle name="_변경내역서_2006년 경영계획(1안)_7월 경영실적_9월 경영실적_Sheet1" xfId="2068"/>
    <cellStyle name="_변경내역서_2006년 경영계획(1안)_7월 경영실적_9월 경영실적_칼라매원" xfId="2069"/>
    <cellStyle name="_변경내역서_2006년 경영계획(1안)_GI매원" xfId="2070"/>
    <cellStyle name="_변경내역서_2006년 경영계획(1안)_Sheet1" xfId="2071"/>
    <cellStyle name="_변경내역서_2006년 경영계획(1안)_칼라매원" xfId="2072"/>
    <cellStyle name="_변경내역서_2006년 경영계획(안)" xfId="567"/>
    <cellStyle name="_변경내역서_2006년 경영계획(안)_12" xfId="2073"/>
    <cellStyle name="_변경내역서_2006년 경영계획(안)_2006년실적" xfId="568"/>
    <cellStyle name="_변경내역서_2006년 경영계획(안)_2006년실적_2007년도 경영계획" xfId="569"/>
    <cellStyle name="_변경내역서_2006년 경영계획(안)_2006년실적_2007년도 경영계획_GI 수정안" xfId="570"/>
    <cellStyle name="_변경내역서_2006년 경영계획(안)_2007년 판매계획(GI)" xfId="571"/>
    <cellStyle name="_변경내역서_2006년 경영계획(안)_2007년 판매계획(GI)_2007년도 경영계획" xfId="572"/>
    <cellStyle name="_변경내역서_2006년 경영계획(안)_2007년 판매계획(GI)_2007년도 경영계획_GI 수정안" xfId="573"/>
    <cellStyle name="_변경내역서_2006년 경영계획(안)_2007년판매계획(영업안)_영업2차확정안_20061103" xfId="574"/>
    <cellStyle name="_변경내역서_2006년 경영계획(안)_2007년판매계획(영업안)_영업2차확정안_20061103_2007년도 경영계획" xfId="575"/>
    <cellStyle name="_변경내역서_2006년 경영계획(안)_2007년판매계획(영업안)_영업2차확정안_20061103_2007년도 경영계획_GI 수정안" xfId="576"/>
    <cellStyle name="_변경내역서_2006년 경영계획(안)_5월 경영실적" xfId="2074"/>
    <cellStyle name="_변경내역서_2006년 경영계획(안)_6월 경영실적" xfId="2075"/>
    <cellStyle name="_변경내역서_2006년 경영계획(안)_7월 경영실적" xfId="2076"/>
    <cellStyle name="_변경내역서_2006년 경영계획(안)_7월 경영실적_9월 경영실적" xfId="2077"/>
    <cellStyle name="_변경내역서_2006년 경영계획(안)_7월 경영실적_9월 경영실적_12" xfId="2078"/>
    <cellStyle name="_변경내역서_2006년 경영계획(안)_7월 경영실적_9월 경영실적_5월 경영실적" xfId="2079"/>
    <cellStyle name="_변경내역서_2006년 경영계획(안)_7월 경영실적_9월 경영실적_6월 경영실적" xfId="2080"/>
    <cellStyle name="_변경내역서_2006년 경영계획(안)_7월 경영실적_9월 경영실적_7월 경영실적" xfId="2081"/>
    <cellStyle name="_변경내역서_2006년 경영계획(안)_7월 경영실적_9월 경영실적_GI매원" xfId="2082"/>
    <cellStyle name="_변경내역서_2006년 경영계획(안)_7월 경영실적_9월 경영실적_Sheet1" xfId="2083"/>
    <cellStyle name="_변경내역서_2006년 경영계획(안)_7월 경영실적_9월 경영실적_칼라매원" xfId="2084"/>
    <cellStyle name="_변경내역서_2006년 경영계획(안)_GI매원" xfId="2085"/>
    <cellStyle name="_변경내역서_2006년 경영계획(안)_Sheet1" xfId="2086"/>
    <cellStyle name="_변경내역서_2006년 경영계획(안)_칼라매원" xfId="2087"/>
    <cellStyle name="_변경내역서_2006년실적" xfId="577"/>
    <cellStyle name="_변경내역서_2006년실적_2007년도 경영계획" xfId="578"/>
    <cellStyle name="_변경내역서_2006년실적_2007년도 경영계획_GI 수정안" xfId="579"/>
    <cellStyle name="_변경내역서_2007년 판매계획(GI)" xfId="580"/>
    <cellStyle name="_변경내역서_2007년 판매계획(GI)_2007년도 경영계획" xfId="581"/>
    <cellStyle name="_변경내역서_2007년 판매계획(GI)_2007년도 경영계획_GI 수정안" xfId="582"/>
    <cellStyle name="_변경내역서_2007년판매계획(영업안)_영업2차확정안_20061103" xfId="583"/>
    <cellStyle name="_변경내역서_2007년판매계획(영업안)_영업2차확정안_20061103_2007년도 경영계획" xfId="584"/>
    <cellStyle name="_변경내역서_2007년판매계획(영업안)_영업2차확정안_20061103_2007년도 경영계획_GI 수정안" xfId="585"/>
    <cellStyle name="_변경내역서_2008년 도급비 지급현황" xfId="4230"/>
    <cellStyle name="_변경내역서_2008년 도급비 지급현황_2008년 도급비 지급현황" xfId="4229"/>
    <cellStyle name="_변경내역서_2008년 도급비 지급현황_2008년 도급비 지급현황_2008년 도급비 지급현황" xfId="4228"/>
    <cellStyle name="_변경내역서_2008년 도급비 지급현황_2008년 도급비 지급현황_2008년 도급비 지급현황_2009년 도급비 지급현황" xfId="4227"/>
    <cellStyle name="_변경내역서_2008년 도급비 지급현황_2009년 도급비 지급현황" xfId="4226"/>
    <cellStyle name="_변경내역서_5월 경영실적" xfId="2088"/>
    <cellStyle name="_변경내역서_6월 경영실적" xfId="2089"/>
    <cellStyle name="_변경내역서_7월 경영실적" xfId="2090"/>
    <cellStyle name="_변경내역서_7월 경영실적_9월 경영실적" xfId="2091"/>
    <cellStyle name="_변경내역서_7월 경영실적_9월 경영실적_12" xfId="2092"/>
    <cellStyle name="_변경내역서_7월 경영실적_9월 경영실적_5월 경영실적" xfId="2093"/>
    <cellStyle name="_변경내역서_7월 경영실적_9월 경영실적_6월 경영실적" xfId="2094"/>
    <cellStyle name="_변경내역서_7월 경영실적_9월 경영실적_7월 경영실적" xfId="2095"/>
    <cellStyle name="_변경내역서_7월 경영실적_9월 경영실적_GI매원" xfId="2096"/>
    <cellStyle name="_변경내역서_7월 경영실적_9월 경영실적_Sheet1" xfId="2097"/>
    <cellStyle name="_변경내역서_7월 경영실적_9월 경영실적_칼라매원" xfId="2098"/>
    <cellStyle name="_변경내역서_GI매원" xfId="2099"/>
    <cellStyle name="_변경내역서_Sheet1" xfId="2100"/>
    <cellStyle name="_변경내역서_칼라매원" xfId="2101"/>
    <cellStyle name="_부천홈프러스(실행)" xfId="586"/>
    <cellStyle name="_부천홈프러스(실행)_06년판매계획(최종)" xfId="587"/>
    <cellStyle name="_부천홈프러스(실행)_06년판매계획(최종)_12" xfId="2102"/>
    <cellStyle name="_부천홈프러스(실행)_06년판매계획(최종)_2006년실적" xfId="588"/>
    <cellStyle name="_부천홈프러스(실행)_06년판매계획(최종)_2006년실적_2007년도 경영계획" xfId="589"/>
    <cellStyle name="_부천홈프러스(실행)_06년판매계획(최종)_2006년실적_2007년도 경영계획_GI 수정안" xfId="590"/>
    <cellStyle name="_부천홈프러스(실행)_06년판매계획(최종)_2007년 판매계획(GI)" xfId="591"/>
    <cellStyle name="_부천홈프러스(실행)_06년판매계획(최종)_2007년 판매계획(GI)_2007년도 경영계획" xfId="592"/>
    <cellStyle name="_부천홈프러스(실행)_06년판매계획(최종)_2007년 판매계획(GI)_2007년도 경영계획_GI 수정안" xfId="593"/>
    <cellStyle name="_부천홈프러스(실행)_06년판매계획(최종)_2007년판매계획(영업안)_영업2차확정안_20061103" xfId="594"/>
    <cellStyle name="_부천홈프러스(실행)_06년판매계획(최종)_2007년판매계획(영업안)_영업2차확정안_20061103_2007년도 경영계획" xfId="595"/>
    <cellStyle name="_부천홈프러스(실행)_06년판매계획(최종)_2007년판매계획(영업안)_영업2차확정안_20061103_2007년도 경영계획_GI 수정안" xfId="596"/>
    <cellStyle name="_부천홈프러스(실행)_06년판매계획(최종)_5월 경영실적" xfId="2103"/>
    <cellStyle name="_부천홈프러스(실행)_06년판매계획(최종)_6월 경영실적" xfId="2104"/>
    <cellStyle name="_부천홈프러스(실행)_06년판매계획(최종)_7월 경영실적" xfId="2105"/>
    <cellStyle name="_부천홈프러스(실행)_06년판매계획(최종)_7월 경영실적_9월 경영실적" xfId="2106"/>
    <cellStyle name="_부천홈프러스(실행)_06년판매계획(최종)_7월 경영실적_9월 경영실적_12" xfId="2107"/>
    <cellStyle name="_부천홈프러스(실행)_06년판매계획(최종)_7월 경영실적_9월 경영실적_5월 경영실적" xfId="2108"/>
    <cellStyle name="_부천홈프러스(실행)_06년판매계획(최종)_7월 경영실적_9월 경영실적_6월 경영실적" xfId="2109"/>
    <cellStyle name="_부천홈프러스(실행)_06년판매계획(최종)_7월 경영실적_9월 경영실적_7월 경영실적" xfId="2110"/>
    <cellStyle name="_부천홈프러스(실행)_06년판매계획(최종)_7월 경영실적_9월 경영실적_GI매원" xfId="2111"/>
    <cellStyle name="_부천홈프러스(실행)_06년판매계획(최종)_7월 경영실적_9월 경영실적_Sheet1" xfId="2112"/>
    <cellStyle name="_부천홈프러스(실행)_06년판매계획(최종)_7월 경영실적_9월 경영실적_칼라매원" xfId="2113"/>
    <cellStyle name="_부천홈프러스(실행)_06년판매계획(최종)_GI매원" xfId="2114"/>
    <cellStyle name="_부천홈프러스(실행)_06년판매계획(최종)_Sheet1" xfId="2115"/>
    <cellStyle name="_부천홈프러스(실행)_06년판매계획(최종)_칼라매원" xfId="2116"/>
    <cellStyle name="_부천홈프러스(실행)_12" xfId="2117"/>
    <cellStyle name="_부천홈프러스(실행)_2006년 경영계획(1안)" xfId="597"/>
    <cellStyle name="_부천홈프러스(실행)_2006년 경영계획(1안)_12" xfId="2118"/>
    <cellStyle name="_부천홈프러스(실행)_2006년 경영계획(1안)_2006년실적" xfId="598"/>
    <cellStyle name="_부천홈프러스(실행)_2006년 경영계획(1안)_2006년실적_2007년도 경영계획" xfId="599"/>
    <cellStyle name="_부천홈프러스(실행)_2006년 경영계획(1안)_2006년실적_2007년도 경영계획_GI 수정안" xfId="600"/>
    <cellStyle name="_부천홈프러스(실행)_2006년 경영계획(1안)_2007년 판매계획(GI)" xfId="601"/>
    <cellStyle name="_부천홈프러스(실행)_2006년 경영계획(1안)_2007년 판매계획(GI)_2007년도 경영계획" xfId="602"/>
    <cellStyle name="_부천홈프러스(실행)_2006년 경영계획(1안)_2007년 판매계획(GI)_2007년도 경영계획_GI 수정안" xfId="603"/>
    <cellStyle name="_부천홈프러스(실행)_2006년 경영계획(1안)_2007년판매계획(영업안)_영업2차확정안_20061103" xfId="604"/>
    <cellStyle name="_부천홈프러스(실행)_2006년 경영계획(1안)_2007년판매계획(영업안)_영업2차확정안_20061103_2007년도 경영계획" xfId="605"/>
    <cellStyle name="_부천홈프러스(실행)_2006년 경영계획(1안)_2007년판매계획(영업안)_영업2차확정안_20061103_2007년도 경영계획_GI 수정안" xfId="606"/>
    <cellStyle name="_부천홈프러스(실행)_2006년 경영계획(1안)_5월 경영실적" xfId="2119"/>
    <cellStyle name="_부천홈프러스(실행)_2006년 경영계획(1안)_6월 경영실적" xfId="2120"/>
    <cellStyle name="_부천홈프러스(실행)_2006년 경영계획(1안)_7월 경영실적" xfId="2121"/>
    <cellStyle name="_부천홈프러스(실행)_2006년 경영계획(1안)_7월 경영실적_9월 경영실적" xfId="2122"/>
    <cellStyle name="_부천홈프러스(실행)_2006년 경영계획(1안)_7월 경영실적_9월 경영실적_12" xfId="2123"/>
    <cellStyle name="_부천홈프러스(실행)_2006년 경영계획(1안)_7월 경영실적_9월 경영실적_5월 경영실적" xfId="2124"/>
    <cellStyle name="_부천홈프러스(실행)_2006년 경영계획(1안)_7월 경영실적_9월 경영실적_6월 경영실적" xfId="2125"/>
    <cellStyle name="_부천홈프러스(실행)_2006년 경영계획(1안)_7월 경영실적_9월 경영실적_7월 경영실적" xfId="2126"/>
    <cellStyle name="_부천홈프러스(실행)_2006년 경영계획(1안)_7월 경영실적_9월 경영실적_GI매원" xfId="2127"/>
    <cellStyle name="_부천홈프러스(실행)_2006년 경영계획(1안)_7월 경영실적_9월 경영실적_Sheet1" xfId="2128"/>
    <cellStyle name="_부천홈프러스(실행)_2006년 경영계획(1안)_7월 경영실적_9월 경영실적_칼라매원" xfId="2129"/>
    <cellStyle name="_부천홈프러스(실행)_2006년 경영계획(1안)_GI매원" xfId="2130"/>
    <cellStyle name="_부천홈프러스(실행)_2006년 경영계획(1안)_Sheet1" xfId="2131"/>
    <cellStyle name="_부천홈프러스(실행)_2006년 경영계획(1안)_칼라매원" xfId="2132"/>
    <cellStyle name="_부천홈프러스(실행)_2006년 경영계획(안)" xfId="607"/>
    <cellStyle name="_부천홈프러스(실행)_2006년 경영계획(안)_12" xfId="2133"/>
    <cellStyle name="_부천홈프러스(실행)_2006년 경영계획(안)_2006년실적" xfId="608"/>
    <cellStyle name="_부천홈프러스(실행)_2006년 경영계획(안)_2006년실적_2007년도 경영계획" xfId="609"/>
    <cellStyle name="_부천홈프러스(실행)_2006년 경영계획(안)_2006년실적_2007년도 경영계획_GI 수정안" xfId="610"/>
    <cellStyle name="_부천홈프러스(실행)_2006년 경영계획(안)_2007년 판매계획(GI)" xfId="611"/>
    <cellStyle name="_부천홈프러스(실행)_2006년 경영계획(안)_2007년 판매계획(GI)_2007년도 경영계획" xfId="612"/>
    <cellStyle name="_부천홈프러스(실행)_2006년 경영계획(안)_2007년 판매계획(GI)_2007년도 경영계획_GI 수정안" xfId="613"/>
    <cellStyle name="_부천홈프러스(실행)_2006년 경영계획(안)_2007년판매계획(영업안)_영업2차확정안_20061103" xfId="614"/>
    <cellStyle name="_부천홈프러스(실행)_2006년 경영계획(안)_2007년판매계획(영업안)_영업2차확정안_20061103_2007년도 경영계획" xfId="615"/>
    <cellStyle name="_부천홈프러스(실행)_2006년 경영계획(안)_2007년판매계획(영업안)_영업2차확정안_20061103_2007년도 경영계획_GI 수정안" xfId="616"/>
    <cellStyle name="_부천홈프러스(실행)_2006년 경영계획(안)_5월 경영실적" xfId="2134"/>
    <cellStyle name="_부천홈프러스(실행)_2006년 경영계획(안)_6월 경영실적" xfId="2135"/>
    <cellStyle name="_부천홈프러스(실행)_2006년 경영계획(안)_7월 경영실적" xfId="2136"/>
    <cellStyle name="_부천홈프러스(실행)_2006년 경영계획(안)_7월 경영실적_9월 경영실적" xfId="2137"/>
    <cellStyle name="_부천홈프러스(실행)_2006년 경영계획(안)_7월 경영실적_9월 경영실적_12" xfId="2138"/>
    <cellStyle name="_부천홈프러스(실행)_2006년 경영계획(안)_7월 경영실적_9월 경영실적_5월 경영실적" xfId="2139"/>
    <cellStyle name="_부천홈프러스(실행)_2006년 경영계획(안)_7월 경영실적_9월 경영실적_6월 경영실적" xfId="2140"/>
    <cellStyle name="_부천홈프러스(실행)_2006년 경영계획(안)_7월 경영실적_9월 경영실적_7월 경영실적" xfId="2141"/>
    <cellStyle name="_부천홈프러스(실행)_2006년 경영계획(안)_7월 경영실적_9월 경영실적_GI매원" xfId="2142"/>
    <cellStyle name="_부천홈프러스(실행)_2006년 경영계획(안)_7월 경영실적_9월 경영실적_Sheet1" xfId="2143"/>
    <cellStyle name="_부천홈프러스(실행)_2006년 경영계획(안)_7월 경영실적_9월 경영실적_칼라매원" xfId="2144"/>
    <cellStyle name="_부천홈프러스(실행)_2006년 경영계획(안)_GI매원" xfId="2145"/>
    <cellStyle name="_부천홈프러스(실행)_2006년 경영계획(안)_Sheet1" xfId="2146"/>
    <cellStyle name="_부천홈프러스(실행)_2006년 경영계획(안)_칼라매원" xfId="2147"/>
    <cellStyle name="_부천홈프러스(실행)_2006년실적" xfId="617"/>
    <cellStyle name="_부천홈프러스(실행)_2006년실적_2007년도 경영계획" xfId="618"/>
    <cellStyle name="_부천홈프러스(실행)_2006년실적_2007년도 경영계획_GI 수정안" xfId="619"/>
    <cellStyle name="_부천홈프러스(실행)_2007년 판매계획(GI)" xfId="620"/>
    <cellStyle name="_부천홈프러스(실행)_2007년 판매계획(GI)_2007년도 경영계획" xfId="621"/>
    <cellStyle name="_부천홈프러스(실행)_2007년 판매계획(GI)_2007년도 경영계획_GI 수정안" xfId="622"/>
    <cellStyle name="_부천홈프러스(실행)_2007년판매계획(영업안)_영업2차확정안_20061103" xfId="623"/>
    <cellStyle name="_부천홈프러스(실행)_2007년판매계획(영업안)_영업2차확정안_20061103_2007년도 경영계획" xfId="624"/>
    <cellStyle name="_부천홈프러스(실행)_2007년판매계획(영업안)_영업2차확정안_20061103_2007년도 경영계획_GI 수정안" xfId="625"/>
    <cellStyle name="_부천홈프러스(실행)_2008년 도급비 지급현황" xfId="4225"/>
    <cellStyle name="_부천홈프러스(실행)_2008년 도급비 지급현황_2008년 도급비 지급현황" xfId="4224"/>
    <cellStyle name="_부천홈프러스(실행)_2008년 도급비 지급현황_2008년 도급비 지급현황_2008년 도급비 지급현황" xfId="4223"/>
    <cellStyle name="_부천홈프러스(실행)_2008년 도급비 지급현황_2008년 도급비 지급현황_2008년 도급비 지급현황_2009년 도급비 지급현황" xfId="4222"/>
    <cellStyle name="_부천홈프러스(실행)_2008년 도급비 지급현황_2009년 도급비 지급현황" xfId="4221"/>
    <cellStyle name="_부천홈프러스(실행)_5월 경영실적" xfId="2148"/>
    <cellStyle name="_부천홈프러스(실행)_6월 경영실적" xfId="2149"/>
    <cellStyle name="_부천홈프러스(실행)_7월 경영실적" xfId="2150"/>
    <cellStyle name="_부천홈프러스(실행)_7월 경영실적_9월 경영실적" xfId="2151"/>
    <cellStyle name="_부천홈프러스(실행)_7월 경영실적_9월 경영실적_12" xfId="2152"/>
    <cellStyle name="_부천홈프러스(실행)_7월 경영실적_9월 경영실적_5월 경영실적" xfId="2153"/>
    <cellStyle name="_부천홈프러스(실행)_7월 경영실적_9월 경영실적_6월 경영실적" xfId="2154"/>
    <cellStyle name="_부천홈프러스(실행)_7월 경영실적_9월 경영실적_7월 경영실적" xfId="2155"/>
    <cellStyle name="_부천홈프러스(실행)_7월 경영실적_9월 경영실적_GI매원" xfId="2156"/>
    <cellStyle name="_부천홈프러스(실행)_7월 경영실적_9월 경영실적_Sheet1" xfId="2157"/>
    <cellStyle name="_부천홈프러스(실행)_7월 경영실적_9월 경영실적_칼라매원" xfId="2158"/>
    <cellStyle name="_부천홈프러스(실행)_GI매원" xfId="2159"/>
    <cellStyle name="_부천홈프러스(실행)_Sheet1" xfId="2160"/>
    <cellStyle name="_부천홈프러스(실행)_칼라매원" xfId="2161"/>
    <cellStyle name="_사본 - 고가차도(전력)" xfId="626"/>
    <cellStyle name="_사본 - 고가차도(전력)_06년판매계획(최종)" xfId="627"/>
    <cellStyle name="_사본 - 고가차도(전력)_06년판매계획(최종)_12" xfId="2162"/>
    <cellStyle name="_사본 - 고가차도(전력)_06년판매계획(최종)_2006년실적" xfId="628"/>
    <cellStyle name="_사본 - 고가차도(전력)_06년판매계획(최종)_2006년실적_2007년도 경영계획" xfId="629"/>
    <cellStyle name="_사본 - 고가차도(전력)_06년판매계획(최종)_2006년실적_2007년도 경영계획_GI 수정안" xfId="630"/>
    <cellStyle name="_사본 - 고가차도(전력)_06년판매계획(최종)_2007년 판매계획(GI)" xfId="631"/>
    <cellStyle name="_사본 - 고가차도(전력)_06년판매계획(최종)_2007년 판매계획(GI)_2007년도 경영계획" xfId="632"/>
    <cellStyle name="_사본 - 고가차도(전력)_06년판매계획(최종)_2007년 판매계획(GI)_2007년도 경영계획_GI 수정안" xfId="633"/>
    <cellStyle name="_사본 - 고가차도(전력)_06년판매계획(최종)_2007년판매계획(영업안)_영업2차확정안_20061103" xfId="634"/>
    <cellStyle name="_사본 - 고가차도(전력)_06년판매계획(최종)_2007년판매계획(영업안)_영업2차확정안_20061103_2007년도 경영계획" xfId="635"/>
    <cellStyle name="_사본 - 고가차도(전력)_06년판매계획(최종)_2007년판매계획(영업안)_영업2차확정안_20061103_2007년도 경영계획_GI 수정안" xfId="636"/>
    <cellStyle name="_사본 - 고가차도(전력)_06년판매계획(최종)_5월 경영실적" xfId="2163"/>
    <cellStyle name="_사본 - 고가차도(전력)_06년판매계획(최종)_6월 경영실적" xfId="2164"/>
    <cellStyle name="_사본 - 고가차도(전력)_06년판매계획(최종)_7월 경영실적" xfId="2165"/>
    <cellStyle name="_사본 - 고가차도(전력)_06년판매계획(최종)_7월 경영실적_9월 경영실적" xfId="2166"/>
    <cellStyle name="_사본 - 고가차도(전력)_06년판매계획(최종)_7월 경영실적_9월 경영실적_12" xfId="2167"/>
    <cellStyle name="_사본 - 고가차도(전력)_06년판매계획(최종)_7월 경영실적_9월 경영실적_5월 경영실적" xfId="2168"/>
    <cellStyle name="_사본 - 고가차도(전력)_06년판매계획(최종)_7월 경영실적_9월 경영실적_6월 경영실적" xfId="2169"/>
    <cellStyle name="_사본 - 고가차도(전력)_06년판매계획(최종)_7월 경영실적_9월 경영실적_7월 경영실적" xfId="2170"/>
    <cellStyle name="_사본 - 고가차도(전력)_06년판매계획(최종)_7월 경영실적_9월 경영실적_GI매원" xfId="2171"/>
    <cellStyle name="_사본 - 고가차도(전력)_06년판매계획(최종)_7월 경영실적_9월 경영실적_Sheet1" xfId="2172"/>
    <cellStyle name="_사본 - 고가차도(전력)_06년판매계획(최종)_7월 경영실적_9월 경영실적_칼라매원" xfId="2173"/>
    <cellStyle name="_사본 - 고가차도(전력)_06년판매계획(최종)_GI매원" xfId="2174"/>
    <cellStyle name="_사본 - 고가차도(전력)_06년판매계획(최종)_Sheet1" xfId="2175"/>
    <cellStyle name="_사본 - 고가차도(전력)_06년판매계획(최종)_칼라매원" xfId="2176"/>
    <cellStyle name="_사본 - 고가차도(전력)_12" xfId="2177"/>
    <cellStyle name="_사본 - 고가차도(전력)_2006년 경영계획(1안)" xfId="637"/>
    <cellStyle name="_사본 - 고가차도(전력)_2006년 경영계획(1안)_12" xfId="2178"/>
    <cellStyle name="_사본 - 고가차도(전력)_2006년 경영계획(1안)_2006년실적" xfId="638"/>
    <cellStyle name="_사본 - 고가차도(전력)_2006년 경영계획(1안)_2006년실적_2007년도 경영계획" xfId="639"/>
    <cellStyle name="_사본 - 고가차도(전력)_2006년 경영계획(1안)_2006년실적_2007년도 경영계획_GI 수정안" xfId="640"/>
    <cellStyle name="_사본 - 고가차도(전력)_2006년 경영계획(1안)_2007년 판매계획(GI)" xfId="641"/>
    <cellStyle name="_사본 - 고가차도(전력)_2006년 경영계획(1안)_2007년 판매계획(GI)_2007년도 경영계획" xfId="642"/>
    <cellStyle name="_사본 - 고가차도(전력)_2006년 경영계획(1안)_2007년 판매계획(GI)_2007년도 경영계획_GI 수정안" xfId="643"/>
    <cellStyle name="_사본 - 고가차도(전력)_2006년 경영계획(1안)_2007년판매계획(영업안)_영업2차확정안_20061103" xfId="644"/>
    <cellStyle name="_사본 - 고가차도(전력)_2006년 경영계획(1안)_2007년판매계획(영업안)_영업2차확정안_20061103_2007년도 경영계획" xfId="645"/>
    <cellStyle name="_사본 - 고가차도(전력)_2006년 경영계획(1안)_2007년판매계획(영업안)_영업2차확정안_20061103_2007년도 경영계획_GI 수정안" xfId="646"/>
    <cellStyle name="_사본 - 고가차도(전력)_2006년 경영계획(1안)_5월 경영실적" xfId="2179"/>
    <cellStyle name="_사본 - 고가차도(전력)_2006년 경영계획(1안)_6월 경영실적" xfId="2180"/>
    <cellStyle name="_사본 - 고가차도(전력)_2006년 경영계획(1안)_7월 경영실적" xfId="2181"/>
    <cellStyle name="_사본 - 고가차도(전력)_2006년 경영계획(1안)_7월 경영실적_9월 경영실적" xfId="2182"/>
    <cellStyle name="_사본 - 고가차도(전력)_2006년 경영계획(1안)_7월 경영실적_9월 경영실적_12" xfId="2183"/>
    <cellStyle name="_사본 - 고가차도(전력)_2006년 경영계획(1안)_7월 경영실적_9월 경영실적_5월 경영실적" xfId="2184"/>
    <cellStyle name="_사본 - 고가차도(전력)_2006년 경영계획(1안)_7월 경영실적_9월 경영실적_6월 경영실적" xfId="2185"/>
    <cellStyle name="_사본 - 고가차도(전력)_2006년 경영계획(1안)_7월 경영실적_9월 경영실적_7월 경영실적" xfId="2186"/>
    <cellStyle name="_사본 - 고가차도(전력)_2006년 경영계획(1안)_7월 경영실적_9월 경영실적_GI매원" xfId="2187"/>
    <cellStyle name="_사본 - 고가차도(전력)_2006년 경영계획(1안)_7월 경영실적_9월 경영실적_Sheet1" xfId="2188"/>
    <cellStyle name="_사본 - 고가차도(전력)_2006년 경영계획(1안)_7월 경영실적_9월 경영실적_칼라매원" xfId="2189"/>
    <cellStyle name="_사본 - 고가차도(전력)_2006년 경영계획(1안)_GI매원" xfId="2190"/>
    <cellStyle name="_사본 - 고가차도(전력)_2006년 경영계획(1안)_Sheet1" xfId="2191"/>
    <cellStyle name="_사본 - 고가차도(전력)_2006년 경영계획(1안)_칼라매원" xfId="2192"/>
    <cellStyle name="_사본 - 고가차도(전력)_2006년 경영계획(안)" xfId="647"/>
    <cellStyle name="_사본 - 고가차도(전력)_2006년 경영계획(안)_12" xfId="2193"/>
    <cellStyle name="_사본 - 고가차도(전력)_2006년 경영계획(안)_2006년실적" xfId="648"/>
    <cellStyle name="_사본 - 고가차도(전력)_2006년 경영계획(안)_2006년실적_2007년도 경영계획" xfId="649"/>
    <cellStyle name="_사본 - 고가차도(전력)_2006년 경영계획(안)_2006년실적_2007년도 경영계획_GI 수정안" xfId="650"/>
    <cellStyle name="_사본 - 고가차도(전력)_2006년 경영계획(안)_2007년 판매계획(GI)" xfId="651"/>
    <cellStyle name="_사본 - 고가차도(전력)_2006년 경영계획(안)_2007년 판매계획(GI)_2007년도 경영계획" xfId="652"/>
    <cellStyle name="_사본 - 고가차도(전력)_2006년 경영계획(안)_2007년 판매계획(GI)_2007년도 경영계획_GI 수정안" xfId="653"/>
    <cellStyle name="_사본 - 고가차도(전력)_2006년 경영계획(안)_2007년판매계획(영업안)_영업2차확정안_20061103" xfId="654"/>
    <cellStyle name="_사본 - 고가차도(전력)_2006년 경영계획(안)_2007년판매계획(영업안)_영업2차확정안_20061103_2007년도 경영계획" xfId="655"/>
    <cellStyle name="_사본 - 고가차도(전력)_2006년 경영계획(안)_2007년판매계획(영업안)_영업2차확정안_20061103_2007년도 경영계획_GI 수정안" xfId="656"/>
    <cellStyle name="_사본 - 고가차도(전력)_2006년 경영계획(안)_5월 경영실적" xfId="2194"/>
    <cellStyle name="_사본 - 고가차도(전력)_2006년 경영계획(안)_6월 경영실적" xfId="2195"/>
    <cellStyle name="_사본 - 고가차도(전력)_2006년 경영계획(안)_7월 경영실적" xfId="2196"/>
    <cellStyle name="_사본 - 고가차도(전력)_2006년 경영계획(안)_7월 경영실적_9월 경영실적" xfId="2197"/>
    <cellStyle name="_사본 - 고가차도(전력)_2006년 경영계획(안)_7월 경영실적_9월 경영실적_12" xfId="2198"/>
    <cellStyle name="_사본 - 고가차도(전력)_2006년 경영계획(안)_7월 경영실적_9월 경영실적_5월 경영실적" xfId="2199"/>
    <cellStyle name="_사본 - 고가차도(전력)_2006년 경영계획(안)_7월 경영실적_9월 경영실적_6월 경영실적" xfId="2200"/>
    <cellStyle name="_사본 - 고가차도(전력)_2006년 경영계획(안)_7월 경영실적_9월 경영실적_7월 경영실적" xfId="2201"/>
    <cellStyle name="_사본 - 고가차도(전력)_2006년 경영계획(안)_7월 경영실적_9월 경영실적_GI매원" xfId="2202"/>
    <cellStyle name="_사본 - 고가차도(전력)_2006년 경영계획(안)_7월 경영실적_9월 경영실적_Sheet1" xfId="2203"/>
    <cellStyle name="_사본 - 고가차도(전력)_2006년 경영계획(안)_7월 경영실적_9월 경영실적_칼라매원" xfId="2204"/>
    <cellStyle name="_사본 - 고가차도(전력)_2006년 경영계획(안)_GI매원" xfId="2205"/>
    <cellStyle name="_사본 - 고가차도(전력)_2006년 경영계획(안)_Sheet1" xfId="2206"/>
    <cellStyle name="_사본 - 고가차도(전력)_2006년 경영계획(안)_칼라매원" xfId="2207"/>
    <cellStyle name="_사본 - 고가차도(전력)_2006년실적" xfId="657"/>
    <cellStyle name="_사본 - 고가차도(전력)_2006년실적_2007년도 경영계획" xfId="658"/>
    <cellStyle name="_사본 - 고가차도(전력)_2006년실적_2007년도 경영계획_GI 수정안" xfId="659"/>
    <cellStyle name="_사본 - 고가차도(전력)_2007년 판매계획(GI)" xfId="660"/>
    <cellStyle name="_사본 - 고가차도(전력)_2007년 판매계획(GI)_2007년도 경영계획" xfId="661"/>
    <cellStyle name="_사본 - 고가차도(전력)_2007년 판매계획(GI)_2007년도 경영계획_GI 수정안" xfId="662"/>
    <cellStyle name="_사본 - 고가차도(전력)_2007년판매계획(영업안)_영업2차확정안_20061103" xfId="663"/>
    <cellStyle name="_사본 - 고가차도(전력)_2007년판매계획(영업안)_영업2차확정안_20061103_2007년도 경영계획" xfId="664"/>
    <cellStyle name="_사본 - 고가차도(전력)_2007년판매계획(영업안)_영업2차확정안_20061103_2007년도 경영계획_GI 수정안" xfId="665"/>
    <cellStyle name="_사본 - 고가차도(전력)_2008년 도급비 지급현황" xfId="4220"/>
    <cellStyle name="_사본 - 고가차도(전력)_2008년 도급비 지급현황_2008년 도급비 지급현황" xfId="4219"/>
    <cellStyle name="_사본 - 고가차도(전력)_2008년 도급비 지급현황_2008년 도급비 지급현황_2008년 도급비 지급현황" xfId="4218"/>
    <cellStyle name="_사본 - 고가차도(전력)_2008년 도급비 지급현황_2008년 도급비 지급현황_2008년 도급비 지급현황_2009년 도급비 지급현황" xfId="4217"/>
    <cellStyle name="_사본 - 고가차도(전력)_2008년 도급비 지급현황_2009년 도급비 지급현황" xfId="4216"/>
    <cellStyle name="_사본 - 고가차도(전력)_5월 경영실적" xfId="2208"/>
    <cellStyle name="_사본 - 고가차도(전력)_6월 경영실적" xfId="2209"/>
    <cellStyle name="_사본 - 고가차도(전력)_7월 경영실적" xfId="2210"/>
    <cellStyle name="_사본 - 고가차도(전력)_7월 경영실적_9월 경영실적" xfId="2211"/>
    <cellStyle name="_사본 - 고가차도(전력)_7월 경영실적_9월 경영실적_12" xfId="2212"/>
    <cellStyle name="_사본 - 고가차도(전력)_7월 경영실적_9월 경영실적_5월 경영실적" xfId="2213"/>
    <cellStyle name="_사본 - 고가차도(전력)_7월 경영실적_9월 경영실적_6월 경영실적" xfId="2214"/>
    <cellStyle name="_사본 - 고가차도(전력)_7월 경영실적_9월 경영실적_7월 경영실적" xfId="2215"/>
    <cellStyle name="_사본 - 고가차도(전력)_7월 경영실적_9월 경영실적_GI매원" xfId="2216"/>
    <cellStyle name="_사본 - 고가차도(전력)_7월 경영실적_9월 경영실적_Sheet1" xfId="2217"/>
    <cellStyle name="_사본 - 고가차도(전력)_7월 경영실적_9월 경영실적_칼라매원" xfId="2218"/>
    <cellStyle name="_사본 - 고가차도(전력)_GI매원" xfId="2219"/>
    <cellStyle name="_사본 - 고가차도(전력)_Sheet1" xfId="2220"/>
    <cellStyle name="_사본 - 고가차도(전력)_칼라매원" xfId="2221"/>
    <cellStyle name="_서초동 빌딩-1" xfId="666"/>
    <cellStyle name="_서초동 빌딩-1_06년판매계획(최종)" xfId="667"/>
    <cellStyle name="_서초동 빌딩-1_06년판매계획(최종)_12" xfId="2222"/>
    <cellStyle name="_서초동 빌딩-1_06년판매계획(최종)_2006년실적" xfId="668"/>
    <cellStyle name="_서초동 빌딩-1_06년판매계획(최종)_2006년실적_2007년도 경영계획" xfId="669"/>
    <cellStyle name="_서초동 빌딩-1_06년판매계획(최종)_2006년실적_2007년도 경영계획_GI 수정안" xfId="670"/>
    <cellStyle name="_서초동 빌딩-1_06년판매계획(최종)_2007년 판매계획(GI)" xfId="671"/>
    <cellStyle name="_서초동 빌딩-1_06년판매계획(최종)_2007년 판매계획(GI)_2007년도 경영계획" xfId="672"/>
    <cellStyle name="_서초동 빌딩-1_06년판매계획(최종)_2007년 판매계획(GI)_2007년도 경영계획_GI 수정안" xfId="673"/>
    <cellStyle name="_서초동 빌딩-1_06년판매계획(최종)_2007년판매계획(영업안)_영업2차확정안_20061103" xfId="674"/>
    <cellStyle name="_서초동 빌딩-1_06년판매계획(최종)_2007년판매계획(영업안)_영업2차확정안_20061103_2007년도 경영계획" xfId="675"/>
    <cellStyle name="_서초동 빌딩-1_06년판매계획(최종)_2007년판매계획(영업안)_영업2차확정안_20061103_2007년도 경영계획_GI 수정안" xfId="676"/>
    <cellStyle name="_서초동 빌딩-1_06년판매계획(최종)_5월 경영실적" xfId="2223"/>
    <cellStyle name="_서초동 빌딩-1_06년판매계획(최종)_6월 경영실적" xfId="2224"/>
    <cellStyle name="_서초동 빌딩-1_06년판매계획(최종)_7월 경영실적" xfId="2225"/>
    <cellStyle name="_서초동 빌딩-1_06년판매계획(최종)_7월 경영실적_9월 경영실적" xfId="2226"/>
    <cellStyle name="_서초동 빌딩-1_06년판매계획(최종)_7월 경영실적_9월 경영실적_12" xfId="2227"/>
    <cellStyle name="_서초동 빌딩-1_06년판매계획(최종)_7월 경영실적_9월 경영실적_5월 경영실적" xfId="2228"/>
    <cellStyle name="_서초동 빌딩-1_06년판매계획(최종)_7월 경영실적_9월 경영실적_6월 경영실적" xfId="2229"/>
    <cellStyle name="_서초동 빌딩-1_06년판매계획(최종)_7월 경영실적_9월 경영실적_7월 경영실적" xfId="2230"/>
    <cellStyle name="_서초동 빌딩-1_06년판매계획(최종)_7월 경영실적_9월 경영실적_GI매원" xfId="2231"/>
    <cellStyle name="_서초동 빌딩-1_06년판매계획(최종)_7월 경영실적_9월 경영실적_Sheet1" xfId="2232"/>
    <cellStyle name="_서초동 빌딩-1_06년판매계획(최종)_7월 경영실적_9월 경영실적_칼라매원" xfId="2233"/>
    <cellStyle name="_서초동 빌딩-1_06년판매계획(최종)_GI매원" xfId="2234"/>
    <cellStyle name="_서초동 빌딩-1_06년판매계획(최종)_Sheet1" xfId="2235"/>
    <cellStyle name="_서초동 빌딩-1_06년판매계획(최종)_칼라매원" xfId="2236"/>
    <cellStyle name="_서초동 빌딩-1_12" xfId="2237"/>
    <cellStyle name="_서초동 빌딩-1_2006년 경영계획(1안)" xfId="677"/>
    <cellStyle name="_서초동 빌딩-1_2006년 경영계획(1안)_12" xfId="2238"/>
    <cellStyle name="_서초동 빌딩-1_2006년 경영계획(1안)_2006년실적" xfId="678"/>
    <cellStyle name="_서초동 빌딩-1_2006년 경영계획(1안)_2006년실적_2007년도 경영계획" xfId="679"/>
    <cellStyle name="_서초동 빌딩-1_2006년 경영계획(1안)_2006년실적_2007년도 경영계획_GI 수정안" xfId="680"/>
    <cellStyle name="_서초동 빌딩-1_2006년 경영계획(1안)_2007년 판매계획(GI)" xfId="681"/>
    <cellStyle name="_서초동 빌딩-1_2006년 경영계획(1안)_2007년 판매계획(GI)_2007년도 경영계획" xfId="682"/>
    <cellStyle name="_서초동 빌딩-1_2006년 경영계획(1안)_2007년 판매계획(GI)_2007년도 경영계획_GI 수정안" xfId="683"/>
    <cellStyle name="_서초동 빌딩-1_2006년 경영계획(1안)_2007년판매계획(영업안)_영업2차확정안_20061103" xfId="684"/>
    <cellStyle name="_서초동 빌딩-1_2006년 경영계획(1안)_2007년판매계획(영업안)_영업2차확정안_20061103_2007년도 경영계획" xfId="685"/>
    <cellStyle name="_서초동 빌딩-1_2006년 경영계획(1안)_2007년판매계획(영업안)_영업2차확정안_20061103_2007년도 경영계획_GI 수정안" xfId="686"/>
    <cellStyle name="_서초동 빌딩-1_2006년 경영계획(1안)_5월 경영실적" xfId="2239"/>
    <cellStyle name="_서초동 빌딩-1_2006년 경영계획(1안)_6월 경영실적" xfId="2240"/>
    <cellStyle name="_서초동 빌딩-1_2006년 경영계획(1안)_7월 경영실적" xfId="2241"/>
    <cellStyle name="_서초동 빌딩-1_2006년 경영계획(1안)_7월 경영실적_9월 경영실적" xfId="2242"/>
    <cellStyle name="_서초동 빌딩-1_2006년 경영계획(1안)_7월 경영실적_9월 경영실적_12" xfId="2243"/>
    <cellStyle name="_서초동 빌딩-1_2006년 경영계획(1안)_7월 경영실적_9월 경영실적_5월 경영실적" xfId="2244"/>
    <cellStyle name="_서초동 빌딩-1_2006년 경영계획(1안)_7월 경영실적_9월 경영실적_6월 경영실적" xfId="2245"/>
    <cellStyle name="_서초동 빌딩-1_2006년 경영계획(1안)_7월 경영실적_9월 경영실적_7월 경영실적" xfId="2246"/>
    <cellStyle name="_서초동 빌딩-1_2006년 경영계획(1안)_7월 경영실적_9월 경영실적_GI매원" xfId="2247"/>
    <cellStyle name="_서초동 빌딩-1_2006년 경영계획(1안)_7월 경영실적_9월 경영실적_Sheet1" xfId="2248"/>
    <cellStyle name="_서초동 빌딩-1_2006년 경영계획(1안)_7월 경영실적_9월 경영실적_칼라매원" xfId="2249"/>
    <cellStyle name="_서초동 빌딩-1_2006년 경영계획(1안)_GI매원" xfId="2250"/>
    <cellStyle name="_서초동 빌딩-1_2006년 경영계획(1안)_Sheet1" xfId="2251"/>
    <cellStyle name="_서초동 빌딩-1_2006년 경영계획(1안)_칼라매원" xfId="2252"/>
    <cellStyle name="_서초동 빌딩-1_2006년 경영계획(안)" xfId="687"/>
    <cellStyle name="_서초동 빌딩-1_2006년 경영계획(안)_12" xfId="2253"/>
    <cellStyle name="_서초동 빌딩-1_2006년 경영계획(안)_2006년실적" xfId="688"/>
    <cellStyle name="_서초동 빌딩-1_2006년 경영계획(안)_2006년실적_2007년도 경영계획" xfId="689"/>
    <cellStyle name="_서초동 빌딩-1_2006년 경영계획(안)_2006년실적_2007년도 경영계획_GI 수정안" xfId="690"/>
    <cellStyle name="_서초동 빌딩-1_2006년 경영계획(안)_2007년 판매계획(GI)" xfId="691"/>
    <cellStyle name="_서초동 빌딩-1_2006년 경영계획(안)_2007년 판매계획(GI)_2007년도 경영계획" xfId="692"/>
    <cellStyle name="_서초동 빌딩-1_2006년 경영계획(안)_2007년 판매계획(GI)_2007년도 경영계획_GI 수정안" xfId="693"/>
    <cellStyle name="_서초동 빌딩-1_2006년 경영계획(안)_2007년판매계획(영업안)_영업2차확정안_20061103" xfId="694"/>
    <cellStyle name="_서초동 빌딩-1_2006년 경영계획(안)_2007년판매계획(영업안)_영업2차확정안_20061103_2007년도 경영계획" xfId="695"/>
    <cellStyle name="_서초동 빌딩-1_2006년 경영계획(안)_2007년판매계획(영업안)_영업2차확정안_20061103_2007년도 경영계획_GI 수정안" xfId="696"/>
    <cellStyle name="_서초동 빌딩-1_2006년 경영계획(안)_5월 경영실적" xfId="2254"/>
    <cellStyle name="_서초동 빌딩-1_2006년 경영계획(안)_6월 경영실적" xfId="2255"/>
    <cellStyle name="_서초동 빌딩-1_2006년 경영계획(안)_7월 경영실적" xfId="2256"/>
    <cellStyle name="_서초동 빌딩-1_2006년 경영계획(안)_7월 경영실적_9월 경영실적" xfId="2257"/>
    <cellStyle name="_서초동 빌딩-1_2006년 경영계획(안)_7월 경영실적_9월 경영실적_12" xfId="2258"/>
    <cellStyle name="_서초동 빌딩-1_2006년 경영계획(안)_7월 경영실적_9월 경영실적_5월 경영실적" xfId="2259"/>
    <cellStyle name="_서초동 빌딩-1_2006년 경영계획(안)_7월 경영실적_9월 경영실적_6월 경영실적" xfId="2260"/>
    <cellStyle name="_서초동 빌딩-1_2006년 경영계획(안)_7월 경영실적_9월 경영실적_7월 경영실적" xfId="2261"/>
    <cellStyle name="_서초동 빌딩-1_2006년 경영계획(안)_7월 경영실적_9월 경영실적_GI매원" xfId="2262"/>
    <cellStyle name="_서초동 빌딩-1_2006년 경영계획(안)_7월 경영실적_9월 경영실적_Sheet1" xfId="2263"/>
    <cellStyle name="_서초동 빌딩-1_2006년 경영계획(안)_7월 경영실적_9월 경영실적_칼라매원" xfId="2264"/>
    <cellStyle name="_서초동 빌딩-1_2006년 경영계획(안)_GI매원" xfId="2265"/>
    <cellStyle name="_서초동 빌딩-1_2006년 경영계획(안)_Sheet1" xfId="2266"/>
    <cellStyle name="_서초동 빌딩-1_2006년 경영계획(안)_칼라매원" xfId="2267"/>
    <cellStyle name="_서초동 빌딩-1_2006년실적" xfId="697"/>
    <cellStyle name="_서초동 빌딩-1_2006년실적_2007년도 경영계획" xfId="698"/>
    <cellStyle name="_서초동 빌딩-1_2006년실적_2007년도 경영계획_GI 수정안" xfId="699"/>
    <cellStyle name="_서초동 빌딩-1_2007년 판매계획(GI)" xfId="700"/>
    <cellStyle name="_서초동 빌딩-1_2007년 판매계획(GI)_2007년도 경영계획" xfId="701"/>
    <cellStyle name="_서초동 빌딩-1_2007년 판매계획(GI)_2007년도 경영계획_GI 수정안" xfId="702"/>
    <cellStyle name="_서초동 빌딩-1_2007년판매계획(영업안)_영업2차확정안_20061103" xfId="703"/>
    <cellStyle name="_서초동 빌딩-1_2007년판매계획(영업안)_영업2차확정안_20061103_2007년도 경영계획" xfId="704"/>
    <cellStyle name="_서초동 빌딩-1_2007년판매계획(영업안)_영업2차확정안_20061103_2007년도 경영계획_GI 수정안" xfId="705"/>
    <cellStyle name="_서초동 빌딩-1_2008년 도급비 지급현황" xfId="4215"/>
    <cellStyle name="_서초동 빌딩-1_2008년 도급비 지급현황_2008년 도급비 지급현황" xfId="4214"/>
    <cellStyle name="_서초동 빌딩-1_2008년 도급비 지급현황_2008년 도급비 지급현황_2008년 도급비 지급현황" xfId="4213"/>
    <cellStyle name="_서초동 빌딩-1_2008년 도급비 지급현황_2008년 도급비 지급현황_2008년 도급비 지급현황_2009년 도급비 지급현황" xfId="4212"/>
    <cellStyle name="_서초동 빌딩-1_2008년 도급비 지급현황_2009년 도급비 지급현황" xfId="4211"/>
    <cellStyle name="_서초동 빌딩-1_5월 경영실적" xfId="2268"/>
    <cellStyle name="_서초동 빌딩-1_6월 경영실적" xfId="2269"/>
    <cellStyle name="_서초동 빌딩-1_7월 경영실적" xfId="2270"/>
    <cellStyle name="_서초동 빌딩-1_7월 경영실적_9월 경영실적" xfId="2271"/>
    <cellStyle name="_서초동 빌딩-1_7월 경영실적_9월 경영실적_12" xfId="2272"/>
    <cellStyle name="_서초동 빌딩-1_7월 경영실적_9월 경영실적_5월 경영실적" xfId="2273"/>
    <cellStyle name="_서초동 빌딩-1_7월 경영실적_9월 경영실적_6월 경영실적" xfId="2274"/>
    <cellStyle name="_서초동 빌딩-1_7월 경영실적_9월 경영실적_7월 경영실적" xfId="2275"/>
    <cellStyle name="_서초동 빌딩-1_7월 경영실적_9월 경영실적_GI매원" xfId="2276"/>
    <cellStyle name="_서초동 빌딩-1_7월 경영실적_9월 경영실적_Sheet1" xfId="2277"/>
    <cellStyle name="_서초동 빌딩-1_7월 경영실적_9월 경영실적_칼라매원" xfId="2278"/>
    <cellStyle name="_서초동 빌딩-1_GI매원" xfId="2279"/>
    <cellStyle name="_서초동 빌딩-1_Sheet1" xfId="2280"/>
    <cellStyle name="_서초동 빌딩-1_칼라매원" xfId="2281"/>
    <cellStyle name="_송현실행내역" xfId="706"/>
    <cellStyle name="_송현실행내역_06년판매계획(최종)" xfId="707"/>
    <cellStyle name="_송현실행내역_06년판매계획(최종)_12" xfId="2282"/>
    <cellStyle name="_송현실행내역_06년판매계획(최종)_2006년실적" xfId="708"/>
    <cellStyle name="_송현실행내역_06년판매계획(최종)_2006년실적_2007년도 경영계획" xfId="709"/>
    <cellStyle name="_송현실행내역_06년판매계획(최종)_2006년실적_2007년도 경영계획_GI 수정안" xfId="710"/>
    <cellStyle name="_송현실행내역_06년판매계획(최종)_2007년 판매계획(GI)" xfId="711"/>
    <cellStyle name="_송현실행내역_06년판매계획(최종)_2007년 판매계획(GI)_2007년도 경영계획" xfId="712"/>
    <cellStyle name="_송현실행내역_06년판매계획(최종)_2007년 판매계획(GI)_2007년도 경영계획_GI 수정안" xfId="713"/>
    <cellStyle name="_송현실행내역_06년판매계획(최종)_2007년판매계획(영업안)_영업2차확정안_20061103" xfId="714"/>
    <cellStyle name="_송현실행내역_06년판매계획(최종)_2007년판매계획(영업안)_영업2차확정안_20061103_2007년도 경영계획" xfId="715"/>
    <cellStyle name="_송현실행내역_06년판매계획(최종)_2007년판매계획(영업안)_영업2차확정안_20061103_2007년도 경영계획_GI 수정안" xfId="716"/>
    <cellStyle name="_송현실행내역_06년판매계획(최종)_5월 경영실적" xfId="2283"/>
    <cellStyle name="_송현실행내역_06년판매계획(최종)_6월 경영실적" xfId="2284"/>
    <cellStyle name="_송현실행내역_06년판매계획(최종)_7월 경영실적" xfId="2285"/>
    <cellStyle name="_송현실행내역_06년판매계획(최종)_7월 경영실적_9월 경영실적" xfId="2286"/>
    <cellStyle name="_송현실행내역_06년판매계획(최종)_7월 경영실적_9월 경영실적_12" xfId="2287"/>
    <cellStyle name="_송현실행내역_06년판매계획(최종)_7월 경영실적_9월 경영실적_5월 경영실적" xfId="2288"/>
    <cellStyle name="_송현실행내역_06년판매계획(최종)_7월 경영실적_9월 경영실적_6월 경영실적" xfId="2289"/>
    <cellStyle name="_송현실행내역_06년판매계획(최종)_7월 경영실적_9월 경영실적_7월 경영실적" xfId="2290"/>
    <cellStyle name="_송현실행내역_06년판매계획(최종)_7월 경영실적_9월 경영실적_GI매원" xfId="2291"/>
    <cellStyle name="_송현실행내역_06년판매계획(최종)_7월 경영실적_9월 경영실적_Sheet1" xfId="2292"/>
    <cellStyle name="_송현실행내역_06년판매계획(최종)_7월 경영실적_9월 경영실적_칼라매원" xfId="2293"/>
    <cellStyle name="_송현실행내역_06년판매계획(최종)_GI매원" xfId="2294"/>
    <cellStyle name="_송현실행내역_06년판매계획(최종)_Sheet1" xfId="2295"/>
    <cellStyle name="_송현실행내역_06년판매계획(최종)_칼라매원" xfId="2296"/>
    <cellStyle name="_송현실행내역_12" xfId="2297"/>
    <cellStyle name="_송현실행내역_2006년 경영계획(1안)" xfId="717"/>
    <cellStyle name="_송현실행내역_2006년 경영계획(1안)_12" xfId="2298"/>
    <cellStyle name="_송현실행내역_2006년 경영계획(1안)_2006년실적" xfId="718"/>
    <cellStyle name="_송현실행내역_2006년 경영계획(1안)_2006년실적_2007년도 경영계획" xfId="719"/>
    <cellStyle name="_송현실행내역_2006년 경영계획(1안)_2006년실적_2007년도 경영계획_GI 수정안" xfId="720"/>
    <cellStyle name="_송현실행내역_2006년 경영계획(1안)_2007년 판매계획(GI)" xfId="721"/>
    <cellStyle name="_송현실행내역_2006년 경영계획(1안)_2007년 판매계획(GI)_2007년도 경영계획" xfId="722"/>
    <cellStyle name="_송현실행내역_2006년 경영계획(1안)_2007년 판매계획(GI)_2007년도 경영계획_GI 수정안" xfId="723"/>
    <cellStyle name="_송현실행내역_2006년 경영계획(1안)_2007년판매계획(영업안)_영업2차확정안_20061103" xfId="724"/>
    <cellStyle name="_송현실행내역_2006년 경영계획(1안)_2007년판매계획(영업안)_영업2차확정안_20061103_2007년도 경영계획" xfId="725"/>
    <cellStyle name="_송현실행내역_2006년 경영계획(1안)_2007년판매계획(영업안)_영업2차확정안_20061103_2007년도 경영계획_GI 수정안" xfId="726"/>
    <cellStyle name="_송현실행내역_2006년 경영계획(1안)_5월 경영실적" xfId="2299"/>
    <cellStyle name="_송현실행내역_2006년 경영계획(1안)_6월 경영실적" xfId="2300"/>
    <cellStyle name="_송현실행내역_2006년 경영계획(1안)_7월 경영실적" xfId="2301"/>
    <cellStyle name="_송현실행내역_2006년 경영계획(1안)_7월 경영실적_9월 경영실적" xfId="2302"/>
    <cellStyle name="_송현실행내역_2006년 경영계획(1안)_7월 경영실적_9월 경영실적_12" xfId="2303"/>
    <cellStyle name="_송현실행내역_2006년 경영계획(1안)_7월 경영실적_9월 경영실적_5월 경영실적" xfId="2304"/>
    <cellStyle name="_송현실행내역_2006년 경영계획(1안)_7월 경영실적_9월 경영실적_6월 경영실적" xfId="2305"/>
    <cellStyle name="_송현실행내역_2006년 경영계획(1안)_7월 경영실적_9월 경영실적_7월 경영실적" xfId="2306"/>
    <cellStyle name="_송현실행내역_2006년 경영계획(1안)_7월 경영실적_9월 경영실적_GI매원" xfId="2307"/>
    <cellStyle name="_송현실행내역_2006년 경영계획(1안)_7월 경영실적_9월 경영실적_Sheet1" xfId="2308"/>
    <cellStyle name="_송현실행내역_2006년 경영계획(1안)_7월 경영실적_9월 경영실적_칼라매원" xfId="2309"/>
    <cellStyle name="_송현실행내역_2006년 경영계획(1안)_GI매원" xfId="2310"/>
    <cellStyle name="_송현실행내역_2006년 경영계획(1안)_Sheet1" xfId="2311"/>
    <cellStyle name="_송현실행내역_2006년 경영계획(1안)_칼라매원" xfId="2312"/>
    <cellStyle name="_송현실행내역_2006년 경영계획(안)" xfId="727"/>
    <cellStyle name="_송현실행내역_2006년 경영계획(안)_12" xfId="2313"/>
    <cellStyle name="_송현실행내역_2006년 경영계획(안)_2006년실적" xfId="728"/>
    <cellStyle name="_송현실행내역_2006년 경영계획(안)_2006년실적_2007년도 경영계획" xfId="729"/>
    <cellStyle name="_송현실행내역_2006년 경영계획(안)_2006년실적_2007년도 경영계획_GI 수정안" xfId="730"/>
    <cellStyle name="_송현실행내역_2006년 경영계획(안)_2007년 판매계획(GI)" xfId="731"/>
    <cellStyle name="_송현실행내역_2006년 경영계획(안)_2007년 판매계획(GI)_2007년도 경영계획" xfId="732"/>
    <cellStyle name="_송현실행내역_2006년 경영계획(안)_2007년 판매계획(GI)_2007년도 경영계획_GI 수정안" xfId="733"/>
    <cellStyle name="_송현실행내역_2006년 경영계획(안)_2007년판매계획(영업안)_영업2차확정안_20061103" xfId="734"/>
    <cellStyle name="_송현실행내역_2006년 경영계획(안)_2007년판매계획(영업안)_영업2차확정안_20061103_2007년도 경영계획" xfId="735"/>
    <cellStyle name="_송현실행내역_2006년 경영계획(안)_2007년판매계획(영업안)_영업2차확정안_20061103_2007년도 경영계획_GI 수정안" xfId="736"/>
    <cellStyle name="_송현실행내역_2006년 경영계획(안)_5월 경영실적" xfId="2314"/>
    <cellStyle name="_송현실행내역_2006년 경영계획(안)_6월 경영실적" xfId="2315"/>
    <cellStyle name="_송현실행내역_2006년 경영계획(안)_7월 경영실적" xfId="2316"/>
    <cellStyle name="_송현실행내역_2006년 경영계획(안)_7월 경영실적_9월 경영실적" xfId="2317"/>
    <cellStyle name="_송현실행내역_2006년 경영계획(안)_7월 경영실적_9월 경영실적_12" xfId="2318"/>
    <cellStyle name="_송현실행내역_2006년 경영계획(안)_7월 경영실적_9월 경영실적_5월 경영실적" xfId="2319"/>
    <cellStyle name="_송현실행내역_2006년 경영계획(안)_7월 경영실적_9월 경영실적_6월 경영실적" xfId="2320"/>
    <cellStyle name="_송현실행내역_2006년 경영계획(안)_7월 경영실적_9월 경영실적_7월 경영실적" xfId="2321"/>
    <cellStyle name="_송현실행내역_2006년 경영계획(안)_7월 경영실적_9월 경영실적_GI매원" xfId="2322"/>
    <cellStyle name="_송현실행내역_2006년 경영계획(안)_7월 경영실적_9월 경영실적_Sheet1" xfId="2323"/>
    <cellStyle name="_송현실행내역_2006년 경영계획(안)_7월 경영실적_9월 경영실적_칼라매원" xfId="2324"/>
    <cellStyle name="_송현실행내역_2006년 경영계획(안)_GI매원" xfId="2325"/>
    <cellStyle name="_송현실행내역_2006년 경영계획(안)_Sheet1" xfId="2326"/>
    <cellStyle name="_송현실행내역_2006년 경영계획(안)_칼라매원" xfId="2327"/>
    <cellStyle name="_송현실행내역_2006년실적" xfId="737"/>
    <cellStyle name="_송현실행내역_2006년실적_2007년도 경영계획" xfId="738"/>
    <cellStyle name="_송현실행내역_2006년실적_2007년도 경영계획_GI 수정안" xfId="739"/>
    <cellStyle name="_송현실행내역_2007년 판매계획(GI)" xfId="740"/>
    <cellStyle name="_송현실행내역_2007년 판매계획(GI)_2007년도 경영계획" xfId="741"/>
    <cellStyle name="_송현실행내역_2007년 판매계획(GI)_2007년도 경영계획_GI 수정안" xfId="742"/>
    <cellStyle name="_송현실행내역_2007년판매계획(영업안)_영업2차확정안_20061103" xfId="743"/>
    <cellStyle name="_송현실행내역_2007년판매계획(영업안)_영업2차확정안_20061103_2007년도 경영계획" xfId="744"/>
    <cellStyle name="_송현실행내역_2007년판매계획(영업안)_영업2차확정안_20061103_2007년도 경영계획_GI 수정안" xfId="745"/>
    <cellStyle name="_송현실행내역_2008년 도급비 지급현황" xfId="4210"/>
    <cellStyle name="_송현실행내역_2008년 도급비 지급현황_2008년 도급비 지급현황" xfId="4209"/>
    <cellStyle name="_송현실행내역_2008년 도급비 지급현황_2008년 도급비 지급현황_2008년 도급비 지급현황" xfId="4208"/>
    <cellStyle name="_송현실행내역_2008년 도급비 지급현황_2008년 도급비 지급현황_2008년 도급비 지급현황_2009년 도급비 지급현황" xfId="4207"/>
    <cellStyle name="_송현실행내역_2008년 도급비 지급현황_2009년 도급비 지급현황" xfId="4206"/>
    <cellStyle name="_송현실행내역_5월 경영실적" xfId="2328"/>
    <cellStyle name="_송현실행내역_6월 경영실적" xfId="2329"/>
    <cellStyle name="_송현실행내역_7월 경영실적" xfId="2330"/>
    <cellStyle name="_송현실행내역_7월 경영실적_9월 경영실적" xfId="2331"/>
    <cellStyle name="_송현실행내역_7월 경영실적_9월 경영실적_12" xfId="2332"/>
    <cellStyle name="_송현실행내역_7월 경영실적_9월 경영실적_5월 경영실적" xfId="2333"/>
    <cellStyle name="_송현실행내역_7월 경영실적_9월 경영실적_6월 경영실적" xfId="2334"/>
    <cellStyle name="_송현실행내역_7월 경영실적_9월 경영실적_7월 경영실적" xfId="2335"/>
    <cellStyle name="_송현실행내역_7월 경영실적_9월 경영실적_GI매원" xfId="2336"/>
    <cellStyle name="_송현실행내역_7월 경영실적_9월 경영실적_Sheet1" xfId="2337"/>
    <cellStyle name="_송현실행내역_7월 경영실적_9월 경영실적_칼라매원" xfId="2338"/>
    <cellStyle name="_송현실행내역_GI매원" xfId="2339"/>
    <cellStyle name="_송현실행내역_Sheet1" xfId="2340"/>
    <cellStyle name="_송현실행내역_칼라매원" xfId="2341"/>
    <cellStyle name="_안양점" xfId="746"/>
    <cellStyle name="_업로드시트 취합_V2" xfId="4205"/>
    <cellStyle name="_업로드시트 취합_최종" xfId="4204"/>
    <cellStyle name="_업무지원팀" xfId="4203"/>
    <cellStyle name="_용인명지대학과동234" xfId="747"/>
    <cellStyle name="_울산홈플러스 전기공사" xfId="748"/>
    <cellStyle name="_울산홈플러스 전기공사_06년판매계획(최종)" xfId="749"/>
    <cellStyle name="_울산홈플러스 전기공사_06년판매계획(최종)_12" xfId="2342"/>
    <cellStyle name="_울산홈플러스 전기공사_06년판매계획(최종)_2006년실적" xfId="750"/>
    <cellStyle name="_울산홈플러스 전기공사_06년판매계획(최종)_2006년실적_2007년도 경영계획" xfId="751"/>
    <cellStyle name="_울산홈플러스 전기공사_06년판매계획(최종)_2006년실적_2007년도 경영계획_GI 수정안" xfId="752"/>
    <cellStyle name="_울산홈플러스 전기공사_06년판매계획(최종)_2007년 판매계획(GI)" xfId="753"/>
    <cellStyle name="_울산홈플러스 전기공사_06년판매계획(최종)_2007년 판매계획(GI)_2007년도 경영계획" xfId="754"/>
    <cellStyle name="_울산홈플러스 전기공사_06년판매계획(최종)_2007년 판매계획(GI)_2007년도 경영계획_GI 수정안" xfId="755"/>
    <cellStyle name="_울산홈플러스 전기공사_06년판매계획(최종)_2007년판매계획(영업안)_영업2차확정안_20061103" xfId="756"/>
    <cellStyle name="_울산홈플러스 전기공사_06년판매계획(최종)_2007년판매계획(영업안)_영업2차확정안_20061103_2007년도 경영계획" xfId="757"/>
    <cellStyle name="_울산홈플러스 전기공사_06년판매계획(최종)_2007년판매계획(영업안)_영업2차확정안_20061103_2007년도 경영계획_GI 수정안" xfId="758"/>
    <cellStyle name="_울산홈플러스 전기공사_06년판매계획(최종)_5월 경영실적" xfId="2343"/>
    <cellStyle name="_울산홈플러스 전기공사_06년판매계획(최종)_6월 경영실적" xfId="2344"/>
    <cellStyle name="_울산홈플러스 전기공사_06년판매계획(최종)_7월 경영실적" xfId="2345"/>
    <cellStyle name="_울산홈플러스 전기공사_06년판매계획(최종)_7월 경영실적_9월 경영실적" xfId="2346"/>
    <cellStyle name="_울산홈플러스 전기공사_06년판매계획(최종)_7월 경영실적_9월 경영실적_12" xfId="2347"/>
    <cellStyle name="_울산홈플러스 전기공사_06년판매계획(최종)_7월 경영실적_9월 경영실적_5월 경영실적" xfId="2348"/>
    <cellStyle name="_울산홈플러스 전기공사_06년판매계획(최종)_7월 경영실적_9월 경영실적_6월 경영실적" xfId="2349"/>
    <cellStyle name="_울산홈플러스 전기공사_06년판매계획(최종)_7월 경영실적_9월 경영실적_7월 경영실적" xfId="2350"/>
    <cellStyle name="_울산홈플러스 전기공사_06년판매계획(최종)_7월 경영실적_9월 경영실적_GI매원" xfId="2351"/>
    <cellStyle name="_울산홈플러스 전기공사_06년판매계획(최종)_7월 경영실적_9월 경영실적_Sheet1" xfId="2352"/>
    <cellStyle name="_울산홈플러스 전기공사_06년판매계획(최종)_7월 경영실적_9월 경영실적_칼라매원" xfId="2353"/>
    <cellStyle name="_울산홈플러스 전기공사_06년판매계획(최종)_GI매원" xfId="2354"/>
    <cellStyle name="_울산홈플러스 전기공사_06년판매계획(최종)_Sheet1" xfId="2355"/>
    <cellStyle name="_울산홈플러스 전기공사_06년판매계획(최종)_칼라매원" xfId="2356"/>
    <cellStyle name="_울산홈플러스 전기공사_12" xfId="2357"/>
    <cellStyle name="_울산홈플러스 전기공사_2006년 경영계획(1안)" xfId="759"/>
    <cellStyle name="_울산홈플러스 전기공사_2006년 경영계획(1안)_12" xfId="2358"/>
    <cellStyle name="_울산홈플러스 전기공사_2006년 경영계획(1안)_2006년실적" xfId="760"/>
    <cellStyle name="_울산홈플러스 전기공사_2006년 경영계획(1안)_2006년실적_2007년도 경영계획" xfId="761"/>
    <cellStyle name="_울산홈플러스 전기공사_2006년 경영계획(1안)_2006년실적_2007년도 경영계획_GI 수정안" xfId="762"/>
    <cellStyle name="_울산홈플러스 전기공사_2006년 경영계획(1안)_2007년 판매계획(GI)" xfId="763"/>
    <cellStyle name="_울산홈플러스 전기공사_2006년 경영계획(1안)_2007년 판매계획(GI)_2007년도 경영계획" xfId="764"/>
    <cellStyle name="_울산홈플러스 전기공사_2006년 경영계획(1안)_2007년 판매계획(GI)_2007년도 경영계획_GI 수정안" xfId="765"/>
    <cellStyle name="_울산홈플러스 전기공사_2006년 경영계획(1안)_2007년판매계획(영업안)_영업2차확정안_20061103" xfId="766"/>
    <cellStyle name="_울산홈플러스 전기공사_2006년 경영계획(1안)_2007년판매계획(영업안)_영업2차확정안_20061103_2007년도 경영계획" xfId="767"/>
    <cellStyle name="_울산홈플러스 전기공사_2006년 경영계획(1안)_2007년판매계획(영업안)_영업2차확정안_20061103_2007년도 경영계획_GI 수정안" xfId="768"/>
    <cellStyle name="_울산홈플러스 전기공사_2006년 경영계획(1안)_5월 경영실적" xfId="2359"/>
    <cellStyle name="_울산홈플러스 전기공사_2006년 경영계획(1안)_6월 경영실적" xfId="2360"/>
    <cellStyle name="_울산홈플러스 전기공사_2006년 경영계획(1안)_7월 경영실적" xfId="2361"/>
    <cellStyle name="_울산홈플러스 전기공사_2006년 경영계획(1안)_7월 경영실적_9월 경영실적" xfId="2362"/>
    <cellStyle name="_울산홈플러스 전기공사_2006년 경영계획(1안)_7월 경영실적_9월 경영실적_12" xfId="2363"/>
    <cellStyle name="_울산홈플러스 전기공사_2006년 경영계획(1안)_7월 경영실적_9월 경영실적_5월 경영실적" xfId="2364"/>
    <cellStyle name="_울산홈플러스 전기공사_2006년 경영계획(1안)_7월 경영실적_9월 경영실적_6월 경영실적" xfId="2365"/>
    <cellStyle name="_울산홈플러스 전기공사_2006년 경영계획(1안)_7월 경영실적_9월 경영실적_7월 경영실적" xfId="2366"/>
    <cellStyle name="_울산홈플러스 전기공사_2006년 경영계획(1안)_7월 경영실적_9월 경영실적_GI매원" xfId="2367"/>
    <cellStyle name="_울산홈플러스 전기공사_2006년 경영계획(1안)_7월 경영실적_9월 경영실적_Sheet1" xfId="2368"/>
    <cellStyle name="_울산홈플러스 전기공사_2006년 경영계획(1안)_7월 경영실적_9월 경영실적_칼라매원" xfId="2369"/>
    <cellStyle name="_울산홈플러스 전기공사_2006년 경영계획(1안)_GI매원" xfId="2370"/>
    <cellStyle name="_울산홈플러스 전기공사_2006년 경영계획(1안)_Sheet1" xfId="2371"/>
    <cellStyle name="_울산홈플러스 전기공사_2006년 경영계획(1안)_칼라매원" xfId="2372"/>
    <cellStyle name="_울산홈플러스 전기공사_2006년 경영계획(안)" xfId="769"/>
    <cellStyle name="_울산홈플러스 전기공사_2006년 경영계획(안)_12" xfId="2373"/>
    <cellStyle name="_울산홈플러스 전기공사_2006년 경영계획(안)_2006년실적" xfId="770"/>
    <cellStyle name="_울산홈플러스 전기공사_2006년 경영계획(안)_2006년실적_2007년도 경영계획" xfId="771"/>
    <cellStyle name="_울산홈플러스 전기공사_2006년 경영계획(안)_2006년실적_2007년도 경영계획_GI 수정안" xfId="772"/>
    <cellStyle name="_울산홈플러스 전기공사_2006년 경영계획(안)_2007년 판매계획(GI)" xfId="773"/>
    <cellStyle name="_울산홈플러스 전기공사_2006년 경영계획(안)_2007년 판매계획(GI)_2007년도 경영계획" xfId="774"/>
    <cellStyle name="_울산홈플러스 전기공사_2006년 경영계획(안)_2007년 판매계획(GI)_2007년도 경영계획_GI 수정안" xfId="775"/>
    <cellStyle name="_울산홈플러스 전기공사_2006년 경영계획(안)_2007년판매계획(영업안)_영업2차확정안_20061103" xfId="776"/>
    <cellStyle name="_울산홈플러스 전기공사_2006년 경영계획(안)_2007년판매계획(영업안)_영업2차확정안_20061103_2007년도 경영계획" xfId="777"/>
    <cellStyle name="_울산홈플러스 전기공사_2006년 경영계획(안)_2007년판매계획(영업안)_영업2차확정안_20061103_2007년도 경영계획_GI 수정안" xfId="778"/>
    <cellStyle name="_울산홈플러스 전기공사_2006년 경영계획(안)_5월 경영실적" xfId="2374"/>
    <cellStyle name="_울산홈플러스 전기공사_2006년 경영계획(안)_6월 경영실적" xfId="2375"/>
    <cellStyle name="_울산홈플러스 전기공사_2006년 경영계획(안)_7월 경영실적" xfId="2376"/>
    <cellStyle name="_울산홈플러스 전기공사_2006년 경영계획(안)_7월 경영실적_9월 경영실적" xfId="2377"/>
    <cellStyle name="_울산홈플러스 전기공사_2006년 경영계획(안)_7월 경영실적_9월 경영실적_12" xfId="2378"/>
    <cellStyle name="_울산홈플러스 전기공사_2006년 경영계획(안)_7월 경영실적_9월 경영실적_5월 경영실적" xfId="2379"/>
    <cellStyle name="_울산홈플러스 전기공사_2006년 경영계획(안)_7월 경영실적_9월 경영실적_6월 경영실적" xfId="2380"/>
    <cellStyle name="_울산홈플러스 전기공사_2006년 경영계획(안)_7월 경영실적_9월 경영실적_7월 경영실적" xfId="2381"/>
    <cellStyle name="_울산홈플러스 전기공사_2006년 경영계획(안)_7월 경영실적_9월 경영실적_GI매원" xfId="2382"/>
    <cellStyle name="_울산홈플러스 전기공사_2006년 경영계획(안)_7월 경영실적_9월 경영실적_Sheet1" xfId="2383"/>
    <cellStyle name="_울산홈플러스 전기공사_2006년 경영계획(안)_7월 경영실적_9월 경영실적_칼라매원" xfId="2384"/>
    <cellStyle name="_울산홈플러스 전기공사_2006년 경영계획(안)_GI매원" xfId="2385"/>
    <cellStyle name="_울산홈플러스 전기공사_2006년 경영계획(안)_Sheet1" xfId="2386"/>
    <cellStyle name="_울산홈플러스 전기공사_2006년 경영계획(안)_칼라매원" xfId="2387"/>
    <cellStyle name="_울산홈플러스 전기공사_2006년실적" xfId="779"/>
    <cellStyle name="_울산홈플러스 전기공사_2006년실적_2007년도 경영계획" xfId="780"/>
    <cellStyle name="_울산홈플러스 전기공사_2006년실적_2007년도 경영계획_GI 수정안" xfId="781"/>
    <cellStyle name="_울산홈플러스 전기공사_2007년 판매계획(GI)" xfId="782"/>
    <cellStyle name="_울산홈플러스 전기공사_2007년 판매계획(GI)_2007년도 경영계획" xfId="783"/>
    <cellStyle name="_울산홈플러스 전기공사_2007년 판매계획(GI)_2007년도 경영계획_GI 수정안" xfId="784"/>
    <cellStyle name="_울산홈플러스 전기공사_2007년판매계획(영업안)_영업2차확정안_20061103" xfId="785"/>
    <cellStyle name="_울산홈플러스 전기공사_2007년판매계획(영업안)_영업2차확정안_20061103_2007년도 경영계획" xfId="786"/>
    <cellStyle name="_울산홈플러스 전기공사_2007년판매계획(영업안)_영업2차확정안_20061103_2007년도 경영계획_GI 수정안" xfId="787"/>
    <cellStyle name="_울산홈플러스 전기공사_2008년 도급비 지급현황" xfId="4202"/>
    <cellStyle name="_울산홈플러스 전기공사_2008년 도급비 지급현황_2008년 도급비 지급현황" xfId="4201"/>
    <cellStyle name="_울산홈플러스 전기공사_2008년 도급비 지급현황_2008년 도급비 지급현황_2008년 도급비 지급현황" xfId="4200"/>
    <cellStyle name="_울산홈플러스 전기공사_2008년 도급비 지급현황_2008년 도급비 지급현황_2008년 도급비 지급현황_2009년 도급비 지급현황" xfId="4199"/>
    <cellStyle name="_울산홈플러스 전기공사_2008년 도급비 지급현황_2009년 도급비 지급현황" xfId="4198"/>
    <cellStyle name="_울산홈플러스 전기공사_5월 경영실적" xfId="2388"/>
    <cellStyle name="_울산홈플러스 전기공사_6월 경영실적" xfId="2389"/>
    <cellStyle name="_울산홈플러스 전기공사_7월 경영실적" xfId="2390"/>
    <cellStyle name="_울산홈플러스 전기공사_7월 경영실적_9월 경영실적" xfId="2391"/>
    <cellStyle name="_울산홈플러스 전기공사_7월 경영실적_9월 경영실적_12" xfId="2392"/>
    <cellStyle name="_울산홈플러스 전기공사_7월 경영실적_9월 경영실적_5월 경영실적" xfId="2393"/>
    <cellStyle name="_울산홈플러스 전기공사_7월 경영실적_9월 경영실적_6월 경영실적" xfId="2394"/>
    <cellStyle name="_울산홈플러스 전기공사_7월 경영실적_9월 경영실적_7월 경영실적" xfId="2395"/>
    <cellStyle name="_울산홈플러스 전기공사_7월 경영실적_9월 경영실적_GI매원" xfId="2396"/>
    <cellStyle name="_울산홈플러스 전기공사_7월 경영실적_9월 경영실적_Sheet1" xfId="2397"/>
    <cellStyle name="_울산홈플러스 전기공사_7월 경영실적_9월 경영실적_칼라매원" xfId="2398"/>
    <cellStyle name="_울산홈플러스 전기공사_GI매원" xfId="2399"/>
    <cellStyle name="_울산홈플러스 전기공사_Sheet1" xfId="2400"/>
    <cellStyle name="_울산홈플러스 전기공사_칼라매원" xfId="2401"/>
    <cellStyle name="_작업내역(전기,통신)" xfId="788"/>
    <cellStyle name="_작업내역(전기,통신)_06년판매계획(최종)" xfId="789"/>
    <cellStyle name="_작업내역(전기,통신)_06년판매계획(최종)_12" xfId="2402"/>
    <cellStyle name="_작업내역(전기,통신)_06년판매계획(최종)_2006년실적" xfId="790"/>
    <cellStyle name="_작업내역(전기,통신)_06년판매계획(최종)_2006년실적_2007년도 경영계획" xfId="791"/>
    <cellStyle name="_작업내역(전기,통신)_06년판매계획(최종)_2006년실적_2007년도 경영계획_GI 수정안" xfId="792"/>
    <cellStyle name="_작업내역(전기,통신)_06년판매계획(최종)_2007년 판매계획(GI)" xfId="793"/>
    <cellStyle name="_작업내역(전기,통신)_06년판매계획(최종)_2007년 판매계획(GI)_2007년도 경영계획" xfId="794"/>
    <cellStyle name="_작업내역(전기,통신)_06년판매계획(최종)_2007년 판매계획(GI)_2007년도 경영계획_GI 수정안" xfId="795"/>
    <cellStyle name="_작업내역(전기,통신)_06년판매계획(최종)_2007년판매계획(영업안)_영업2차확정안_20061103" xfId="796"/>
    <cellStyle name="_작업내역(전기,통신)_06년판매계획(최종)_2007년판매계획(영업안)_영업2차확정안_20061103_2007년도 경영계획" xfId="797"/>
    <cellStyle name="_작업내역(전기,통신)_06년판매계획(최종)_2007년판매계획(영업안)_영업2차확정안_20061103_2007년도 경영계획_GI 수정안" xfId="798"/>
    <cellStyle name="_작업내역(전기,통신)_06년판매계획(최종)_5월 경영실적" xfId="2403"/>
    <cellStyle name="_작업내역(전기,통신)_06년판매계획(최종)_6월 경영실적" xfId="2404"/>
    <cellStyle name="_작업내역(전기,통신)_06년판매계획(최종)_7월 경영실적" xfId="2405"/>
    <cellStyle name="_작업내역(전기,통신)_06년판매계획(최종)_7월 경영실적_9월 경영실적" xfId="2406"/>
    <cellStyle name="_작업내역(전기,통신)_06년판매계획(최종)_7월 경영실적_9월 경영실적_12" xfId="2407"/>
    <cellStyle name="_작업내역(전기,통신)_06년판매계획(최종)_7월 경영실적_9월 경영실적_5월 경영실적" xfId="2408"/>
    <cellStyle name="_작업내역(전기,통신)_06년판매계획(최종)_7월 경영실적_9월 경영실적_6월 경영실적" xfId="2409"/>
    <cellStyle name="_작업내역(전기,통신)_06년판매계획(최종)_7월 경영실적_9월 경영실적_7월 경영실적" xfId="2410"/>
    <cellStyle name="_작업내역(전기,통신)_06년판매계획(최종)_7월 경영실적_9월 경영실적_GI매원" xfId="2411"/>
    <cellStyle name="_작업내역(전기,통신)_06년판매계획(최종)_7월 경영실적_9월 경영실적_Sheet1" xfId="2412"/>
    <cellStyle name="_작업내역(전기,통신)_06년판매계획(최종)_7월 경영실적_9월 경영실적_칼라매원" xfId="2413"/>
    <cellStyle name="_작업내역(전기,통신)_06년판매계획(최종)_GI매원" xfId="2414"/>
    <cellStyle name="_작업내역(전기,통신)_06년판매계획(최종)_Sheet1" xfId="2415"/>
    <cellStyle name="_작업내역(전기,통신)_06년판매계획(최종)_칼라매원" xfId="2416"/>
    <cellStyle name="_작업내역(전기,통신)_12" xfId="2417"/>
    <cellStyle name="_작업내역(전기,통신)_2006년 경영계획(1안)" xfId="799"/>
    <cellStyle name="_작업내역(전기,통신)_2006년 경영계획(1안)_12" xfId="2418"/>
    <cellStyle name="_작업내역(전기,통신)_2006년 경영계획(1안)_2006년실적" xfId="800"/>
    <cellStyle name="_작업내역(전기,통신)_2006년 경영계획(1안)_2006년실적_2007년도 경영계획" xfId="801"/>
    <cellStyle name="_작업내역(전기,통신)_2006년 경영계획(1안)_2006년실적_2007년도 경영계획_GI 수정안" xfId="802"/>
    <cellStyle name="_작업내역(전기,통신)_2006년 경영계획(1안)_2007년 판매계획(GI)" xfId="803"/>
    <cellStyle name="_작업내역(전기,통신)_2006년 경영계획(1안)_2007년 판매계획(GI)_2007년도 경영계획" xfId="804"/>
    <cellStyle name="_작업내역(전기,통신)_2006년 경영계획(1안)_2007년 판매계획(GI)_2007년도 경영계획_GI 수정안" xfId="805"/>
    <cellStyle name="_작업내역(전기,통신)_2006년 경영계획(1안)_2007년판매계획(영업안)_영업2차확정안_20061103" xfId="806"/>
    <cellStyle name="_작업내역(전기,통신)_2006년 경영계획(1안)_2007년판매계획(영업안)_영업2차확정안_20061103_2007년도 경영계획" xfId="807"/>
    <cellStyle name="_작업내역(전기,통신)_2006년 경영계획(1안)_2007년판매계획(영업안)_영업2차확정안_20061103_2007년도 경영계획_GI 수정안" xfId="808"/>
    <cellStyle name="_작업내역(전기,통신)_2006년 경영계획(1안)_5월 경영실적" xfId="2419"/>
    <cellStyle name="_작업내역(전기,통신)_2006년 경영계획(1안)_6월 경영실적" xfId="2420"/>
    <cellStyle name="_작업내역(전기,통신)_2006년 경영계획(1안)_7월 경영실적" xfId="2421"/>
    <cellStyle name="_작업내역(전기,통신)_2006년 경영계획(1안)_7월 경영실적_9월 경영실적" xfId="2422"/>
    <cellStyle name="_작업내역(전기,통신)_2006년 경영계획(1안)_7월 경영실적_9월 경영실적_12" xfId="2423"/>
    <cellStyle name="_작업내역(전기,통신)_2006년 경영계획(1안)_7월 경영실적_9월 경영실적_5월 경영실적" xfId="2424"/>
    <cellStyle name="_작업내역(전기,통신)_2006년 경영계획(1안)_7월 경영실적_9월 경영실적_6월 경영실적" xfId="2425"/>
    <cellStyle name="_작업내역(전기,통신)_2006년 경영계획(1안)_7월 경영실적_9월 경영실적_7월 경영실적" xfId="2426"/>
    <cellStyle name="_작업내역(전기,통신)_2006년 경영계획(1안)_7월 경영실적_9월 경영실적_GI매원" xfId="2427"/>
    <cellStyle name="_작업내역(전기,통신)_2006년 경영계획(1안)_7월 경영실적_9월 경영실적_Sheet1" xfId="2428"/>
    <cellStyle name="_작업내역(전기,통신)_2006년 경영계획(1안)_7월 경영실적_9월 경영실적_칼라매원" xfId="2429"/>
    <cellStyle name="_작업내역(전기,통신)_2006년 경영계획(1안)_GI매원" xfId="2430"/>
    <cellStyle name="_작업내역(전기,통신)_2006년 경영계획(1안)_Sheet1" xfId="2431"/>
    <cellStyle name="_작업내역(전기,통신)_2006년 경영계획(1안)_칼라매원" xfId="2432"/>
    <cellStyle name="_작업내역(전기,통신)_2006년 경영계획(안)" xfId="809"/>
    <cellStyle name="_작업내역(전기,통신)_2006년 경영계획(안)_12" xfId="2433"/>
    <cellStyle name="_작업내역(전기,통신)_2006년 경영계획(안)_2006년실적" xfId="810"/>
    <cellStyle name="_작업내역(전기,통신)_2006년 경영계획(안)_2006년실적_2007년도 경영계획" xfId="811"/>
    <cellStyle name="_작업내역(전기,통신)_2006년 경영계획(안)_2006년실적_2007년도 경영계획_GI 수정안" xfId="812"/>
    <cellStyle name="_작업내역(전기,통신)_2006년 경영계획(안)_2007년 판매계획(GI)" xfId="813"/>
    <cellStyle name="_작업내역(전기,통신)_2006년 경영계획(안)_2007년 판매계획(GI)_2007년도 경영계획" xfId="814"/>
    <cellStyle name="_작업내역(전기,통신)_2006년 경영계획(안)_2007년 판매계획(GI)_2007년도 경영계획_GI 수정안" xfId="815"/>
    <cellStyle name="_작업내역(전기,통신)_2006년 경영계획(안)_2007년판매계획(영업안)_영업2차확정안_20061103" xfId="816"/>
    <cellStyle name="_작업내역(전기,통신)_2006년 경영계획(안)_2007년판매계획(영업안)_영업2차확정안_20061103_2007년도 경영계획" xfId="817"/>
    <cellStyle name="_작업내역(전기,통신)_2006년 경영계획(안)_2007년판매계획(영업안)_영업2차확정안_20061103_2007년도 경영계획_GI 수정안" xfId="818"/>
    <cellStyle name="_작업내역(전기,통신)_2006년 경영계획(안)_5월 경영실적" xfId="2434"/>
    <cellStyle name="_작업내역(전기,통신)_2006년 경영계획(안)_6월 경영실적" xfId="2435"/>
    <cellStyle name="_작업내역(전기,통신)_2006년 경영계획(안)_7월 경영실적" xfId="2436"/>
    <cellStyle name="_작업내역(전기,통신)_2006년 경영계획(안)_7월 경영실적_9월 경영실적" xfId="2437"/>
    <cellStyle name="_작업내역(전기,통신)_2006년 경영계획(안)_7월 경영실적_9월 경영실적_12" xfId="2438"/>
    <cellStyle name="_작업내역(전기,통신)_2006년 경영계획(안)_7월 경영실적_9월 경영실적_5월 경영실적" xfId="2439"/>
    <cellStyle name="_작업내역(전기,통신)_2006년 경영계획(안)_7월 경영실적_9월 경영실적_6월 경영실적" xfId="2440"/>
    <cellStyle name="_작업내역(전기,통신)_2006년 경영계획(안)_7월 경영실적_9월 경영실적_7월 경영실적" xfId="2441"/>
    <cellStyle name="_작업내역(전기,통신)_2006년 경영계획(안)_7월 경영실적_9월 경영실적_GI매원" xfId="2442"/>
    <cellStyle name="_작업내역(전기,통신)_2006년 경영계획(안)_7월 경영실적_9월 경영실적_Sheet1" xfId="2443"/>
    <cellStyle name="_작업내역(전기,통신)_2006년 경영계획(안)_7월 경영실적_9월 경영실적_칼라매원" xfId="2444"/>
    <cellStyle name="_작업내역(전기,통신)_2006년 경영계획(안)_GI매원" xfId="2445"/>
    <cellStyle name="_작업내역(전기,통신)_2006년 경영계획(안)_Sheet1" xfId="2446"/>
    <cellStyle name="_작업내역(전기,통신)_2006년 경영계획(안)_칼라매원" xfId="2447"/>
    <cellStyle name="_작업내역(전기,통신)_2006년실적" xfId="819"/>
    <cellStyle name="_작업내역(전기,통신)_2006년실적_2007년도 경영계획" xfId="820"/>
    <cellStyle name="_작업내역(전기,통신)_2006년실적_2007년도 경영계획_GI 수정안" xfId="821"/>
    <cellStyle name="_작업내역(전기,통신)_2007년 판매계획(GI)" xfId="822"/>
    <cellStyle name="_작업내역(전기,통신)_2007년 판매계획(GI)_2007년도 경영계획" xfId="823"/>
    <cellStyle name="_작업내역(전기,통신)_2007년 판매계획(GI)_2007년도 경영계획_GI 수정안" xfId="824"/>
    <cellStyle name="_작업내역(전기,통신)_2007년판매계획(영업안)_영업2차확정안_20061103" xfId="825"/>
    <cellStyle name="_작업내역(전기,통신)_2007년판매계획(영업안)_영업2차확정안_20061103_2007년도 경영계획" xfId="826"/>
    <cellStyle name="_작업내역(전기,통신)_2007년판매계획(영업안)_영업2차확정안_20061103_2007년도 경영계획_GI 수정안" xfId="827"/>
    <cellStyle name="_작업내역(전기,통신)_2008년 도급비 지급현황" xfId="4197"/>
    <cellStyle name="_작업내역(전기,통신)_2008년 도급비 지급현황_2008년 도급비 지급현황" xfId="4196"/>
    <cellStyle name="_작업내역(전기,통신)_2008년 도급비 지급현황_2008년 도급비 지급현황_2008년 도급비 지급현황" xfId="4195"/>
    <cellStyle name="_작업내역(전기,통신)_2008년 도급비 지급현황_2008년 도급비 지급현황_2008년 도급비 지급현황_2009년 도급비 지급현황" xfId="4194"/>
    <cellStyle name="_작업내역(전기,통신)_2008년 도급비 지급현황_2009년 도급비 지급현황" xfId="4193"/>
    <cellStyle name="_작업내역(전기,통신)_5월 경영실적" xfId="2448"/>
    <cellStyle name="_작업내역(전기,통신)_6월 경영실적" xfId="2449"/>
    <cellStyle name="_작업내역(전기,통신)_7월 경영실적" xfId="2450"/>
    <cellStyle name="_작업내역(전기,통신)_7월 경영실적_9월 경영실적" xfId="2451"/>
    <cellStyle name="_작업내역(전기,통신)_7월 경영실적_9월 경영실적_12" xfId="2452"/>
    <cellStyle name="_작업내역(전기,통신)_7월 경영실적_9월 경영실적_5월 경영실적" xfId="2453"/>
    <cellStyle name="_작업내역(전기,통신)_7월 경영실적_9월 경영실적_6월 경영실적" xfId="2454"/>
    <cellStyle name="_작업내역(전기,통신)_7월 경영실적_9월 경영실적_7월 경영실적" xfId="2455"/>
    <cellStyle name="_작업내역(전기,통신)_7월 경영실적_9월 경영실적_GI매원" xfId="2456"/>
    <cellStyle name="_작업내역(전기,통신)_7월 경영실적_9월 경영실적_Sheet1" xfId="2457"/>
    <cellStyle name="_작업내역(전기,통신)_7월 경영실적_9월 경영실적_칼라매원" xfId="2458"/>
    <cellStyle name="_작업내역(전기,통신)_GI매원" xfId="2459"/>
    <cellStyle name="_작업내역(전기,통신)_Sheet1" xfId="2460"/>
    <cellStyle name="_작업내역(전기,통신)_칼라매원" xfId="2461"/>
    <cellStyle name="_전기실행" xfId="828"/>
    <cellStyle name="_정문전기공사최종" xfId="829"/>
    <cellStyle name="_정문전기공사최종_06년판매계획(최종)" xfId="830"/>
    <cellStyle name="_정문전기공사최종_06년판매계획(최종)_12" xfId="2462"/>
    <cellStyle name="_정문전기공사최종_06년판매계획(최종)_2006년실적" xfId="831"/>
    <cellStyle name="_정문전기공사최종_06년판매계획(최종)_2006년실적_2007년도 경영계획" xfId="832"/>
    <cellStyle name="_정문전기공사최종_06년판매계획(최종)_2006년실적_2007년도 경영계획_GI 수정안" xfId="833"/>
    <cellStyle name="_정문전기공사최종_06년판매계획(최종)_2007년 판매계획(GI)" xfId="834"/>
    <cellStyle name="_정문전기공사최종_06년판매계획(최종)_2007년 판매계획(GI)_2007년도 경영계획" xfId="835"/>
    <cellStyle name="_정문전기공사최종_06년판매계획(최종)_2007년 판매계획(GI)_2007년도 경영계획_GI 수정안" xfId="836"/>
    <cellStyle name="_정문전기공사최종_06년판매계획(최종)_2007년판매계획(영업안)_영업2차확정안_20061103" xfId="837"/>
    <cellStyle name="_정문전기공사최종_06년판매계획(최종)_2007년판매계획(영업안)_영업2차확정안_20061103_2007년도 경영계획" xfId="838"/>
    <cellStyle name="_정문전기공사최종_06년판매계획(최종)_2007년판매계획(영업안)_영업2차확정안_20061103_2007년도 경영계획_GI 수정안" xfId="839"/>
    <cellStyle name="_정문전기공사최종_06년판매계획(최종)_5월 경영실적" xfId="2463"/>
    <cellStyle name="_정문전기공사최종_06년판매계획(최종)_6월 경영실적" xfId="2464"/>
    <cellStyle name="_정문전기공사최종_06년판매계획(최종)_7월 경영실적" xfId="2465"/>
    <cellStyle name="_정문전기공사최종_06년판매계획(최종)_7월 경영실적_9월 경영실적" xfId="2466"/>
    <cellStyle name="_정문전기공사최종_06년판매계획(최종)_7월 경영실적_9월 경영실적_12" xfId="2467"/>
    <cellStyle name="_정문전기공사최종_06년판매계획(최종)_7월 경영실적_9월 경영실적_5월 경영실적" xfId="2468"/>
    <cellStyle name="_정문전기공사최종_06년판매계획(최종)_7월 경영실적_9월 경영실적_6월 경영실적" xfId="2469"/>
    <cellStyle name="_정문전기공사최종_06년판매계획(최종)_7월 경영실적_9월 경영실적_7월 경영실적" xfId="2470"/>
    <cellStyle name="_정문전기공사최종_06년판매계획(최종)_7월 경영실적_9월 경영실적_GI매원" xfId="2471"/>
    <cellStyle name="_정문전기공사최종_06년판매계획(최종)_7월 경영실적_9월 경영실적_Sheet1" xfId="2472"/>
    <cellStyle name="_정문전기공사최종_06년판매계획(최종)_7월 경영실적_9월 경영실적_칼라매원" xfId="2473"/>
    <cellStyle name="_정문전기공사최종_06년판매계획(최종)_GI매원" xfId="2474"/>
    <cellStyle name="_정문전기공사최종_06년판매계획(최종)_Sheet1" xfId="2475"/>
    <cellStyle name="_정문전기공사최종_06년판매계획(최종)_칼라매원" xfId="2476"/>
    <cellStyle name="_정문전기공사최종_12" xfId="2477"/>
    <cellStyle name="_정문전기공사최종_2006년 경영계획(1안)" xfId="840"/>
    <cellStyle name="_정문전기공사최종_2006년 경영계획(1안)_12" xfId="2478"/>
    <cellStyle name="_정문전기공사최종_2006년 경영계획(1안)_2006년실적" xfId="841"/>
    <cellStyle name="_정문전기공사최종_2006년 경영계획(1안)_2006년실적_2007년도 경영계획" xfId="842"/>
    <cellStyle name="_정문전기공사최종_2006년 경영계획(1안)_2006년실적_2007년도 경영계획_GI 수정안" xfId="843"/>
    <cellStyle name="_정문전기공사최종_2006년 경영계획(1안)_2007년 판매계획(GI)" xfId="844"/>
    <cellStyle name="_정문전기공사최종_2006년 경영계획(1안)_2007년 판매계획(GI)_2007년도 경영계획" xfId="845"/>
    <cellStyle name="_정문전기공사최종_2006년 경영계획(1안)_2007년 판매계획(GI)_2007년도 경영계획_GI 수정안" xfId="846"/>
    <cellStyle name="_정문전기공사최종_2006년 경영계획(1안)_2007년판매계획(영업안)_영업2차확정안_20061103" xfId="847"/>
    <cellStyle name="_정문전기공사최종_2006년 경영계획(1안)_2007년판매계획(영업안)_영업2차확정안_20061103_2007년도 경영계획" xfId="848"/>
    <cellStyle name="_정문전기공사최종_2006년 경영계획(1안)_2007년판매계획(영업안)_영업2차확정안_20061103_2007년도 경영계획_GI 수정안" xfId="849"/>
    <cellStyle name="_정문전기공사최종_2006년 경영계획(1안)_5월 경영실적" xfId="2479"/>
    <cellStyle name="_정문전기공사최종_2006년 경영계획(1안)_6월 경영실적" xfId="2480"/>
    <cellStyle name="_정문전기공사최종_2006년 경영계획(1안)_7월 경영실적" xfId="2481"/>
    <cellStyle name="_정문전기공사최종_2006년 경영계획(1안)_7월 경영실적_9월 경영실적" xfId="2482"/>
    <cellStyle name="_정문전기공사최종_2006년 경영계획(1안)_7월 경영실적_9월 경영실적_12" xfId="2483"/>
    <cellStyle name="_정문전기공사최종_2006년 경영계획(1안)_7월 경영실적_9월 경영실적_5월 경영실적" xfId="2484"/>
    <cellStyle name="_정문전기공사최종_2006년 경영계획(1안)_7월 경영실적_9월 경영실적_6월 경영실적" xfId="2485"/>
    <cellStyle name="_정문전기공사최종_2006년 경영계획(1안)_7월 경영실적_9월 경영실적_7월 경영실적" xfId="2486"/>
    <cellStyle name="_정문전기공사최종_2006년 경영계획(1안)_7월 경영실적_9월 경영실적_GI매원" xfId="2487"/>
    <cellStyle name="_정문전기공사최종_2006년 경영계획(1안)_7월 경영실적_9월 경영실적_Sheet1" xfId="2488"/>
    <cellStyle name="_정문전기공사최종_2006년 경영계획(1안)_7월 경영실적_9월 경영실적_칼라매원" xfId="2489"/>
    <cellStyle name="_정문전기공사최종_2006년 경영계획(1안)_GI매원" xfId="2490"/>
    <cellStyle name="_정문전기공사최종_2006년 경영계획(1안)_Sheet1" xfId="2491"/>
    <cellStyle name="_정문전기공사최종_2006년 경영계획(1안)_칼라매원" xfId="2492"/>
    <cellStyle name="_정문전기공사최종_2006년 경영계획(안)" xfId="850"/>
    <cellStyle name="_정문전기공사최종_2006년 경영계획(안)_12" xfId="2493"/>
    <cellStyle name="_정문전기공사최종_2006년 경영계획(안)_2006년실적" xfId="851"/>
    <cellStyle name="_정문전기공사최종_2006년 경영계획(안)_2006년실적_2007년도 경영계획" xfId="852"/>
    <cellStyle name="_정문전기공사최종_2006년 경영계획(안)_2006년실적_2007년도 경영계획_GI 수정안" xfId="853"/>
    <cellStyle name="_정문전기공사최종_2006년 경영계획(안)_2007년 판매계획(GI)" xfId="854"/>
    <cellStyle name="_정문전기공사최종_2006년 경영계획(안)_2007년 판매계획(GI)_2007년도 경영계획" xfId="855"/>
    <cellStyle name="_정문전기공사최종_2006년 경영계획(안)_2007년 판매계획(GI)_2007년도 경영계획_GI 수정안" xfId="856"/>
    <cellStyle name="_정문전기공사최종_2006년 경영계획(안)_2007년판매계획(영업안)_영업2차확정안_20061103" xfId="857"/>
    <cellStyle name="_정문전기공사최종_2006년 경영계획(안)_2007년판매계획(영업안)_영업2차확정안_20061103_2007년도 경영계획" xfId="858"/>
    <cellStyle name="_정문전기공사최종_2006년 경영계획(안)_2007년판매계획(영업안)_영업2차확정안_20061103_2007년도 경영계획_GI 수정안" xfId="859"/>
    <cellStyle name="_정문전기공사최종_2006년 경영계획(안)_5월 경영실적" xfId="2494"/>
    <cellStyle name="_정문전기공사최종_2006년 경영계획(안)_6월 경영실적" xfId="2495"/>
    <cellStyle name="_정문전기공사최종_2006년 경영계획(안)_7월 경영실적" xfId="2496"/>
    <cellStyle name="_정문전기공사최종_2006년 경영계획(안)_7월 경영실적_9월 경영실적" xfId="2497"/>
    <cellStyle name="_정문전기공사최종_2006년 경영계획(안)_7월 경영실적_9월 경영실적_12" xfId="2498"/>
    <cellStyle name="_정문전기공사최종_2006년 경영계획(안)_7월 경영실적_9월 경영실적_5월 경영실적" xfId="2499"/>
    <cellStyle name="_정문전기공사최종_2006년 경영계획(안)_7월 경영실적_9월 경영실적_6월 경영실적" xfId="2500"/>
    <cellStyle name="_정문전기공사최종_2006년 경영계획(안)_7월 경영실적_9월 경영실적_7월 경영실적" xfId="2501"/>
    <cellStyle name="_정문전기공사최종_2006년 경영계획(안)_7월 경영실적_9월 경영실적_GI매원" xfId="2502"/>
    <cellStyle name="_정문전기공사최종_2006년 경영계획(안)_7월 경영실적_9월 경영실적_Sheet1" xfId="2503"/>
    <cellStyle name="_정문전기공사최종_2006년 경영계획(안)_7월 경영실적_9월 경영실적_칼라매원" xfId="2504"/>
    <cellStyle name="_정문전기공사최종_2006년 경영계획(안)_GI매원" xfId="2505"/>
    <cellStyle name="_정문전기공사최종_2006년 경영계획(안)_Sheet1" xfId="2506"/>
    <cellStyle name="_정문전기공사최종_2006년 경영계획(안)_칼라매원" xfId="2507"/>
    <cellStyle name="_정문전기공사최종_2006년실적" xfId="860"/>
    <cellStyle name="_정문전기공사최종_2006년실적_2007년도 경영계획" xfId="861"/>
    <cellStyle name="_정문전기공사최종_2006년실적_2007년도 경영계획_GI 수정안" xfId="862"/>
    <cellStyle name="_정문전기공사최종_2007년 판매계획(GI)" xfId="863"/>
    <cellStyle name="_정문전기공사최종_2007년 판매계획(GI)_2007년도 경영계획" xfId="864"/>
    <cellStyle name="_정문전기공사최종_2007년 판매계획(GI)_2007년도 경영계획_GI 수정안" xfId="865"/>
    <cellStyle name="_정문전기공사최종_2007년판매계획(영업안)_영업2차확정안_20061103" xfId="866"/>
    <cellStyle name="_정문전기공사최종_2007년판매계획(영업안)_영업2차확정안_20061103_2007년도 경영계획" xfId="867"/>
    <cellStyle name="_정문전기공사최종_2007년판매계획(영업안)_영업2차확정안_20061103_2007년도 경영계획_GI 수정안" xfId="868"/>
    <cellStyle name="_정문전기공사최종_2008년 도급비 지급현황" xfId="4192"/>
    <cellStyle name="_정문전기공사최종_2008년 도급비 지급현황_2008년 도급비 지급현황" xfId="4191"/>
    <cellStyle name="_정문전기공사최종_2008년 도급비 지급현황_2008년 도급비 지급현황_2008년 도급비 지급현황" xfId="4190"/>
    <cellStyle name="_정문전기공사최종_2008년 도급비 지급현황_2008년 도급비 지급현황_2008년 도급비 지급현황_2009년 도급비 지급현황" xfId="4189"/>
    <cellStyle name="_정문전기공사최종_2008년 도급비 지급현황_2009년 도급비 지급현황" xfId="4188"/>
    <cellStyle name="_정문전기공사최종_5월 경영실적" xfId="2508"/>
    <cellStyle name="_정문전기공사최종_6월 경영실적" xfId="2509"/>
    <cellStyle name="_정문전기공사최종_7월 경영실적" xfId="2510"/>
    <cellStyle name="_정문전기공사최종_7월 경영실적_9월 경영실적" xfId="2511"/>
    <cellStyle name="_정문전기공사최종_7월 경영실적_9월 경영실적_12" xfId="2512"/>
    <cellStyle name="_정문전기공사최종_7월 경영실적_9월 경영실적_5월 경영실적" xfId="2513"/>
    <cellStyle name="_정문전기공사최종_7월 경영실적_9월 경영실적_6월 경영실적" xfId="2514"/>
    <cellStyle name="_정문전기공사최종_7월 경영실적_9월 경영실적_7월 경영실적" xfId="2515"/>
    <cellStyle name="_정문전기공사최종_7월 경영실적_9월 경영실적_GI매원" xfId="2516"/>
    <cellStyle name="_정문전기공사최종_7월 경영실적_9월 경영실적_Sheet1" xfId="2517"/>
    <cellStyle name="_정문전기공사최종_7월 경영실적_9월 경영실적_칼라매원" xfId="2518"/>
    <cellStyle name="_정문전기공사최종_GI매원" xfId="2519"/>
    <cellStyle name="_정문전기공사최종_Sheet1" xfId="2520"/>
    <cellStyle name="_정문전기공사최종_칼라매원" xfId="2521"/>
    <cellStyle name="_진해석동역(2공구)주공APT" xfId="869"/>
    <cellStyle name="_칼라매원" xfId="2522"/>
    <cellStyle name="_통광 폐수처리장(2002.5.24)" xfId="870"/>
    <cellStyle name="_통광 폐수처리장(2002.5.24)_06년판매계획(최종)" xfId="871"/>
    <cellStyle name="_통광 폐수처리장(2002.5.24)_06년판매계획(최종)_12" xfId="2523"/>
    <cellStyle name="_통광 폐수처리장(2002.5.24)_06년판매계획(최종)_2006년실적" xfId="872"/>
    <cellStyle name="_통광 폐수처리장(2002.5.24)_06년판매계획(최종)_2006년실적_2007년도 경영계획" xfId="873"/>
    <cellStyle name="_통광 폐수처리장(2002.5.24)_06년판매계획(최종)_2006년실적_2007년도 경영계획_GI 수정안" xfId="874"/>
    <cellStyle name="_통광 폐수처리장(2002.5.24)_06년판매계획(최종)_2007년 판매계획(GI)" xfId="875"/>
    <cellStyle name="_통광 폐수처리장(2002.5.24)_06년판매계획(최종)_2007년 판매계획(GI)_2007년도 경영계획" xfId="876"/>
    <cellStyle name="_통광 폐수처리장(2002.5.24)_06년판매계획(최종)_2007년 판매계획(GI)_2007년도 경영계획_GI 수정안" xfId="877"/>
    <cellStyle name="_통광 폐수처리장(2002.5.24)_06년판매계획(최종)_2007년판매계획(영업안)_영업2차확정안_20061103" xfId="878"/>
    <cellStyle name="_통광 폐수처리장(2002.5.24)_06년판매계획(최종)_2007년판매계획(영업안)_영업2차확정안_20061103_2007년도 경영계획" xfId="879"/>
    <cellStyle name="_통광 폐수처리장(2002.5.24)_06년판매계획(최종)_2007년판매계획(영업안)_영업2차확정안_20061103_2007년도 경영계획_GI 수정안" xfId="880"/>
    <cellStyle name="_통광 폐수처리장(2002.5.24)_06년판매계획(최종)_5월 경영실적" xfId="2524"/>
    <cellStyle name="_통광 폐수처리장(2002.5.24)_06년판매계획(최종)_6월 경영실적" xfId="2525"/>
    <cellStyle name="_통광 폐수처리장(2002.5.24)_06년판매계획(최종)_7월 경영실적" xfId="2526"/>
    <cellStyle name="_통광 폐수처리장(2002.5.24)_06년판매계획(최종)_7월 경영실적_9월 경영실적" xfId="2527"/>
    <cellStyle name="_통광 폐수처리장(2002.5.24)_06년판매계획(최종)_7월 경영실적_9월 경영실적_12" xfId="2528"/>
    <cellStyle name="_통광 폐수처리장(2002.5.24)_06년판매계획(최종)_7월 경영실적_9월 경영실적_5월 경영실적" xfId="2529"/>
    <cellStyle name="_통광 폐수처리장(2002.5.24)_06년판매계획(최종)_7월 경영실적_9월 경영실적_6월 경영실적" xfId="2530"/>
    <cellStyle name="_통광 폐수처리장(2002.5.24)_06년판매계획(최종)_7월 경영실적_9월 경영실적_7월 경영실적" xfId="2531"/>
    <cellStyle name="_통광 폐수처리장(2002.5.24)_06년판매계획(최종)_7월 경영실적_9월 경영실적_GI매원" xfId="2532"/>
    <cellStyle name="_통광 폐수처리장(2002.5.24)_06년판매계획(최종)_7월 경영실적_9월 경영실적_Sheet1" xfId="2533"/>
    <cellStyle name="_통광 폐수처리장(2002.5.24)_06년판매계획(최종)_7월 경영실적_9월 경영실적_칼라매원" xfId="2534"/>
    <cellStyle name="_통광 폐수처리장(2002.5.24)_06년판매계획(최종)_GI매원" xfId="2535"/>
    <cellStyle name="_통광 폐수처리장(2002.5.24)_06년판매계획(최종)_Sheet1" xfId="2536"/>
    <cellStyle name="_통광 폐수처리장(2002.5.24)_06년판매계획(최종)_칼라매원" xfId="2537"/>
    <cellStyle name="_통광 폐수처리장(2002.5.24)_12" xfId="2538"/>
    <cellStyle name="_통광 폐수처리장(2002.5.24)_2006년 경영계획(1안)" xfId="881"/>
    <cellStyle name="_통광 폐수처리장(2002.5.24)_2006년 경영계획(1안)_12" xfId="2539"/>
    <cellStyle name="_통광 폐수처리장(2002.5.24)_2006년 경영계획(1안)_2006년실적" xfId="882"/>
    <cellStyle name="_통광 폐수처리장(2002.5.24)_2006년 경영계획(1안)_2006년실적_2007년도 경영계획" xfId="883"/>
    <cellStyle name="_통광 폐수처리장(2002.5.24)_2006년 경영계획(1안)_2006년실적_2007년도 경영계획_GI 수정안" xfId="884"/>
    <cellStyle name="_통광 폐수처리장(2002.5.24)_2006년 경영계획(1안)_2007년 판매계획(GI)" xfId="885"/>
    <cellStyle name="_통광 폐수처리장(2002.5.24)_2006년 경영계획(1안)_2007년 판매계획(GI)_2007년도 경영계획" xfId="886"/>
    <cellStyle name="_통광 폐수처리장(2002.5.24)_2006년 경영계획(1안)_2007년 판매계획(GI)_2007년도 경영계획_GI 수정안" xfId="887"/>
    <cellStyle name="_통광 폐수처리장(2002.5.24)_2006년 경영계획(1안)_2007년판매계획(영업안)_영업2차확정안_20061103" xfId="888"/>
    <cellStyle name="_통광 폐수처리장(2002.5.24)_2006년 경영계획(1안)_2007년판매계획(영업안)_영업2차확정안_20061103_2007년도 경영계획" xfId="889"/>
    <cellStyle name="_통광 폐수처리장(2002.5.24)_2006년 경영계획(1안)_2007년판매계획(영업안)_영업2차확정안_20061103_2007년도 경영계획_GI 수정안" xfId="890"/>
    <cellStyle name="_통광 폐수처리장(2002.5.24)_2006년 경영계획(1안)_5월 경영실적" xfId="2540"/>
    <cellStyle name="_통광 폐수처리장(2002.5.24)_2006년 경영계획(1안)_6월 경영실적" xfId="2541"/>
    <cellStyle name="_통광 폐수처리장(2002.5.24)_2006년 경영계획(1안)_7월 경영실적" xfId="2542"/>
    <cellStyle name="_통광 폐수처리장(2002.5.24)_2006년 경영계획(1안)_7월 경영실적_9월 경영실적" xfId="2543"/>
    <cellStyle name="_통광 폐수처리장(2002.5.24)_2006년 경영계획(1안)_7월 경영실적_9월 경영실적_12" xfId="2544"/>
    <cellStyle name="_통광 폐수처리장(2002.5.24)_2006년 경영계획(1안)_7월 경영실적_9월 경영실적_5월 경영실적" xfId="2545"/>
    <cellStyle name="_통광 폐수처리장(2002.5.24)_2006년 경영계획(1안)_7월 경영실적_9월 경영실적_6월 경영실적" xfId="2546"/>
    <cellStyle name="_통광 폐수처리장(2002.5.24)_2006년 경영계획(1안)_7월 경영실적_9월 경영실적_7월 경영실적" xfId="2547"/>
    <cellStyle name="_통광 폐수처리장(2002.5.24)_2006년 경영계획(1안)_7월 경영실적_9월 경영실적_GI매원" xfId="2548"/>
    <cellStyle name="_통광 폐수처리장(2002.5.24)_2006년 경영계획(1안)_7월 경영실적_9월 경영실적_Sheet1" xfId="2549"/>
    <cellStyle name="_통광 폐수처리장(2002.5.24)_2006년 경영계획(1안)_7월 경영실적_9월 경영실적_칼라매원" xfId="2550"/>
    <cellStyle name="_통광 폐수처리장(2002.5.24)_2006년 경영계획(1안)_GI매원" xfId="2551"/>
    <cellStyle name="_통광 폐수처리장(2002.5.24)_2006년 경영계획(1안)_Sheet1" xfId="2552"/>
    <cellStyle name="_통광 폐수처리장(2002.5.24)_2006년 경영계획(1안)_칼라매원" xfId="2553"/>
    <cellStyle name="_통광 폐수처리장(2002.5.24)_2006년 경영계획(안)" xfId="891"/>
    <cellStyle name="_통광 폐수처리장(2002.5.24)_2006년 경영계획(안)_12" xfId="2554"/>
    <cellStyle name="_통광 폐수처리장(2002.5.24)_2006년 경영계획(안)_2006년실적" xfId="892"/>
    <cellStyle name="_통광 폐수처리장(2002.5.24)_2006년 경영계획(안)_2006년실적_2007년도 경영계획" xfId="893"/>
    <cellStyle name="_통광 폐수처리장(2002.5.24)_2006년 경영계획(안)_2006년실적_2007년도 경영계획_GI 수정안" xfId="894"/>
    <cellStyle name="_통광 폐수처리장(2002.5.24)_2006년 경영계획(안)_2007년 판매계획(GI)" xfId="895"/>
    <cellStyle name="_통광 폐수처리장(2002.5.24)_2006년 경영계획(안)_2007년 판매계획(GI)_2007년도 경영계획" xfId="896"/>
    <cellStyle name="_통광 폐수처리장(2002.5.24)_2006년 경영계획(안)_2007년 판매계획(GI)_2007년도 경영계획_GI 수정안" xfId="897"/>
    <cellStyle name="_통광 폐수처리장(2002.5.24)_2006년 경영계획(안)_2007년판매계획(영업안)_영업2차확정안_20061103" xfId="898"/>
    <cellStyle name="_통광 폐수처리장(2002.5.24)_2006년 경영계획(안)_2007년판매계획(영업안)_영업2차확정안_20061103_2007년도 경영계획" xfId="899"/>
    <cellStyle name="_통광 폐수처리장(2002.5.24)_2006년 경영계획(안)_2007년판매계획(영업안)_영업2차확정안_20061103_2007년도 경영계획_GI 수정안" xfId="900"/>
    <cellStyle name="_통광 폐수처리장(2002.5.24)_2006년 경영계획(안)_5월 경영실적" xfId="2555"/>
    <cellStyle name="_통광 폐수처리장(2002.5.24)_2006년 경영계획(안)_6월 경영실적" xfId="2556"/>
    <cellStyle name="_통광 폐수처리장(2002.5.24)_2006년 경영계획(안)_7월 경영실적" xfId="2557"/>
    <cellStyle name="_통광 폐수처리장(2002.5.24)_2006년 경영계획(안)_7월 경영실적_9월 경영실적" xfId="2558"/>
    <cellStyle name="_통광 폐수처리장(2002.5.24)_2006년 경영계획(안)_7월 경영실적_9월 경영실적_12" xfId="2559"/>
    <cellStyle name="_통광 폐수처리장(2002.5.24)_2006년 경영계획(안)_7월 경영실적_9월 경영실적_5월 경영실적" xfId="2560"/>
    <cellStyle name="_통광 폐수처리장(2002.5.24)_2006년 경영계획(안)_7월 경영실적_9월 경영실적_6월 경영실적" xfId="2561"/>
    <cellStyle name="_통광 폐수처리장(2002.5.24)_2006년 경영계획(안)_7월 경영실적_9월 경영실적_7월 경영실적" xfId="2562"/>
    <cellStyle name="_통광 폐수처리장(2002.5.24)_2006년 경영계획(안)_7월 경영실적_9월 경영실적_GI매원" xfId="2563"/>
    <cellStyle name="_통광 폐수처리장(2002.5.24)_2006년 경영계획(안)_7월 경영실적_9월 경영실적_Sheet1" xfId="2564"/>
    <cellStyle name="_통광 폐수처리장(2002.5.24)_2006년 경영계획(안)_7월 경영실적_9월 경영실적_칼라매원" xfId="2565"/>
    <cellStyle name="_통광 폐수처리장(2002.5.24)_2006년 경영계획(안)_GI매원" xfId="2566"/>
    <cellStyle name="_통광 폐수처리장(2002.5.24)_2006년 경영계획(안)_Sheet1" xfId="2567"/>
    <cellStyle name="_통광 폐수처리장(2002.5.24)_2006년 경영계획(안)_칼라매원" xfId="2568"/>
    <cellStyle name="_통광 폐수처리장(2002.5.24)_2006년실적" xfId="901"/>
    <cellStyle name="_통광 폐수처리장(2002.5.24)_2006년실적_2007년도 경영계획" xfId="902"/>
    <cellStyle name="_통광 폐수처리장(2002.5.24)_2006년실적_2007년도 경영계획_GI 수정안" xfId="903"/>
    <cellStyle name="_통광 폐수처리장(2002.5.24)_2007년 판매계획(GI)" xfId="904"/>
    <cellStyle name="_통광 폐수처리장(2002.5.24)_2007년 판매계획(GI)_2007년도 경영계획" xfId="905"/>
    <cellStyle name="_통광 폐수처리장(2002.5.24)_2007년 판매계획(GI)_2007년도 경영계획_GI 수정안" xfId="906"/>
    <cellStyle name="_통광 폐수처리장(2002.5.24)_2007년판매계획(영업안)_영업2차확정안_20061103" xfId="907"/>
    <cellStyle name="_통광 폐수처리장(2002.5.24)_2007년판매계획(영업안)_영업2차확정안_20061103_2007년도 경영계획" xfId="908"/>
    <cellStyle name="_통광 폐수처리장(2002.5.24)_2007년판매계획(영업안)_영업2차확정안_20061103_2007년도 경영계획_GI 수정안" xfId="909"/>
    <cellStyle name="_통광 폐수처리장(2002.5.24)_2008년 도급비 지급현황" xfId="4187"/>
    <cellStyle name="_통광 폐수처리장(2002.5.24)_2008년 도급비 지급현황_2008년 도급비 지급현황" xfId="4186"/>
    <cellStyle name="_통광 폐수처리장(2002.5.24)_2008년 도급비 지급현황_2008년 도급비 지급현황_2008년 도급비 지급현황" xfId="4185"/>
    <cellStyle name="_통광 폐수처리장(2002.5.24)_2008년 도급비 지급현황_2008년 도급비 지급현황_2008년 도급비 지급현황_2009년 도급비 지급현황" xfId="4184"/>
    <cellStyle name="_통광 폐수처리장(2002.5.24)_2008년 도급비 지급현황_2009년 도급비 지급현황" xfId="4183"/>
    <cellStyle name="_통광 폐수처리장(2002.5.24)_5월 경영실적" xfId="2569"/>
    <cellStyle name="_통광 폐수처리장(2002.5.24)_6월 경영실적" xfId="2570"/>
    <cellStyle name="_통광 폐수처리장(2002.5.24)_7월 경영실적" xfId="2571"/>
    <cellStyle name="_통광 폐수처리장(2002.5.24)_7월 경영실적_9월 경영실적" xfId="2572"/>
    <cellStyle name="_통광 폐수처리장(2002.5.24)_7월 경영실적_9월 경영실적_12" xfId="2573"/>
    <cellStyle name="_통광 폐수처리장(2002.5.24)_7월 경영실적_9월 경영실적_5월 경영실적" xfId="2574"/>
    <cellStyle name="_통광 폐수처리장(2002.5.24)_7월 경영실적_9월 경영실적_6월 경영실적" xfId="2575"/>
    <cellStyle name="_통광 폐수처리장(2002.5.24)_7월 경영실적_9월 경영실적_7월 경영실적" xfId="2576"/>
    <cellStyle name="_통광 폐수처리장(2002.5.24)_7월 경영실적_9월 경영실적_GI매원" xfId="2577"/>
    <cellStyle name="_통광 폐수처리장(2002.5.24)_7월 경영실적_9월 경영실적_Sheet1" xfId="2578"/>
    <cellStyle name="_통광 폐수처리장(2002.5.24)_7월 경영실적_9월 경영실적_칼라매원" xfId="2579"/>
    <cellStyle name="_통광 폐수처리장(2002.5.24)_GI매원" xfId="2580"/>
    <cellStyle name="_통광 폐수처리장(2002.5.24)_Sheet1" xfId="2581"/>
    <cellStyle name="_통광 폐수처리장(2002.5.24)_칼라매원" xfId="2582"/>
    <cellStyle name="_펌프장" xfId="910"/>
    <cellStyle name="_포항실행견적내역" xfId="911"/>
    <cellStyle name="_포항실행견적내역_06년판매계획(최종)" xfId="912"/>
    <cellStyle name="_포항실행견적내역_06년판매계획(최종)_12" xfId="2583"/>
    <cellStyle name="_포항실행견적내역_06년판매계획(최종)_2006년실적" xfId="913"/>
    <cellStyle name="_포항실행견적내역_06년판매계획(최종)_2006년실적_2007년도 경영계획" xfId="914"/>
    <cellStyle name="_포항실행견적내역_06년판매계획(최종)_2006년실적_2007년도 경영계획_GI 수정안" xfId="915"/>
    <cellStyle name="_포항실행견적내역_06년판매계획(최종)_2007년 판매계획(GI)" xfId="916"/>
    <cellStyle name="_포항실행견적내역_06년판매계획(최종)_2007년 판매계획(GI)_2007년도 경영계획" xfId="917"/>
    <cellStyle name="_포항실행견적내역_06년판매계획(최종)_2007년 판매계획(GI)_2007년도 경영계획_GI 수정안" xfId="918"/>
    <cellStyle name="_포항실행견적내역_06년판매계획(최종)_2007년판매계획(영업안)_영업2차확정안_20061103" xfId="919"/>
    <cellStyle name="_포항실행견적내역_06년판매계획(최종)_2007년판매계획(영업안)_영업2차확정안_20061103_2007년도 경영계획" xfId="920"/>
    <cellStyle name="_포항실행견적내역_06년판매계획(최종)_2007년판매계획(영업안)_영업2차확정안_20061103_2007년도 경영계획_GI 수정안" xfId="921"/>
    <cellStyle name="_포항실행견적내역_06년판매계획(최종)_5월 경영실적" xfId="2584"/>
    <cellStyle name="_포항실행견적내역_06년판매계획(최종)_6월 경영실적" xfId="2585"/>
    <cellStyle name="_포항실행견적내역_06년판매계획(최종)_7월 경영실적" xfId="2586"/>
    <cellStyle name="_포항실행견적내역_06년판매계획(최종)_7월 경영실적_9월 경영실적" xfId="2587"/>
    <cellStyle name="_포항실행견적내역_06년판매계획(최종)_7월 경영실적_9월 경영실적_12" xfId="2588"/>
    <cellStyle name="_포항실행견적내역_06년판매계획(최종)_7월 경영실적_9월 경영실적_5월 경영실적" xfId="2589"/>
    <cellStyle name="_포항실행견적내역_06년판매계획(최종)_7월 경영실적_9월 경영실적_6월 경영실적" xfId="2590"/>
    <cellStyle name="_포항실행견적내역_06년판매계획(최종)_7월 경영실적_9월 경영실적_7월 경영실적" xfId="2591"/>
    <cellStyle name="_포항실행견적내역_06년판매계획(최종)_7월 경영실적_9월 경영실적_GI매원" xfId="2592"/>
    <cellStyle name="_포항실행견적내역_06년판매계획(최종)_7월 경영실적_9월 경영실적_Sheet1" xfId="2593"/>
    <cellStyle name="_포항실행견적내역_06년판매계획(최종)_7월 경영실적_9월 경영실적_칼라매원" xfId="2594"/>
    <cellStyle name="_포항실행견적내역_06년판매계획(최종)_GI매원" xfId="2595"/>
    <cellStyle name="_포항실행견적내역_06년판매계획(최종)_Sheet1" xfId="2596"/>
    <cellStyle name="_포항실행견적내역_06년판매계획(최종)_칼라매원" xfId="2597"/>
    <cellStyle name="_포항실행견적내역_12" xfId="2598"/>
    <cellStyle name="_포항실행견적내역_2006년 경영계획(1안)" xfId="922"/>
    <cellStyle name="_포항실행견적내역_2006년 경영계획(1안)_12" xfId="2599"/>
    <cellStyle name="_포항실행견적내역_2006년 경영계획(1안)_2006년실적" xfId="923"/>
    <cellStyle name="_포항실행견적내역_2006년 경영계획(1안)_2006년실적_2007년도 경영계획" xfId="924"/>
    <cellStyle name="_포항실행견적내역_2006년 경영계획(1안)_2006년실적_2007년도 경영계획_GI 수정안" xfId="925"/>
    <cellStyle name="_포항실행견적내역_2006년 경영계획(1안)_2007년 판매계획(GI)" xfId="926"/>
    <cellStyle name="_포항실행견적내역_2006년 경영계획(1안)_2007년 판매계획(GI)_2007년도 경영계획" xfId="927"/>
    <cellStyle name="_포항실행견적내역_2006년 경영계획(1안)_2007년 판매계획(GI)_2007년도 경영계획_GI 수정안" xfId="928"/>
    <cellStyle name="_포항실행견적내역_2006년 경영계획(1안)_2007년판매계획(영업안)_영업2차확정안_20061103" xfId="929"/>
    <cellStyle name="_포항실행견적내역_2006년 경영계획(1안)_2007년판매계획(영업안)_영업2차확정안_20061103_2007년도 경영계획" xfId="930"/>
    <cellStyle name="_포항실행견적내역_2006년 경영계획(1안)_2007년판매계획(영업안)_영업2차확정안_20061103_2007년도 경영계획_GI 수정안" xfId="931"/>
    <cellStyle name="_포항실행견적내역_2006년 경영계획(1안)_5월 경영실적" xfId="2600"/>
    <cellStyle name="_포항실행견적내역_2006년 경영계획(1안)_6월 경영실적" xfId="2601"/>
    <cellStyle name="_포항실행견적내역_2006년 경영계획(1안)_7월 경영실적" xfId="2602"/>
    <cellStyle name="_포항실행견적내역_2006년 경영계획(1안)_7월 경영실적_9월 경영실적" xfId="2603"/>
    <cellStyle name="_포항실행견적내역_2006년 경영계획(1안)_7월 경영실적_9월 경영실적_12" xfId="2604"/>
    <cellStyle name="_포항실행견적내역_2006년 경영계획(1안)_7월 경영실적_9월 경영실적_5월 경영실적" xfId="2605"/>
    <cellStyle name="_포항실행견적내역_2006년 경영계획(1안)_7월 경영실적_9월 경영실적_6월 경영실적" xfId="2606"/>
    <cellStyle name="_포항실행견적내역_2006년 경영계획(1안)_7월 경영실적_9월 경영실적_7월 경영실적" xfId="2607"/>
    <cellStyle name="_포항실행견적내역_2006년 경영계획(1안)_7월 경영실적_9월 경영실적_GI매원" xfId="2608"/>
    <cellStyle name="_포항실행견적내역_2006년 경영계획(1안)_7월 경영실적_9월 경영실적_Sheet1" xfId="2609"/>
    <cellStyle name="_포항실행견적내역_2006년 경영계획(1안)_7월 경영실적_9월 경영실적_칼라매원" xfId="2610"/>
    <cellStyle name="_포항실행견적내역_2006년 경영계획(1안)_GI매원" xfId="2611"/>
    <cellStyle name="_포항실행견적내역_2006년 경영계획(1안)_Sheet1" xfId="2612"/>
    <cellStyle name="_포항실행견적내역_2006년 경영계획(1안)_칼라매원" xfId="2613"/>
    <cellStyle name="_포항실행견적내역_2006년 경영계획(안)" xfId="932"/>
    <cellStyle name="_포항실행견적내역_2006년 경영계획(안)_12" xfId="2614"/>
    <cellStyle name="_포항실행견적내역_2006년 경영계획(안)_2006년실적" xfId="933"/>
    <cellStyle name="_포항실행견적내역_2006년 경영계획(안)_2006년실적_2007년도 경영계획" xfId="934"/>
    <cellStyle name="_포항실행견적내역_2006년 경영계획(안)_2006년실적_2007년도 경영계획_GI 수정안" xfId="935"/>
    <cellStyle name="_포항실행견적내역_2006년 경영계획(안)_2007년 판매계획(GI)" xfId="936"/>
    <cellStyle name="_포항실행견적내역_2006년 경영계획(안)_2007년 판매계획(GI)_2007년도 경영계획" xfId="937"/>
    <cellStyle name="_포항실행견적내역_2006년 경영계획(안)_2007년 판매계획(GI)_2007년도 경영계획_GI 수정안" xfId="938"/>
    <cellStyle name="_포항실행견적내역_2006년 경영계획(안)_2007년판매계획(영업안)_영업2차확정안_20061103" xfId="939"/>
    <cellStyle name="_포항실행견적내역_2006년 경영계획(안)_2007년판매계획(영업안)_영업2차확정안_20061103_2007년도 경영계획" xfId="940"/>
    <cellStyle name="_포항실행견적내역_2006년 경영계획(안)_2007년판매계획(영업안)_영업2차확정안_20061103_2007년도 경영계획_GI 수정안" xfId="941"/>
    <cellStyle name="_포항실행견적내역_2006년 경영계획(안)_5월 경영실적" xfId="2615"/>
    <cellStyle name="_포항실행견적내역_2006년 경영계획(안)_6월 경영실적" xfId="2616"/>
    <cellStyle name="_포항실행견적내역_2006년 경영계획(안)_7월 경영실적" xfId="2617"/>
    <cellStyle name="_포항실행견적내역_2006년 경영계획(안)_7월 경영실적_9월 경영실적" xfId="2618"/>
    <cellStyle name="_포항실행견적내역_2006년 경영계획(안)_7월 경영실적_9월 경영실적_12" xfId="2619"/>
    <cellStyle name="_포항실행견적내역_2006년 경영계획(안)_7월 경영실적_9월 경영실적_5월 경영실적" xfId="2620"/>
    <cellStyle name="_포항실행견적내역_2006년 경영계획(안)_7월 경영실적_9월 경영실적_6월 경영실적" xfId="2621"/>
    <cellStyle name="_포항실행견적내역_2006년 경영계획(안)_7월 경영실적_9월 경영실적_7월 경영실적" xfId="2622"/>
    <cellStyle name="_포항실행견적내역_2006년 경영계획(안)_7월 경영실적_9월 경영실적_GI매원" xfId="2623"/>
    <cellStyle name="_포항실행견적내역_2006년 경영계획(안)_7월 경영실적_9월 경영실적_Sheet1" xfId="2624"/>
    <cellStyle name="_포항실행견적내역_2006년 경영계획(안)_7월 경영실적_9월 경영실적_칼라매원" xfId="2625"/>
    <cellStyle name="_포항실행견적내역_2006년 경영계획(안)_GI매원" xfId="2626"/>
    <cellStyle name="_포항실행견적내역_2006년 경영계획(안)_Sheet1" xfId="2627"/>
    <cellStyle name="_포항실행견적내역_2006년 경영계획(안)_칼라매원" xfId="2628"/>
    <cellStyle name="_포항실행견적내역_2006년실적" xfId="942"/>
    <cellStyle name="_포항실행견적내역_2006년실적_2007년도 경영계획" xfId="943"/>
    <cellStyle name="_포항실행견적내역_2006년실적_2007년도 경영계획_GI 수정안" xfId="944"/>
    <cellStyle name="_포항실행견적내역_2007년 판매계획(GI)" xfId="945"/>
    <cellStyle name="_포항실행견적내역_2007년 판매계획(GI)_2007년도 경영계획" xfId="946"/>
    <cellStyle name="_포항실행견적내역_2007년 판매계획(GI)_2007년도 경영계획_GI 수정안" xfId="947"/>
    <cellStyle name="_포항실행견적내역_2007년판매계획(영업안)_영업2차확정안_20061103" xfId="948"/>
    <cellStyle name="_포항실행견적내역_2007년판매계획(영업안)_영업2차확정안_20061103_2007년도 경영계획" xfId="949"/>
    <cellStyle name="_포항실행견적내역_2007년판매계획(영업안)_영업2차확정안_20061103_2007년도 경영계획_GI 수정안" xfId="950"/>
    <cellStyle name="_포항실행견적내역_2008년 도급비 지급현황" xfId="4182"/>
    <cellStyle name="_포항실행견적내역_2008년 도급비 지급현황_2008년 도급비 지급현황" xfId="4181"/>
    <cellStyle name="_포항실행견적내역_2008년 도급비 지급현황_2008년 도급비 지급현황_2008년 도급비 지급현황" xfId="4180"/>
    <cellStyle name="_포항실행견적내역_2008년 도급비 지급현황_2008년 도급비 지급현황_2008년 도급비 지급현황_2009년 도급비 지급현황" xfId="4179"/>
    <cellStyle name="_포항실행견적내역_2008년 도급비 지급현황_2009년 도급비 지급현황" xfId="4178"/>
    <cellStyle name="_포항실행견적내역_5월 경영실적" xfId="2629"/>
    <cellStyle name="_포항실행견적내역_6월 경영실적" xfId="2630"/>
    <cellStyle name="_포항실행견적내역_7월 경영실적" xfId="2631"/>
    <cellStyle name="_포항실행견적내역_7월 경영실적_9월 경영실적" xfId="2632"/>
    <cellStyle name="_포항실행견적내역_7월 경영실적_9월 경영실적_12" xfId="2633"/>
    <cellStyle name="_포항실행견적내역_7월 경영실적_9월 경영실적_5월 경영실적" xfId="2634"/>
    <cellStyle name="_포항실행견적내역_7월 경영실적_9월 경영실적_6월 경영실적" xfId="2635"/>
    <cellStyle name="_포항실행견적내역_7월 경영실적_9월 경영실적_7월 경영실적" xfId="2636"/>
    <cellStyle name="_포항실행견적내역_7월 경영실적_9월 경영실적_GI매원" xfId="2637"/>
    <cellStyle name="_포항실행견적내역_7월 경영실적_9월 경영실적_Sheet1" xfId="2638"/>
    <cellStyle name="_포항실행견적내역_7월 경영실적_9월 경영실적_칼라매원" xfId="2639"/>
    <cellStyle name="_포항실행견적내역_GI매원" xfId="2640"/>
    <cellStyle name="_포항실행견적내역_Sheet1" xfId="2641"/>
    <cellStyle name="_포항실행견적내역_칼라매원" xfId="2642"/>
    <cellStyle name="_후생비,접대비업로드" xfId="4177"/>
    <cellStyle name="’E‰Y [0.00]_laroux" xfId="1002"/>
    <cellStyle name="’E‰Y_laroux" xfId="1003"/>
    <cellStyle name="0.0" xfId="1004"/>
    <cellStyle name="0.0 10" xfId="24299"/>
    <cellStyle name="0.0 2" xfId="2643"/>
    <cellStyle name="0.0 2 2" xfId="3325"/>
    <cellStyle name="0.0 2 2 2" xfId="5598"/>
    <cellStyle name="0.0 2 2 2 2" xfId="22306"/>
    <cellStyle name="0.0 2 2 2 2 2" xfId="43181"/>
    <cellStyle name="0.0 2 2 2 3" xfId="22669"/>
    <cellStyle name="0.0 2 2 2 3 2" xfId="43544"/>
    <cellStyle name="0.0 2 2 2 4" xfId="21429"/>
    <cellStyle name="0.0 2 2 2 4 2" xfId="42304"/>
    <cellStyle name="0.0 2 2 2 5" xfId="14607"/>
    <cellStyle name="0.0 2 2 2 5 2" xfId="35483"/>
    <cellStyle name="0.0 2 2 2 6" xfId="26745"/>
    <cellStyle name="0.0 2 2 3" xfId="21677"/>
    <cellStyle name="0.0 2 2 3 2" xfId="42552"/>
    <cellStyle name="0.0 2 2 4" xfId="21020"/>
    <cellStyle name="0.0 2 2 4 2" xfId="41895"/>
    <cellStyle name="0.0 2 2 5" xfId="21699"/>
    <cellStyle name="0.0 2 2 5 2" xfId="42574"/>
    <cellStyle name="0.0 2 2 6" xfId="12788"/>
    <cellStyle name="0.0 2 2 6 2" xfId="33665"/>
    <cellStyle name="0.0 2 2 7" xfId="24915"/>
    <cellStyle name="0.0 2 3" xfId="9279"/>
    <cellStyle name="0.0 2 3 2" xfId="21046"/>
    <cellStyle name="0.0 2 3 2 2" xfId="41921"/>
    <cellStyle name="0.0 2 3 3" xfId="22172"/>
    <cellStyle name="0.0 2 3 3 2" xfId="43047"/>
    <cellStyle name="0.0 2 3 4" xfId="18278"/>
    <cellStyle name="0.0 2 3 4 2" xfId="39154"/>
    <cellStyle name="0.0 2 3 5" xfId="30416"/>
    <cellStyle name="0.0 2 4" xfId="21431"/>
    <cellStyle name="0.0 2 4 2" xfId="42306"/>
    <cellStyle name="0.0 2 5" xfId="12202"/>
    <cellStyle name="0.0 2 5 2" xfId="33091"/>
    <cellStyle name="0.0 2 6" xfId="24306"/>
    <cellStyle name="0.0 3" xfId="3324"/>
    <cellStyle name="0.0 3 2" xfId="5597"/>
    <cellStyle name="0.0 3 2 2" xfId="22305"/>
    <cellStyle name="0.0 3 2 2 2" xfId="43180"/>
    <cellStyle name="0.0 3 2 3" xfId="21424"/>
    <cellStyle name="0.0 3 2 3 2" xfId="42299"/>
    <cellStyle name="0.0 3 2 4" xfId="21240"/>
    <cellStyle name="0.0 3 2 4 2" xfId="42115"/>
    <cellStyle name="0.0 3 2 5" xfId="14606"/>
    <cellStyle name="0.0 3 2 5 2" xfId="35482"/>
    <cellStyle name="0.0 3 2 6" xfId="26744"/>
    <cellStyle name="0.0 3 3" xfId="21676"/>
    <cellStyle name="0.0 3 3 2" xfId="42551"/>
    <cellStyle name="0.0 3 4" xfId="20949"/>
    <cellStyle name="0.0 3 4 2" xfId="41824"/>
    <cellStyle name="0.0 3 5" xfId="21710"/>
    <cellStyle name="0.0 3 5 2" xfId="42585"/>
    <cellStyle name="0.0 3 6" xfId="12787"/>
    <cellStyle name="0.0 3 6 2" xfId="33664"/>
    <cellStyle name="0.0 3 7" xfId="24914"/>
    <cellStyle name="0.0 4" xfId="9278"/>
    <cellStyle name="0.0 4 2" xfId="22108"/>
    <cellStyle name="0.0 4 2 2" xfId="42983"/>
    <cellStyle name="0.0 4 3" xfId="21418"/>
    <cellStyle name="0.0 4 3 2" xfId="42293"/>
    <cellStyle name="0.0 4 4" xfId="18277"/>
    <cellStyle name="0.0 4 4 2" xfId="39153"/>
    <cellStyle name="0.0 4 5" xfId="30415"/>
    <cellStyle name="0.0 5" xfId="12184"/>
    <cellStyle name="0.0 5 2" xfId="33083"/>
    <cellStyle name="0.0 6" xfId="21115"/>
    <cellStyle name="0.0 6 2" xfId="41990"/>
    <cellStyle name="0.0 7" xfId="12090"/>
    <cellStyle name="0.0 7 2" xfId="32995"/>
    <cellStyle name="0.0 8" xfId="24173"/>
    <cellStyle name="0.0 8 2" xfId="45043"/>
    <cellStyle name="0.0 9" xfId="24177"/>
    <cellStyle name="0.0 9 2" xfId="45047"/>
    <cellStyle name="0.00" xfId="1005"/>
    <cellStyle name="0.00 10" xfId="24300"/>
    <cellStyle name="0.00 2" xfId="2644"/>
    <cellStyle name="0.00 2 2" xfId="3327"/>
    <cellStyle name="0.00 2 2 2" xfId="5600"/>
    <cellStyle name="0.00 2 2 2 2" xfId="22308"/>
    <cellStyle name="0.00 2 2 2 2 2" xfId="43183"/>
    <cellStyle name="0.00 2 2 2 3" xfId="21836"/>
    <cellStyle name="0.00 2 2 2 3 2" xfId="42711"/>
    <cellStyle name="0.00 2 2 2 4" xfId="21257"/>
    <cellStyle name="0.00 2 2 2 4 2" xfId="42132"/>
    <cellStyle name="0.00 2 2 2 5" xfId="14609"/>
    <cellStyle name="0.00 2 2 2 5 2" xfId="35485"/>
    <cellStyle name="0.00 2 2 2 6" xfId="26747"/>
    <cellStyle name="0.00 2 2 3" xfId="21679"/>
    <cellStyle name="0.00 2 2 3 2" xfId="42554"/>
    <cellStyle name="0.00 2 2 4" xfId="21862"/>
    <cellStyle name="0.00 2 2 4 2" xfId="42737"/>
    <cellStyle name="0.00 2 2 5" xfId="23315"/>
    <cellStyle name="0.00 2 2 5 2" xfId="44187"/>
    <cellStyle name="0.00 2 2 6" xfId="12790"/>
    <cellStyle name="0.00 2 2 6 2" xfId="33667"/>
    <cellStyle name="0.00 2 2 7" xfId="24917"/>
    <cellStyle name="0.00 2 3" xfId="9281"/>
    <cellStyle name="0.00 2 3 2" xfId="22339"/>
    <cellStyle name="0.00 2 3 2 2" xfId="43214"/>
    <cellStyle name="0.00 2 3 3" xfId="22730"/>
    <cellStyle name="0.00 2 3 3 2" xfId="43605"/>
    <cellStyle name="0.00 2 3 4" xfId="18280"/>
    <cellStyle name="0.00 2 3 4 2" xfId="39156"/>
    <cellStyle name="0.00 2 3 5" xfId="30418"/>
    <cellStyle name="0.00 2 4" xfId="21432"/>
    <cellStyle name="0.00 2 4 2" xfId="42307"/>
    <cellStyle name="0.00 2 5" xfId="12203"/>
    <cellStyle name="0.00 2 5 2" xfId="33092"/>
    <cellStyle name="0.00 2 6" xfId="24307"/>
    <cellStyle name="0.00 3" xfId="3326"/>
    <cellStyle name="0.00 3 2" xfId="5599"/>
    <cellStyle name="0.00 3 2 2" xfId="22307"/>
    <cellStyle name="0.00 3 2 2 2" xfId="43182"/>
    <cellStyle name="0.00 3 2 3" xfId="23157"/>
    <cellStyle name="0.00 3 2 3 2" xfId="44030"/>
    <cellStyle name="0.00 3 2 4" xfId="21289"/>
    <cellStyle name="0.00 3 2 4 2" xfId="42164"/>
    <cellStyle name="0.00 3 2 5" xfId="14608"/>
    <cellStyle name="0.00 3 2 5 2" xfId="35484"/>
    <cellStyle name="0.00 3 2 6" xfId="26746"/>
    <cellStyle name="0.00 3 3" xfId="21678"/>
    <cellStyle name="0.00 3 3 2" xfId="42553"/>
    <cellStyle name="0.00 3 4" xfId="21392"/>
    <cellStyle name="0.00 3 4 2" xfId="42267"/>
    <cellStyle name="0.00 3 5" xfId="22685"/>
    <cellStyle name="0.00 3 5 2" xfId="43560"/>
    <cellStyle name="0.00 3 6" xfId="12789"/>
    <cellStyle name="0.00 3 6 2" xfId="33666"/>
    <cellStyle name="0.00 3 7" xfId="24916"/>
    <cellStyle name="0.00 4" xfId="9280"/>
    <cellStyle name="0.00 4 2" xfId="23785"/>
    <cellStyle name="0.00 4 2 2" xfId="44657"/>
    <cellStyle name="0.00 4 3" xfId="23746"/>
    <cellStyle name="0.00 4 3 2" xfId="44618"/>
    <cellStyle name="0.00 4 4" xfId="18279"/>
    <cellStyle name="0.00 4 4 2" xfId="39155"/>
    <cellStyle name="0.00 4 5" xfId="30417"/>
    <cellStyle name="0.00 5" xfId="12185"/>
    <cellStyle name="0.00 5 2" xfId="33084"/>
    <cellStyle name="0.00 6" xfId="21116"/>
    <cellStyle name="0.00 6 2" xfId="41991"/>
    <cellStyle name="0.00 7" xfId="12091"/>
    <cellStyle name="0.00 7 2" xfId="32996"/>
    <cellStyle name="0.00 8" xfId="24174"/>
    <cellStyle name="0.00 8 2" xfId="45044"/>
    <cellStyle name="0.00 9" xfId="24178"/>
    <cellStyle name="0.00 9 2" xfId="45048"/>
    <cellStyle name="1" xfId="1006"/>
    <cellStyle name="20% - 강조색1" xfId="3776" builtinId="30" customBuiltin="1"/>
    <cellStyle name="20% - 강조색1 2" xfId="4176"/>
    <cellStyle name="20% - 강조색1 3" xfId="5153"/>
    <cellStyle name="20% - 강조색1 3 2" xfId="14166"/>
    <cellStyle name="20% - 강조색1 3 2 2" xfId="35042"/>
    <cellStyle name="20% - 강조색1 3 3" xfId="26304"/>
    <cellStyle name="20% - 강조색1 4" xfId="12076"/>
    <cellStyle name="20% - 강조색1 4 2" xfId="32982"/>
    <cellStyle name="20% - 강조색1 5" xfId="25349"/>
    <cellStyle name="20% - 강조색2" xfId="3780" builtinId="34" customBuiltin="1"/>
    <cellStyle name="20% - 강조색2 2" xfId="4175"/>
    <cellStyle name="20% - 강조색2 3" xfId="5155"/>
    <cellStyle name="20% - 강조색2 3 2" xfId="14168"/>
    <cellStyle name="20% - 강조색2 3 2 2" xfId="35044"/>
    <cellStyle name="20% - 강조색2 3 3" xfId="26306"/>
    <cellStyle name="20% - 강조색2 4" xfId="12078"/>
    <cellStyle name="20% - 강조색2 4 2" xfId="32984"/>
    <cellStyle name="20% - 강조색2 5" xfId="25351"/>
    <cellStyle name="20% - 강조색3" xfId="3784" builtinId="38" customBuiltin="1"/>
    <cellStyle name="20% - 강조색3 2" xfId="4174"/>
    <cellStyle name="20% - 강조색3 3" xfId="5157"/>
    <cellStyle name="20% - 강조색3 3 2" xfId="14170"/>
    <cellStyle name="20% - 강조색3 3 2 2" xfId="35046"/>
    <cellStyle name="20% - 강조색3 3 3" xfId="26308"/>
    <cellStyle name="20% - 강조색3 4" xfId="12080"/>
    <cellStyle name="20% - 강조색3 4 2" xfId="32986"/>
    <cellStyle name="20% - 강조색3 5" xfId="25353"/>
    <cellStyle name="20% - 강조색4" xfId="3788" builtinId="42" customBuiltin="1"/>
    <cellStyle name="20% - 강조색4 2" xfId="4173"/>
    <cellStyle name="20% - 강조색4 3" xfId="5159"/>
    <cellStyle name="20% - 강조색4 3 2" xfId="14172"/>
    <cellStyle name="20% - 강조색4 3 2 2" xfId="35048"/>
    <cellStyle name="20% - 강조색4 3 3" xfId="26310"/>
    <cellStyle name="20% - 강조색4 4" xfId="12082"/>
    <cellStyle name="20% - 강조색4 4 2" xfId="32988"/>
    <cellStyle name="20% - 강조색4 5" xfId="25355"/>
    <cellStyle name="20% - 강조색5" xfId="3792" builtinId="46" customBuiltin="1"/>
    <cellStyle name="20% - 강조색5 2" xfId="4172"/>
    <cellStyle name="20% - 강조색5 3" xfId="5161"/>
    <cellStyle name="20% - 강조색5 3 2" xfId="14174"/>
    <cellStyle name="20% - 강조색5 3 2 2" xfId="35050"/>
    <cellStyle name="20% - 강조색5 3 3" xfId="26312"/>
    <cellStyle name="20% - 강조색5 4" xfId="12084"/>
    <cellStyle name="20% - 강조색5 4 2" xfId="32990"/>
    <cellStyle name="20% - 강조색5 5" xfId="25357"/>
    <cellStyle name="20% - 강조색6" xfId="3796" builtinId="50" customBuiltin="1"/>
    <cellStyle name="20% - 강조색6 2" xfId="4171"/>
    <cellStyle name="20% - 강조색6 3" xfId="5163"/>
    <cellStyle name="20% - 강조색6 3 2" xfId="14176"/>
    <cellStyle name="20% - 강조색6 3 2 2" xfId="35052"/>
    <cellStyle name="20% - 강조색6 3 3" xfId="26314"/>
    <cellStyle name="20% - 강조색6 4" xfId="12086"/>
    <cellStyle name="20% - 강조색6 4 2" xfId="32992"/>
    <cellStyle name="20% - 강조색6 5" xfId="25359"/>
    <cellStyle name="40% - 강조색1" xfId="3777" builtinId="31" customBuiltin="1"/>
    <cellStyle name="40% - 강조색1 2" xfId="4170"/>
    <cellStyle name="40% - 강조색1 3" xfId="5154"/>
    <cellStyle name="40% - 강조색1 3 2" xfId="14167"/>
    <cellStyle name="40% - 강조색1 3 2 2" xfId="35043"/>
    <cellStyle name="40% - 강조색1 3 3" xfId="26305"/>
    <cellStyle name="40% - 강조색1 4" xfId="12077"/>
    <cellStyle name="40% - 강조색1 4 2" xfId="32983"/>
    <cellStyle name="40% - 강조색1 5" xfId="25350"/>
    <cellStyle name="40% - 강조색2" xfId="3781" builtinId="35" customBuiltin="1"/>
    <cellStyle name="40% - 강조색2 2" xfId="4169"/>
    <cellStyle name="40% - 강조색2 3" xfId="5156"/>
    <cellStyle name="40% - 강조색2 3 2" xfId="14169"/>
    <cellStyle name="40% - 강조색2 3 2 2" xfId="35045"/>
    <cellStyle name="40% - 강조색2 3 3" xfId="26307"/>
    <cellStyle name="40% - 강조색2 4" xfId="12079"/>
    <cellStyle name="40% - 강조색2 4 2" xfId="32985"/>
    <cellStyle name="40% - 강조색2 5" xfId="25352"/>
    <cellStyle name="40% - 강조색3" xfId="3785" builtinId="39" customBuiltin="1"/>
    <cellStyle name="40% - 강조색3 2" xfId="4168"/>
    <cellStyle name="40% - 강조색3 3" xfId="5158"/>
    <cellStyle name="40% - 강조색3 3 2" xfId="14171"/>
    <cellStyle name="40% - 강조색3 3 2 2" xfId="35047"/>
    <cellStyle name="40% - 강조색3 3 3" xfId="26309"/>
    <cellStyle name="40% - 강조색3 4" xfId="12081"/>
    <cellStyle name="40% - 강조색3 4 2" xfId="32987"/>
    <cellStyle name="40% - 강조색3 5" xfId="25354"/>
    <cellStyle name="40% - 강조색4" xfId="3789" builtinId="43" customBuiltin="1"/>
    <cellStyle name="40% - 강조색4 2" xfId="4167"/>
    <cellStyle name="40% - 강조색4 3" xfId="5160"/>
    <cellStyle name="40% - 강조색4 3 2" xfId="14173"/>
    <cellStyle name="40% - 강조색4 3 2 2" xfId="35049"/>
    <cellStyle name="40% - 강조색4 3 3" xfId="26311"/>
    <cellStyle name="40% - 강조색4 4" xfId="12083"/>
    <cellStyle name="40% - 강조색4 4 2" xfId="32989"/>
    <cellStyle name="40% - 강조색4 5" xfId="25356"/>
    <cellStyle name="40% - 강조색5" xfId="3793" builtinId="47" customBuiltin="1"/>
    <cellStyle name="40% - 강조색5 2" xfId="4166"/>
    <cellStyle name="40% - 강조색5 3" xfId="5162"/>
    <cellStyle name="40% - 강조색5 3 2" xfId="14175"/>
    <cellStyle name="40% - 강조색5 3 2 2" xfId="35051"/>
    <cellStyle name="40% - 강조색5 3 3" xfId="26313"/>
    <cellStyle name="40% - 강조색5 4" xfId="12085"/>
    <cellStyle name="40% - 강조색5 4 2" xfId="32991"/>
    <cellStyle name="40% - 강조색5 5" xfId="25358"/>
    <cellStyle name="40% - 강조색6" xfId="3797" builtinId="51" customBuiltin="1"/>
    <cellStyle name="40% - 강조색6 2" xfId="4165"/>
    <cellStyle name="40% - 강조색6 3" xfId="5164"/>
    <cellStyle name="40% - 강조색6 3 2" xfId="14177"/>
    <cellStyle name="40% - 강조색6 3 2 2" xfId="35053"/>
    <cellStyle name="40% - 강조색6 3 3" xfId="26315"/>
    <cellStyle name="40% - 강조색6 4" xfId="12087"/>
    <cellStyle name="40% - 강조색6 4 2" xfId="32993"/>
    <cellStyle name="40% - 강조색6 5" xfId="25360"/>
    <cellStyle name="60% - 강조색1" xfId="3778" builtinId="32" customBuiltin="1"/>
    <cellStyle name="60% - 강조색1 2" xfId="4164"/>
    <cellStyle name="60% - 강조색2" xfId="3782" builtinId="36" customBuiltin="1"/>
    <cellStyle name="60% - 강조색2 2" xfId="4163"/>
    <cellStyle name="60% - 강조색3" xfId="3786" builtinId="40" customBuiltin="1"/>
    <cellStyle name="60% - 강조색3 2" xfId="4162"/>
    <cellStyle name="60% - 강조색4" xfId="3790" builtinId="44" customBuiltin="1"/>
    <cellStyle name="60% - 강조색4 2" xfId="4161"/>
    <cellStyle name="60% - 강조색5" xfId="3794" builtinId="48" customBuiltin="1"/>
    <cellStyle name="60% - 강조색5 2" xfId="4160"/>
    <cellStyle name="60% - 강조색6" xfId="3798" builtinId="52" customBuiltin="1"/>
    <cellStyle name="60% - 강조색6 2" xfId="4159"/>
    <cellStyle name="Accent1" xfId="2645"/>
    <cellStyle name="Accent1 - 20%" xfId="2646"/>
    <cellStyle name="Accent1 - 40%" xfId="2647"/>
    <cellStyle name="Accent1 - 60%" xfId="2648"/>
    <cellStyle name="Accent2" xfId="2649"/>
    <cellStyle name="Accent2 - 20%" xfId="2650"/>
    <cellStyle name="Accent2 - 40%" xfId="2651"/>
    <cellStyle name="Accent2 - 60%" xfId="2652"/>
    <cellStyle name="Accent3" xfId="2653"/>
    <cellStyle name="Accent3 - 20%" xfId="2654"/>
    <cellStyle name="Accent3 - 40%" xfId="2655"/>
    <cellStyle name="Accent3 - 60%" xfId="2656"/>
    <cellStyle name="Accent4" xfId="2657"/>
    <cellStyle name="Accent4 - 20%" xfId="2658"/>
    <cellStyle name="Accent4 - 40%" xfId="2659"/>
    <cellStyle name="Accent4 - 60%" xfId="2660"/>
    <cellStyle name="Accent5" xfId="2661"/>
    <cellStyle name="Accent5 - 20%" xfId="2662"/>
    <cellStyle name="Accent5 - 40%" xfId="2663"/>
    <cellStyle name="Accent5 - 60%" xfId="2664"/>
    <cellStyle name="Accent6" xfId="2665"/>
    <cellStyle name="Accent6 - 20%" xfId="2666"/>
    <cellStyle name="Accent6 - 40%" xfId="2667"/>
    <cellStyle name="Accent6 - 60%" xfId="2668"/>
    <cellStyle name="AeE­ [0]_BOOK1" xfId="1034"/>
    <cellStyle name="ÅëÈ­ [0]_RESULTS" xfId="1035"/>
    <cellStyle name="AeE­_BOOK1" xfId="1036"/>
    <cellStyle name="ÅëÈ­_RESULTS" xfId="1037"/>
    <cellStyle name="ALIGNMENT" xfId="1038"/>
    <cellStyle name="args.style" xfId="1039"/>
    <cellStyle name="AÞ¸¶ [0]_BOOK1" xfId="1040"/>
    <cellStyle name="AÞ¸¶_BOOK1" xfId="1041"/>
    <cellStyle name="Bad" xfId="2669"/>
    <cellStyle name="blank" xfId="1042"/>
    <cellStyle name="blank - Style1" xfId="1043"/>
    <cellStyle name="C￥AØ_¿μ¾÷CoE² " xfId="1044"/>
    <cellStyle name="Ç¥ÁØ_RESULTS" xfId="1045"/>
    <cellStyle name="Calc Currency (0)" xfId="1046"/>
    <cellStyle name="Calc Currency (2)" xfId="1047"/>
    <cellStyle name="Calc Percent (0)" xfId="1048"/>
    <cellStyle name="Calc Percent (1)" xfId="1049"/>
    <cellStyle name="Calc Percent (2)" xfId="1050"/>
    <cellStyle name="Calc Units (0)" xfId="1051"/>
    <cellStyle name="Calc Units (1)" xfId="1052"/>
    <cellStyle name="Calc Units (2)" xfId="1053"/>
    <cellStyle name="Calculation" xfId="2670"/>
    <cellStyle name="Calculation 10" xfId="23883"/>
    <cellStyle name="Calculation 10 2" xfId="44755"/>
    <cellStyle name="Calculation 11" xfId="12204"/>
    <cellStyle name="Calculation 11 2" xfId="33093"/>
    <cellStyle name="Calculation 12" xfId="24308"/>
    <cellStyle name="Calculation 2" xfId="2671"/>
    <cellStyle name="Calculation 2 2" xfId="4246"/>
    <cellStyle name="Calculation 2 2 2" xfId="6153"/>
    <cellStyle name="Calculation 2 2 2 2" xfId="22458"/>
    <cellStyle name="Calculation 2 2 2 2 2" xfId="43333"/>
    <cellStyle name="Calculation 2 2 2 3" xfId="21147"/>
    <cellStyle name="Calculation 2 2 2 3 2" xfId="42022"/>
    <cellStyle name="Calculation 2 2 2 4" xfId="22369"/>
    <cellStyle name="Calculation 2 2 2 4 2" xfId="43244"/>
    <cellStyle name="Calculation 2 2 2 5" xfId="15162"/>
    <cellStyle name="Calculation 2 2 2 5 2" xfId="36038"/>
    <cellStyle name="Calculation 2 2 2 6" xfId="27300"/>
    <cellStyle name="Calculation 2 2 3" xfId="21903"/>
    <cellStyle name="Calculation 2 2 3 2" xfId="42778"/>
    <cellStyle name="Calculation 2 2 4" xfId="21599"/>
    <cellStyle name="Calculation 2 2 4 2" xfId="42474"/>
    <cellStyle name="Calculation 2 2 5" xfId="24047"/>
    <cellStyle name="Calculation 2 2 5 2" xfId="44919"/>
    <cellStyle name="Calculation 2 2 6" xfId="13344"/>
    <cellStyle name="Calculation 2 2 6 2" xfId="34220"/>
    <cellStyle name="Calculation 2 2 7" xfId="25482"/>
    <cellStyle name="Calculation 2 3" xfId="8261"/>
    <cellStyle name="Calculation 2 3 2" xfId="22950"/>
    <cellStyle name="Calculation 2 3 2 2" xfId="43823"/>
    <cellStyle name="Calculation 2 3 3" xfId="23763"/>
    <cellStyle name="Calculation 2 3 3 2" xfId="44635"/>
    <cellStyle name="Calculation 2 3 4" xfId="21267"/>
    <cellStyle name="Calculation 2 3 4 2" xfId="42142"/>
    <cellStyle name="Calculation 2 3 5" xfId="17266"/>
    <cellStyle name="Calculation 2 3 5 2" xfId="38142"/>
    <cellStyle name="Calculation 2 3 6" xfId="29404"/>
    <cellStyle name="Calculation 2 4" xfId="21437"/>
    <cellStyle name="Calculation 2 4 2" xfId="42312"/>
    <cellStyle name="Calculation 2 5" xfId="21365"/>
    <cellStyle name="Calculation 2 5 2" xfId="42240"/>
    <cellStyle name="Calculation 2 6" xfId="23399"/>
    <cellStyle name="Calculation 2 6 2" xfId="44271"/>
    <cellStyle name="Calculation 2 7" xfId="12205"/>
    <cellStyle name="Calculation 2 7 2" xfId="33094"/>
    <cellStyle name="Calculation 2 8" xfId="24309"/>
    <cellStyle name="Calculation 3" xfId="2672"/>
    <cellStyle name="Calculation 3 2" xfId="4247"/>
    <cellStyle name="Calculation 3 2 2" xfId="6154"/>
    <cellStyle name="Calculation 3 2 2 2" xfId="22459"/>
    <cellStyle name="Calculation 3 2 2 2 2" xfId="43334"/>
    <cellStyle name="Calculation 3 2 2 3" xfId="22837"/>
    <cellStyle name="Calculation 3 2 2 3 2" xfId="43712"/>
    <cellStyle name="Calculation 3 2 2 4" xfId="21383"/>
    <cellStyle name="Calculation 3 2 2 4 2" xfId="42258"/>
    <cellStyle name="Calculation 3 2 2 5" xfId="15163"/>
    <cellStyle name="Calculation 3 2 2 5 2" xfId="36039"/>
    <cellStyle name="Calculation 3 2 2 6" xfId="27301"/>
    <cellStyle name="Calculation 3 2 3" xfId="21904"/>
    <cellStyle name="Calculation 3 2 3 2" xfId="42779"/>
    <cellStyle name="Calculation 3 2 4" xfId="22847"/>
    <cellStyle name="Calculation 3 2 4 2" xfId="43722"/>
    <cellStyle name="Calculation 3 2 5" xfId="24057"/>
    <cellStyle name="Calculation 3 2 5 2" xfId="44929"/>
    <cellStyle name="Calculation 3 2 6" xfId="13345"/>
    <cellStyle name="Calculation 3 2 6 2" xfId="34221"/>
    <cellStyle name="Calculation 3 2 7" xfId="25483"/>
    <cellStyle name="Calculation 3 3" xfId="8262"/>
    <cellStyle name="Calculation 3 3 2" xfId="22951"/>
    <cellStyle name="Calculation 3 3 2 2" xfId="43824"/>
    <cellStyle name="Calculation 3 3 3" xfId="21045"/>
    <cellStyle name="Calculation 3 3 3 2" xfId="41920"/>
    <cellStyle name="Calculation 3 3 4" xfId="21155"/>
    <cellStyle name="Calculation 3 3 4 2" xfId="42030"/>
    <cellStyle name="Calculation 3 3 5" xfId="17267"/>
    <cellStyle name="Calculation 3 3 5 2" xfId="38143"/>
    <cellStyle name="Calculation 3 3 6" xfId="29405"/>
    <cellStyle name="Calculation 3 4" xfId="21438"/>
    <cellStyle name="Calculation 3 4 2" xfId="42313"/>
    <cellStyle name="Calculation 3 5" xfId="21142"/>
    <cellStyle name="Calculation 3 5 2" xfId="42017"/>
    <cellStyle name="Calculation 3 6" xfId="22725"/>
    <cellStyle name="Calculation 3 6 2" xfId="43600"/>
    <cellStyle name="Calculation 3 7" xfId="12206"/>
    <cellStyle name="Calculation 3 7 2" xfId="33095"/>
    <cellStyle name="Calculation 3 8" xfId="24310"/>
    <cellStyle name="Calculation 4" xfId="2673"/>
    <cellStyle name="Calculation 4 2" xfId="4248"/>
    <cellStyle name="Calculation 4 2 2" xfId="6155"/>
    <cellStyle name="Calculation 4 2 2 2" xfId="22460"/>
    <cellStyle name="Calculation 4 2 2 2 2" xfId="43335"/>
    <cellStyle name="Calculation 4 2 2 3" xfId="22190"/>
    <cellStyle name="Calculation 4 2 2 3 2" xfId="43065"/>
    <cellStyle name="Calculation 4 2 2 4" xfId="22241"/>
    <cellStyle name="Calculation 4 2 2 4 2" xfId="43116"/>
    <cellStyle name="Calculation 4 2 2 5" xfId="15164"/>
    <cellStyle name="Calculation 4 2 2 5 2" xfId="36040"/>
    <cellStyle name="Calculation 4 2 2 6" xfId="27302"/>
    <cellStyle name="Calculation 4 2 3" xfId="21905"/>
    <cellStyle name="Calculation 4 2 3 2" xfId="42780"/>
    <cellStyle name="Calculation 4 2 4" xfId="23414"/>
    <cellStyle name="Calculation 4 2 4 2" xfId="44286"/>
    <cellStyle name="Calculation 4 2 5" xfId="21380"/>
    <cellStyle name="Calculation 4 2 5 2" xfId="42255"/>
    <cellStyle name="Calculation 4 2 6" xfId="13346"/>
    <cellStyle name="Calculation 4 2 6 2" xfId="34222"/>
    <cellStyle name="Calculation 4 2 7" xfId="25484"/>
    <cellStyle name="Calculation 4 3" xfId="8263"/>
    <cellStyle name="Calculation 4 3 2" xfId="22952"/>
    <cellStyle name="Calculation 4 3 2 2" xfId="43825"/>
    <cellStyle name="Calculation 4 3 3" xfId="21608"/>
    <cellStyle name="Calculation 4 3 3 2" xfId="42483"/>
    <cellStyle name="Calculation 4 3 4" xfId="24084"/>
    <cellStyle name="Calculation 4 3 4 2" xfId="44956"/>
    <cellStyle name="Calculation 4 3 5" xfId="17268"/>
    <cellStyle name="Calculation 4 3 5 2" xfId="38144"/>
    <cellStyle name="Calculation 4 3 6" xfId="29406"/>
    <cellStyle name="Calculation 4 4" xfId="21439"/>
    <cellStyle name="Calculation 4 4 2" xfId="42314"/>
    <cellStyle name="Calculation 4 5" xfId="23667"/>
    <cellStyle name="Calculation 4 5 2" xfId="44539"/>
    <cellStyle name="Calculation 4 6" xfId="23175"/>
    <cellStyle name="Calculation 4 6 2" xfId="44048"/>
    <cellStyle name="Calculation 4 7" xfId="12207"/>
    <cellStyle name="Calculation 4 7 2" xfId="33096"/>
    <cellStyle name="Calculation 4 8" xfId="24311"/>
    <cellStyle name="Calculation 5" xfId="2674"/>
    <cellStyle name="Calculation 5 2" xfId="4249"/>
    <cellStyle name="Calculation 5 2 2" xfId="6156"/>
    <cellStyle name="Calculation 5 2 2 2" xfId="22461"/>
    <cellStyle name="Calculation 5 2 2 2 2" xfId="43336"/>
    <cellStyle name="Calculation 5 2 2 3" xfId="23743"/>
    <cellStyle name="Calculation 5 2 2 3 2" xfId="44615"/>
    <cellStyle name="Calculation 5 2 2 4" xfId="23197"/>
    <cellStyle name="Calculation 5 2 2 4 2" xfId="44070"/>
    <cellStyle name="Calculation 5 2 2 5" xfId="15165"/>
    <cellStyle name="Calculation 5 2 2 5 2" xfId="36041"/>
    <cellStyle name="Calculation 5 2 2 6" xfId="27303"/>
    <cellStyle name="Calculation 5 2 3" xfId="21906"/>
    <cellStyle name="Calculation 5 2 3 2" xfId="42781"/>
    <cellStyle name="Calculation 5 2 4" xfId="23347"/>
    <cellStyle name="Calculation 5 2 4 2" xfId="44219"/>
    <cellStyle name="Calculation 5 2 5" xfId="21622"/>
    <cellStyle name="Calculation 5 2 5 2" xfId="42497"/>
    <cellStyle name="Calculation 5 2 6" xfId="13347"/>
    <cellStyle name="Calculation 5 2 6 2" xfId="34223"/>
    <cellStyle name="Calculation 5 2 7" xfId="25485"/>
    <cellStyle name="Calculation 5 3" xfId="8264"/>
    <cellStyle name="Calculation 5 3 2" xfId="22953"/>
    <cellStyle name="Calculation 5 3 2 2" xfId="43826"/>
    <cellStyle name="Calculation 5 3 3" xfId="22202"/>
    <cellStyle name="Calculation 5 3 3 2" xfId="43077"/>
    <cellStyle name="Calculation 5 3 4" xfId="21081"/>
    <cellStyle name="Calculation 5 3 4 2" xfId="41956"/>
    <cellStyle name="Calculation 5 3 5" xfId="17269"/>
    <cellStyle name="Calculation 5 3 5 2" xfId="38145"/>
    <cellStyle name="Calculation 5 3 6" xfId="29407"/>
    <cellStyle name="Calculation 5 4" xfId="21440"/>
    <cellStyle name="Calculation 5 4 2" xfId="42315"/>
    <cellStyle name="Calculation 5 5" xfId="22739"/>
    <cellStyle name="Calculation 5 5 2" xfId="43614"/>
    <cellStyle name="Calculation 5 6" xfId="21877"/>
    <cellStyle name="Calculation 5 6 2" xfId="42752"/>
    <cellStyle name="Calculation 5 7" xfId="12208"/>
    <cellStyle name="Calculation 5 7 2" xfId="33097"/>
    <cellStyle name="Calculation 5 8" xfId="24312"/>
    <cellStyle name="Calculation 6" xfId="4245"/>
    <cellStyle name="Calculation 6 2" xfId="6152"/>
    <cellStyle name="Calculation 6 2 2" xfId="22457"/>
    <cellStyle name="Calculation 6 2 2 2" xfId="43332"/>
    <cellStyle name="Calculation 6 2 3" xfId="21379"/>
    <cellStyle name="Calculation 6 2 3 2" xfId="42254"/>
    <cellStyle name="Calculation 6 2 4" xfId="21731"/>
    <cellStyle name="Calculation 6 2 4 2" xfId="42606"/>
    <cellStyle name="Calculation 6 2 5" xfId="15161"/>
    <cellStyle name="Calculation 6 2 5 2" xfId="36037"/>
    <cellStyle name="Calculation 6 2 6" xfId="27299"/>
    <cellStyle name="Calculation 6 3" xfId="21902"/>
    <cellStyle name="Calculation 6 3 2" xfId="42777"/>
    <cellStyle name="Calculation 6 4" xfId="21860"/>
    <cellStyle name="Calculation 6 4 2" xfId="42735"/>
    <cellStyle name="Calculation 6 5" xfId="22196"/>
    <cellStyle name="Calculation 6 5 2" xfId="43071"/>
    <cellStyle name="Calculation 6 6" xfId="13343"/>
    <cellStyle name="Calculation 6 6 2" xfId="34219"/>
    <cellStyle name="Calculation 6 7" xfId="25481"/>
    <cellStyle name="Calculation 7" xfId="8260"/>
    <cellStyle name="Calculation 7 2" xfId="22949"/>
    <cellStyle name="Calculation 7 2 2" xfId="43822"/>
    <cellStyle name="Calculation 7 3" xfId="22343"/>
    <cellStyle name="Calculation 7 3 2" xfId="43218"/>
    <cellStyle name="Calculation 7 4" xfId="21361"/>
    <cellStyle name="Calculation 7 4 2" xfId="42236"/>
    <cellStyle name="Calculation 7 5" xfId="17265"/>
    <cellStyle name="Calculation 7 5 2" xfId="38141"/>
    <cellStyle name="Calculation 7 6" xfId="29403"/>
    <cellStyle name="Calculation 8" xfId="21436"/>
    <cellStyle name="Calculation 8 2" xfId="42311"/>
    <cellStyle name="Calculation 9" xfId="21270"/>
    <cellStyle name="Calculation 9 2" xfId="42145"/>
    <cellStyle name="category" xfId="1054"/>
    <cellStyle name="Check Cell" xfId="2675"/>
    <cellStyle name="Comma" xfId="1055"/>
    <cellStyle name="Comma  - Style2" xfId="1056"/>
    <cellStyle name="Comma  - Style3" xfId="1057"/>
    <cellStyle name="Comma  - Style4" xfId="1058"/>
    <cellStyle name="Comma  - Style5" xfId="1059"/>
    <cellStyle name="Comma  - Style6" xfId="1060"/>
    <cellStyle name="Comma  - Style7" xfId="1061"/>
    <cellStyle name="Comma  - Style8" xfId="1062"/>
    <cellStyle name="Comma [0]_ SG&amp;A Bridge " xfId="1063"/>
    <cellStyle name="Comma [00]" xfId="1064"/>
    <cellStyle name="Comma_ SG&amp;A Bridge " xfId="1065"/>
    <cellStyle name="Comma0" xfId="1066"/>
    <cellStyle name="Copied" xfId="1067"/>
    <cellStyle name="Curre~cy [0]_MATERAL2" xfId="1068"/>
    <cellStyle name="Currency" xfId="1069"/>
    <cellStyle name="Currency [0]_ SG&amp;A Bridge " xfId="1070"/>
    <cellStyle name="Currency [00]" xfId="1071"/>
    <cellStyle name="currency-$" xfId="1072"/>
    <cellStyle name="currency-$ 10" xfId="24301"/>
    <cellStyle name="currency-$ 2" xfId="2676"/>
    <cellStyle name="currency-$ 2 2" xfId="3329"/>
    <cellStyle name="currency-$ 2 2 2" xfId="5602"/>
    <cellStyle name="currency-$ 2 2 2 2" xfId="22310"/>
    <cellStyle name="currency-$ 2 2 2 2 2" xfId="43185"/>
    <cellStyle name="currency-$ 2 2 2 3" xfId="23936"/>
    <cellStyle name="currency-$ 2 2 2 3 2" xfId="44808"/>
    <cellStyle name="currency-$ 2 2 2 4" xfId="23813"/>
    <cellStyle name="currency-$ 2 2 2 4 2" xfId="44685"/>
    <cellStyle name="currency-$ 2 2 2 5" xfId="14611"/>
    <cellStyle name="currency-$ 2 2 2 5 2" xfId="35487"/>
    <cellStyle name="currency-$ 2 2 2 6" xfId="26749"/>
    <cellStyle name="currency-$ 2 2 3" xfId="21681"/>
    <cellStyle name="currency-$ 2 2 3 2" xfId="42556"/>
    <cellStyle name="currency-$ 2 2 4" xfId="23827"/>
    <cellStyle name="currency-$ 2 2 4 2" xfId="44699"/>
    <cellStyle name="currency-$ 2 2 5" xfId="24101"/>
    <cellStyle name="currency-$ 2 2 5 2" xfId="44972"/>
    <cellStyle name="currency-$ 2 2 6" xfId="12792"/>
    <cellStyle name="currency-$ 2 2 6 2" xfId="33669"/>
    <cellStyle name="currency-$ 2 2 7" xfId="24919"/>
    <cellStyle name="currency-$ 2 3" xfId="9283"/>
    <cellStyle name="currency-$ 2 3 2" xfId="23645"/>
    <cellStyle name="currency-$ 2 3 2 2" xfId="44517"/>
    <cellStyle name="currency-$ 2 3 3" xfId="21387"/>
    <cellStyle name="currency-$ 2 3 3 2" xfId="42262"/>
    <cellStyle name="currency-$ 2 3 4" xfId="18282"/>
    <cellStyle name="currency-$ 2 3 4 2" xfId="39158"/>
    <cellStyle name="currency-$ 2 3 5" xfId="30420"/>
    <cellStyle name="currency-$ 2 4" xfId="21442"/>
    <cellStyle name="currency-$ 2 4 2" xfId="42317"/>
    <cellStyle name="currency-$ 2 5" xfId="12209"/>
    <cellStyle name="currency-$ 2 5 2" xfId="33098"/>
    <cellStyle name="currency-$ 2 6" xfId="24313"/>
    <cellStyle name="currency-$ 3" xfId="3328"/>
    <cellStyle name="currency-$ 3 2" xfId="5601"/>
    <cellStyle name="currency-$ 3 2 2" xfId="22309"/>
    <cellStyle name="currency-$ 3 2 2 2" xfId="43184"/>
    <cellStyle name="currency-$ 3 2 3" xfId="24100"/>
    <cellStyle name="currency-$ 3 2 3 2" xfId="44971"/>
    <cellStyle name="currency-$ 3 2 4" xfId="22761"/>
    <cellStyle name="currency-$ 3 2 4 2" xfId="43636"/>
    <cellStyle name="currency-$ 3 2 5" xfId="14610"/>
    <cellStyle name="currency-$ 3 2 5 2" xfId="35486"/>
    <cellStyle name="currency-$ 3 2 6" xfId="26748"/>
    <cellStyle name="currency-$ 3 3" xfId="21680"/>
    <cellStyle name="currency-$ 3 3 2" xfId="42555"/>
    <cellStyle name="currency-$ 3 4" xfId="22134"/>
    <cellStyle name="currency-$ 3 4 2" xfId="43009"/>
    <cellStyle name="currency-$ 3 5" xfId="23853"/>
    <cellStyle name="currency-$ 3 5 2" xfId="44725"/>
    <cellStyle name="currency-$ 3 6" xfId="12791"/>
    <cellStyle name="currency-$ 3 6 2" xfId="33668"/>
    <cellStyle name="currency-$ 3 7" xfId="24918"/>
    <cellStyle name="currency-$ 4" xfId="9282"/>
    <cellStyle name="currency-$ 4 2" xfId="21344"/>
    <cellStyle name="currency-$ 4 2 2" xfId="42219"/>
    <cellStyle name="currency-$ 4 3" xfId="21590"/>
    <cellStyle name="currency-$ 4 3 2" xfId="42465"/>
    <cellStyle name="currency-$ 4 4" xfId="18281"/>
    <cellStyle name="currency-$ 4 4 2" xfId="39157"/>
    <cellStyle name="currency-$ 4 5" xfId="30419"/>
    <cellStyle name="currency-$ 5" xfId="12186"/>
    <cellStyle name="currency-$ 5 2" xfId="33085"/>
    <cellStyle name="currency-$ 6" xfId="21127"/>
    <cellStyle name="currency-$ 6 2" xfId="42002"/>
    <cellStyle name="currency-$ 7" xfId="12107"/>
    <cellStyle name="currency-$ 7 2" xfId="33007"/>
    <cellStyle name="currency-$ 8" xfId="24175"/>
    <cellStyle name="currency-$ 8 2" xfId="45045"/>
    <cellStyle name="currency-$ 9" xfId="24182"/>
    <cellStyle name="currency-$ 9 2" xfId="45050"/>
    <cellStyle name="Currency_ SG&amp;A Bridge " xfId="1073"/>
    <cellStyle name="Currency0" xfId="1074"/>
    <cellStyle name="Currency1" xfId="1075"/>
    <cellStyle name="Date" xfId="1076"/>
    <cellStyle name="Date Short" xfId="1077"/>
    <cellStyle name="Date_03-02-P002 용인추가공사" xfId="1078"/>
    <cellStyle name="DELTA" xfId="1079"/>
    <cellStyle name="Emphasis 1" xfId="2677"/>
    <cellStyle name="Emphasis 2" xfId="2678"/>
    <cellStyle name="Emphasis 3" xfId="2679"/>
    <cellStyle name="Enter Currency (0)" xfId="1080"/>
    <cellStyle name="Enter Currency (2)" xfId="1081"/>
    <cellStyle name="Enter Units (0)" xfId="1082"/>
    <cellStyle name="Enter Units (1)" xfId="1083"/>
    <cellStyle name="Enter Units (2)" xfId="1084"/>
    <cellStyle name="Entered" xfId="1085"/>
    <cellStyle name="F2" xfId="1086"/>
    <cellStyle name="F3" xfId="1087"/>
    <cellStyle name="F4" xfId="1088"/>
    <cellStyle name="F5" xfId="1089"/>
    <cellStyle name="F6" xfId="1090"/>
    <cellStyle name="F7" xfId="1091"/>
    <cellStyle name="F8" xfId="1092"/>
    <cellStyle name="Fixed" xfId="1093"/>
    <cellStyle name="Followed Hyperlink" xfId="1094"/>
    <cellStyle name="G10" xfId="1095"/>
    <cellStyle name="Good" xfId="2680"/>
    <cellStyle name="Grey" xfId="1096"/>
    <cellStyle name="HEADER" xfId="1097"/>
    <cellStyle name="Header1" xfId="1098"/>
    <cellStyle name="Header1 2" xfId="23289"/>
    <cellStyle name="Header2" xfId="1099"/>
    <cellStyle name="Header2 10" xfId="24302"/>
    <cellStyle name="Header2 2" xfId="2681"/>
    <cellStyle name="Header2 2 2" xfId="4271"/>
    <cellStyle name="Header2 2 2 2" xfId="6157"/>
    <cellStyle name="Header2 2 2 2 2" xfId="22462"/>
    <cellStyle name="Header2 2 2 2 2 2" xfId="43337"/>
    <cellStyle name="Header2 2 2 2 3" xfId="23287"/>
    <cellStyle name="Header2 2 2 2 3 2" xfId="44160"/>
    <cellStyle name="Header2 2 2 2 4" xfId="22110"/>
    <cellStyle name="Header2 2 2 2 4 2" xfId="42985"/>
    <cellStyle name="Header2 2 2 2 5" xfId="15166"/>
    <cellStyle name="Header2 2 2 2 5 2" xfId="36042"/>
    <cellStyle name="Header2 2 2 2 6" xfId="27304"/>
    <cellStyle name="Header2 2 2 3" xfId="21908"/>
    <cellStyle name="Header2 2 2 3 2" xfId="42783"/>
    <cellStyle name="Header2 2 2 4" xfId="22633"/>
    <cellStyle name="Header2 2 2 4 2" xfId="43508"/>
    <cellStyle name="Header2 2 2 5" xfId="21656"/>
    <cellStyle name="Header2 2 2 5 2" xfId="42531"/>
    <cellStyle name="Header2 2 2 6" xfId="13348"/>
    <cellStyle name="Header2 2 2 6 2" xfId="34224"/>
    <cellStyle name="Header2 2 2 7" xfId="25486"/>
    <cellStyle name="Header2 2 3" xfId="21443"/>
    <cellStyle name="Header2 2 3 2" xfId="42318"/>
    <cellStyle name="Header2 2 4" xfId="22093"/>
    <cellStyle name="Header2 2 4 2" xfId="42968"/>
    <cellStyle name="Header2 2 5" xfId="12210"/>
    <cellStyle name="Header2 2 5 2" xfId="33099"/>
    <cellStyle name="Header2 2 6" xfId="24314"/>
    <cellStyle name="Header2 3" xfId="2682"/>
    <cellStyle name="Header2 3 2" xfId="4272"/>
    <cellStyle name="Header2 3 2 2" xfId="6158"/>
    <cellStyle name="Header2 3 2 2 2" xfId="22463"/>
    <cellStyle name="Header2 3 2 2 2 2" xfId="43338"/>
    <cellStyle name="Header2 3 2 2 3" xfId="23173"/>
    <cellStyle name="Header2 3 2 2 3 2" xfId="44046"/>
    <cellStyle name="Header2 3 2 2 4" xfId="21003"/>
    <cellStyle name="Header2 3 2 2 4 2" xfId="41878"/>
    <cellStyle name="Header2 3 2 2 5" xfId="15167"/>
    <cellStyle name="Header2 3 2 2 5 2" xfId="36043"/>
    <cellStyle name="Header2 3 2 2 6" xfId="27305"/>
    <cellStyle name="Header2 3 2 3" xfId="21909"/>
    <cellStyle name="Header2 3 2 3 2" xfId="42784"/>
    <cellStyle name="Header2 3 2 4" xfId="23208"/>
    <cellStyle name="Header2 3 2 4 2" xfId="44081"/>
    <cellStyle name="Header2 3 2 5" xfId="23982"/>
    <cellStyle name="Header2 3 2 5 2" xfId="44854"/>
    <cellStyle name="Header2 3 2 6" xfId="13349"/>
    <cellStyle name="Header2 3 2 6 2" xfId="34225"/>
    <cellStyle name="Header2 3 2 7" xfId="25487"/>
    <cellStyle name="Header2 3 3" xfId="21444"/>
    <cellStyle name="Header2 3 3 2" xfId="42319"/>
    <cellStyle name="Header2 3 4" xfId="21404"/>
    <cellStyle name="Header2 3 4 2" xfId="42279"/>
    <cellStyle name="Header2 3 5" xfId="12211"/>
    <cellStyle name="Header2 3 5 2" xfId="33100"/>
    <cellStyle name="Header2 3 6" xfId="24315"/>
    <cellStyle name="Header2 4" xfId="3806"/>
    <cellStyle name="Header2 4 2" xfId="6035"/>
    <cellStyle name="Header2 4 2 2" xfId="22394"/>
    <cellStyle name="Header2 4 2 2 2" xfId="43269"/>
    <cellStyle name="Header2 4 2 3" xfId="23978"/>
    <cellStyle name="Header2 4 2 3 2" xfId="44850"/>
    <cellStyle name="Header2 4 2 4" xfId="23689"/>
    <cellStyle name="Header2 4 2 4 2" xfId="44561"/>
    <cellStyle name="Header2 4 2 5" xfId="15044"/>
    <cellStyle name="Header2 4 2 5 2" xfId="35920"/>
    <cellStyle name="Header2 4 2 6" xfId="27182"/>
    <cellStyle name="Header2 4 3" xfId="21780"/>
    <cellStyle name="Header2 4 3 2" xfId="42655"/>
    <cellStyle name="Header2 4 4" xfId="23368"/>
    <cellStyle name="Header2 4 4 2" xfId="44240"/>
    <cellStyle name="Header2 4 5" xfId="22801"/>
    <cellStyle name="Header2 4 5 2" xfId="43676"/>
    <cellStyle name="Header2 4 6" xfId="13226"/>
    <cellStyle name="Header2 4 6 2" xfId="34102"/>
    <cellStyle name="Header2 4 7" xfId="25364"/>
    <cellStyle name="Header2 5" xfId="9937"/>
    <cellStyle name="Header2 5 2" xfId="22850"/>
    <cellStyle name="Header2 5 2 2" xfId="43725"/>
    <cellStyle name="Header2 5 3" xfId="31071"/>
    <cellStyle name="Header2 6" xfId="12187"/>
    <cellStyle name="Header2 6 2" xfId="33086"/>
    <cellStyle name="Header2 7" xfId="20874"/>
    <cellStyle name="Header2 7 2" xfId="41749"/>
    <cellStyle name="Header2 8" xfId="12108"/>
    <cellStyle name="Header2 8 2" xfId="33008"/>
    <cellStyle name="Header2 9" xfId="24170"/>
    <cellStyle name="Header2 9 2" xfId="45040"/>
    <cellStyle name="Heading 1" xfId="1100"/>
    <cellStyle name="Heading 2" xfId="1101"/>
    <cellStyle name="Heading 3" xfId="2683"/>
    <cellStyle name="Heading 4" xfId="2684"/>
    <cellStyle name="Heading1" xfId="1102"/>
    <cellStyle name="Heading2" xfId="1103"/>
    <cellStyle name="HEADINGS" xfId="1104"/>
    <cellStyle name="HEADINGS 2" xfId="9233"/>
    <cellStyle name="HEADINGS 2 2" xfId="24172"/>
    <cellStyle name="HEADINGS 2 2 2" xfId="45042"/>
    <cellStyle name="HEADINGSTOP" xfId="1105"/>
    <cellStyle name="Hyperlink" xfId="1106"/>
    <cellStyle name="Input" xfId="2685"/>
    <cellStyle name="Input [yellow]" xfId="1107"/>
    <cellStyle name="Input [yellow] 10" xfId="24303"/>
    <cellStyle name="Input [yellow] 2" xfId="2686"/>
    <cellStyle name="Input [yellow] 2 2" xfId="3331"/>
    <cellStyle name="Input [yellow] 2 2 2" xfId="5604"/>
    <cellStyle name="Input [yellow] 2 2 2 2" xfId="22312"/>
    <cellStyle name="Input [yellow] 2 2 2 2 2" xfId="43187"/>
    <cellStyle name="Input [yellow] 2 2 2 3" xfId="23349"/>
    <cellStyle name="Input [yellow] 2 2 2 3 2" xfId="44221"/>
    <cellStyle name="Input [yellow] 2 2 2 4" xfId="23755"/>
    <cellStyle name="Input [yellow] 2 2 2 4 2" xfId="44627"/>
    <cellStyle name="Input [yellow] 2 2 2 5" xfId="14613"/>
    <cellStyle name="Input [yellow] 2 2 2 5 2" xfId="35489"/>
    <cellStyle name="Input [yellow] 2 2 2 6" xfId="26751"/>
    <cellStyle name="Input [yellow] 2 2 3" xfId="21683"/>
    <cellStyle name="Input [yellow] 2 2 3 2" xfId="42558"/>
    <cellStyle name="Input [yellow] 2 2 4" xfId="22921"/>
    <cellStyle name="Input [yellow] 2 2 4 2" xfId="43795"/>
    <cellStyle name="Input [yellow] 2 2 5" xfId="22699"/>
    <cellStyle name="Input [yellow] 2 2 5 2" xfId="43574"/>
    <cellStyle name="Input [yellow] 2 2 6" xfId="12794"/>
    <cellStyle name="Input [yellow] 2 2 6 2" xfId="33671"/>
    <cellStyle name="Input [yellow] 2 2 7" xfId="24921"/>
    <cellStyle name="Input [yellow] 2 3" xfId="9286"/>
    <cellStyle name="Input [yellow] 2 3 2" xfId="23890"/>
    <cellStyle name="Input [yellow] 2 3 2 2" xfId="44762"/>
    <cellStyle name="Input [yellow] 2 3 3" xfId="23752"/>
    <cellStyle name="Input [yellow] 2 3 3 2" xfId="44624"/>
    <cellStyle name="Input [yellow] 2 3 4" xfId="18285"/>
    <cellStyle name="Input [yellow] 2 3 4 2" xfId="39161"/>
    <cellStyle name="Input [yellow] 2 3 5" xfId="30423"/>
    <cellStyle name="Input [yellow] 2 4" xfId="21447"/>
    <cellStyle name="Input [yellow] 2 4 2" xfId="42322"/>
    <cellStyle name="Input [yellow] 2 5" xfId="12213"/>
    <cellStyle name="Input [yellow] 2 5 2" xfId="33102"/>
    <cellStyle name="Input [yellow] 2 6" xfId="24317"/>
    <cellStyle name="Input [yellow] 3" xfId="3330"/>
    <cellStyle name="Input [yellow] 3 2" xfId="5603"/>
    <cellStyle name="Input [yellow] 3 2 2" xfId="22311"/>
    <cellStyle name="Input [yellow] 3 2 2 2" xfId="43186"/>
    <cellStyle name="Input [yellow] 3 2 3" xfId="22843"/>
    <cellStyle name="Input [yellow] 3 2 3 2" xfId="43718"/>
    <cellStyle name="Input [yellow] 3 2 4" xfId="23710"/>
    <cellStyle name="Input [yellow] 3 2 4 2" xfId="44582"/>
    <cellStyle name="Input [yellow] 3 2 5" xfId="14612"/>
    <cellStyle name="Input [yellow] 3 2 5 2" xfId="35488"/>
    <cellStyle name="Input [yellow] 3 2 6" xfId="26750"/>
    <cellStyle name="Input [yellow] 3 3" xfId="21682"/>
    <cellStyle name="Input [yellow] 3 3 2" xfId="42557"/>
    <cellStyle name="Input [yellow] 3 4" xfId="22671"/>
    <cellStyle name="Input [yellow] 3 4 2" xfId="43546"/>
    <cellStyle name="Input [yellow] 3 5" xfId="21722"/>
    <cellStyle name="Input [yellow] 3 5 2" xfId="42597"/>
    <cellStyle name="Input [yellow] 3 6" xfId="12793"/>
    <cellStyle name="Input [yellow] 3 6 2" xfId="33670"/>
    <cellStyle name="Input [yellow] 3 7" xfId="24920"/>
    <cellStyle name="Input [yellow] 4" xfId="9285"/>
    <cellStyle name="Input [yellow] 4 2" xfId="22204"/>
    <cellStyle name="Input [yellow] 4 2 2" xfId="43079"/>
    <cellStyle name="Input [yellow] 4 3" xfId="20841"/>
    <cellStyle name="Input [yellow] 4 3 2" xfId="41717"/>
    <cellStyle name="Input [yellow] 4 4" xfId="18284"/>
    <cellStyle name="Input [yellow] 4 4 2" xfId="39160"/>
    <cellStyle name="Input [yellow] 4 5" xfId="30422"/>
    <cellStyle name="Input [yellow] 5" xfId="12188"/>
    <cellStyle name="Input [yellow] 5 2" xfId="33087"/>
    <cellStyle name="Input [yellow] 6" xfId="21132"/>
    <cellStyle name="Input [yellow] 6 2" xfId="42007"/>
    <cellStyle name="Input [yellow] 7" xfId="12109"/>
    <cellStyle name="Input [yellow] 7 2" xfId="33009"/>
    <cellStyle name="Input [yellow] 8" xfId="24176"/>
    <cellStyle name="Input [yellow] 8 2" xfId="45046"/>
    <cellStyle name="Input [yellow] 9" xfId="24183"/>
    <cellStyle name="Input [yellow] 9 2" xfId="45051"/>
    <cellStyle name="Input 10" xfId="4275"/>
    <cellStyle name="Input 10 2" xfId="6159"/>
    <cellStyle name="Input 10 2 2" xfId="22464"/>
    <cellStyle name="Input 10 2 2 2" xfId="43339"/>
    <cellStyle name="Input 10 2 3" xfId="21190"/>
    <cellStyle name="Input 10 2 3 2" xfId="42065"/>
    <cellStyle name="Input 10 2 4" xfId="23692"/>
    <cellStyle name="Input 10 2 4 2" xfId="44564"/>
    <cellStyle name="Input 10 2 5" xfId="15168"/>
    <cellStyle name="Input 10 2 5 2" xfId="36044"/>
    <cellStyle name="Input 10 2 6" xfId="27306"/>
    <cellStyle name="Input 10 3" xfId="21911"/>
    <cellStyle name="Input 10 3 2" xfId="42786"/>
    <cellStyle name="Input 10 4" xfId="22112"/>
    <cellStyle name="Input 10 4 2" xfId="42987"/>
    <cellStyle name="Input 10 5" xfId="21619"/>
    <cellStyle name="Input 10 5 2" xfId="42494"/>
    <cellStyle name="Input 10 6" xfId="13350"/>
    <cellStyle name="Input 10 6 2" xfId="34226"/>
    <cellStyle name="Input 10 7" xfId="25488"/>
    <cellStyle name="Input 11" xfId="5169"/>
    <cellStyle name="Input 11 2" xfId="22230"/>
    <cellStyle name="Input 11 2 2" xfId="43105"/>
    <cellStyle name="Input 11 3" xfId="21053"/>
    <cellStyle name="Input 11 3 2" xfId="41928"/>
    <cellStyle name="Input 11 4" xfId="23764"/>
    <cellStyle name="Input 11 4 2" xfId="44636"/>
    <cellStyle name="Input 11 5" xfId="14178"/>
    <cellStyle name="Input 11 5 2" xfId="35054"/>
    <cellStyle name="Input 11 6" xfId="26316"/>
    <cellStyle name="Input 12" xfId="6971"/>
    <cellStyle name="Input 12 2" xfId="22729"/>
    <cellStyle name="Input 12 2 2" xfId="43604"/>
    <cellStyle name="Input 12 3" xfId="21075"/>
    <cellStyle name="Input 12 3 2" xfId="41950"/>
    <cellStyle name="Input 12 4" xfId="22368"/>
    <cellStyle name="Input 12 4 2" xfId="43243"/>
    <cellStyle name="Input 12 5" xfId="15979"/>
    <cellStyle name="Input 12 5 2" xfId="36855"/>
    <cellStyle name="Input 12 6" xfId="28117"/>
    <cellStyle name="Input 13" xfId="6970"/>
    <cellStyle name="Input 13 2" xfId="22728"/>
    <cellStyle name="Input 13 2 2" xfId="43603"/>
    <cellStyle name="Input 13 3" xfId="21288"/>
    <cellStyle name="Input 13 3 2" xfId="42163"/>
    <cellStyle name="Input 13 4" xfId="23917"/>
    <cellStyle name="Input 13 4 2" xfId="44789"/>
    <cellStyle name="Input 13 5" xfId="15978"/>
    <cellStyle name="Input 13 5 2" xfId="36854"/>
    <cellStyle name="Input 13 6" xfId="28116"/>
    <cellStyle name="Input 14" xfId="7616"/>
    <cellStyle name="Input 14 2" xfId="22834"/>
    <cellStyle name="Input 14 2 2" xfId="43709"/>
    <cellStyle name="Input 14 3" xfId="21342"/>
    <cellStyle name="Input 14 3 2" xfId="42217"/>
    <cellStyle name="Input 14 4" xfId="22866"/>
    <cellStyle name="Input 14 4 2" xfId="43740"/>
    <cellStyle name="Input 14 5" xfId="16622"/>
    <cellStyle name="Input 14 5 2" xfId="37498"/>
    <cellStyle name="Input 14 6" xfId="28760"/>
    <cellStyle name="Input 15" xfId="8265"/>
    <cellStyle name="Input 15 2" xfId="22954"/>
    <cellStyle name="Input 15 2 2" xfId="43827"/>
    <cellStyle name="Input 15 3" xfId="21343"/>
    <cellStyle name="Input 15 3 2" xfId="42218"/>
    <cellStyle name="Input 15 4" xfId="22366"/>
    <cellStyle name="Input 15 4 2" xfId="43241"/>
    <cellStyle name="Input 15 5" xfId="17270"/>
    <cellStyle name="Input 15 5 2" xfId="38146"/>
    <cellStyle name="Input 15 6" xfId="29408"/>
    <cellStyle name="Input 16" xfId="9284"/>
    <cellStyle name="Input 16 2" xfId="23301"/>
    <cellStyle name="Input 16 2 2" xfId="44173"/>
    <cellStyle name="Input 16 3" xfId="22715"/>
    <cellStyle name="Input 16 3 2" xfId="43590"/>
    <cellStyle name="Input 16 4" xfId="21014"/>
    <cellStyle name="Input 16 4 2" xfId="41889"/>
    <cellStyle name="Input 16 5" xfId="18283"/>
    <cellStyle name="Input 16 5 2" xfId="39159"/>
    <cellStyle name="Input 16 6" xfId="30421"/>
    <cellStyle name="Input 17" xfId="9277"/>
    <cellStyle name="Input 17 2" xfId="23300"/>
    <cellStyle name="Input 17 2 2" xfId="44172"/>
    <cellStyle name="Input 17 3" xfId="22640"/>
    <cellStyle name="Input 17 3 2" xfId="43515"/>
    <cellStyle name="Input 17 4" xfId="21333"/>
    <cellStyle name="Input 17 4 2" xfId="42208"/>
    <cellStyle name="Input 17 5" xfId="18276"/>
    <cellStyle name="Input 17 5 2" xfId="39152"/>
    <cellStyle name="Input 17 6" xfId="30414"/>
    <cellStyle name="Input 18" xfId="10162"/>
    <cellStyle name="Input 18 2" xfId="23447"/>
    <cellStyle name="Input 18 2 2" xfId="44319"/>
    <cellStyle name="Input 18 3" xfId="23402"/>
    <cellStyle name="Input 18 3 2" xfId="44274"/>
    <cellStyle name="Input 18 4" xfId="23162"/>
    <cellStyle name="Input 18 4 2" xfId="44035"/>
    <cellStyle name="Input 18 5" xfId="18933"/>
    <cellStyle name="Input 18 5 2" xfId="39809"/>
    <cellStyle name="Input 18 6" xfId="31073"/>
    <cellStyle name="Input 19" xfId="21446"/>
    <cellStyle name="Input 19 2" xfId="42321"/>
    <cellStyle name="Input 2" xfId="2687"/>
    <cellStyle name="Input 2 2" xfId="4277"/>
    <cellStyle name="Input 2 2 2" xfId="6160"/>
    <cellStyle name="Input 2 2 2 2" xfId="22465"/>
    <cellStyle name="Input 2 2 2 2 2" xfId="43340"/>
    <cellStyle name="Input 2 2 2 3" xfId="21025"/>
    <cellStyle name="Input 2 2 2 3 2" xfId="41900"/>
    <cellStyle name="Input 2 2 2 4" xfId="23389"/>
    <cellStyle name="Input 2 2 2 4 2" xfId="44261"/>
    <cellStyle name="Input 2 2 2 5" xfId="15169"/>
    <cellStyle name="Input 2 2 2 5 2" xfId="36045"/>
    <cellStyle name="Input 2 2 2 6" xfId="27307"/>
    <cellStyle name="Input 2 2 3" xfId="21912"/>
    <cellStyle name="Input 2 2 3 2" xfId="42787"/>
    <cellStyle name="Input 2 2 4" xfId="21307"/>
    <cellStyle name="Input 2 2 4 2" xfId="42182"/>
    <cellStyle name="Input 2 2 5" xfId="23401"/>
    <cellStyle name="Input 2 2 5 2" xfId="44273"/>
    <cellStyle name="Input 2 2 6" xfId="13351"/>
    <cellStyle name="Input 2 2 6 2" xfId="34227"/>
    <cellStyle name="Input 2 2 7" xfId="25489"/>
    <cellStyle name="Input 2 3" xfId="8266"/>
    <cellStyle name="Input 2 3 2" xfId="22955"/>
    <cellStyle name="Input 2 3 2 2" xfId="43828"/>
    <cellStyle name="Input 2 3 3" xfId="23309"/>
    <cellStyle name="Input 2 3 3 2" xfId="44181"/>
    <cellStyle name="Input 2 3 4" xfId="22802"/>
    <cellStyle name="Input 2 3 4 2" xfId="43677"/>
    <cellStyle name="Input 2 3 5" xfId="17271"/>
    <cellStyle name="Input 2 3 5 2" xfId="38147"/>
    <cellStyle name="Input 2 3 6" xfId="29409"/>
    <cellStyle name="Input 2 4" xfId="21448"/>
    <cellStyle name="Input 2 4 2" xfId="42323"/>
    <cellStyle name="Input 2 5" xfId="22371"/>
    <cellStyle name="Input 2 5 2" xfId="43246"/>
    <cellStyle name="Input 2 6" xfId="23856"/>
    <cellStyle name="Input 2 6 2" xfId="44728"/>
    <cellStyle name="Input 2 7" xfId="12214"/>
    <cellStyle name="Input 2 7 2" xfId="33103"/>
    <cellStyle name="Input 2 8" xfId="24318"/>
    <cellStyle name="Input 20" xfId="22718"/>
    <cellStyle name="Input 20 2" xfId="43593"/>
    <cellStyle name="Input 21" xfId="23647"/>
    <cellStyle name="Input 21 2" xfId="44519"/>
    <cellStyle name="Input 22" xfId="21738"/>
    <cellStyle name="Input 22 2" xfId="42613"/>
    <cellStyle name="Input 23" xfId="12212"/>
    <cellStyle name="Input 23 2" xfId="33101"/>
    <cellStyle name="Input 24" xfId="24316"/>
    <cellStyle name="Input 3" xfId="2688"/>
    <cellStyle name="Input 3 2" xfId="4278"/>
    <cellStyle name="Input 3 2 2" xfId="6161"/>
    <cellStyle name="Input 3 2 2 2" xfId="22466"/>
    <cellStyle name="Input 3 2 2 2 2" xfId="43341"/>
    <cellStyle name="Input 3 2 2 3" xfId="21091"/>
    <cellStyle name="Input 3 2 2 3 2" xfId="41966"/>
    <cellStyle name="Input 3 2 2 4" xfId="21616"/>
    <cellStyle name="Input 3 2 2 4 2" xfId="42491"/>
    <cellStyle name="Input 3 2 2 5" xfId="15170"/>
    <cellStyle name="Input 3 2 2 5 2" xfId="36046"/>
    <cellStyle name="Input 3 2 2 6" xfId="27308"/>
    <cellStyle name="Input 3 2 3" xfId="21913"/>
    <cellStyle name="Input 3 2 3 2" xfId="42788"/>
    <cellStyle name="Input 3 2 4" xfId="21395"/>
    <cellStyle name="Input 3 2 4 2" xfId="42270"/>
    <cellStyle name="Input 3 2 5" xfId="21244"/>
    <cellStyle name="Input 3 2 5 2" xfId="42119"/>
    <cellStyle name="Input 3 2 6" xfId="13352"/>
    <cellStyle name="Input 3 2 6 2" xfId="34228"/>
    <cellStyle name="Input 3 2 7" xfId="25490"/>
    <cellStyle name="Input 3 3" xfId="8267"/>
    <cellStyle name="Input 3 3 2" xfId="22956"/>
    <cellStyle name="Input 3 3 2 2" xfId="43829"/>
    <cellStyle name="Input 3 3 3" xfId="21702"/>
    <cellStyle name="Input 3 3 3 2" xfId="42577"/>
    <cellStyle name="Input 3 3 4" xfId="23959"/>
    <cellStyle name="Input 3 3 4 2" xfId="44831"/>
    <cellStyle name="Input 3 3 5" xfId="17272"/>
    <cellStyle name="Input 3 3 5 2" xfId="38148"/>
    <cellStyle name="Input 3 3 6" xfId="29410"/>
    <cellStyle name="Input 3 4" xfId="21449"/>
    <cellStyle name="Input 3 4 2" xfId="42324"/>
    <cellStyle name="Input 3 5" xfId="24035"/>
    <cellStyle name="Input 3 5 2" xfId="44907"/>
    <cellStyle name="Input 3 6" xfId="22724"/>
    <cellStyle name="Input 3 6 2" xfId="43599"/>
    <cellStyle name="Input 3 7" xfId="12215"/>
    <cellStyle name="Input 3 7 2" xfId="33104"/>
    <cellStyle name="Input 3 8" xfId="24319"/>
    <cellStyle name="Input 4" xfId="2689"/>
    <cellStyle name="Input 4 2" xfId="4279"/>
    <cellStyle name="Input 4 2 2" xfId="6162"/>
    <cellStyle name="Input 4 2 2 2" xfId="22467"/>
    <cellStyle name="Input 4 2 2 2 2" xfId="43342"/>
    <cellStyle name="Input 4 2 2 3" xfId="21850"/>
    <cellStyle name="Input 4 2 2 3 2" xfId="42725"/>
    <cellStyle name="Input 4 2 2 4" xfId="23376"/>
    <cellStyle name="Input 4 2 2 4 2" xfId="44248"/>
    <cellStyle name="Input 4 2 2 5" xfId="15171"/>
    <cellStyle name="Input 4 2 2 5 2" xfId="36047"/>
    <cellStyle name="Input 4 2 2 6" xfId="27309"/>
    <cellStyle name="Input 4 2 3" xfId="21914"/>
    <cellStyle name="Input 4 2 3 2" xfId="42789"/>
    <cellStyle name="Input 4 2 4" xfId="23735"/>
    <cellStyle name="Input 4 2 4 2" xfId="44607"/>
    <cellStyle name="Input 4 2 5" xfId="22710"/>
    <cellStyle name="Input 4 2 5 2" xfId="43585"/>
    <cellStyle name="Input 4 2 6" xfId="13353"/>
    <cellStyle name="Input 4 2 6 2" xfId="34229"/>
    <cellStyle name="Input 4 2 7" xfId="25491"/>
    <cellStyle name="Input 4 3" xfId="8268"/>
    <cellStyle name="Input 4 3 2" xfId="22957"/>
    <cellStyle name="Input 4 3 2 2" xfId="43830"/>
    <cellStyle name="Input 4 3 3" xfId="22822"/>
    <cellStyle name="Input 4 3 3 2" xfId="43697"/>
    <cellStyle name="Input 4 3 4" xfId="24123"/>
    <cellStyle name="Input 4 3 4 2" xfId="44994"/>
    <cellStyle name="Input 4 3 5" xfId="17273"/>
    <cellStyle name="Input 4 3 5 2" xfId="38149"/>
    <cellStyle name="Input 4 3 6" xfId="29411"/>
    <cellStyle name="Input 4 4" xfId="21450"/>
    <cellStyle name="Input 4 4 2" xfId="42325"/>
    <cellStyle name="Input 4 5" xfId="22288"/>
    <cellStyle name="Input 4 5 2" xfId="43163"/>
    <cellStyle name="Input 4 6" xfId="21415"/>
    <cellStyle name="Input 4 6 2" xfId="42290"/>
    <cellStyle name="Input 4 7" xfId="12216"/>
    <cellStyle name="Input 4 7 2" xfId="33105"/>
    <cellStyle name="Input 4 8" xfId="24320"/>
    <cellStyle name="Input 5" xfId="2690"/>
    <cellStyle name="Input 5 2" xfId="4280"/>
    <cellStyle name="Input 5 2 2" xfId="6163"/>
    <cellStyle name="Input 5 2 2 2" xfId="22468"/>
    <cellStyle name="Input 5 2 2 2 2" xfId="43343"/>
    <cellStyle name="Input 5 2 2 3" xfId="22670"/>
    <cellStyle name="Input 5 2 2 3 2" xfId="43545"/>
    <cellStyle name="Input 5 2 2 4" xfId="21894"/>
    <cellStyle name="Input 5 2 2 4 2" xfId="42769"/>
    <cellStyle name="Input 5 2 2 5" xfId="15172"/>
    <cellStyle name="Input 5 2 2 5 2" xfId="36048"/>
    <cellStyle name="Input 5 2 2 6" xfId="27310"/>
    <cellStyle name="Input 5 2 3" xfId="21915"/>
    <cellStyle name="Input 5 2 3 2" xfId="42790"/>
    <cellStyle name="Input 5 2 4" xfId="23635"/>
    <cellStyle name="Input 5 2 4 2" xfId="44507"/>
    <cellStyle name="Input 5 2 5" xfId="23909"/>
    <cellStyle name="Input 5 2 5 2" xfId="44781"/>
    <cellStyle name="Input 5 2 6" xfId="13354"/>
    <cellStyle name="Input 5 2 6 2" xfId="34230"/>
    <cellStyle name="Input 5 2 7" xfId="25492"/>
    <cellStyle name="Input 5 3" xfId="8269"/>
    <cellStyle name="Input 5 3 2" xfId="22958"/>
    <cellStyle name="Input 5 3 2 2" xfId="43831"/>
    <cellStyle name="Input 5 3 3" xfId="22934"/>
    <cellStyle name="Input 5 3 3 2" xfId="43808"/>
    <cellStyle name="Input 5 3 4" xfId="23416"/>
    <cellStyle name="Input 5 3 4 2" xfId="44288"/>
    <cellStyle name="Input 5 3 5" xfId="17274"/>
    <cellStyle name="Input 5 3 5 2" xfId="38150"/>
    <cellStyle name="Input 5 3 6" xfId="29412"/>
    <cellStyle name="Input 5 4" xfId="21451"/>
    <cellStyle name="Input 5 4 2" xfId="42326"/>
    <cellStyle name="Input 5 5" xfId="23998"/>
    <cellStyle name="Input 5 5 2" xfId="44870"/>
    <cellStyle name="Input 5 6" xfId="22268"/>
    <cellStyle name="Input 5 6 2" xfId="43143"/>
    <cellStyle name="Input 5 7" xfId="12217"/>
    <cellStyle name="Input 5 7 2" xfId="33106"/>
    <cellStyle name="Input 5 8" xfId="24321"/>
    <cellStyle name="Input 6" xfId="2691"/>
    <cellStyle name="Input 6 2" xfId="4281"/>
    <cellStyle name="Input 6 2 2" xfId="6164"/>
    <cellStyle name="Input 6 2 2 2" xfId="22469"/>
    <cellStyle name="Input 6 2 2 2 2" xfId="43344"/>
    <cellStyle name="Input 6 2 2 3" xfId="23405"/>
    <cellStyle name="Input 6 2 2 3 2" xfId="44277"/>
    <cellStyle name="Input 6 2 2 4" xfId="23341"/>
    <cellStyle name="Input 6 2 2 4 2" xfId="44213"/>
    <cellStyle name="Input 6 2 2 5" xfId="15173"/>
    <cellStyle name="Input 6 2 2 5 2" xfId="36049"/>
    <cellStyle name="Input 6 2 2 6" xfId="27311"/>
    <cellStyle name="Input 6 2 3" xfId="21916"/>
    <cellStyle name="Input 6 2 3 2" xfId="42791"/>
    <cellStyle name="Input 6 2 4" xfId="23167"/>
    <cellStyle name="Input 6 2 4 2" xfId="44040"/>
    <cellStyle name="Input 6 2 5" xfId="23189"/>
    <cellStyle name="Input 6 2 5 2" xfId="44062"/>
    <cellStyle name="Input 6 2 6" xfId="13355"/>
    <cellStyle name="Input 6 2 6 2" xfId="34231"/>
    <cellStyle name="Input 6 2 7" xfId="25493"/>
    <cellStyle name="Input 6 3" xfId="8270"/>
    <cellStyle name="Input 6 3 2" xfId="22959"/>
    <cellStyle name="Input 6 3 2 2" xfId="43832"/>
    <cellStyle name="Input 6 3 3" xfId="23925"/>
    <cellStyle name="Input 6 3 3 2" xfId="44797"/>
    <cellStyle name="Input 6 3 4" xfId="23700"/>
    <cellStyle name="Input 6 3 4 2" xfId="44572"/>
    <cellStyle name="Input 6 3 5" xfId="17275"/>
    <cellStyle name="Input 6 3 5 2" xfId="38151"/>
    <cellStyle name="Input 6 3 6" xfId="29413"/>
    <cellStyle name="Input 6 4" xfId="21452"/>
    <cellStyle name="Input 6 4 2" xfId="42327"/>
    <cellStyle name="Input 6 5" xfId="21203"/>
    <cellStyle name="Input 6 5 2" xfId="42078"/>
    <cellStyle name="Input 6 6" xfId="21665"/>
    <cellStyle name="Input 6 6 2" xfId="42540"/>
    <cellStyle name="Input 6 7" xfId="12218"/>
    <cellStyle name="Input 6 7 2" xfId="33107"/>
    <cellStyle name="Input 6 8" xfId="24322"/>
    <cellStyle name="Input 7" xfId="2692"/>
    <cellStyle name="Input 7 2" xfId="4282"/>
    <cellStyle name="Input 7 2 2" xfId="6165"/>
    <cellStyle name="Input 7 2 2 2" xfId="22470"/>
    <cellStyle name="Input 7 2 2 2 2" xfId="43345"/>
    <cellStyle name="Input 7 2 2 3" xfId="21727"/>
    <cellStyle name="Input 7 2 2 3 2" xfId="42602"/>
    <cellStyle name="Input 7 2 2 4" xfId="22437"/>
    <cellStyle name="Input 7 2 2 4 2" xfId="43312"/>
    <cellStyle name="Input 7 2 2 5" xfId="15174"/>
    <cellStyle name="Input 7 2 2 5 2" xfId="36050"/>
    <cellStyle name="Input 7 2 2 6" xfId="27312"/>
    <cellStyle name="Input 7 2 3" xfId="21917"/>
    <cellStyle name="Input 7 2 3 2" xfId="42792"/>
    <cellStyle name="Input 7 2 4" xfId="23639"/>
    <cellStyle name="Input 7 2 4 2" xfId="44511"/>
    <cellStyle name="Input 7 2 5" xfId="21901"/>
    <cellStyle name="Input 7 2 5 2" xfId="42776"/>
    <cellStyle name="Input 7 2 6" xfId="13356"/>
    <cellStyle name="Input 7 2 6 2" xfId="34232"/>
    <cellStyle name="Input 7 2 7" xfId="25494"/>
    <cellStyle name="Input 7 3" xfId="8271"/>
    <cellStyle name="Input 7 3 2" xfId="22960"/>
    <cellStyle name="Input 7 3 2 2" xfId="43833"/>
    <cellStyle name="Input 7 3 3" xfId="20977"/>
    <cellStyle name="Input 7 3 3 2" xfId="41852"/>
    <cellStyle name="Input 7 3 4" xfId="23771"/>
    <cellStyle name="Input 7 3 4 2" xfId="44643"/>
    <cellStyle name="Input 7 3 5" xfId="17276"/>
    <cellStyle name="Input 7 3 5 2" xfId="38152"/>
    <cellStyle name="Input 7 3 6" xfId="29414"/>
    <cellStyle name="Input 7 4" xfId="21453"/>
    <cellStyle name="Input 7 4 2" xfId="42328"/>
    <cellStyle name="Input 7 5" xfId="22933"/>
    <cellStyle name="Input 7 5 2" xfId="43807"/>
    <cellStyle name="Input 7 6" xfId="21019"/>
    <cellStyle name="Input 7 6 2" xfId="41894"/>
    <cellStyle name="Input 7 7" xfId="12219"/>
    <cellStyle name="Input 7 7 2" xfId="33108"/>
    <cellStyle name="Input 7 8" xfId="24323"/>
    <cellStyle name="Input 8" xfId="2693"/>
    <cellStyle name="Input 8 2" xfId="4283"/>
    <cellStyle name="Input 8 2 2" xfId="6166"/>
    <cellStyle name="Input 8 2 2 2" xfId="22471"/>
    <cellStyle name="Input 8 2 2 2 2" xfId="43346"/>
    <cellStyle name="Input 8 2 2 3" xfId="23250"/>
    <cellStyle name="Input 8 2 2 3 2" xfId="44123"/>
    <cellStyle name="Input 8 2 2 4" xfId="21855"/>
    <cellStyle name="Input 8 2 2 4 2" xfId="42730"/>
    <cellStyle name="Input 8 2 2 5" xfId="15175"/>
    <cellStyle name="Input 8 2 2 5 2" xfId="36051"/>
    <cellStyle name="Input 8 2 2 6" xfId="27313"/>
    <cellStyle name="Input 8 2 3" xfId="21918"/>
    <cellStyle name="Input 8 2 3 2" xfId="42793"/>
    <cellStyle name="Input 8 2 4" xfId="23675"/>
    <cellStyle name="Input 8 2 4 2" xfId="44547"/>
    <cellStyle name="Input 8 2 5" xfId="24020"/>
    <cellStyle name="Input 8 2 5 2" xfId="44892"/>
    <cellStyle name="Input 8 2 6" xfId="13357"/>
    <cellStyle name="Input 8 2 6 2" xfId="34233"/>
    <cellStyle name="Input 8 2 7" xfId="25495"/>
    <cellStyle name="Input 8 3" xfId="8272"/>
    <cellStyle name="Input 8 3 2" xfId="22961"/>
    <cellStyle name="Input 8 3 2 2" xfId="43834"/>
    <cellStyle name="Input 8 3 3" xfId="21768"/>
    <cellStyle name="Input 8 3 3 2" xfId="42643"/>
    <cellStyle name="Input 8 3 4" xfId="21099"/>
    <cellStyle name="Input 8 3 4 2" xfId="41974"/>
    <cellStyle name="Input 8 3 5" xfId="17277"/>
    <cellStyle name="Input 8 3 5 2" xfId="38153"/>
    <cellStyle name="Input 8 3 6" xfId="29415"/>
    <cellStyle name="Input 8 4" xfId="21454"/>
    <cellStyle name="Input 8 4 2" xfId="42329"/>
    <cellStyle name="Input 8 5" xfId="21326"/>
    <cellStyle name="Input 8 5 2" xfId="42201"/>
    <cellStyle name="Input 8 6" xfId="23388"/>
    <cellStyle name="Input 8 6 2" xfId="44260"/>
    <cellStyle name="Input 8 7" xfId="12220"/>
    <cellStyle name="Input 8 7 2" xfId="33109"/>
    <cellStyle name="Input 8 8" xfId="24324"/>
    <cellStyle name="Input 9" xfId="2694"/>
    <cellStyle name="Input 9 2" xfId="4284"/>
    <cellStyle name="Input 9 2 2" xfId="6167"/>
    <cellStyle name="Input 9 2 2 2" xfId="22472"/>
    <cellStyle name="Input 9 2 2 2 2" xfId="43347"/>
    <cellStyle name="Input 9 2 2 3" xfId="22771"/>
    <cellStyle name="Input 9 2 2 3 2" xfId="43646"/>
    <cellStyle name="Input 9 2 2 4" xfId="22857"/>
    <cellStyle name="Input 9 2 2 4 2" xfId="43732"/>
    <cellStyle name="Input 9 2 2 5" xfId="15176"/>
    <cellStyle name="Input 9 2 2 5 2" xfId="36052"/>
    <cellStyle name="Input 9 2 2 6" xfId="27314"/>
    <cellStyle name="Input 9 2 3" xfId="21919"/>
    <cellStyle name="Input 9 2 3 2" xfId="42794"/>
    <cellStyle name="Input 9 2 4" xfId="21647"/>
    <cellStyle name="Input 9 2 4 2" xfId="42522"/>
    <cellStyle name="Input 9 2 5" xfId="23935"/>
    <cellStyle name="Input 9 2 5 2" xfId="44807"/>
    <cellStyle name="Input 9 2 6" xfId="13358"/>
    <cellStyle name="Input 9 2 6 2" xfId="34234"/>
    <cellStyle name="Input 9 2 7" xfId="25496"/>
    <cellStyle name="Input 9 3" xfId="8273"/>
    <cellStyle name="Input 9 3 2" xfId="22962"/>
    <cellStyle name="Input 9 3 2 2" xfId="43835"/>
    <cellStyle name="Input 9 3 3" xfId="22884"/>
    <cellStyle name="Input 9 3 3 2" xfId="43758"/>
    <cellStyle name="Input 9 3 4" xfId="21033"/>
    <cellStyle name="Input 9 3 4 2" xfId="41908"/>
    <cellStyle name="Input 9 3 5" xfId="17278"/>
    <cellStyle name="Input 9 3 5 2" xfId="38154"/>
    <cellStyle name="Input 9 3 6" xfId="29416"/>
    <cellStyle name="Input 9 4" xfId="21455"/>
    <cellStyle name="Input 9 4 2" xfId="42330"/>
    <cellStyle name="Input 9 5" xfId="21413"/>
    <cellStyle name="Input 9 5 2" xfId="42288"/>
    <cellStyle name="Input 9 6" xfId="21434"/>
    <cellStyle name="Input 9 6 2" xfId="42309"/>
    <cellStyle name="Input 9 7" xfId="12221"/>
    <cellStyle name="Input 9 7 2" xfId="33110"/>
    <cellStyle name="Input 9 8" xfId="24325"/>
    <cellStyle name="Link Currency (0)" xfId="1108"/>
    <cellStyle name="Link Currency (2)" xfId="1109"/>
    <cellStyle name="Link Units (0)" xfId="1110"/>
    <cellStyle name="Link Units (1)" xfId="1111"/>
    <cellStyle name="Link Units (2)" xfId="1112"/>
    <cellStyle name="Linked Cell" xfId="2695"/>
    <cellStyle name="Miglia - Stile1" xfId="1113"/>
    <cellStyle name="Miglia - Stile2" xfId="1114"/>
    <cellStyle name="Miglia - Stile3" xfId="1115"/>
    <cellStyle name="Miglia - Stile4" xfId="1116"/>
    <cellStyle name="Miglia - Stile5" xfId="1117"/>
    <cellStyle name="Model" xfId="1118"/>
    <cellStyle name="Model 2" xfId="9208"/>
    <cellStyle name="Model 2 2" xfId="24171"/>
    <cellStyle name="Model 2 2 2" xfId="45041"/>
    <cellStyle name="Neutral" xfId="2696"/>
    <cellStyle name="no dec" xfId="1119"/>
    <cellStyle name="Normal - Stile6" xfId="1120"/>
    <cellStyle name="Normal - Stile7" xfId="1121"/>
    <cellStyle name="Normal - Stile8" xfId="1122"/>
    <cellStyle name="Normal - Style1" xfId="1123"/>
    <cellStyle name="Normal - Style1 2" xfId="4490"/>
    <cellStyle name="Normal - Style1 3" xfId="12189"/>
    <cellStyle name="Normal_ SG&amp;A Bridge " xfId="1124"/>
    <cellStyle name="Note" xfId="2697"/>
    <cellStyle name="Note 10" xfId="22109"/>
    <cellStyle name="Note 10 2" xfId="42984"/>
    <cellStyle name="Note 11" xfId="12222"/>
    <cellStyle name="Note 11 2" xfId="33111"/>
    <cellStyle name="Note 12" xfId="24326"/>
    <cellStyle name="Note 2" xfId="2698"/>
    <cellStyle name="Note 2 2" xfId="4301"/>
    <cellStyle name="Note 2 2 2" xfId="6169"/>
    <cellStyle name="Note 2 2 2 2" xfId="22474"/>
    <cellStyle name="Note 2 2 2 2 2" xfId="43349"/>
    <cellStyle name="Note 2 2 2 3" xfId="24017"/>
    <cellStyle name="Note 2 2 2 3 2" xfId="44889"/>
    <cellStyle name="Note 2 2 2 4" xfId="23693"/>
    <cellStyle name="Note 2 2 2 4 2" xfId="44565"/>
    <cellStyle name="Note 2 2 2 5" xfId="15178"/>
    <cellStyle name="Note 2 2 2 5 2" xfId="36054"/>
    <cellStyle name="Note 2 2 2 6" xfId="27316"/>
    <cellStyle name="Note 2 2 3" xfId="21928"/>
    <cellStyle name="Note 2 2 3 2" xfId="42803"/>
    <cellStyle name="Note 2 2 4" xfId="20852"/>
    <cellStyle name="Note 2 2 4 2" xfId="41728"/>
    <cellStyle name="Note 2 2 5" xfId="23188"/>
    <cellStyle name="Note 2 2 5 2" xfId="44061"/>
    <cellStyle name="Note 2 2 6" xfId="13360"/>
    <cellStyle name="Note 2 2 6 2" xfId="34236"/>
    <cellStyle name="Note 2 2 7" xfId="25498"/>
    <cellStyle name="Note 2 3" xfId="8275"/>
    <cellStyle name="Note 2 3 2" xfId="22964"/>
    <cellStyle name="Note 2 3 2 2" xfId="43837"/>
    <cellStyle name="Note 2 3 3" xfId="20973"/>
    <cellStyle name="Note 2 3 3 2" xfId="41848"/>
    <cellStyle name="Note 2 3 4" xfId="20957"/>
    <cellStyle name="Note 2 3 4 2" xfId="41832"/>
    <cellStyle name="Note 2 3 5" xfId="17280"/>
    <cellStyle name="Note 2 3 5 2" xfId="38156"/>
    <cellStyle name="Note 2 3 6" xfId="29418"/>
    <cellStyle name="Note 2 4" xfId="21457"/>
    <cellStyle name="Note 2 4 2" xfId="42332"/>
    <cellStyle name="Note 2 5" xfId="24115"/>
    <cellStyle name="Note 2 5 2" xfId="44986"/>
    <cellStyle name="Note 2 6" xfId="23734"/>
    <cellStyle name="Note 2 6 2" xfId="44606"/>
    <cellStyle name="Note 2 7" xfId="12223"/>
    <cellStyle name="Note 2 7 2" xfId="33112"/>
    <cellStyle name="Note 2 8" xfId="24327"/>
    <cellStyle name="Note 3" xfId="2699"/>
    <cellStyle name="Note 3 2" xfId="4302"/>
    <cellStyle name="Note 3 2 2" xfId="6170"/>
    <cellStyle name="Note 3 2 2 2" xfId="22475"/>
    <cellStyle name="Note 3 2 2 2 2" xfId="43350"/>
    <cellStyle name="Note 3 2 2 3" xfId="22655"/>
    <cellStyle name="Note 3 2 2 3 2" xfId="43530"/>
    <cellStyle name="Note 3 2 2 4" xfId="23428"/>
    <cellStyle name="Note 3 2 2 4 2" xfId="44300"/>
    <cellStyle name="Note 3 2 2 5" xfId="15179"/>
    <cellStyle name="Note 3 2 2 5 2" xfId="36055"/>
    <cellStyle name="Note 3 2 2 6" xfId="27317"/>
    <cellStyle name="Note 3 2 3" xfId="21929"/>
    <cellStyle name="Note 3 2 3 2" xfId="42804"/>
    <cellStyle name="Note 3 2 4" xfId="21005"/>
    <cellStyle name="Note 3 2 4 2" xfId="41880"/>
    <cellStyle name="Note 3 2 5" xfId="23660"/>
    <cellStyle name="Note 3 2 5 2" xfId="44532"/>
    <cellStyle name="Note 3 2 6" xfId="13361"/>
    <cellStyle name="Note 3 2 6 2" xfId="34237"/>
    <cellStyle name="Note 3 2 7" xfId="25499"/>
    <cellStyle name="Note 3 3" xfId="8276"/>
    <cellStyle name="Note 3 3 2" xfId="22965"/>
    <cellStyle name="Note 3 3 2 2" xfId="43838"/>
    <cellStyle name="Note 3 3 3" xfId="21117"/>
    <cellStyle name="Note 3 3 3 2" xfId="41992"/>
    <cellStyle name="Note 3 3 4" xfId="24007"/>
    <cellStyle name="Note 3 3 4 2" xfId="44879"/>
    <cellStyle name="Note 3 3 5" xfId="17281"/>
    <cellStyle name="Note 3 3 5 2" xfId="38157"/>
    <cellStyle name="Note 3 3 6" xfId="29419"/>
    <cellStyle name="Note 3 4" xfId="21458"/>
    <cellStyle name="Note 3 4 2" xfId="42333"/>
    <cellStyle name="Note 3 5" xfId="23951"/>
    <cellStyle name="Note 3 5 2" xfId="44823"/>
    <cellStyle name="Note 3 6" xfId="23894"/>
    <cellStyle name="Note 3 6 2" xfId="44766"/>
    <cellStyle name="Note 3 7" xfId="12224"/>
    <cellStyle name="Note 3 7 2" xfId="33113"/>
    <cellStyle name="Note 3 8" xfId="24328"/>
    <cellStyle name="Note 4" xfId="2700"/>
    <cellStyle name="Note 4 2" xfId="4303"/>
    <cellStyle name="Note 4 2 2" xfId="6171"/>
    <cellStyle name="Note 4 2 2 2" xfId="22476"/>
    <cellStyle name="Note 4 2 2 2 2" xfId="43351"/>
    <cellStyle name="Note 4 2 2 3" xfId="23976"/>
    <cellStyle name="Note 4 2 2 3 2" xfId="44848"/>
    <cellStyle name="Note 4 2 2 4" xfId="22211"/>
    <cellStyle name="Note 4 2 2 4 2" xfId="43086"/>
    <cellStyle name="Note 4 2 2 5" xfId="15180"/>
    <cellStyle name="Note 4 2 2 5 2" xfId="36056"/>
    <cellStyle name="Note 4 2 2 6" xfId="27318"/>
    <cellStyle name="Note 4 2 3" xfId="21930"/>
    <cellStyle name="Note 4 2 3 2" xfId="42805"/>
    <cellStyle name="Note 4 2 4" xfId="21370"/>
    <cellStyle name="Note 4 2 4 2" xfId="42245"/>
    <cellStyle name="Note 4 2 5" xfId="21131"/>
    <cellStyle name="Note 4 2 5 2" xfId="42006"/>
    <cellStyle name="Note 4 2 6" xfId="13362"/>
    <cellStyle name="Note 4 2 6 2" xfId="34238"/>
    <cellStyle name="Note 4 2 7" xfId="25500"/>
    <cellStyle name="Note 4 3" xfId="8277"/>
    <cellStyle name="Note 4 3 2" xfId="22966"/>
    <cellStyle name="Note 4 3 2 2" xfId="43839"/>
    <cellStyle name="Note 4 3 3" xfId="23308"/>
    <cellStyle name="Note 4 3 3 2" xfId="44180"/>
    <cellStyle name="Note 4 3 4" xfId="22113"/>
    <cellStyle name="Note 4 3 4 2" xfId="42988"/>
    <cellStyle name="Note 4 3 5" xfId="17282"/>
    <cellStyle name="Note 4 3 5 2" xfId="38158"/>
    <cellStyle name="Note 4 3 6" xfId="29420"/>
    <cellStyle name="Note 4 4" xfId="21459"/>
    <cellStyle name="Note 4 4 2" xfId="42334"/>
    <cellStyle name="Note 4 5" xfId="22638"/>
    <cellStyle name="Note 4 5 2" xfId="43513"/>
    <cellStyle name="Note 4 6" xfId="21820"/>
    <cellStyle name="Note 4 6 2" xfId="42695"/>
    <cellStyle name="Note 4 7" xfId="12225"/>
    <cellStyle name="Note 4 7 2" xfId="33114"/>
    <cellStyle name="Note 4 8" xfId="24329"/>
    <cellStyle name="Note 5" xfId="2701"/>
    <cellStyle name="Note 5 2" xfId="4304"/>
    <cellStyle name="Note 5 2 2" xfId="6172"/>
    <cellStyle name="Note 5 2 2 2" xfId="22477"/>
    <cellStyle name="Note 5 2 2 2 2" xfId="43352"/>
    <cellStyle name="Note 5 2 2 3" xfId="21215"/>
    <cellStyle name="Note 5 2 2 3 2" xfId="42090"/>
    <cellStyle name="Note 5 2 2 4" xfId="23812"/>
    <cellStyle name="Note 5 2 2 4 2" xfId="44684"/>
    <cellStyle name="Note 5 2 2 5" xfId="15181"/>
    <cellStyle name="Note 5 2 2 5 2" xfId="36057"/>
    <cellStyle name="Note 5 2 2 6" xfId="27319"/>
    <cellStyle name="Note 5 2 3" xfId="21931"/>
    <cellStyle name="Note 5 2 3 2" xfId="42806"/>
    <cellStyle name="Note 5 2 4" xfId="21586"/>
    <cellStyle name="Note 5 2 4 2" xfId="42461"/>
    <cellStyle name="Note 5 2 5" xfId="21827"/>
    <cellStyle name="Note 5 2 5 2" xfId="42702"/>
    <cellStyle name="Note 5 2 6" xfId="13363"/>
    <cellStyle name="Note 5 2 6 2" xfId="34239"/>
    <cellStyle name="Note 5 2 7" xfId="25501"/>
    <cellStyle name="Note 5 3" xfId="8278"/>
    <cellStyle name="Note 5 3 2" xfId="22967"/>
    <cellStyle name="Note 5 3 2 2" xfId="43840"/>
    <cellStyle name="Note 5 3 3" xfId="23713"/>
    <cellStyle name="Note 5 3 3 2" xfId="44585"/>
    <cellStyle name="Note 5 3 4" xfId="24043"/>
    <cellStyle name="Note 5 3 4 2" xfId="44915"/>
    <cellStyle name="Note 5 3 5" xfId="17283"/>
    <cellStyle name="Note 5 3 5 2" xfId="38159"/>
    <cellStyle name="Note 5 3 6" xfId="29421"/>
    <cellStyle name="Note 5 4" xfId="21460"/>
    <cellStyle name="Note 5 4 2" xfId="42335"/>
    <cellStyle name="Note 5 5" xfId="22774"/>
    <cellStyle name="Note 5 5 2" xfId="43649"/>
    <cellStyle name="Note 5 6" xfId="22290"/>
    <cellStyle name="Note 5 6 2" xfId="43165"/>
    <cellStyle name="Note 5 7" xfId="12226"/>
    <cellStyle name="Note 5 7 2" xfId="33115"/>
    <cellStyle name="Note 5 8" xfId="24330"/>
    <cellStyle name="Note 6" xfId="4300"/>
    <cellStyle name="Note 6 2" xfId="6168"/>
    <cellStyle name="Note 6 2 2" xfId="22473"/>
    <cellStyle name="Note 6 2 2 2" xfId="43348"/>
    <cellStyle name="Note 6 2 3" xfId="22653"/>
    <cellStyle name="Note 6 2 3 2" xfId="43528"/>
    <cellStyle name="Note 6 2 4" xfId="23284"/>
    <cellStyle name="Note 6 2 4 2" xfId="44157"/>
    <cellStyle name="Note 6 2 5" xfId="15177"/>
    <cellStyle name="Note 6 2 5 2" xfId="36053"/>
    <cellStyle name="Note 6 2 6" xfId="27315"/>
    <cellStyle name="Note 6 3" xfId="21927"/>
    <cellStyle name="Note 6 3 2" xfId="42802"/>
    <cellStyle name="Note 6 4" xfId="24066"/>
    <cellStyle name="Note 6 4 2" xfId="44938"/>
    <cellStyle name="Note 6 5" xfId="22269"/>
    <cellStyle name="Note 6 5 2" xfId="43144"/>
    <cellStyle name="Note 6 6" xfId="13359"/>
    <cellStyle name="Note 6 6 2" xfId="34235"/>
    <cellStyle name="Note 6 7" xfId="25497"/>
    <cellStyle name="Note 7" xfId="8274"/>
    <cellStyle name="Note 7 2" xfId="22963"/>
    <cellStyle name="Note 7 2 2" xfId="43836"/>
    <cellStyle name="Note 7 3" xfId="22711"/>
    <cellStyle name="Note 7 3 2" xfId="43586"/>
    <cellStyle name="Note 7 4" xfId="22156"/>
    <cellStyle name="Note 7 4 2" xfId="43031"/>
    <cellStyle name="Note 7 5" xfId="17279"/>
    <cellStyle name="Note 7 5 2" xfId="38155"/>
    <cellStyle name="Note 7 6" xfId="29417"/>
    <cellStyle name="Note 8" xfId="21456"/>
    <cellStyle name="Note 8 2" xfId="42331"/>
    <cellStyle name="Note 9" xfId="23420"/>
    <cellStyle name="Note 9 2" xfId="44292"/>
    <cellStyle name="Œ…?æ맖?e [0.00]_laroux" xfId="1125"/>
    <cellStyle name="Œ…?æ맖?e_laroux" xfId="1126"/>
    <cellStyle name="Output" xfId="2702"/>
    <cellStyle name="Output 10" xfId="24078"/>
    <cellStyle name="Output 10 2" xfId="44950"/>
    <cellStyle name="Output 11" xfId="23923"/>
    <cellStyle name="Output 11 2" xfId="44795"/>
    <cellStyle name="Output 12" xfId="12227"/>
    <cellStyle name="Output 12 2" xfId="33116"/>
    <cellStyle name="Output 13" xfId="24331"/>
    <cellStyle name="Output 2" xfId="2703"/>
    <cellStyle name="Output 2 2" xfId="4308"/>
    <cellStyle name="Output 2 2 2" xfId="6174"/>
    <cellStyle name="Output 2 2 2 2" xfId="22479"/>
    <cellStyle name="Output 2 2 2 2 2" xfId="43354"/>
    <cellStyle name="Output 2 2 2 3" xfId="23975"/>
    <cellStyle name="Output 2 2 2 3 2" xfId="44847"/>
    <cellStyle name="Output 2 2 2 4" xfId="21712"/>
    <cellStyle name="Output 2 2 2 4 2" xfId="42587"/>
    <cellStyle name="Output 2 2 2 5" xfId="15183"/>
    <cellStyle name="Output 2 2 2 5 2" xfId="36059"/>
    <cellStyle name="Output 2 2 2 6" xfId="27321"/>
    <cellStyle name="Output 2 2 3" xfId="21934"/>
    <cellStyle name="Output 2 2 3 2" xfId="42809"/>
    <cellStyle name="Output 2 2 4" xfId="21823"/>
    <cellStyle name="Output 2 2 4 2" xfId="42698"/>
    <cellStyle name="Output 2 2 5" xfId="21254"/>
    <cellStyle name="Output 2 2 5 2" xfId="42129"/>
    <cellStyle name="Output 2 2 6" xfId="13365"/>
    <cellStyle name="Output 2 2 6 2" xfId="34241"/>
    <cellStyle name="Output 2 2 7" xfId="25503"/>
    <cellStyle name="Output 2 3" xfId="8280"/>
    <cellStyle name="Output 2 3 2" xfId="22969"/>
    <cellStyle name="Output 2 3 2 2" xfId="43842"/>
    <cellStyle name="Output 2 3 3" xfId="20974"/>
    <cellStyle name="Output 2 3 3 2" xfId="41849"/>
    <cellStyle name="Output 2 3 4" xfId="22770"/>
    <cellStyle name="Output 2 3 4 2" xfId="43645"/>
    <cellStyle name="Output 2 3 5" xfId="17285"/>
    <cellStyle name="Output 2 3 5 2" xfId="38161"/>
    <cellStyle name="Output 2 3 6" xfId="29423"/>
    <cellStyle name="Output 2 4" xfId="10164"/>
    <cellStyle name="Output 2 4 2" xfId="23449"/>
    <cellStyle name="Output 2 4 2 2" xfId="44321"/>
    <cellStyle name="Output 2 4 3" xfId="22117"/>
    <cellStyle name="Output 2 4 3 2" xfId="42992"/>
    <cellStyle name="Output 2 4 4" xfId="23954"/>
    <cellStyle name="Output 2 4 4 2" xfId="44826"/>
    <cellStyle name="Output 2 4 5" xfId="18935"/>
    <cellStyle name="Output 2 4 5 2" xfId="39811"/>
    <cellStyle name="Output 2 4 6" xfId="31075"/>
    <cellStyle name="Output 2 5" xfId="21462"/>
    <cellStyle name="Output 2 5 2" xfId="42337"/>
    <cellStyle name="Output 2 6" xfId="20854"/>
    <cellStyle name="Output 2 6 2" xfId="41730"/>
    <cellStyle name="Output 2 7" xfId="22164"/>
    <cellStyle name="Output 2 7 2" xfId="43039"/>
    <cellStyle name="Output 2 8" xfId="12228"/>
    <cellStyle name="Output 2 8 2" xfId="33117"/>
    <cellStyle name="Output 2 9" xfId="24332"/>
    <cellStyle name="Output 3" xfId="2704"/>
    <cellStyle name="Output 3 2" xfId="4309"/>
    <cellStyle name="Output 3 2 2" xfId="6175"/>
    <cellStyle name="Output 3 2 2 2" xfId="22480"/>
    <cellStyle name="Output 3 2 2 2 2" xfId="43355"/>
    <cellStyle name="Output 3 2 2 3" xfId="20965"/>
    <cellStyle name="Output 3 2 2 3 2" xfId="41840"/>
    <cellStyle name="Output 3 2 2 4" xfId="23663"/>
    <cellStyle name="Output 3 2 2 4 2" xfId="44535"/>
    <cellStyle name="Output 3 2 2 5" xfId="15184"/>
    <cellStyle name="Output 3 2 2 5 2" xfId="36060"/>
    <cellStyle name="Output 3 2 2 6" xfId="27322"/>
    <cellStyle name="Output 3 2 3" xfId="21935"/>
    <cellStyle name="Output 3 2 3 2" xfId="42810"/>
    <cellStyle name="Output 3 2 4" xfId="22654"/>
    <cellStyle name="Output 3 2 4 2" xfId="43529"/>
    <cellStyle name="Output 3 2 5" xfId="21824"/>
    <cellStyle name="Output 3 2 5 2" xfId="42699"/>
    <cellStyle name="Output 3 2 6" xfId="13366"/>
    <cellStyle name="Output 3 2 6 2" xfId="34242"/>
    <cellStyle name="Output 3 2 7" xfId="25504"/>
    <cellStyle name="Output 3 3" xfId="8281"/>
    <cellStyle name="Output 3 3 2" xfId="22970"/>
    <cellStyle name="Output 3 3 2 2" xfId="43843"/>
    <cellStyle name="Output 3 3 3" xfId="21765"/>
    <cellStyle name="Output 3 3 3 2" xfId="42640"/>
    <cellStyle name="Output 3 3 4" xfId="21299"/>
    <cellStyle name="Output 3 3 4 2" xfId="42174"/>
    <cellStyle name="Output 3 3 5" xfId="17286"/>
    <cellStyle name="Output 3 3 5 2" xfId="38162"/>
    <cellStyle name="Output 3 3 6" xfId="29424"/>
    <cellStyle name="Output 3 4" xfId="10165"/>
    <cellStyle name="Output 3 4 2" xfId="23450"/>
    <cellStyle name="Output 3 4 2 2" xfId="44322"/>
    <cellStyle name="Output 3 4 3" xfId="22658"/>
    <cellStyle name="Output 3 4 3 2" xfId="43533"/>
    <cellStyle name="Output 3 4 4" xfId="24118"/>
    <cellStyle name="Output 3 4 4 2" xfId="44989"/>
    <cellStyle name="Output 3 4 5" xfId="18936"/>
    <cellStyle name="Output 3 4 5 2" xfId="39812"/>
    <cellStyle name="Output 3 4 6" xfId="31076"/>
    <cellStyle name="Output 3 5" xfId="21463"/>
    <cellStyle name="Output 3 5 2" xfId="42338"/>
    <cellStyle name="Output 3 6" xfId="21271"/>
    <cellStyle name="Output 3 6 2" xfId="42146"/>
    <cellStyle name="Output 3 7" xfId="23725"/>
    <cellStyle name="Output 3 7 2" xfId="44597"/>
    <cellStyle name="Output 3 8" xfId="12229"/>
    <cellStyle name="Output 3 8 2" xfId="33118"/>
    <cellStyle name="Output 3 9" xfId="24333"/>
    <cellStyle name="Output 4" xfId="2705"/>
    <cellStyle name="Output 4 2" xfId="4310"/>
    <cellStyle name="Output 4 2 2" xfId="6176"/>
    <cellStyle name="Output 4 2 2 2" xfId="22481"/>
    <cellStyle name="Output 4 2 2 2 2" xfId="43356"/>
    <cellStyle name="Output 4 2 2 3" xfId="21040"/>
    <cellStyle name="Output 4 2 2 3 2" xfId="41915"/>
    <cellStyle name="Output 4 2 2 4" xfId="22930"/>
    <cellStyle name="Output 4 2 2 4 2" xfId="43804"/>
    <cellStyle name="Output 4 2 2 5" xfId="15185"/>
    <cellStyle name="Output 4 2 2 5 2" xfId="36061"/>
    <cellStyle name="Output 4 2 2 6" xfId="27323"/>
    <cellStyle name="Output 4 2 3" xfId="21936"/>
    <cellStyle name="Output 4 2 3 2" xfId="42811"/>
    <cellStyle name="Output 4 2 4" xfId="20952"/>
    <cellStyle name="Output 4 2 4 2" xfId="41827"/>
    <cellStyle name="Output 4 2 5" xfId="22863"/>
    <cellStyle name="Output 4 2 5 2" xfId="43737"/>
    <cellStyle name="Output 4 2 6" xfId="13367"/>
    <cellStyle name="Output 4 2 6 2" xfId="34243"/>
    <cellStyle name="Output 4 2 7" xfId="25505"/>
    <cellStyle name="Output 4 3" xfId="8282"/>
    <cellStyle name="Output 4 3 2" xfId="22971"/>
    <cellStyle name="Output 4 3 2 2" xfId="43844"/>
    <cellStyle name="Output 4 3 3" xfId="21603"/>
    <cellStyle name="Output 4 3 3 2" xfId="42478"/>
    <cellStyle name="Output 4 3 4" xfId="21176"/>
    <cellStyle name="Output 4 3 4 2" xfId="42051"/>
    <cellStyle name="Output 4 3 5" xfId="17287"/>
    <cellStyle name="Output 4 3 5 2" xfId="38163"/>
    <cellStyle name="Output 4 3 6" xfId="29425"/>
    <cellStyle name="Output 4 4" xfId="10166"/>
    <cellStyle name="Output 4 4 2" xfId="23451"/>
    <cellStyle name="Output 4 4 2 2" xfId="44323"/>
    <cellStyle name="Output 4 4 3" xfId="23758"/>
    <cellStyle name="Output 4 4 3 2" xfId="44630"/>
    <cellStyle name="Output 4 4 4" xfId="21842"/>
    <cellStyle name="Output 4 4 4 2" xfId="42717"/>
    <cellStyle name="Output 4 4 5" xfId="18937"/>
    <cellStyle name="Output 4 4 5 2" xfId="39813"/>
    <cellStyle name="Output 4 4 6" xfId="31077"/>
    <cellStyle name="Output 4 5" xfId="21464"/>
    <cellStyle name="Output 4 5 2" xfId="42339"/>
    <cellStyle name="Output 4 6" xfId="21366"/>
    <cellStyle name="Output 4 6 2" xfId="42241"/>
    <cellStyle name="Output 4 7" xfId="22293"/>
    <cellStyle name="Output 4 7 2" xfId="43168"/>
    <cellStyle name="Output 4 8" xfId="12230"/>
    <cellStyle name="Output 4 8 2" xfId="33119"/>
    <cellStyle name="Output 4 9" xfId="24334"/>
    <cellStyle name="Output 5" xfId="2706"/>
    <cellStyle name="Output 5 2" xfId="4311"/>
    <cellStyle name="Output 5 2 2" xfId="6177"/>
    <cellStyle name="Output 5 2 2 2" xfId="22482"/>
    <cellStyle name="Output 5 2 2 2 2" xfId="43357"/>
    <cellStyle name="Output 5 2 2 3" xfId="21107"/>
    <cellStyle name="Output 5 2 2 3 2" xfId="41982"/>
    <cellStyle name="Output 5 2 2 4" xfId="21651"/>
    <cellStyle name="Output 5 2 2 4 2" xfId="42526"/>
    <cellStyle name="Output 5 2 2 5" xfId="15186"/>
    <cellStyle name="Output 5 2 2 5 2" xfId="36062"/>
    <cellStyle name="Output 5 2 2 6" xfId="27324"/>
    <cellStyle name="Output 5 2 3" xfId="21937"/>
    <cellStyle name="Output 5 2 3 2" xfId="42812"/>
    <cellStyle name="Output 5 2 4" xfId="21308"/>
    <cellStyle name="Output 5 2 4 2" xfId="42183"/>
    <cellStyle name="Output 5 2 5" xfId="23266"/>
    <cellStyle name="Output 5 2 5 2" xfId="44139"/>
    <cellStyle name="Output 5 2 6" xfId="13368"/>
    <cellStyle name="Output 5 2 6 2" xfId="34244"/>
    <cellStyle name="Output 5 2 7" xfId="25506"/>
    <cellStyle name="Output 5 3" xfId="8283"/>
    <cellStyle name="Output 5 3 2" xfId="22972"/>
    <cellStyle name="Output 5 3 2 2" xfId="43845"/>
    <cellStyle name="Output 5 3 3" xfId="23874"/>
    <cellStyle name="Output 5 3 3 2" xfId="44746"/>
    <cellStyle name="Output 5 3 4" xfId="21701"/>
    <cellStyle name="Output 5 3 4 2" xfId="42576"/>
    <cellStyle name="Output 5 3 5" xfId="17288"/>
    <cellStyle name="Output 5 3 5 2" xfId="38164"/>
    <cellStyle name="Output 5 3 6" xfId="29426"/>
    <cellStyle name="Output 5 4" xfId="10167"/>
    <cellStyle name="Output 5 4 2" xfId="23452"/>
    <cellStyle name="Output 5 4 2 2" xfId="44324"/>
    <cellStyle name="Output 5 4 3" xfId="23918"/>
    <cellStyle name="Output 5 4 3 2" xfId="44790"/>
    <cellStyle name="Output 5 4 4" xfId="21725"/>
    <cellStyle name="Output 5 4 4 2" xfId="42600"/>
    <cellStyle name="Output 5 4 5" xfId="18938"/>
    <cellStyle name="Output 5 4 5 2" xfId="39814"/>
    <cellStyle name="Output 5 4 6" xfId="31078"/>
    <cellStyle name="Output 5 5" xfId="21465"/>
    <cellStyle name="Output 5 5 2" xfId="42340"/>
    <cellStyle name="Output 5 6" xfId="21143"/>
    <cellStyle name="Output 5 6 2" xfId="42018"/>
    <cellStyle name="Output 5 7" xfId="23717"/>
    <cellStyle name="Output 5 7 2" xfId="44589"/>
    <cellStyle name="Output 5 8" xfId="12231"/>
    <cellStyle name="Output 5 8 2" xfId="33120"/>
    <cellStyle name="Output 5 9" xfId="24335"/>
    <cellStyle name="Output 6" xfId="4307"/>
    <cellStyle name="Output 6 2" xfId="6173"/>
    <cellStyle name="Output 6 2 2" xfId="22478"/>
    <cellStyle name="Output 6 2 2 2" xfId="43353"/>
    <cellStyle name="Output 6 2 3" xfId="22377"/>
    <cellStyle name="Output 6 2 3 2" xfId="43252"/>
    <cellStyle name="Output 6 2 4" xfId="23775"/>
    <cellStyle name="Output 6 2 4 2" xfId="44647"/>
    <cellStyle name="Output 6 2 5" xfId="15182"/>
    <cellStyle name="Output 6 2 5 2" xfId="36058"/>
    <cellStyle name="Output 6 2 6" xfId="27320"/>
    <cellStyle name="Output 6 3" xfId="21933"/>
    <cellStyle name="Output 6 3 2" xfId="42808"/>
    <cellStyle name="Output 6 4" xfId="23240"/>
    <cellStyle name="Output 6 4 2" xfId="44113"/>
    <cellStyle name="Output 6 5" xfId="21122"/>
    <cellStyle name="Output 6 5 2" xfId="41997"/>
    <cellStyle name="Output 6 6" xfId="13364"/>
    <cellStyle name="Output 6 6 2" xfId="34240"/>
    <cellStyle name="Output 6 7" xfId="25502"/>
    <cellStyle name="Output 7" xfId="8279"/>
    <cellStyle name="Output 7 2" xfId="22968"/>
    <cellStyle name="Output 7 2 2" xfId="43841"/>
    <cellStyle name="Output 7 3" xfId="23259"/>
    <cellStyle name="Output 7 3 2" xfId="44132"/>
    <cellStyle name="Output 7 4" xfId="22652"/>
    <cellStyle name="Output 7 4 2" xfId="43527"/>
    <cellStyle name="Output 7 5" xfId="17284"/>
    <cellStyle name="Output 7 5 2" xfId="38160"/>
    <cellStyle name="Output 7 6" xfId="29422"/>
    <cellStyle name="Output 8" xfId="10163"/>
    <cellStyle name="Output 8 2" xfId="23448"/>
    <cellStyle name="Output 8 2 2" xfId="44320"/>
    <cellStyle name="Output 8 3" xfId="21626"/>
    <cellStyle name="Output 8 3 2" xfId="42501"/>
    <cellStyle name="Output 8 4" xfId="21153"/>
    <cellStyle name="Output 8 4 2" xfId="42028"/>
    <cellStyle name="Output 8 5" xfId="18934"/>
    <cellStyle name="Output 8 5 2" xfId="39810"/>
    <cellStyle name="Output 8 6" xfId="31074"/>
    <cellStyle name="Output 9" xfId="21461"/>
    <cellStyle name="Output 9 2" xfId="42336"/>
    <cellStyle name="per.style" xfId="1127"/>
    <cellStyle name="Percent" xfId="1128"/>
    <cellStyle name="Percent (0)" xfId="1129"/>
    <cellStyle name="Percent [0]" xfId="1130"/>
    <cellStyle name="Percent [00]" xfId="1131"/>
    <cellStyle name="Percent [2]" xfId="1132"/>
    <cellStyle name="Percent_#6 Temps &amp; Contractors" xfId="1133"/>
    <cellStyle name="PrePop Currency (0)" xfId="1134"/>
    <cellStyle name="PrePop Currency (2)" xfId="1135"/>
    <cellStyle name="PrePop Units (0)" xfId="1136"/>
    <cellStyle name="PrePop Units (1)" xfId="1137"/>
    <cellStyle name="PrePop Units (2)" xfId="1138"/>
    <cellStyle name="regstoresfromspecstores" xfId="1139"/>
    <cellStyle name="RevList" xfId="1140"/>
    <cellStyle name="SAPBEXaggData" xfId="1141"/>
    <cellStyle name="SAPBEXaggData 10" xfId="20989"/>
    <cellStyle name="SAPBEXaggData 10 2" xfId="41864"/>
    <cellStyle name="SAPBEXaggData 11" xfId="22386"/>
    <cellStyle name="SAPBEXaggData 11 2" xfId="43261"/>
    <cellStyle name="SAPBEXaggData 12" xfId="12110"/>
    <cellStyle name="SAPBEXaggData 12 2" xfId="33010"/>
    <cellStyle name="SAPBEXaggData 13" xfId="24169"/>
    <cellStyle name="SAPBEXaggData 13 2" xfId="45039"/>
    <cellStyle name="SAPBEXaggData 14" xfId="24248"/>
    <cellStyle name="SAPBEXaggData 14 2" xfId="45109"/>
    <cellStyle name="SAPBEXaggData 2" xfId="2707"/>
    <cellStyle name="SAPBEXaggData 2 10" xfId="24336"/>
    <cellStyle name="SAPBEXaggData 2 2" xfId="4319"/>
    <cellStyle name="SAPBEXaggData 2 2 2" xfId="6178"/>
    <cellStyle name="SAPBEXaggData 2 2 2 2" xfId="22483"/>
    <cellStyle name="SAPBEXaggData 2 2 2 2 2" xfId="43358"/>
    <cellStyle name="SAPBEXaggData 2 2 2 3" xfId="22091"/>
    <cellStyle name="SAPBEXaggData 2 2 2 3 2" xfId="42966"/>
    <cellStyle name="SAPBEXaggData 2 2 2 4" xfId="22684"/>
    <cellStyle name="SAPBEXaggData 2 2 2 4 2" xfId="43559"/>
    <cellStyle name="SAPBEXaggData 2 2 2 5" xfId="15187"/>
    <cellStyle name="SAPBEXaggData 2 2 2 5 2" xfId="36063"/>
    <cellStyle name="SAPBEXaggData 2 2 2 6" xfId="27325"/>
    <cellStyle name="SAPBEXaggData 2 2 3" xfId="21938"/>
    <cellStyle name="SAPBEXaggData 2 2 3 2" xfId="42813"/>
    <cellStyle name="SAPBEXaggData 2 2 4" xfId="22928"/>
    <cellStyle name="SAPBEXaggData 2 2 4 2" xfId="43802"/>
    <cellStyle name="SAPBEXaggData 2 2 5" xfId="22177"/>
    <cellStyle name="SAPBEXaggData 2 2 5 2" xfId="43052"/>
    <cellStyle name="SAPBEXaggData 2 2 6" xfId="13369"/>
    <cellStyle name="SAPBEXaggData 2 2 6 2" xfId="34245"/>
    <cellStyle name="SAPBEXaggData 2 2 7" xfId="25507"/>
    <cellStyle name="SAPBEXaggData 2 3" xfId="8285"/>
    <cellStyle name="SAPBEXaggData 2 3 2" xfId="22974"/>
    <cellStyle name="SAPBEXaggData 2 3 2 2" xfId="43847"/>
    <cellStyle name="SAPBEXaggData 2 3 3" xfId="20975"/>
    <cellStyle name="SAPBEXaggData 2 3 3 2" xfId="41850"/>
    <cellStyle name="SAPBEXaggData 2 3 4" xfId="22360"/>
    <cellStyle name="SAPBEXaggData 2 3 4 2" xfId="43235"/>
    <cellStyle name="SAPBEXaggData 2 3 5" xfId="17290"/>
    <cellStyle name="SAPBEXaggData 2 3 5 2" xfId="38166"/>
    <cellStyle name="SAPBEXaggData 2 3 6" xfId="29428"/>
    <cellStyle name="SAPBEXaggData 2 4" xfId="10169"/>
    <cellStyle name="SAPBEXaggData 2 4 2" xfId="23454"/>
    <cellStyle name="SAPBEXaggData 2 4 2 2" xfId="44326"/>
    <cellStyle name="SAPBEXaggData 2 4 3" xfId="22750"/>
    <cellStyle name="SAPBEXaggData 2 4 3 2" xfId="43625"/>
    <cellStyle name="SAPBEXaggData 2 4 4" xfId="21410"/>
    <cellStyle name="SAPBEXaggData 2 4 4 2" xfId="42285"/>
    <cellStyle name="SAPBEXaggData 2 4 5" xfId="18940"/>
    <cellStyle name="SAPBEXaggData 2 4 5 2" xfId="39816"/>
    <cellStyle name="SAPBEXaggData 2 4 6" xfId="31080"/>
    <cellStyle name="SAPBEXaggData 2 5" xfId="20876"/>
    <cellStyle name="SAPBEXaggData 2 5 2" xfId="41751"/>
    <cellStyle name="SAPBEXaggData 2 6" xfId="21686"/>
    <cellStyle name="SAPBEXaggData 2 6 2" xfId="42561"/>
    <cellStyle name="SAPBEXaggData 2 7" xfId="24010"/>
    <cellStyle name="SAPBEXaggData 2 7 2" xfId="44882"/>
    <cellStyle name="SAPBEXaggData 2 8" xfId="12111"/>
    <cellStyle name="SAPBEXaggData 2 8 2" xfId="33011"/>
    <cellStyle name="SAPBEXaggData 2 9" xfId="24184"/>
    <cellStyle name="SAPBEXaggData 2 9 2" xfId="45052"/>
    <cellStyle name="SAPBEXaggData 3" xfId="2708"/>
    <cellStyle name="SAPBEXaggData 3 2" xfId="4320"/>
    <cellStyle name="SAPBEXaggData 3 2 2" xfId="6179"/>
    <cellStyle name="SAPBEXaggData 3 2 2 2" xfId="22484"/>
    <cellStyle name="SAPBEXaggData 3 2 2 2 2" xfId="43359"/>
    <cellStyle name="SAPBEXaggData 3 2 2 3" xfId="21689"/>
    <cellStyle name="SAPBEXaggData 3 2 2 3 2" xfId="42564"/>
    <cellStyle name="SAPBEXaggData 3 2 2 4" xfId="22713"/>
    <cellStyle name="SAPBEXaggData 3 2 2 4 2" xfId="43588"/>
    <cellStyle name="SAPBEXaggData 3 2 2 5" xfId="15188"/>
    <cellStyle name="SAPBEXaggData 3 2 2 5 2" xfId="36064"/>
    <cellStyle name="SAPBEXaggData 3 2 2 6" xfId="27326"/>
    <cellStyle name="SAPBEXaggData 3 2 3" xfId="21939"/>
    <cellStyle name="SAPBEXaggData 3 2 3 2" xfId="42814"/>
    <cellStyle name="SAPBEXaggData 3 2 4" xfId="24025"/>
    <cellStyle name="SAPBEXaggData 3 2 4 2" xfId="44897"/>
    <cellStyle name="SAPBEXaggData 3 2 5" xfId="23761"/>
    <cellStyle name="SAPBEXaggData 3 2 5 2" xfId="44633"/>
    <cellStyle name="SAPBEXaggData 3 2 6" xfId="13370"/>
    <cellStyle name="SAPBEXaggData 3 2 6 2" xfId="34246"/>
    <cellStyle name="SAPBEXaggData 3 2 7" xfId="25508"/>
    <cellStyle name="SAPBEXaggData 3 3" xfId="8286"/>
    <cellStyle name="SAPBEXaggData 3 3 2" xfId="22975"/>
    <cellStyle name="SAPBEXaggData 3 3 2 2" xfId="43848"/>
    <cellStyle name="SAPBEXaggData 3 3 3" xfId="21893"/>
    <cellStyle name="SAPBEXaggData 3 3 3 2" xfId="42768"/>
    <cellStyle name="SAPBEXaggData 3 3 4" xfId="21734"/>
    <cellStyle name="SAPBEXaggData 3 3 4 2" xfId="42609"/>
    <cellStyle name="SAPBEXaggData 3 3 5" xfId="17291"/>
    <cellStyle name="SAPBEXaggData 3 3 5 2" xfId="38167"/>
    <cellStyle name="SAPBEXaggData 3 3 6" xfId="29429"/>
    <cellStyle name="SAPBEXaggData 3 4" xfId="10170"/>
    <cellStyle name="SAPBEXaggData 3 4 2" xfId="23455"/>
    <cellStyle name="SAPBEXaggData 3 4 2 2" xfId="44327"/>
    <cellStyle name="SAPBEXaggData 3 4 3" xfId="22860"/>
    <cellStyle name="SAPBEXaggData 3 4 3 2" xfId="43734"/>
    <cellStyle name="SAPBEXaggData 3 4 4" xfId="21323"/>
    <cellStyle name="SAPBEXaggData 3 4 4 2" xfId="42198"/>
    <cellStyle name="SAPBEXaggData 3 4 5" xfId="18941"/>
    <cellStyle name="SAPBEXaggData 3 4 5 2" xfId="39817"/>
    <cellStyle name="SAPBEXaggData 3 4 6" xfId="31081"/>
    <cellStyle name="SAPBEXaggData 3 5" xfId="21467"/>
    <cellStyle name="SAPBEXaggData 3 5 2" xfId="42342"/>
    <cellStyle name="SAPBEXaggData 3 6" xfId="22845"/>
    <cellStyle name="SAPBEXaggData 3 6 2" xfId="43720"/>
    <cellStyle name="SAPBEXaggData 3 7" xfId="21377"/>
    <cellStyle name="SAPBEXaggData 3 7 2" xfId="42252"/>
    <cellStyle name="SAPBEXaggData 3 8" xfId="12232"/>
    <cellStyle name="SAPBEXaggData 3 8 2" xfId="33121"/>
    <cellStyle name="SAPBEXaggData 3 9" xfId="24337"/>
    <cellStyle name="SAPBEXaggData 4" xfId="2709"/>
    <cellStyle name="SAPBEXaggData 4 2" xfId="4321"/>
    <cellStyle name="SAPBEXaggData 4 2 2" xfId="6180"/>
    <cellStyle name="SAPBEXaggData 4 2 2 2" xfId="22485"/>
    <cellStyle name="SAPBEXaggData 4 2 2 2 2" xfId="43360"/>
    <cellStyle name="SAPBEXaggData 4 2 2 3" xfId="22438"/>
    <cellStyle name="SAPBEXaggData 4 2 2 3 2" xfId="43313"/>
    <cellStyle name="SAPBEXaggData 4 2 2 4" xfId="22363"/>
    <cellStyle name="SAPBEXaggData 4 2 2 4 2" xfId="43238"/>
    <cellStyle name="SAPBEXaggData 4 2 2 5" xfId="15189"/>
    <cellStyle name="SAPBEXaggData 4 2 2 5 2" xfId="36065"/>
    <cellStyle name="SAPBEXaggData 4 2 2 6" xfId="27327"/>
    <cellStyle name="SAPBEXaggData 4 2 3" xfId="21940"/>
    <cellStyle name="SAPBEXaggData 4 2 3 2" xfId="42815"/>
    <cellStyle name="SAPBEXaggData 4 2 4" xfId="22931"/>
    <cellStyle name="SAPBEXaggData 4 2 4 2" xfId="43805"/>
    <cellStyle name="SAPBEXaggData 4 2 5" xfId="21641"/>
    <cellStyle name="SAPBEXaggData 4 2 5 2" xfId="42516"/>
    <cellStyle name="SAPBEXaggData 4 2 6" xfId="13371"/>
    <cellStyle name="SAPBEXaggData 4 2 6 2" xfId="34247"/>
    <cellStyle name="SAPBEXaggData 4 2 7" xfId="25509"/>
    <cellStyle name="SAPBEXaggData 4 3" xfId="8287"/>
    <cellStyle name="SAPBEXaggData 4 3 2" xfId="22976"/>
    <cellStyle name="SAPBEXaggData 4 3 2 2" xfId="43849"/>
    <cellStyle name="SAPBEXaggData 4 3 3" xfId="23641"/>
    <cellStyle name="SAPBEXaggData 4 3 3 2" xfId="44513"/>
    <cellStyle name="SAPBEXaggData 4 3 4" xfId="23193"/>
    <cellStyle name="SAPBEXaggData 4 3 4 2" xfId="44066"/>
    <cellStyle name="SAPBEXaggData 4 3 5" xfId="17292"/>
    <cellStyle name="SAPBEXaggData 4 3 5 2" xfId="38168"/>
    <cellStyle name="SAPBEXaggData 4 3 6" xfId="29430"/>
    <cellStyle name="SAPBEXaggData 4 4" xfId="10171"/>
    <cellStyle name="SAPBEXaggData 4 4 2" xfId="23456"/>
    <cellStyle name="SAPBEXaggData 4 4 2 2" xfId="44328"/>
    <cellStyle name="SAPBEXaggData 4 4 3" xfId="23180"/>
    <cellStyle name="SAPBEXaggData 4 4 3 2" xfId="44053"/>
    <cellStyle name="SAPBEXaggData 4 4 4" xfId="23383"/>
    <cellStyle name="SAPBEXaggData 4 4 4 2" xfId="44255"/>
    <cellStyle name="SAPBEXaggData 4 4 5" xfId="18942"/>
    <cellStyle name="SAPBEXaggData 4 4 5 2" xfId="39818"/>
    <cellStyle name="SAPBEXaggData 4 4 6" xfId="31082"/>
    <cellStyle name="SAPBEXaggData 4 5" xfId="21468"/>
    <cellStyle name="SAPBEXaggData 4 5 2" xfId="42343"/>
    <cellStyle name="SAPBEXaggData 4 6" xfId="23195"/>
    <cellStyle name="SAPBEXaggData 4 6 2" xfId="44068"/>
    <cellStyle name="SAPBEXaggData 4 7" xfId="21217"/>
    <cellStyle name="SAPBEXaggData 4 7 2" xfId="42092"/>
    <cellStyle name="SAPBEXaggData 4 8" xfId="12233"/>
    <cellStyle name="SAPBEXaggData 4 8 2" xfId="33122"/>
    <cellStyle name="SAPBEXaggData 4 9" xfId="24338"/>
    <cellStyle name="SAPBEXaggData 5" xfId="2710"/>
    <cellStyle name="SAPBEXaggData 5 2" xfId="4322"/>
    <cellStyle name="SAPBEXaggData 5 2 2" xfId="6181"/>
    <cellStyle name="SAPBEXaggData 5 2 2 2" xfId="22486"/>
    <cellStyle name="SAPBEXaggData 5 2 2 2 2" xfId="43361"/>
    <cellStyle name="SAPBEXaggData 5 2 2 3" xfId="24097"/>
    <cellStyle name="SAPBEXaggData 5 2 2 3 2" xfId="44968"/>
    <cellStyle name="SAPBEXaggData 5 2 2 4" xfId="23814"/>
    <cellStyle name="SAPBEXaggData 5 2 2 4 2" xfId="44686"/>
    <cellStyle name="SAPBEXaggData 5 2 2 5" xfId="15190"/>
    <cellStyle name="SAPBEXaggData 5 2 2 5 2" xfId="36066"/>
    <cellStyle name="SAPBEXaggData 5 2 2 6" xfId="27328"/>
    <cellStyle name="SAPBEXaggData 5 2 3" xfId="21941"/>
    <cellStyle name="SAPBEXaggData 5 2 3 2" xfId="42816"/>
    <cellStyle name="SAPBEXaggData 5 2 4" xfId="23989"/>
    <cellStyle name="SAPBEXaggData 5 2 4 2" xfId="44861"/>
    <cellStyle name="SAPBEXaggData 5 2 5" xfId="21631"/>
    <cellStyle name="SAPBEXaggData 5 2 5 2" xfId="42506"/>
    <cellStyle name="SAPBEXaggData 5 2 6" xfId="13372"/>
    <cellStyle name="SAPBEXaggData 5 2 6 2" xfId="34248"/>
    <cellStyle name="SAPBEXaggData 5 2 7" xfId="25510"/>
    <cellStyle name="SAPBEXaggData 5 3" xfId="8288"/>
    <cellStyle name="SAPBEXaggData 5 3 2" xfId="22977"/>
    <cellStyle name="SAPBEXaggData 5 3 2 2" xfId="43850"/>
    <cellStyle name="SAPBEXaggData 5 3 3" xfId="22107"/>
    <cellStyle name="SAPBEXaggData 5 3 3 2" xfId="42982"/>
    <cellStyle name="SAPBEXaggData 5 3 4" xfId="21871"/>
    <cellStyle name="SAPBEXaggData 5 3 4 2" xfId="42746"/>
    <cellStyle name="SAPBEXaggData 5 3 5" xfId="17293"/>
    <cellStyle name="SAPBEXaggData 5 3 5 2" xfId="38169"/>
    <cellStyle name="SAPBEXaggData 5 3 6" xfId="29431"/>
    <cellStyle name="SAPBEXaggData 5 4" xfId="10172"/>
    <cellStyle name="SAPBEXaggData 5 4 2" xfId="23457"/>
    <cellStyle name="SAPBEXaggData 5 4 2 2" xfId="44329"/>
    <cellStyle name="SAPBEXaggData 5 4 3" xfId="23318"/>
    <cellStyle name="SAPBEXaggData 5 4 3 2" xfId="44190"/>
    <cellStyle name="SAPBEXaggData 5 4 4" xfId="22385"/>
    <cellStyle name="SAPBEXaggData 5 4 4 2" xfId="43260"/>
    <cellStyle name="SAPBEXaggData 5 4 5" xfId="18943"/>
    <cellStyle name="SAPBEXaggData 5 4 5 2" xfId="39819"/>
    <cellStyle name="SAPBEXaggData 5 4 6" xfId="31083"/>
    <cellStyle name="SAPBEXaggData 5 5" xfId="21469"/>
    <cellStyle name="SAPBEXaggData 5 5 2" xfId="42344"/>
    <cellStyle name="SAPBEXaggData 5 6" xfId="23871"/>
    <cellStyle name="SAPBEXaggData 5 6 2" xfId="44743"/>
    <cellStyle name="SAPBEXaggData 5 7" xfId="22322"/>
    <cellStyle name="SAPBEXaggData 5 7 2" xfId="43197"/>
    <cellStyle name="SAPBEXaggData 5 8" xfId="12234"/>
    <cellStyle name="SAPBEXaggData 5 8 2" xfId="33123"/>
    <cellStyle name="SAPBEXaggData 5 9" xfId="24339"/>
    <cellStyle name="SAPBEXaggData 6" xfId="3807"/>
    <cellStyle name="SAPBEXaggData 6 2" xfId="6036"/>
    <cellStyle name="SAPBEXaggData 6 2 2" xfId="22395"/>
    <cellStyle name="SAPBEXaggData 6 2 2 2" xfId="43270"/>
    <cellStyle name="SAPBEXaggData 6 2 3" xfId="21926"/>
    <cellStyle name="SAPBEXaggData 6 2 3 2" xfId="42801"/>
    <cellStyle name="SAPBEXaggData 6 2 4" xfId="23394"/>
    <cellStyle name="SAPBEXaggData 6 2 4 2" xfId="44266"/>
    <cellStyle name="SAPBEXaggData 6 2 5" xfId="15045"/>
    <cellStyle name="SAPBEXaggData 6 2 5 2" xfId="35921"/>
    <cellStyle name="SAPBEXaggData 6 2 6" xfId="27183"/>
    <cellStyle name="SAPBEXaggData 6 3" xfId="21781"/>
    <cellStyle name="SAPBEXaggData 6 3 2" xfId="42656"/>
    <cellStyle name="SAPBEXaggData 6 4" xfId="21613"/>
    <cellStyle name="SAPBEXaggData 6 4 2" xfId="42488"/>
    <cellStyle name="SAPBEXaggData 6 5" xfId="24059"/>
    <cellStyle name="SAPBEXaggData 6 5 2" xfId="44931"/>
    <cellStyle name="SAPBEXaggData 6 6" xfId="13227"/>
    <cellStyle name="SAPBEXaggData 6 6 2" xfId="34103"/>
    <cellStyle name="SAPBEXaggData 6 7" xfId="25365"/>
    <cellStyle name="SAPBEXaggData 7" xfId="8284"/>
    <cellStyle name="SAPBEXaggData 7 2" xfId="22973"/>
    <cellStyle name="SAPBEXaggData 7 2 2" xfId="43846"/>
    <cellStyle name="SAPBEXaggData 7 3" xfId="23386"/>
    <cellStyle name="SAPBEXaggData 7 3 2" xfId="44258"/>
    <cellStyle name="SAPBEXaggData 7 4" xfId="23439"/>
    <cellStyle name="SAPBEXaggData 7 4 2" xfId="44311"/>
    <cellStyle name="SAPBEXaggData 7 5" xfId="17289"/>
    <cellStyle name="SAPBEXaggData 7 5 2" xfId="38165"/>
    <cellStyle name="SAPBEXaggData 7 6" xfId="29427"/>
    <cellStyle name="SAPBEXaggData 8" xfId="10168"/>
    <cellStyle name="SAPBEXaggData 8 2" xfId="23453"/>
    <cellStyle name="SAPBEXaggData 8 2 2" xfId="44325"/>
    <cellStyle name="SAPBEXaggData 8 3" xfId="22257"/>
    <cellStyle name="SAPBEXaggData 8 3 2" xfId="43132"/>
    <cellStyle name="SAPBEXaggData 8 4" xfId="23412"/>
    <cellStyle name="SAPBEXaggData 8 4 2" xfId="44284"/>
    <cellStyle name="SAPBEXaggData 8 5" xfId="18939"/>
    <cellStyle name="SAPBEXaggData 8 5 2" xfId="39815"/>
    <cellStyle name="SAPBEXaggData 8 6" xfId="31079"/>
    <cellStyle name="SAPBEXaggData 9" xfId="20875"/>
    <cellStyle name="SAPBEXaggData 9 2" xfId="41750"/>
    <cellStyle name="SAPBEXaggDataEmph" xfId="1142"/>
    <cellStyle name="SAPBEXaggDataEmph 10" xfId="21295"/>
    <cellStyle name="SAPBEXaggDataEmph 10 2" xfId="42170"/>
    <cellStyle name="SAPBEXaggDataEmph 11" xfId="23179"/>
    <cellStyle name="SAPBEXaggDataEmph 11 2" xfId="44052"/>
    <cellStyle name="SAPBEXaggDataEmph 12" xfId="12112"/>
    <cellStyle name="SAPBEXaggDataEmph 12 2" xfId="33012"/>
    <cellStyle name="SAPBEXaggDataEmph 13" xfId="24168"/>
    <cellStyle name="SAPBEXaggDataEmph 13 2" xfId="45038"/>
    <cellStyle name="SAPBEXaggDataEmph 14" xfId="24249"/>
    <cellStyle name="SAPBEXaggDataEmph 14 2" xfId="45110"/>
    <cellStyle name="SAPBEXaggDataEmph 2" xfId="2711"/>
    <cellStyle name="SAPBEXaggDataEmph 2 10" xfId="24340"/>
    <cellStyle name="SAPBEXaggDataEmph 2 2" xfId="4324"/>
    <cellStyle name="SAPBEXaggDataEmph 2 2 2" xfId="6182"/>
    <cellStyle name="SAPBEXaggDataEmph 2 2 2 2" xfId="22487"/>
    <cellStyle name="SAPBEXaggDataEmph 2 2 2 2 2" xfId="43362"/>
    <cellStyle name="SAPBEXaggDataEmph 2 2 2 3" xfId="23932"/>
    <cellStyle name="SAPBEXaggDataEmph 2 2 2 3 2" xfId="44804"/>
    <cellStyle name="SAPBEXaggDataEmph 2 2 2 4" xfId="22210"/>
    <cellStyle name="SAPBEXaggDataEmph 2 2 2 4 2" xfId="43085"/>
    <cellStyle name="SAPBEXaggDataEmph 2 2 2 5" xfId="15191"/>
    <cellStyle name="SAPBEXaggDataEmph 2 2 2 5 2" xfId="36067"/>
    <cellStyle name="SAPBEXaggDataEmph 2 2 2 6" xfId="27329"/>
    <cellStyle name="SAPBEXaggDataEmph 2 2 3" xfId="21942"/>
    <cellStyle name="SAPBEXaggDataEmph 2 2 3 2" xfId="42817"/>
    <cellStyle name="SAPBEXaggDataEmph 2 2 4" xfId="21624"/>
    <cellStyle name="SAPBEXaggDataEmph 2 2 4 2" xfId="42499"/>
    <cellStyle name="SAPBEXaggDataEmph 2 2 5" xfId="24074"/>
    <cellStyle name="SAPBEXaggDataEmph 2 2 5 2" xfId="44946"/>
    <cellStyle name="SAPBEXaggDataEmph 2 2 6" xfId="13373"/>
    <cellStyle name="SAPBEXaggDataEmph 2 2 6 2" xfId="34249"/>
    <cellStyle name="SAPBEXaggDataEmph 2 2 7" xfId="25511"/>
    <cellStyle name="SAPBEXaggDataEmph 2 3" xfId="8290"/>
    <cellStyle name="SAPBEXaggDataEmph 2 3 2" xfId="22979"/>
    <cellStyle name="SAPBEXaggDataEmph 2 3 2 2" xfId="43852"/>
    <cellStyle name="SAPBEXaggDataEmph 2 3 3" xfId="20976"/>
    <cellStyle name="SAPBEXaggDataEmph 2 3 3 2" xfId="41851"/>
    <cellStyle name="SAPBEXaggDataEmph 2 3 4" xfId="21294"/>
    <cellStyle name="SAPBEXaggDataEmph 2 3 4 2" xfId="42169"/>
    <cellStyle name="SAPBEXaggDataEmph 2 3 5" xfId="17295"/>
    <cellStyle name="SAPBEXaggDataEmph 2 3 5 2" xfId="38171"/>
    <cellStyle name="SAPBEXaggDataEmph 2 3 6" xfId="29433"/>
    <cellStyle name="SAPBEXaggDataEmph 2 4" xfId="10174"/>
    <cellStyle name="SAPBEXaggDataEmph 2 4 2" xfId="23459"/>
    <cellStyle name="SAPBEXaggDataEmph 2 4 2 2" xfId="44331"/>
    <cellStyle name="SAPBEXaggDataEmph 2 4 3" xfId="23802"/>
    <cellStyle name="SAPBEXaggDataEmph 2 4 3 2" xfId="44674"/>
    <cellStyle name="SAPBEXaggDataEmph 2 4 4" xfId="23784"/>
    <cellStyle name="SAPBEXaggDataEmph 2 4 4 2" xfId="44656"/>
    <cellStyle name="SAPBEXaggDataEmph 2 4 5" xfId="18945"/>
    <cellStyle name="SAPBEXaggDataEmph 2 4 5 2" xfId="39821"/>
    <cellStyle name="SAPBEXaggDataEmph 2 4 6" xfId="31085"/>
    <cellStyle name="SAPBEXaggDataEmph 2 5" xfId="20878"/>
    <cellStyle name="SAPBEXaggDataEmph 2 5 2" xfId="41753"/>
    <cellStyle name="SAPBEXaggDataEmph 2 6" xfId="22199"/>
    <cellStyle name="SAPBEXaggDataEmph 2 6 2" xfId="43074"/>
    <cellStyle name="SAPBEXaggDataEmph 2 7" xfId="22855"/>
    <cellStyle name="SAPBEXaggDataEmph 2 7 2" xfId="43730"/>
    <cellStyle name="SAPBEXaggDataEmph 2 8" xfId="12113"/>
    <cellStyle name="SAPBEXaggDataEmph 2 8 2" xfId="33013"/>
    <cellStyle name="SAPBEXaggDataEmph 2 9" xfId="24185"/>
    <cellStyle name="SAPBEXaggDataEmph 2 9 2" xfId="45053"/>
    <cellStyle name="SAPBEXaggDataEmph 3" xfId="2712"/>
    <cellStyle name="SAPBEXaggDataEmph 3 2" xfId="4325"/>
    <cellStyle name="SAPBEXaggDataEmph 3 2 2" xfId="6183"/>
    <cellStyle name="SAPBEXaggDataEmph 3 2 2 2" xfId="22488"/>
    <cellStyle name="SAPBEXaggDataEmph 3 2 2 2 2" xfId="43363"/>
    <cellStyle name="SAPBEXaggDataEmph 3 2 2 3" xfId="22878"/>
    <cellStyle name="SAPBEXaggDataEmph 3 2 2 3 2" xfId="43752"/>
    <cellStyle name="SAPBEXaggDataEmph 3 2 2 4" xfId="20969"/>
    <cellStyle name="SAPBEXaggDataEmph 3 2 2 4 2" xfId="41844"/>
    <cellStyle name="SAPBEXaggDataEmph 3 2 2 5" xfId="15192"/>
    <cellStyle name="SAPBEXaggDataEmph 3 2 2 5 2" xfId="36068"/>
    <cellStyle name="SAPBEXaggDataEmph 3 2 2 6" xfId="27330"/>
    <cellStyle name="SAPBEXaggDataEmph 3 2 3" xfId="21943"/>
    <cellStyle name="SAPBEXaggDataEmph 3 2 3 2" xfId="42818"/>
    <cellStyle name="SAPBEXaggDataEmph 3 2 4" xfId="21334"/>
    <cellStyle name="SAPBEXaggDataEmph 3 2 4 2" xfId="42209"/>
    <cellStyle name="SAPBEXaggDataEmph 3 2 5" xfId="21135"/>
    <cellStyle name="SAPBEXaggDataEmph 3 2 5 2" xfId="42010"/>
    <cellStyle name="SAPBEXaggDataEmph 3 2 6" xfId="13374"/>
    <cellStyle name="SAPBEXaggDataEmph 3 2 6 2" xfId="34250"/>
    <cellStyle name="SAPBEXaggDataEmph 3 2 7" xfId="25512"/>
    <cellStyle name="SAPBEXaggDataEmph 3 3" xfId="8291"/>
    <cellStyle name="SAPBEXaggDataEmph 3 3 2" xfId="22980"/>
    <cellStyle name="SAPBEXaggDataEmph 3 3 2 2" xfId="43853"/>
    <cellStyle name="SAPBEXaggDataEmph 3 3 3" xfId="22218"/>
    <cellStyle name="SAPBEXaggDataEmph 3 3 3 2" xfId="43093"/>
    <cellStyle name="SAPBEXaggDataEmph 3 3 4" xfId="21609"/>
    <cellStyle name="SAPBEXaggDataEmph 3 3 4 2" xfId="42484"/>
    <cellStyle name="SAPBEXaggDataEmph 3 3 5" xfId="17296"/>
    <cellStyle name="SAPBEXaggDataEmph 3 3 5 2" xfId="38172"/>
    <cellStyle name="SAPBEXaggDataEmph 3 3 6" xfId="29434"/>
    <cellStyle name="SAPBEXaggDataEmph 3 4" xfId="10175"/>
    <cellStyle name="SAPBEXaggDataEmph 3 4 2" xfId="23460"/>
    <cellStyle name="SAPBEXaggDataEmph 3 4 2 2" xfId="44332"/>
    <cellStyle name="SAPBEXaggDataEmph 3 4 3" xfId="21627"/>
    <cellStyle name="SAPBEXaggDataEmph 3 4 3 2" xfId="42502"/>
    <cellStyle name="SAPBEXaggDataEmph 3 4 4" xfId="23955"/>
    <cellStyle name="SAPBEXaggDataEmph 3 4 4 2" xfId="44827"/>
    <cellStyle name="SAPBEXaggDataEmph 3 4 5" xfId="18946"/>
    <cellStyle name="SAPBEXaggDataEmph 3 4 5 2" xfId="39822"/>
    <cellStyle name="SAPBEXaggDataEmph 3 4 6" xfId="31086"/>
    <cellStyle name="SAPBEXaggDataEmph 3 5" xfId="21470"/>
    <cellStyle name="SAPBEXaggDataEmph 3 5 2" xfId="42345"/>
    <cellStyle name="SAPBEXaggDataEmph 3 6" xfId="21177"/>
    <cellStyle name="SAPBEXaggDataEmph 3 6 2" xfId="42052"/>
    <cellStyle name="SAPBEXaggDataEmph 3 7" xfId="22828"/>
    <cellStyle name="SAPBEXaggDataEmph 3 7 2" xfId="43703"/>
    <cellStyle name="SAPBEXaggDataEmph 3 8" xfId="12235"/>
    <cellStyle name="SAPBEXaggDataEmph 3 8 2" xfId="33124"/>
    <cellStyle name="SAPBEXaggDataEmph 3 9" xfId="24341"/>
    <cellStyle name="SAPBEXaggDataEmph 4" xfId="2713"/>
    <cellStyle name="SAPBEXaggDataEmph 4 2" xfId="4326"/>
    <cellStyle name="SAPBEXaggDataEmph 4 2 2" xfId="6184"/>
    <cellStyle name="SAPBEXaggDataEmph 4 2 2 2" xfId="22489"/>
    <cellStyle name="SAPBEXaggDataEmph 4 2 2 2 2" xfId="43364"/>
    <cellStyle name="SAPBEXaggDataEmph 4 2 2 3" xfId="22742"/>
    <cellStyle name="SAPBEXaggDataEmph 4 2 2 3 2" xfId="43617"/>
    <cellStyle name="SAPBEXaggDataEmph 4 2 2 4" xfId="23407"/>
    <cellStyle name="SAPBEXaggDataEmph 4 2 2 4 2" xfId="44279"/>
    <cellStyle name="SAPBEXaggDataEmph 4 2 2 5" xfId="15193"/>
    <cellStyle name="SAPBEXaggDataEmph 4 2 2 5 2" xfId="36069"/>
    <cellStyle name="SAPBEXaggDataEmph 4 2 2 6" xfId="27331"/>
    <cellStyle name="SAPBEXaggDataEmph 4 2 3" xfId="21944"/>
    <cellStyle name="SAPBEXaggDataEmph 4 2 3 2" xfId="42819"/>
    <cellStyle name="SAPBEXaggDataEmph 4 2 4" xfId="21419"/>
    <cellStyle name="SAPBEXaggDataEmph 4 2 4 2" xfId="42294"/>
    <cellStyle name="SAPBEXaggDataEmph 4 2 5" xfId="22279"/>
    <cellStyle name="SAPBEXaggDataEmph 4 2 5 2" xfId="43154"/>
    <cellStyle name="SAPBEXaggDataEmph 4 2 6" xfId="13375"/>
    <cellStyle name="SAPBEXaggDataEmph 4 2 6 2" xfId="34251"/>
    <cellStyle name="SAPBEXaggDataEmph 4 2 7" xfId="25513"/>
    <cellStyle name="SAPBEXaggDataEmph 4 3" xfId="8292"/>
    <cellStyle name="SAPBEXaggDataEmph 4 3 2" xfId="22981"/>
    <cellStyle name="SAPBEXaggDataEmph 4 3 2 2" xfId="43854"/>
    <cellStyle name="SAPBEXaggDataEmph 4 3 3" xfId="23780"/>
    <cellStyle name="SAPBEXaggDataEmph 4 3 3 2" xfId="44652"/>
    <cellStyle name="SAPBEXaggDataEmph 4 3 4" xfId="21173"/>
    <cellStyle name="SAPBEXaggDataEmph 4 3 4 2" xfId="42048"/>
    <cellStyle name="SAPBEXaggDataEmph 4 3 5" xfId="17297"/>
    <cellStyle name="SAPBEXaggDataEmph 4 3 5 2" xfId="38173"/>
    <cellStyle name="SAPBEXaggDataEmph 4 3 6" xfId="29435"/>
    <cellStyle name="SAPBEXaggDataEmph 4 4" xfId="10176"/>
    <cellStyle name="SAPBEXaggDataEmph 4 4 2" xfId="23461"/>
    <cellStyle name="SAPBEXaggDataEmph 4 4 2 2" xfId="44333"/>
    <cellStyle name="SAPBEXaggDataEmph 4 4 3" xfId="23656"/>
    <cellStyle name="SAPBEXaggDataEmph 4 4 3 2" xfId="44528"/>
    <cellStyle name="SAPBEXaggDataEmph 4 4 4" xfId="24119"/>
    <cellStyle name="SAPBEXaggDataEmph 4 4 4 2" xfId="44990"/>
    <cellStyle name="SAPBEXaggDataEmph 4 4 5" xfId="18947"/>
    <cellStyle name="SAPBEXaggDataEmph 4 4 5 2" xfId="39823"/>
    <cellStyle name="SAPBEXaggDataEmph 4 4 6" xfId="31087"/>
    <cellStyle name="SAPBEXaggDataEmph 4 5" xfId="21471"/>
    <cellStyle name="SAPBEXaggDataEmph 4 5 2" xfId="42346"/>
    <cellStyle name="SAPBEXaggDataEmph 4 6" xfId="21300"/>
    <cellStyle name="SAPBEXaggDataEmph 4 6 2" xfId="42175"/>
    <cellStyle name="SAPBEXaggDataEmph 4 7" xfId="21750"/>
    <cellStyle name="SAPBEXaggDataEmph 4 7 2" xfId="42625"/>
    <cellStyle name="SAPBEXaggDataEmph 4 8" xfId="12236"/>
    <cellStyle name="SAPBEXaggDataEmph 4 8 2" xfId="33125"/>
    <cellStyle name="SAPBEXaggDataEmph 4 9" xfId="24342"/>
    <cellStyle name="SAPBEXaggDataEmph 5" xfId="2714"/>
    <cellStyle name="SAPBEXaggDataEmph 5 2" xfId="4327"/>
    <cellStyle name="SAPBEXaggDataEmph 5 2 2" xfId="6185"/>
    <cellStyle name="SAPBEXaggDataEmph 5 2 2 2" xfId="22490"/>
    <cellStyle name="SAPBEXaggDataEmph 5 2 2 2 2" xfId="43365"/>
    <cellStyle name="SAPBEXaggDataEmph 5 2 2 3" xfId="22157"/>
    <cellStyle name="SAPBEXaggDataEmph 5 2 2 3 2" xfId="43032"/>
    <cellStyle name="SAPBEXaggDataEmph 5 2 2 4" xfId="23192"/>
    <cellStyle name="SAPBEXaggDataEmph 5 2 2 4 2" xfId="44065"/>
    <cellStyle name="SAPBEXaggDataEmph 5 2 2 5" xfId="15194"/>
    <cellStyle name="SAPBEXaggDataEmph 5 2 2 5 2" xfId="36070"/>
    <cellStyle name="SAPBEXaggDataEmph 5 2 2 6" xfId="27332"/>
    <cellStyle name="SAPBEXaggDataEmph 5 2 3" xfId="21945"/>
    <cellStyle name="SAPBEXaggDataEmph 5 2 3 2" xfId="42820"/>
    <cellStyle name="SAPBEXaggDataEmph 5 2 4" xfId="22795"/>
    <cellStyle name="SAPBEXaggDataEmph 5 2 4 2" xfId="43670"/>
    <cellStyle name="SAPBEXaggDataEmph 5 2 5" xfId="23294"/>
    <cellStyle name="SAPBEXaggDataEmph 5 2 5 2" xfId="44166"/>
    <cellStyle name="SAPBEXaggDataEmph 5 2 6" xfId="13376"/>
    <cellStyle name="SAPBEXaggDataEmph 5 2 6 2" xfId="34252"/>
    <cellStyle name="SAPBEXaggDataEmph 5 2 7" xfId="25514"/>
    <cellStyle name="SAPBEXaggDataEmph 5 3" xfId="8293"/>
    <cellStyle name="SAPBEXaggDataEmph 5 3 2" xfId="22982"/>
    <cellStyle name="SAPBEXaggDataEmph 5 3 2 2" xfId="43855"/>
    <cellStyle name="SAPBEXaggDataEmph 5 3 3" xfId="22650"/>
    <cellStyle name="SAPBEXaggDataEmph 5 3 3 2" xfId="43525"/>
    <cellStyle name="SAPBEXaggDataEmph 5 3 4" xfId="21743"/>
    <cellStyle name="SAPBEXaggDataEmph 5 3 4 2" xfId="42618"/>
    <cellStyle name="SAPBEXaggDataEmph 5 3 5" xfId="17298"/>
    <cellStyle name="SAPBEXaggDataEmph 5 3 5 2" xfId="38174"/>
    <cellStyle name="SAPBEXaggDataEmph 5 3 6" xfId="29436"/>
    <cellStyle name="SAPBEXaggDataEmph 5 4" xfId="10177"/>
    <cellStyle name="SAPBEXaggDataEmph 5 4 2" xfId="23462"/>
    <cellStyle name="SAPBEXaggDataEmph 5 4 2 2" xfId="44334"/>
    <cellStyle name="SAPBEXaggDataEmph 5 4 3" xfId="23731"/>
    <cellStyle name="SAPBEXaggDataEmph 5 4 3 2" xfId="44603"/>
    <cellStyle name="SAPBEXaggDataEmph 5 4 4" xfId="22330"/>
    <cellStyle name="SAPBEXaggDataEmph 5 4 4 2" xfId="43205"/>
    <cellStyle name="SAPBEXaggDataEmph 5 4 5" xfId="18948"/>
    <cellStyle name="SAPBEXaggDataEmph 5 4 5 2" xfId="39824"/>
    <cellStyle name="SAPBEXaggDataEmph 5 4 6" xfId="31088"/>
    <cellStyle name="SAPBEXaggDataEmph 5 5" xfId="21472"/>
    <cellStyle name="SAPBEXaggDataEmph 5 5 2" xfId="42347"/>
    <cellStyle name="SAPBEXaggDataEmph 5 6" xfId="21082"/>
    <cellStyle name="SAPBEXaggDataEmph 5 6 2" xfId="41957"/>
    <cellStyle name="SAPBEXaggDataEmph 5 7" xfId="22321"/>
    <cellStyle name="SAPBEXaggDataEmph 5 7 2" xfId="43196"/>
    <cellStyle name="SAPBEXaggDataEmph 5 8" xfId="12237"/>
    <cellStyle name="SAPBEXaggDataEmph 5 8 2" xfId="33126"/>
    <cellStyle name="SAPBEXaggDataEmph 5 9" xfId="24343"/>
    <cellStyle name="SAPBEXaggDataEmph 6" xfId="3808"/>
    <cellStyle name="SAPBEXaggDataEmph 6 2" xfId="6037"/>
    <cellStyle name="SAPBEXaggDataEmph 6 2 2" xfId="22396"/>
    <cellStyle name="SAPBEXaggDataEmph 6 2 2 2" xfId="43271"/>
    <cellStyle name="SAPBEXaggDataEmph 6 2 3" xfId="23797"/>
    <cellStyle name="SAPBEXaggDataEmph 6 2 3 2" xfId="44669"/>
    <cellStyle name="SAPBEXaggDataEmph 6 2 4" xfId="23307"/>
    <cellStyle name="SAPBEXaggDataEmph 6 2 4 2" xfId="44179"/>
    <cellStyle name="SAPBEXaggDataEmph 6 2 5" xfId="15046"/>
    <cellStyle name="SAPBEXaggDataEmph 6 2 5 2" xfId="35922"/>
    <cellStyle name="SAPBEXaggDataEmph 6 2 6" xfId="27184"/>
    <cellStyle name="SAPBEXaggDataEmph 6 3" xfId="21782"/>
    <cellStyle name="SAPBEXaggDataEmph 6 3 2" xfId="42657"/>
    <cellStyle name="SAPBEXaggDataEmph 6 4" xfId="22103"/>
    <cellStyle name="SAPBEXaggDataEmph 6 4 2" xfId="42978"/>
    <cellStyle name="SAPBEXaggDataEmph 6 5" xfId="21315"/>
    <cellStyle name="SAPBEXaggDataEmph 6 5 2" xfId="42190"/>
    <cellStyle name="SAPBEXaggDataEmph 6 6" xfId="13228"/>
    <cellStyle name="SAPBEXaggDataEmph 6 6 2" xfId="34104"/>
    <cellStyle name="SAPBEXaggDataEmph 6 7" xfId="25366"/>
    <cellStyle name="SAPBEXaggDataEmph 7" xfId="8289"/>
    <cellStyle name="SAPBEXaggDataEmph 7 2" xfId="22978"/>
    <cellStyle name="SAPBEXaggDataEmph 7 2 2" xfId="43851"/>
    <cellStyle name="SAPBEXaggDataEmph 7 3" xfId="23724"/>
    <cellStyle name="SAPBEXaggDataEmph 7 3 2" xfId="44596"/>
    <cellStyle name="SAPBEXaggDataEmph 7 4" xfId="21078"/>
    <cellStyle name="SAPBEXaggDataEmph 7 4 2" xfId="41953"/>
    <cellStyle name="SAPBEXaggDataEmph 7 5" xfId="17294"/>
    <cellStyle name="SAPBEXaggDataEmph 7 5 2" xfId="38170"/>
    <cellStyle name="SAPBEXaggDataEmph 7 6" xfId="29432"/>
    <cellStyle name="SAPBEXaggDataEmph 8" xfId="10173"/>
    <cellStyle name="SAPBEXaggDataEmph 8 2" xfId="23458"/>
    <cellStyle name="SAPBEXaggDataEmph 8 2 2" xfId="44330"/>
    <cellStyle name="SAPBEXaggDataEmph 8 3" xfId="23655"/>
    <cellStyle name="SAPBEXaggDataEmph 8 3 2" xfId="44527"/>
    <cellStyle name="SAPBEXaggDataEmph 8 4" xfId="22338"/>
    <cellStyle name="SAPBEXaggDataEmph 8 4 2" xfId="43213"/>
    <cellStyle name="SAPBEXaggDataEmph 8 5" xfId="18944"/>
    <cellStyle name="SAPBEXaggDataEmph 8 5 2" xfId="39820"/>
    <cellStyle name="SAPBEXaggDataEmph 8 6" xfId="31084"/>
    <cellStyle name="SAPBEXaggDataEmph 9" xfId="20877"/>
    <cellStyle name="SAPBEXaggDataEmph 9 2" xfId="41752"/>
    <cellStyle name="SAPBEXaggItem" xfId="1143"/>
    <cellStyle name="SAPBEXaggItem 10" xfId="21079"/>
    <cellStyle name="SAPBEXaggItem 10 2" xfId="41954"/>
    <cellStyle name="SAPBEXaggItem 11" xfId="22370"/>
    <cellStyle name="SAPBEXaggItem 11 2" xfId="43245"/>
    <cellStyle name="SAPBEXaggItem 12" xfId="12114"/>
    <cellStyle name="SAPBEXaggItem 12 2" xfId="33014"/>
    <cellStyle name="SAPBEXaggItem 13" xfId="24167"/>
    <cellStyle name="SAPBEXaggItem 13 2" xfId="45037"/>
    <cellStyle name="SAPBEXaggItem 14" xfId="24250"/>
    <cellStyle name="SAPBEXaggItem 14 2" xfId="45111"/>
    <cellStyle name="SAPBEXaggItem 2" xfId="2715"/>
    <cellStyle name="SAPBEXaggItem 2 10" xfId="24344"/>
    <cellStyle name="SAPBEXaggItem 2 2" xfId="4329"/>
    <cellStyle name="SAPBEXaggItem 2 2 2" xfId="6186"/>
    <cellStyle name="SAPBEXaggItem 2 2 2 2" xfId="22491"/>
    <cellStyle name="SAPBEXaggItem 2 2 2 2 2" xfId="43366"/>
    <cellStyle name="SAPBEXaggItem 2 2 2 3" xfId="24049"/>
    <cellStyle name="SAPBEXaggItem 2 2 2 3 2" xfId="44921"/>
    <cellStyle name="SAPBEXaggItem 2 2 2 4" xfId="23235"/>
    <cellStyle name="SAPBEXaggItem 2 2 2 4 2" xfId="44108"/>
    <cellStyle name="SAPBEXaggItem 2 2 2 5" xfId="15195"/>
    <cellStyle name="SAPBEXaggItem 2 2 2 5 2" xfId="36071"/>
    <cellStyle name="SAPBEXaggItem 2 2 2 6" xfId="27333"/>
    <cellStyle name="SAPBEXaggItem 2 2 3" xfId="21946"/>
    <cellStyle name="SAPBEXaggItem 2 2 3 2" xfId="42821"/>
    <cellStyle name="SAPBEXaggItem 2 2 4" xfId="23422"/>
    <cellStyle name="SAPBEXaggItem 2 2 4 2" xfId="44294"/>
    <cellStyle name="SAPBEXaggItem 2 2 5" xfId="23792"/>
    <cellStyle name="SAPBEXaggItem 2 2 5 2" xfId="44664"/>
    <cellStyle name="SAPBEXaggItem 2 2 6" xfId="13377"/>
    <cellStyle name="SAPBEXaggItem 2 2 6 2" xfId="34253"/>
    <cellStyle name="SAPBEXaggItem 2 2 7" xfId="25515"/>
    <cellStyle name="SAPBEXaggItem 2 3" xfId="8295"/>
    <cellStyle name="SAPBEXaggItem 2 3 2" xfId="22984"/>
    <cellStyle name="SAPBEXaggItem 2 3 2 2" xfId="43857"/>
    <cellStyle name="SAPBEXaggItem 2 3 3" xfId="22263"/>
    <cellStyle name="SAPBEXaggItem 2 3 3 2" xfId="43138"/>
    <cellStyle name="SAPBEXaggItem 2 3 4" xfId="23900"/>
    <cellStyle name="SAPBEXaggItem 2 3 4 2" xfId="44772"/>
    <cellStyle name="SAPBEXaggItem 2 3 5" xfId="17300"/>
    <cellStyle name="SAPBEXaggItem 2 3 5 2" xfId="38176"/>
    <cellStyle name="SAPBEXaggItem 2 3 6" xfId="29438"/>
    <cellStyle name="SAPBEXaggItem 2 4" xfId="10179"/>
    <cellStyle name="SAPBEXaggItem 2 4 2" xfId="23464"/>
    <cellStyle name="SAPBEXaggItem 2 4 2 2" xfId="44336"/>
    <cellStyle name="SAPBEXaggItem 2 4 3" xfId="22126"/>
    <cellStyle name="SAPBEXaggItem 2 4 3 2" xfId="43001"/>
    <cellStyle name="SAPBEXaggItem 2 4 4" xfId="21649"/>
    <cellStyle name="SAPBEXaggItem 2 4 4 2" xfId="42524"/>
    <cellStyle name="SAPBEXaggItem 2 4 5" xfId="18950"/>
    <cellStyle name="SAPBEXaggItem 2 4 5 2" xfId="39826"/>
    <cellStyle name="SAPBEXaggItem 2 4 6" xfId="31090"/>
    <cellStyle name="SAPBEXaggItem 2 5" xfId="20880"/>
    <cellStyle name="SAPBEXaggItem 2 5 2" xfId="41755"/>
    <cellStyle name="SAPBEXaggItem 2 6" xfId="21591"/>
    <cellStyle name="SAPBEXaggItem 2 6 2" xfId="42466"/>
    <cellStyle name="SAPBEXaggItem 2 7" xfId="22130"/>
    <cellStyle name="SAPBEXaggItem 2 7 2" xfId="43005"/>
    <cellStyle name="SAPBEXaggItem 2 8" xfId="12115"/>
    <cellStyle name="SAPBEXaggItem 2 8 2" xfId="33015"/>
    <cellStyle name="SAPBEXaggItem 2 9" xfId="24186"/>
    <cellStyle name="SAPBEXaggItem 2 9 2" xfId="45054"/>
    <cellStyle name="SAPBEXaggItem 3" xfId="2716"/>
    <cellStyle name="SAPBEXaggItem 3 2" xfId="4330"/>
    <cellStyle name="SAPBEXaggItem 3 2 2" xfId="6187"/>
    <cellStyle name="SAPBEXaggItem 3 2 2 2" xfId="22492"/>
    <cellStyle name="SAPBEXaggItem 3 2 2 2 2" xfId="43367"/>
    <cellStyle name="SAPBEXaggItem 3 2 2 3" xfId="20846"/>
    <cellStyle name="SAPBEXaggItem 3 2 2 3 2" xfId="41722"/>
    <cellStyle name="SAPBEXaggItem 3 2 2 4" xfId="21719"/>
    <cellStyle name="SAPBEXaggItem 3 2 2 4 2" xfId="42594"/>
    <cellStyle name="SAPBEXaggItem 3 2 2 5" xfId="15196"/>
    <cellStyle name="SAPBEXaggItem 3 2 2 5 2" xfId="36072"/>
    <cellStyle name="SAPBEXaggItem 3 2 2 6" xfId="27334"/>
    <cellStyle name="SAPBEXaggItem 3 2 3" xfId="21947"/>
    <cellStyle name="SAPBEXaggItem 3 2 3 2" xfId="42822"/>
    <cellStyle name="SAPBEXaggItem 3 2 4" xfId="24106"/>
    <cellStyle name="SAPBEXaggItem 3 2 4 2" xfId="44977"/>
    <cellStyle name="SAPBEXaggItem 3 2 5" xfId="22302"/>
    <cellStyle name="SAPBEXaggItem 3 2 5 2" xfId="43177"/>
    <cellStyle name="SAPBEXaggItem 3 2 6" xfId="13378"/>
    <cellStyle name="SAPBEXaggItem 3 2 6 2" xfId="34254"/>
    <cellStyle name="SAPBEXaggItem 3 2 7" xfId="25516"/>
    <cellStyle name="SAPBEXaggItem 3 3" xfId="8296"/>
    <cellStyle name="SAPBEXaggItem 3 3 2" xfId="22985"/>
    <cellStyle name="SAPBEXaggItem 3 3 2 2" xfId="43858"/>
    <cellStyle name="SAPBEXaggItem 3 3 3" xfId="21223"/>
    <cellStyle name="SAPBEXaggItem 3 3 3 2" xfId="42098"/>
    <cellStyle name="SAPBEXaggItem 3 3 4" xfId="23708"/>
    <cellStyle name="SAPBEXaggItem 3 3 4 2" xfId="44580"/>
    <cellStyle name="SAPBEXaggItem 3 3 5" xfId="17301"/>
    <cellStyle name="SAPBEXaggItem 3 3 5 2" xfId="38177"/>
    <cellStyle name="SAPBEXaggItem 3 3 6" xfId="29439"/>
    <cellStyle name="SAPBEXaggItem 3 4" xfId="10180"/>
    <cellStyle name="SAPBEXaggItem 3 4 2" xfId="23465"/>
    <cellStyle name="SAPBEXaggItem 3 4 2 2" xfId="44337"/>
    <cellStyle name="SAPBEXaggItem 3 4 3" xfId="22665"/>
    <cellStyle name="SAPBEXaggItem 3 4 3 2" xfId="43540"/>
    <cellStyle name="SAPBEXaggItem 3 4 4" xfId="22183"/>
    <cellStyle name="SAPBEXaggItem 3 4 4 2" xfId="43058"/>
    <cellStyle name="SAPBEXaggItem 3 4 5" xfId="18951"/>
    <cellStyle name="SAPBEXaggItem 3 4 5 2" xfId="39827"/>
    <cellStyle name="SAPBEXaggItem 3 4 6" xfId="31091"/>
    <cellStyle name="SAPBEXaggItem 3 5" xfId="21473"/>
    <cellStyle name="SAPBEXaggItem 3 5 2" xfId="42348"/>
    <cellStyle name="SAPBEXaggItem 3 6" xfId="23698"/>
    <cellStyle name="SAPBEXaggItem 3 6 2" xfId="44570"/>
    <cellStyle name="SAPBEXaggItem 3 7" xfId="21029"/>
    <cellStyle name="SAPBEXaggItem 3 7 2" xfId="41904"/>
    <cellStyle name="SAPBEXaggItem 3 8" xfId="12238"/>
    <cellStyle name="SAPBEXaggItem 3 8 2" xfId="33127"/>
    <cellStyle name="SAPBEXaggItem 3 9" xfId="24345"/>
    <cellStyle name="SAPBEXaggItem 4" xfId="2717"/>
    <cellStyle name="SAPBEXaggItem 4 2" xfId="4331"/>
    <cellStyle name="SAPBEXaggItem 4 2 2" xfId="6188"/>
    <cellStyle name="SAPBEXaggItem 4 2 2 2" xfId="22493"/>
    <cellStyle name="SAPBEXaggItem 4 2 2 2 2" xfId="43368"/>
    <cellStyle name="SAPBEXaggItem 4 2 2 3" xfId="21012"/>
    <cellStyle name="SAPBEXaggItem 4 2 2 3 2" xfId="41887"/>
    <cellStyle name="SAPBEXaggItem 4 2 2 4" xfId="22350"/>
    <cellStyle name="SAPBEXaggItem 4 2 2 4 2" xfId="43225"/>
    <cellStyle name="SAPBEXaggItem 4 2 2 5" xfId="15197"/>
    <cellStyle name="SAPBEXaggItem 4 2 2 5 2" xfId="36073"/>
    <cellStyle name="SAPBEXaggItem 4 2 2 6" xfId="27335"/>
    <cellStyle name="SAPBEXaggItem 4 2 3" xfId="21948"/>
    <cellStyle name="SAPBEXaggItem 4 2 3 2" xfId="42823"/>
    <cellStyle name="SAPBEXaggItem 4 2 4" xfId="23942"/>
    <cellStyle name="SAPBEXaggItem 4 2 4 2" xfId="44814"/>
    <cellStyle name="SAPBEXaggItem 4 2 5" xfId="22792"/>
    <cellStyle name="SAPBEXaggItem 4 2 5 2" xfId="43667"/>
    <cellStyle name="SAPBEXaggItem 4 2 6" xfId="13379"/>
    <cellStyle name="SAPBEXaggItem 4 2 6 2" xfId="34255"/>
    <cellStyle name="SAPBEXaggItem 4 2 7" xfId="25517"/>
    <cellStyle name="SAPBEXaggItem 4 3" xfId="8297"/>
    <cellStyle name="SAPBEXaggItem 4 3 2" xfId="22986"/>
    <cellStyle name="SAPBEXaggItem 4 3 2 2" xfId="43859"/>
    <cellStyle name="SAPBEXaggItem 4 3 3" xfId="22222"/>
    <cellStyle name="SAPBEXaggItem 4 3 3 2" xfId="43097"/>
    <cellStyle name="SAPBEXaggItem 4 3 4" xfId="23632"/>
    <cellStyle name="SAPBEXaggItem 4 3 4 2" xfId="44504"/>
    <cellStyle name="SAPBEXaggItem 4 3 5" xfId="17302"/>
    <cellStyle name="SAPBEXaggItem 4 3 5 2" xfId="38178"/>
    <cellStyle name="SAPBEXaggItem 4 3 6" xfId="29440"/>
    <cellStyle name="SAPBEXaggItem 4 4" xfId="10181"/>
    <cellStyle name="SAPBEXaggItem 4 4 2" xfId="23466"/>
    <cellStyle name="SAPBEXaggItem 4 4 2 2" xfId="44338"/>
    <cellStyle name="SAPBEXaggItem 4 4 3" xfId="23765"/>
    <cellStyle name="SAPBEXaggItem 4 4 3 2" xfId="44637"/>
    <cellStyle name="SAPBEXaggItem 4 4 4" xfId="23961"/>
    <cellStyle name="SAPBEXaggItem 4 4 4 2" xfId="44833"/>
    <cellStyle name="SAPBEXaggItem 4 4 5" xfId="18952"/>
    <cellStyle name="SAPBEXaggItem 4 4 5 2" xfId="39828"/>
    <cellStyle name="SAPBEXaggItem 4 4 6" xfId="31092"/>
    <cellStyle name="SAPBEXaggItem 4 5" xfId="21474"/>
    <cellStyle name="SAPBEXaggItem 4 5 2" xfId="42349"/>
    <cellStyle name="SAPBEXaggItem 4 6" xfId="22919"/>
    <cellStyle name="SAPBEXaggItem 4 6 2" xfId="43793"/>
    <cellStyle name="SAPBEXaggItem 4 7" xfId="23699"/>
    <cellStyle name="SAPBEXaggItem 4 7 2" xfId="44571"/>
    <cellStyle name="SAPBEXaggItem 4 8" xfId="12239"/>
    <cellStyle name="SAPBEXaggItem 4 8 2" xfId="33128"/>
    <cellStyle name="SAPBEXaggItem 4 9" xfId="24346"/>
    <cellStyle name="SAPBEXaggItem 5" xfId="2718"/>
    <cellStyle name="SAPBEXaggItem 5 2" xfId="4332"/>
    <cellStyle name="SAPBEXaggItem 5 2 2" xfId="6189"/>
    <cellStyle name="SAPBEXaggItem 5 2 2 2" xfId="22494"/>
    <cellStyle name="SAPBEXaggItem 5 2 2 2 2" xfId="43369"/>
    <cellStyle name="SAPBEXaggItem 5 2 2 3" xfId="21074"/>
    <cellStyle name="SAPBEXaggItem 5 2 2 3 2" xfId="41949"/>
    <cellStyle name="SAPBEXaggItem 5 2 2 4" xfId="22287"/>
    <cellStyle name="SAPBEXaggItem 5 2 2 4 2" xfId="43162"/>
    <cellStyle name="SAPBEXaggItem 5 2 2 5" xfId="15198"/>
    <cellStyle name="SAPBEXaggItem 5 2 2 5 2" xfId="36074"/>
    <cellStyle name="SAPBEXaggItem 5 2 2 6" xfId="27336"/>
    <cellStyle name="SAPBEXaggItem 5 2 3" xfId="21949"/>
    <cellStyle name="SAPBEXaggItem 5 2 3 2" xfId="42824"/>
    <cellStyle name="SAPBEXaggItem 5 2 4" xfId="22273"/>
    <cellStyle name="SAPBEXaggItem 5 2 4 2" xfId="43148"/>
    <cellStyle name="SAPBEXaggItem 5 2 5" xfId="21426"/>
    <cellStyle name="SAPBEXaggItem 5 2 5 2" xfId="42301"/>
    <cellStyle name="SAPBEXaggItem 5 2 6" xfId="13380"/>
    <cellStyle name="SAPBEXaggItem 5 2 6 2" xfId="34256"/>
    <cellStyle name="SAPBEXaggItem 5 2 7" xfId="25518"/>
    <cellStyle name="SAPBEXaggItem 5 3" xfId="8298"/>
    <cellStyle name="SAPBEXaggItem 5 3 2" xfId="22987"/>
    <cellStyle name="SAPBEXaggItem 5 3 2 2" xfId="43860"/>
    <cellStyle name="SAPBEXaggItem 5 3 3" xfId="23206"/>
    <cellStyle name="SAPBEXaggItem 5 3 3 2" xfId="44079"/>
    <cellStyle name="SAPBEXaggItem 5 3 4" xfId="21513"/>
    <cellStyle name="SAPBEXaggItem 5 3 4 2" xfId="42388"/>
    <cellStyle name="SAPBEXaggItem 5 3 5" xfId="17303"/>
    <cellStyle name="SAPBEXaggItem 5 3 5 2" xfId="38179"/>
    <cellStyle name="SAPBEXaggItem 5 3 6" xfId="29441"/>
    <cellStyle name="SAPBEXaggItem 5 4" xfId="10182"/>
    <cellStyle name="SAPBEXaggItem 5 4 2" xfId="23467"/>
    <cellStyle name="SAPBEXaggItem 5 4 2 2" xfId="44339"/>
    <cellStyle name="SAPBEXaggItem 5 4 3" xfId="23926"/>
    <cellStyle name="SAPBEXaggItem 5 4 3 2" xfId="44798"/>
    <cellStyle name="SAPBEXaggItem 5 4 4" xfId="24125"/>
    <cellStyle name="SAPBEXaggItem 5 4 4 2" xfId="44996"/>
    <cellStyle name="SAPBEXaggItem 5 4 5" xfId="18953"/>
    <cellStyle name="SAPBEXaggItem 5 4 5 2" xfId="39829"/>
    <cellStyle name="SAPBEXaggItem 5 4 6" xfId="31093"/>
    <cellStyle name="SAPBEXaggItem 5 5" xfId="21475"/>
    <cellStyle name="SAPBEXaggItem 5 5 2" xfId="42350"/>
    <cellStyle name="SAPBEXaggItem 5 6" xfId="23242"/>
    <cellStyle name="SAPBEXaggItem 5 6 2" xfId="44115"/>
    <cellStyle name="SAPBEXaggItem 5 7" xfId="21194"/>
    <cellStyle name="SAPBEXaggItem 5 7 2" xfId="42069"/>
    <cellStyle name="SAPBEXaggItem 5 8" xfId="12240"/>
    <cellStyle name="SAPBEXaggItem 5 8 2" xfId="33129"/>
    <cellStyle name="SAPBEXaggItem 5 9" xfId="24347"/>
    <cellStyle name="SAPBEXaggItem 6" xfId="3809"/>
    <cellStyle name="SAPBEXaggItem 6 2" xfId="6038"/>
    <cellStyle name="SAPBEXaggItem 6 2 2" xfId="22397"/>
    <cellStyle name="SAPBEXaggItem 6 2 2 2" xfId="43272"/>
    <cellStyle name="SAPBEXaggItem 6 2 3" xfId="21038"/>
    <cellStyle name="SAPBEXaggItem 6 2 3 2" xfId="41913"/>
    <cellStyle name="SAPBEXaggItem 6 2 4" xfId="22657"/>
    <cellStyle name="SAPBEXaggItem 6 2 4 2" xfId="43532"/>
    <cellStyle name="SAPBEXaggItem 6 2 5" xfId="15047"/>
    <cellStyle name="SAPBEXaggItem 6 2 5 2" xfId="35923"/>
    <cellStyle name="SAPBEXaggItem 6 2 6" xfId="27185"/>
    <cellStyle name="SAPBEXaggItem 6 3" xfId="21783"/>
    <cellStyle name="SAPBEXaggItem 6 3 2" xfId="42658"/>
    <cellStyle name="SAPBEXaggItem 6 4" xfId="21742"/>
    <cellStyle name="SAPBEXaggItem 6 4 2" xfId="42617"/>
    <cellStyle name="SAPBEXaggItem 6 5" xfId="23277"/>
    <cellStyle name="SAPBEXaggItem 6 5 2" xfId="44150"/>
    <cellStyle name="SAPBEXaggItem 6 6" xfId="13229"/>
    <cellStyle name="SAPBEXaggItem 6 6 2" xfId="34105"/>
    <cellStyle name="SAPBEXaggItem 6 7" xfId="25367"/>
    <cellStyle name="SAPBEXaggItem 7" xfId="8294"/>
    <cellStyle name="SAPBEXaggItem 7 2" xfId="22983"/>
    <cellStyle name="SAPBEXaggItem 7 2 2" xfId="43856"/>
    <cellStyle name="SAPBEXaggItem 7 3" xfId="23882"/>
    <cellStyle name="SAPBEXaggItem 7 3 2" xfId="44754"/>
    <cellStyle name="SAPBEXaggItem 7 4" xfId="23282"/>
    <cellStyle name="SAPBEXaggItem 7 4 2" xfId="44155"/>
    <cellStyle name="SAPBEXaggItem 7 5" xfId="17299"/>
    <cellStyle name="SAPBEXaggItem 7 5 2" xfId="38175"/>
    <cellStyle name="SAPBEXaggItem 7 6" xfId="29437"/>
    <cellStyle name="SAPBEXaggItem 8" xfId="10178"/>
    <cellStyle name="SAPBEXaggItem 8 2" xfId="23463"/>
    <cellStyle name="SAPBEXaggItem 8 2 2" xfId="44335"/>
    <cellStyle name="SAPBEXaggItem 8 3" xfId="23891"/>
    <cellStyle name="SAPBEXaggItem 8 3 2" xfId="44763"/>
    <cellStyle name="SAPBEXaggItem 8 4" xfId="24086"/>
    <cellStyle name="SAPBEXaggItem 8 4 2" xfId="44958"/>
    <cellStyle name="SAPBEXaggItem 8 5" xfId="18949"/>
    <cellStyle name="SAPBEXaggItem 8 5 2" xfId="39825"/>
    <cellStyle name="SAPBEXaggItem 8 6" xfId="31089"/>
    <cellStyle name="SAPBEXaggItem 9" xfId="20879"/>
    <cellStyle name="SAPBEXaggItem 9 2" xfId="41754"/>
    <cellStyle name="SAPBEXaggItemX" xfId="1144"/>
    <cellStyle name="SAPBEXaggItemX 10" xfId="21870"/>
    <cellStyle name="SAPBEXaggItemX 10 2" xfId="42745"/>
    <cellStyle name="SAPBEXaggItemX 11" xfId="23790"/>
    <cellStyle name="SAPBEXaggItemX 11 2" xfId="44662"/>
    <cellStyle name="SAPBEXaggItemX 12" xfId="12116"/>
    <cellStyle name="SAPBEXaggItemX 12 2" xfId="33016"/>
    <cellStyle name="SAPBEXaggItemX 13" xfId="24166"/>
    <cellStyle name="SAPBEXaggItemX 13 2" xfId="45036"/>
    <cellStyle name="SAPBEXaggItemX 14" xfId="24251"/>
    <cellStyle name="SAPBEXaggItemX 14 2" xfId="45112"/>
    <cellStyle name="SAPBEXaggItemX 2" xfId="2719"/>
    <cellStyle name="SAPBEXaggItemX 2 10" xfId="24348"/>
    <cellStyle name="SAPBEXaggItemX 2 2" xfId="4334"/>
    <cellStyle name="SAPBEXaggItemX 2 2 2" xfId="6190"/>
    <cellStyle name="SAPBEXaggItemX 2 2 2 2" xfId="22495"/>
    <cellStyle name="SAPBEXaggItemX 2 2 2 2 2" xfId="43370"/>
    <cellStyle name="SAPBEXaggItemX 2 2 2 3" xfId="23410"/>
    <cellStyle name="SAPBEXaggItemX 2 2 2 3 2" xfId="44282"/>
    <cellStyle name="SAPBEXaggItemX 2 2 2 4" xfId="21834"/>
    <cellStyle name="SAPBEXaggItemX 2 2 2 4 2" xfId="42709"/>
    <cellStyle name="SAPBEXaggItemX 2 2 2 5" xfId="15199"/>
    <cellStyle name="SAPBEXaggItemX 2 2 2 5 2" xfId="36075"/>
    <cellStyle name="SAPBEXaggItemX 2 2 2 6" xfId="27337"/>
    <cellStyle name="SAPBEXaggItemX 2 2 3" xfId="21950"/>
    <cellStyle name="SAPBEXaggItemX 2 2 3 2" xfId="42825"/>
    <cellStyle name="SAPBEXaggItemX 2 2 4" xfId="24065"/>
    <cellStyle name="SAPBEXaggItemX 2 2 4 2" xfId="44937"/>
    <cellStyle name="SAPBEXaggItemX 2 2 5" xfId="23929"/>
    <cellStyle name="SAPBEXaggItemX 2 2 5 2" xfId="44801"/>
    <cellStyle name="SAPBEXaggItemX 2 2 6" xfId="13381"/>
    <cellStyle name="SAPBEXaggItemX 2 2 6 2" xfId="34257"/>
    <cellStyle name="SAPBEXaggItemX 2 2 7" xfId="25519"/>
    <cellStyle name="SAPBEXaggItemX 2 3" xfId="8300"/>
    <cellStyle name="SAPBEXaggItemX 2 3 2" xfId="22989"/>
    <cellStyle name="SAPBEXaggItemX 2 3 2 2" xfId="43862"/>
    <cellStyle name="SAPBEXaggItemX 2 3 3" xfId="21219"/>
    <cellStyle name="SAPBEXaggItemX 2 3 3 2" xfId="42094"/>
    <cellStyle name="SAPBEXaggItemX 2 3 4" xfId="21266"/>
    <cellStyle name="SAPBEXaggItemX 2 3 4 2" xfId="42141"/>
    <cellStyle name="SAPBEXaggItemX 2 3 5" xfId="17305"/>
    <cellStyle name="SAPBEXaggItemX 2 3 5 2" xfId="38181"/>
    <cellStyle name="SAPBEXaggItemX 2 3 6" xfId="29443"/>
    <cellStyle name="SAPBEXaggItemX 2 4" xfId="10184"/>
    <cellStyle name="SAPBEXaggItemX 2 4 2" xfId="23469"/>
    <cellStyle name="SAPBEXaggItemX 2 4 2 2" xfId="44341"/>
    <cellStyle name="SAPBEXaggItemX 2 4 3" xfId="22757"/>
    <cellStyle name="SAPBEXaggItemX 2 4 3 2" xfId="43632"/>
    <cellStyle name="SAPBEXaggItemX 2 4 4" xfId="22911"/>
    <cellStyle name="SAPBEXaggItemX 2 4 4 2" xfId="43785"/>
    <cellStyle name="SAPBEXaggItemX 2 4 5" xfId="18955"/>
    <cellStyle name="SAPBEXaggItemX 2 4 5 2" xfId="39831"/>
    <cellStyle name="SAPBEXaggItemX 2 4 6" xfId="31095"/>
    <cellStyle name="SAPBEXaggItemX 2 5" xfId="20882"/>
    <cellStyle name="SAPBEXaggItemX 2 5 2" xfId="41757"/>
    <cellStyle name="SAPBEXaggItemX 2 6" xfId="23788"/>
    <cellStyle name="SAPBEXaggItemX 2 6 2" xfId="44660"/>
    <cellStyle name="SAPBEXaggItemX 2 7" xfId="23861"/>
    <cellStyle name="SAPBEXaggItemX 2 7 2" xfId="44733"/>
    <cellStyle name="SAPBEXaggItemX 2 8" xfId="12117"/>
    <cellStyle name="SAPBEXaggItemX 2 8 2" xfId="33017"/>
    <cellStyle name="SAPBEXaggItemX 2 9" xfId="24187"/>
    <cellStyle name="SAPBEXaggItemX 2 9 2" xfId="45055"/>
    <cellStyle name="SAPBEXaggItemX 3" xfId="2720"/>
    <cellStyle name="SAPBEXaggItemX 3 2" xfId="4335"/>
    <cellStyle name="SAPBEXaggItemX 3 2 2" xfId="6191"/>
    <cellStyle name="SAPBEXaggItemX 3 2 2 2" xfId="22496"/>
    <cellStyle name="SAPBEXaggItemX 3 2 2 2 2" xfId="43371"/>
    <cellStyle name="SAPBEXaggItemX 3 2 2 3" xfId="21724"/>
    <cellStyle name="SAPBEXaggItemX 3 2 2 3 2" xfId="42599"/>
    <cellStyle name="SAPBEXaggItemX 3 2 2 4" xfId="23791"/>
    <cellStyle name="SAPBEXaggItemX 3 2 2 4 2" xfId="44663"/>
    <cellStyle name="SAPBEXaggItemX 3 2 2 5" xfId="15200"/>
    <cellStyle name="SAPBEXaggItemX 3 2 2 5 2" xfId="36076"/>
    <cellStyle name="SAPBEXaggItemX 3 2 2 6" xfId="27338"/>
    <cellStyle name="SAPBEXaggItemX 3 2 3" xfId="21951"/>
    <cellStyle name="SAPBEXaggItemX 3 2 3 2" xfId="42826"/>
    <cellStyle name="SAPBEXaggItemX 3 2 4" xfId="20851"/>
    <cellStyle name="SAPBEXaggItemX 3 2 4 2" xfId="41727"/>
    <cellStyle name="SAPBEXaggItemX 3 2 5" xfId="22869"/>
    <cellStyle name="SAPBEXaggItemX 3 2 5 2" xfId="43743"/>
    <cellStyle name="SAPBEXaggItemX 3 2 6" xfId="13382"/>
    <cellStyle name="SAPBEXaggItemX 3 2 6 2" xfId="34258"/>
    <cellStyle name="SAPBEXaggItemX 3 2 7" xfId="25520"/>
    <cellStyle name="SAPBEXaggItemX 3 3" xfId="8301"/>
    <cellStyle name="SAPBEXaggItemX 3 3 2" xfId="22990"/>
    <cellStyle name="SAPBEXaggItemX 3 3 2 2" xfId="43863"/>
    <cellStyle name="SAPBEXaggItemX 3 3 3" xfId="21892"/>
    <cellStyle name="SAPBEXaggItemX 3 3 3 2" xfId="42767"/>
    <cellStyle name="SAPBEXaggItemX 3 3 4" xfId="21154"/>
    <cellStyle name="SAPBEXaggItemX 3 3 4 2" xfId="42029"/>
    <cellStyle name="SAPBEXaggItemX 3 3 5" xfId="17306"/>
    <cellStyle name="SAPBEXaggItemX 3 3 5 2" xfId="38182"/>
    <cellStyle name="SAPBEXaggItemX 3 3 6" xfId="29444"/>
    <cellStyle name="SAPBEXaggItemX 3 4" xfId="10185"/>
    <cellStyle name="SAPBEXaggItemX 3 4 2" xfId="23470"/>
    <cellStyle name="SAPBEXaggItemX 3 4 2 2" xfId="44342"/>
    <cellStyle name="SAPBEXaggItemX 3 4 3" xfId="22867"/>
    <cellStyle name="SAPBEXaggItemX 3 4 3 2" xfId="43741"/>
    <cellStyle name="SAPBEXaggItemX 3 4 4" xfId="23302"/>
    <cellStyle name="SAPBEXaggItemX 3 4 4 2" xfId="44174"/>
    <cellStyle name="SAPBEXaggItemX 3 4 5" xfId="18956"/>
    <cellStyle name="SAPBEXaggItemX 3 4 5 2" xfId="39832"/>
    <cellStyle name="SAPBEXaggItemX 3 4 6" xfId="31096"/>
    <cellStyle name="SAPBEXaggItemX 3 5" xfId="21476"/>
    <cellStyle name="SAPBEXaggItemX 3 5 2" xfId="42351"/>
    <cellStyle name="SAPBEXaggItemX 3 6" xfId="22102"/>
    <cellStyle name="SAPBEXaggItemX 3 6 2" xfId="42977"/>
    <cellStyle name="SAPBEXaggItemX 3 7" xfId="22704"/>
    <cellStyle name="SAPBEXaggItemX 3 7 2" xfId="43579"/>
    <cellStyle name="SAPBEXaggItemX 3 8" xfId="12241"/>
    <cellStyle name="SAPBEXaggItemX 3 8 2" xfId="33130"/>
    <cellStyle name="SAPBEXaggItemX 3 9" xfId="24349"/>
    <cellStyle name="SAPBEXaggItemX 4" xfId="2721"/>
    <cellStyle name="SAPBEXaggItemX 4 2" xfId="4336"/>
    <cellStyle name="SAPBEXaggItemX 4 2 2" xfId="6192"/>
    <cellStyle name="SAPBEXaggItemX 4 2 2 2" xfId="22497"/>
    <cellStyle name="SAPBEXaggItemX 4 2 2 2 2" xfId="43372"/>
    <cellStyle name="SAPBEXaggItemX 4 2 2 3" xfId="23869"/>
    <cellStyle name="SAPBEXaggItemX 4 2 2 3 2" xfId="44741"/>
    <cellStyle name="SAPBEXaggItemX 4 2 2 4" xfId="21954"/>
    <cellStyle name="SAPBEXaggItemX 4 2 2 4 2" xfId="42829"/>
    <cellStyle name="SAPBEXaggItemX 4 2 2 5" xfId="15201"/>
    <cellStyle name="SAPBEXaggItemX 4 2 2 5 2" xfId="36077"/>
    <cellStyle name="SAPBEXaggItemX 4 2 2 6" xfId="27339"/>
    <cellStyle name="SAPBEXaggItemX 4 2 3" xfId="21952"/>
    <cellStyle name="SAPBEXaggItemX 4 2 3 2" xfId="42827"/>
    <cellStyle name="SAPBEXaggItemX 4 2 4" xfId="21006"/>
    <cellStyle name="SAPBEXaggItemX 4 2 4 2" xfId="41881"/>
    <cellStyle name="SAPBEXaggItemX 4 2 5" xfId="21633"/>
    <cellStyle name="SAPBEXaggItemX 4 2 5 2" xfId="42508"/>
    <cellStyle name="SAPBEXaggItemX 4 2 6" xfId="13383"/>
    <cellStyle name="SAPBEXaggItemX 4 2 6 2" xfId="34259"/>
    <cellStyle name="SAPBEXaggItemX 4 2 7" xfId="25521"/>
    <cellStyle name="SAPBEXaggItemX 4 3" xfId="8302"/>
    <cellStyle name="SAPBEXaggItemX 4 3 2" xfId="22991"/>
    <cellStyle name="SAPBEXaggItemX 4 3 2 2" xfId="43864"/>
    <cellStyle name="SAPBEXaggItemX 4 3 3" xfId="21645"/>
    <cellStyle name="SAPBEXaggItemX 4 3 3 2" xfId="42520"/>
    <cellStyle name="SAPBEXaggItemX 4 3 4" xfId="24085"/>
    <cellStyle name="SAPBEXaggItemX 4 3 4 2" xfId="44957"/>
    <cellStyle name="SAPBEXaggItemX 4 3 5" xfId="17307"/>
    <cellStyle name="SAPBEXaggItemX 4 3 5 2" xfId="38183"/>
    <cellStyle name="SAPBEXaggItemX 4 3 6" xfId="29445"/>
    <cellStyle name="SAPBEXaggItemX 4 4" xfId="10186"/>
    <cellStyle name="SAPBEXaggItemX 4 4 2" xfId="23471"/>
    <cellStyle name="SAPBEXaggItemX 4 4 2 2" xfId="44343"/>
    <cellStyle name="SAPBEXaggItemX 4 4 3" xfId="23803"/>
    <cellStyle name="SAPBEXaggItemX 4 4 3 2" xfId="44675"/>
    <cellStyle name="SAPBEXaggItemX 4 4 4" xfId="21097"/>
    <cellStyle name="SAPBEXaggItemX 4 4 4 2" xfId="41972"/>
    <cellStyle name="SAPBEXaggItemX 4 4 5" xfId="18957"/>
    <cellStyle name="SAPBEXaggItemX 4 4 5 2" xfId="39833"/>
    <cellStyle name="SAPBEXaggItemX 4 4 6" xfId="31097"/>
    <cellStyle name="SAPBEXaggItemX 4 5" xfId="21477"/>
    <cellStyle name="SAPBEXaggItemX 4 5 2" xfId="42352"/>
    <cellStyle name="SAPBEXaggItemX 4 6" xfId="22152"/>
    <cellStyle name="SAPBEXaggItemX 4 6 2" xfId="43027"/>
    <cellStyle name="SAPBEXaggItemX 4 7" xfId="21595"/>
    <cellStyle name="SAPBEXaggItemX 4 7 2" xfId="42470"/>
    <cellStyle name="SAPBEXaggItemX 4 8" xfId="12242"/>
    <cellStyle name="SAPBEXaggItemX 4 8 2" xfId="33131"/>
    <cellStyle name="SAPBEXaggItemX 4 9" xfId="24350"/>
    <cellStyle name="SAPBEXaggItemX 5" xfId="2722"/>
    <cellStyle name="SAPBEXaggItemX 5 2" xfId="4337"/>
    <cellStyle name="SAPBEXaggItemX 5 2 2" xfId="6193"/>
    <cellStyle name="SAPBEXaggItemX 5 2 2 2" xfId="22498"/>
    <cellStyle name="SAPBEXaggItemX 5 2 2 2 2" xfId="43373"/>
    <cellStyle name="SAPBEXaggItemX 5 2 2 3" xfId="23638"/>
    <cellStyle name="SAPBEXaggItemX 5 2 2 3 2" xfId="44510"/>
    <cellStyle name="SAPBEXaggItemX 5 2 2 4" xfId="23677"/>
    <cellStyle name="SAPBEXaggItemX 5 2 2 4 2" xfId="44549"/>
    <cellStyle name="SAPBEXaggItemX 5 2 2 5" xfId="15202"/>
    <cellStyle name="SAPBEXaggItemX 5 2 2 5 2" xfId="36078"/>
    <cellStyle name="SAPBEXaggItemX 5 2 2 6" xfId="27340"/>
    <cellStyle name="SAPBEXaggItemX 5 2 3" xfId="21953"/>
    <cellStyle name="SAPBEXaggItemX 5 2 3 2" xfId="42828"/>
    <cellStyle name="SAPBEXaggItemX 5 2 4" xfId="21371"/>
    <cellStyle name="SAPBEXaggItemX 5 2 4 2" xfId="42246"/>
    <cellStyle name="SAPBEXaggItemX 5 2 5" xfId="21245"/>
    <cellStyle name="SAPBEXaggItemX 5 2 5 2" xfId="42120"/>
    <cellStyle name="SAPBEXaggItemX 5 2 6" xfId="13384"/>
    <cellStyle name="SAPBEXaggItemX 5 2 6 2" xfId="34260"/>
    <cellStyle name="SAPBEXaggItemX 5 2 7" xfId="25522"/>
    <cellStyle name="SAPBEXaggItemX 5 3" xfId="8303"/>
    <cellStyle name="SAPBEXaggItemX 5 3 2" xfId="22992"/>
    <cellStyle name="SAPBEXaggItemX 5 3 2 2" xfId="43865"/>
    <cellStyle name="SAPBEXaggItemX 5 3 3" xfId="23749"/>
    <cellStyle name="SAPBEXaggItemX 5 3 3 2" xfId="44621"/>
    <cellStyle name="SAPBEXaggItemX 5 3 4" xfId="21735"/>
    <cellStyle name="SAPBEXaggItemX 5 3 4 2" xfId="42610"/>
    <cellStyle name="SAPBEXaggItemX 5 3 5" xfId="17308"/>
    <cellStyle name="SAPBEXaggItemX 5 3 5 2" xfId="38184"/>
    <cellStyle name="SAPBEXaggItemX 5 3 6" xfId="29446"/>
    <cellStyle name="SAPBEXaggItemX 5 4" xfId="10187"/>
    <cellStyle name="SAPBEXaggItemX 5 4 2" xfId="23472"/>
    <cellStyle name="SAPBEXaggItemX 5 4 2 2" xfId="44344"/>
    <cellStyle name="SAPBEXaggItemX 5 4 3" xfId="23186"/>
    <cellStyle name="SAPBEXaggItemX 5 4 3 2" xfId="44059"/>
    <cellStyle name="SAPBEXaggItemX 5 4 4" xfId="22842"/>
    <cellStyle name="SAPBEXaggItemX 5 4 4 2" xfId="43717"/>
    <cellStyle name="SAPBEXaggItemX 5 4 5" xfId="18958"/>
    <cellStyle name="SAPBEXaggItemX 5 4 5 2" xfId="39834"/>
    <cellStyle name="SAPBEXaggItemX 5 4 6" xfId="31098"/>
    <cellStyle name="SAPBEXaggItemX 5 5" xfId="21478"/>
    <cellStyle name="SAPBEXaggItemX 5 5 2" xfId="42353"/>
    <cellStyle name="SAPBEXaggItemX 5 6" xfId="24034"/>
    <cellStyle name="SAPBEXaggItemX 5 6 2" xfId="44906"/>
    <cellStyle name="SAPBEXaggItemX 5 7" xfId="22213"/>
    <cellStyle name="SAPBEXaggItemX 5 7 2" xfId="43088"/>
    <cellStyle name="SAPBEXaggItemX 5 8" xfId="12243"/>
    <cellStyle name="SAPBEXaggItemX 5 8 2" xfId="33132"/>
    <cellStyle name="SAPBEXaggItemX 5 9" xfId="24351"/>
    <cellStyle name="SAPBEXaggItemX 6" xfId="3810"/>
    <cellStyle name="SAPBEXaggItemX 6 2" xfId="6039"/>
    <cellStyle name="SAPBEXaggItemX 6 2 2" xfId="22398"/>
    <cellStyle name="SAPBEXaggItemX 6 2 2 2" xfId="43273"/>
    <cellStyle name="SAPBEXaggItemX 6 2 3" xfId="21425"/>
    <cellStyle name="SAPBEXaggItemX 6 2 3 2" xfId="42300"/>
    <cellStyle name="SAPBEXaggItemX 6 2 4" xfId="22362"/>
    <cellStyle name="SAPBEXaggItemX 6 2 4 2" xfId="43237"/>
    <cellStyle name="SAPBEXaggItemX 6 2 5" xfId="15048"/>
    <cellStyle name="SAPBEXaggItemX 6 2 5 2" xfId="35924"/>
    <cellStyle name="SAPBEXaggItemX 6 2 6" xfId="27186"/>
    <cellStyle name="SAPBEXaggItemX 6 3" xfId="21784"/>
    <cellStyle name="SAPBEXaggItemX 6 3 2" xfId="42659"/>
    <cellStyle name="SAPBEXaggItemX 6 4" xfId="24028"/>
    <cellStyle name="SAPBEXaggItemX 6 4 2" xfId="44900"/>
    <cellStyle name="SAPBEXaggItemX 6 5" xfId="22760"/>
    <cellStyle name="SAPBEXaggItemX 6 5 2" xfId="43635"/>
    <cellStyle name="SAPBEXaggItemX 6 6" xfId="13230"/>
    <cellStyle name="SAPBEXaggItemX 6 6 2" xfId="34106"/>
    <cellStyle name="SAPBEXaggItemX 6 7" xfId="25368"/>
    <cellStyle name="SAPBEXaggItemX 7" xfId="8299"/>
    <cellStyle name="SAPBEXaggItemX 7 2" xfId="22988"/>
    <cellStyle name="SAPBEXaggItemX 7 2 2" xfId="43861"/>
    <cellStyle name="SAPBEXaggItemX 7 3" xfId="22335"/>
    <cellStyle name="SAPBEXaggItemX 7 3 2" xfId="43210"/>
    <cellStyle name="SAPBEXaggItemX 7 4" xfId="21058"/>
    <cellStyle name="SAPBEXaggItemX 7 4 2" xfId="41933"/>
    <cellStyle name="SAPBEXaggItemX 7 5" xfId="17304"/>
    <cellStyle name="SAPBEXaggItemX 7 5 2" xfId="38180"/>
    <cellStyle name="SAPBEXaggItemX 7 6" xfId="29442"/>
    <cellStyle name="SAPBEXaggItemX 8" xfId="10183"/>
    <cellStyle name="SAPBEXaggItemX 8 2" xfId="23468"/>
    <cellStyle name="SAPBEXaggItemX 8 2 2" xfId="44340"/>
    <cellStyle name="SAPBEXaggItemX 8 3" xfId="22265"/>
    <cellStyle name="SAPBEXaggItemX 8 3 2" xfId="43140"/>
    <cellStyle name="SAPBEXaggItemX 8 4" xfId="23417"/>
    <cellStyle name="SAPBEXaggItemX 8 4 2" xfId="44289"/>
    <cellStyle name="SAPBEXaggItemX 8 5" xfId="18954"/>
    <cellStyle name="SAPBEXaggItemX 8 5 2" xfId="39830"/>
    <cellStyle name="SAPBEXaggItemX 8 6" xfId="31094"/>
    <cellStyle name="SAPBEXaggItemX 9" xfId="20881"/>
    <cellStyle name="SAPBEXaggItemX 9 2" xfId="41756"/>
    <cellStyle name="SAPBEXchaText" xfId="1145"/>
    <cellStyle name="SAPBEXchaText 10" xfId="23666"/>
    <cellStyle name="SAPBEXchaText 10 2" xfId="44538"/>
    <cellStyle name="SAPBEXchaText 11" xfId="22158"/>
    <cellStyle name="SAPBEXchaText 11 2" xfId="43033"/>
    <cellStyle name="SAPBEXchaText 12" xfId="12118"/>
    <cellStyle name="SAPBEXchaText 12 2" xfId="33018"/>
    <cellStyle name="SAPBEXchaText 13" xfId="24165"/>
    <cellStyle name="SAPBEXchaText 13 2" xfId="45035"/>
    <cellStyle name="SAPBEXchaText 14" xfId="24252"/>
    <cellStyle name="SAPBEXchaText 14 2" xfId="45113"/>
    <cellStyle name="SAPBEXchaText 2" xfId="2723"/>
    <cellStyle name="SAPBEXchaText 2 10" xfId="24352"/>
    <cellStyle name="SAPBEXchaText 2 2" xfId="4339"/>
    <cellStyle name="SAPBEXchaText 2 2 2" xfId="6194"/>
    <cellStyle name="SAPBEXchaText 2 2 2 2" xfId="22499"/>
    <cellStyle name="SAPBEXchaText 2 2 2 2 2" xfId="43374"/>
    <cellStyle name="SAPBEXchaText 2 2 2 3" xfId="23436"/>
    <cellStyle name="SAPBEXchaText 2 2 2 3 2" xfId="44308"/>
    <cellStyle name="SAPBEXchaText 2 2 2 4" xfId="23911"/>
    <cellStyle name="SAPBEXchaText 2 2 2 4 2" xfId="44783"/>
    <cellStyle name="SAPBEXchaText 2 2 2 5" xfId="15203"/>
    <cellStyle name="SAPBEXchaText 2 2 2 5 2" xfId="36079"/>
    <cellStyle name="SAPBEXchaText 2 2 2 6" xfId="27341"/>
    <cellStyle name="SAPBEXchaText 2 2 3" xfId="21955"/>
    <cellStyle name="SAPBEXchaText 2 2 3 2" xfId="42830"/>
    <cellStyle name="SAPBEXchaText 2 2 4" xfId="23897"/>
    <cellStyle name="SAPBEXchaText 2 2 4 2" xfId="44769"/>
    <cellStyle name="SAPBEXchaText 2 2 5" xfId="23160"/>
    <cellStyle name="SAPBEXchaText 2 2 5 2" xfId="44033"/>
    <cellStyle name="SAPBEXchaText 2 2 6" xfId="13385"/>
    <cellStyle name="SAPBEXchaText 2 2 6 2" xfId="34261"/>
    <cellStyle name="SAPBEXchaText 2 2 7" xfId="25523"/>
    <cellStyle name="SAPBEXchaText 2 3" xfId="8305"/>
    <cellStyle name="SAPBEXchaText 2 3 2" xfId="22994"/>
    <cellStyle name="SAPBEXchaText 2 3 2 2" xfId="43867"/>
    <cellStyle name="SAPBEXchaText 2 3 3" xfId="21220"/>
    <cellStyle name="SAPBEXchaText 2 3 3 2" xfId="42095"/>
    <cellStyle name="SAPBEXchaText 2 3 4" xfId="23960"/>
    <cellStyle name="SAPBEXchaText 2 3 4 2" xfId="44832"/>
    <cellStyle name="SAPBEXchaText 2 3 5" xfId="17310"/>
    <cellStyle name="SAPBEXchaText 2 3 5 2" xfId="38186"/>
    <cellStyle name="SAPBEXchaText 2 3 6" xfId="29448"/>
    <cellStyle name="SAPBEXchaText 2 4" xfId="10189"/>
    <cellStyle name="SAPBEXchaText 2 4 2" xfId="23474"/>
    <cellStyle name="SAPBEXchaText 2 4 2 2" xfId="44346"/>
    <cellStyle name="SAPBEXchaText 2 4 3" xfId="23841"/>
    <cellStyle name="SAPBEXchaText 2 4 3 2" xfId="44713"/>
    <cellStyle name="SAPBEXchaText 2 4 4" xfId="23213"/>
    <cellStyle name="SAPBEXchaText 2 4 4 2" xfId="44086"/>
    <cellStyle name="SAPBEXchaText 2 4 5" xfId="18960"/>
    <cellStyle name="SAPBEXchaText 2 4 5 2" xfId="39836"/>
    <cellStyle name="SAPBEXchaText 2 4 6" xfId="31100"/>
    <cellStyle name="SAPBEXchaText 2 5" xfId="20884"/>
    <cellStyle name="SAPBEXchaText 2 5 2" xfId="41759"/>
    <cellStyle name="SAPBEXchaText 2 6" xfId="22778"/>
    <cellStyle name="SAPBEXchaText 2 6 2" xfId="43653"/>
    <cellStyle name="SAPBEXchaText 2 7" xfId="21037"/>
    <cellStyle name="SAPBEXchaText 2 7 2" xfId="41912"/>
    <cellStyle name="SAPBEXchaText 2 8" xfId="12119"/>
    <cellStyle name="SAPBEXchaText 2 8 2" xfId="33019"/>
    <cellStyle name="SAPBEXchaText 2 9" xfId="24188"/>
    <cellStyle name="SAPBEXchaText 2 9 2" xfId="45056"/>
    <cellStyle name="SAPBEXchaText 3" xfId="2724"/>
    <cellStyle name="SAPBEXchaText 3 2" xfId="4340"/>
    <cellStyle name="SAPBEXchaText 3 2 2" xfId="6195"/>
    <cellStyle name="SAPBEXchaText 3 2 2 2" xfId="22500"/>
    <cellStyle name="SAPBEXchaText 3 2 2 2 2" xfId="43375"/>
    <cellStyle name="SAPBEXchaText 3 2 2 3" xfId="22373"/>
    <cellStyle name="SAPBEXchaText 3 2 2 3 2" xfId="43248"/>
    <cellStyle name="SAPBEXchaText 3 2 2 4" xfId="21688"/>
    <cellStyle name="SAPBEXchaText 3 2 2 4 2" xfId="42563"/>
    <cellStyle name="SAPBEXchaText 3 2 2 5" xfId="15204"/>
    <cellStyle name="SAPBEXchaText 3 2 2 5 2" xfId="36080"/>
    <cellStyle name="SAPBEXchaText 3 2 2 6" xfId="27342"/>
    <cellStyle name="SAPBEXchaText 3 2 3" xfId="21956"/>
    <cellStyle name="SAPBEXchaText 3 2 3 2" xfId="42831"/>
    <cellStyle name="SAPBEXchaText 3 2 4" xfId="23673"/>
    <cellStyle name="SAPBEXchaText 3 2 4 2" xfId="44545"/>
    <cellStyle name="SAPBEXchaText 3 2 5" xfId="21932"/>
    <cellStyle name="SAPBEXchaText 3 2 5 2" xfId="42807"/>
    <cellStyle name="SAPBEXchaText 3 2 6" xfId="13386"/>
    <cellStyle name="SAPBEXchaText 3 2 6 2" xfId="34262"/>
    <cellStyle name="SAPBEXchaText 3 2 7" xfId="25524"/>
    <cellStyle name="SAPBEXchaText 3 3" xfId="8306"/>
    <cellStyle name="SAPBEXchaText 3 3 2" xfId="22995"/>
    <cellStyle name="SAPBEXchaText 3 3 2 2" xfId="43868"/>
    <cellStyle name="SAPBEXchaText 3 3 3" xfId="22220"/>
    <cellStyle name="SAPBEXchaText 3 3 3 2" xfId="43095"/>
    <cellStyle name="SAPBEXchaText 3 3 4" xfId="24124"/>
    <cellStyle name="SAPBEXchaText 3 3 4 2" xfId="44995"/>
    <cellStyle name="SAPBEXchaText 3 3 5" xfId="17311"/>
    <cellStyle name="SAPBEXchaText 3 3 5 2" xfId="38187"/>
    <cellStyle name="SAPBEXchaText 3 3 6" xfId="29449"/>
    <cellStyle name="SAPBEXchaText 3 4" xfId="10190"/>
    <cellStyle name="SAPBEXchaText 3 4 2" xfId="23475"/>
    <cellStyle name="SAPBEXchaText 3 4 2 2" xfId="44347"/>
    <cellStyle name="SAPBEXchaText 3 4 3" xfId="21751"/>
    <cellStyle name="SAPBEXchaText 3 4 3 2" xfId="42626"/>
    <cellStyle name="SAPBEXchaText 3 4 4" xfId="23818"/>
    <cellStyle name="SAPBEXchaText 3 4 4 2" xfId="44690"/>
    <cellStyle name="SAPBEXchaText 3 4 5" xfId="18961"/>
    <cellStyle name="SAPBEXchaText 3 4 5 2" xfId="39837"/>
    <cellStyle name="SAPBEXchaText 3 4 6" xfId="31101"/>
    <cellStyle name="SAPBEXchaText 3 5" xfId="21479"/>
    <cellStyle name="SAPBEXchaText 3 5 2" xfId="42354"/>
    <cellStyle name="SAPBEXchaText 3 6" xfId="23997"/>
    <cellStyle name="SAPBEXchaText 3 6 2" xfId="44869"/>
    <cellStyle name="SAPBEXchaText 3 7" xfId="23928"/>
    <cellStyle name="SAPBEXchaText 3 7 2" xfId="44800"/>
    <cellStyle name="SAPBEXchaText 3 8" xfId="12244"/>
    <cellStyle name="SAPBEXchaText 3 8 2" xfId="33133"/>
    <cellStyle name="SAPBEXchaText 3 9" xfId="24353"/>
    <cellStyle name="SAPBEXchaText 4" xfId="2725"/>
    <cellStyle name="SAPBEXchaText 4 2" xfId="4341"/>
    <cellStyle name="SAPBEXchaText 4 2 2" xfId="6196"/>
    <cellStyle name="SAPBEXchaText 4 2 2 2" xfId="22501"/>
    <cellStyle name="SAPBEXchaText 4 2 2 2 2" xfId="43376"/>
    <cellStyle name="SAPBEXchaText 4 2 2 3" xfId="20955"/>
    <cellStyle name="SAPBEXchaText 4 2 2 3 2" xfId="41830"/>
    <cellStyle name="SAPBEXchaText 4 2 2 4" xfId="21666"/>
    <cellStyle name="SAPBEXchaText 4 2 2 4 2" xfId="42541"/>
    <cellStyle name="SAPBEXchaText 4 2 2 5" xfId="15205"/>
    <cellStyle name="SAPBEXchaText 4 2 2 5 2" xfId="36081"/>
    <cellStyle name="SAPBEXchaText 4 2 2 6" xfId="27343"/>
    <cellStyle name="SAPBEXchaText 4 2 3" xfId="21957"/>
    <cellStyle name="SAPBEXchaText 4 2 3 2" xfId="42832"/>
    <cellStyle name="SAPBEXchaText 4 2 4" xfId="23369"/>
    <cellStyle name="SAPBEXchaText 4 2 4 2" xfId="44241"/>
    <cellStyle name="SAPBEXchaText 4 2 5" xfId="21094"/>
    <cellStyle name="SAPBEXchaText 4 2 5 2" xfId="41969"/>
    <cellStyle name="SAPBEXchaText 4 2 6" xfId="13387"/>
    <cellStyle name="SAPBEXchaText 4 2 6 2" xfId="34263"/>
    <cellStyle name="SAPBEXchaText 4 2 7" xfId="25525"/>
    <cellStyle name="SAPBEXchaText 4 3" xfId="8307"/>
    <cellStyle name="SAPBEXchaText 4 3 2" xfId="22996"/>
    <cellStyle name="SAPBEXchaText 4 3 2 2" xfId="43869"/>
    <cellStyle name="SAPBEXchaText 4 3 3" xfId="23822"/>
    <cellStyle name="SAPBEXchaText 4 3 3 2" xfId="44694"/>
    <cellStyle name="SAPBEXchaText 4 3 4" xfId="23295"/>
    <cellStyle name="SAPBEXchaText 4 3 4 2" xfId="44167"/>
    <cellStyle name="SAPBEXchaText 4 3 5" xfId="17312"/>
    <cellStyle name="SAPBEXchaText 4 3 5 2" xfId="38188"/>
    <cellStyle name="SAPBEXchaText 4 3 6" xfId="29450"/>
    <cellStyle name="SAPBEXchaText 4 4" xfId="10191"/>
    <cellStyle name="SAPBEXchaText 4 4 2" xfId="23476"/>
    <cellStyle name="SAPBEXchaText 4 4 2 2" xfId="44348"/>
    <cellStyle name="SAPBEXchaText 4 4 3" xfId="22380"/>
    <cellStyle name="SAPBEXchaText 4 4 3 2" xfId="43255"/>
    <cellStyle name="SAPBEXchaText 4 4 4" xfId="23329"/>
    <cellStyle name="SAPBEXchaText 4 4 4 2" xfId="44201"/>
    <cellStyle name="SAPBEXchaText 4 4 5" xfId="18962"/>
    <cellStyle name="SAPBEXchaText 4 4 5 2" xfId="39838"/>
    <cellStyle name="SAPBEXchaText 4 4 6" xfId="31102"/>
    <cellStyle name="SAPBEXchaText 4 5" xfId="21480"/>
    <cellStyle name="SAPBEXchaText 4 5 2" xfId="42355"/>
    <cellStyle name="SAPBEXchaText 4 6" xfId="21204"/>
    <cellStyle name="SAPBEXchaText 4 6 2" xfId="42079"/>
    <cellStyle name="SAPBEXchaText 4 7" xfId="23806"/>
    <cellStyle name="SAPBEXchaText 4 7 2" xfId="44678"/>
    <cellStyle name="SAPBEXchaText 4 8" xfId="12245"/>
    <cellStyle name="SAPBEXchaText 4 8 2" xfId="33134"/>
    <cellStyle name="SAPBEXchaText 4 9" xfId="24354"/>
    <cellStyle name="SAPBEXchaText 5" xfId="2726"/>
    <cellStyle name="SAPBEXchaText 5 2" xfId="4342"/>
    <cellStyle name="SAPBEXchaText 5 2 2" xfId="6197"/>
    <cellStyle name="SAPBEXchaText 5 2 2 2" xfId="22502"/>
    <cellStyle name="SAPBEXchaText 5 2 2 2 2" xfId="43377"/>
    <cellStyle name="SAPBEXchaText 5 2 2 3" xfId="21900"/>
    <cellStyle name="SAPBEXchaText 5 2 2 3 2" xfId="42775"/>
    <cellStyle name="SAPBEXchaText 5 2 2 4" xfId="23848"/>
    <cellStyle name="SAPBEXchaText 5 2 2 4 2" xfId="44720"/>
    <cellStyle name="SAPBEXchaText 5 2 2 5" xfId="15206"/>
    <cellStyle name="SAPBEXchaText 5 2 2 5 2" xfId="36082"/>
    <cellStyle name="SAPBEXchaText 5 2 2 6" xfId="27344"/>
    <cellStyle name="SAPBEXchaText 5 2 3" xfId="21958"/>
    <cellStyle name="SAPBEXchaText 5 2 3 2" xfId="42833"/>
    <cellStyle name="SAPBEXchaText 5 2 4" xfId="22436"/>
    <cellStyle name="SAPBEXchaText 5 2 4 2" xfId="43311"/>
    <cellStyle name="SAPBEXchaText 5 2 5" xfId="22197"/>
    <cellStyle name="SAPBEXchaText 5 2 5 2" xfId="43072"/>
    <cellStyle name="SAPBEXchaText 5 2 6" xfId="13388"/>
    <cellStyle name="SAPBEXchaText 5 2 6 2" xfId="34264"/>
    <cellStyle name="SAPBEXchaText 5 2 7" xfId="25526"/>
    <cellStyle name="SAPBEXchaText 5 3" xfId="8308"/>
    <cellStyle name="SAPBEXchaText 5 3 2" xfId="22997"/>
    <cellStyle name="SAPBEXchaText 5 3 2 2" xfId="43870"/>
    <cellStyle name="SAPBEXchaText 5 3 3" xfId="23910"/>
    <cellStyle name="SAPBEXchaText 5 3 3 2" xfId="44782"/>
    <cellStyle name="SAPBEXchaText 5 3 4" xfId="23367"/>
    <cellStyle name="SAPBEXchaText 5 3 4 2" xfId="44239"/>
    <cellStyle name="SAPBEXchaText 5 3 5" xfId="17313"/>
    <cellStyle name="SAPBEXchaText 5 3 5 2" xfId="38189"/>
    <cellStyle name="SAPBEXchaText 5 3 6" xfId="29451"/>
    <cellStyle name="SAPBEXchaText 5 4" xfId="10192"/>
    <cellStyle name="SAPBEXchaText 5 4 2" xfId="23477"/>
    <cellStyle name="SAPBEXchaText 5 4 2 2" xfId="44349"/>
    <cellStyle name="SAPBEXchaText 5 4 3" xfId="22161"/>
    <cellStyle name="SAPBEXchaText 5 4 3 2" xfId="43036"/>
    <cellStyle name="SAPBEXchaText 5 4 4" xfId="21409"/>
    <cellStyle name="SAPBEXchaText 5 4 4 2" xfId="42284"/>
    <cellStyle name="SAPBEXchaText 5 4 5" xfId="18963"/>
    <cellStyle name="SAPBEXchaText 5 4 5 2" xfId="39839"/>
    <cellStyle name="SAPBEXchaText 5 4 6" xfId="31103"/>
    <cellStyle name="SAPBEXchaText 5 5" xfId="21481"/>
    <cellStyle name="SAPBEXchaText 5 5 2" xfId="42356"/>
    <cellStyle name="SAPBEXchaText 5 6" xfId="23258"/>
    <cellStyle name="SAPBEXchaText 5 6 2" xfId="44131"/>
    <cellStyle name="SAPBEXchaText 5 7" xfId="20948"/>
    <cellStyle name="SAPBEXchaText 5 7 2" xfId="41823"/>
    <cellStyle name="SAPBEXchaText 5 8" xfId="12246"/>
    <cellStyle name="SAPBEXchaText 5 8 2" xfId="33135"/>
    <cellStyle name="SAPBEXchaText 5 9" xfId="24355"/>
    <cellStyle name="SAPBEXchaText 6" xfId="3811"/>
    <cellStyle name="SAPBEXchaText 6 2" xfId="6040"/>
    <cellStyle name="SAPBEXchaText 6 2 2" xfId="22399"/>
    <cellStyle name="SAPBEXchaText 6 2 2 2" xfId="43274"/>
    <cellStyle name="SAPBEXchaText 6 2 3" xfId="23237"/>
    <cellStyle name="SAPBEXchaText 6 2 3 2" xfId="44110"/>
    <cellStyle name="SAPBEXchaText 6 2 4" xfId="23630"/>
    <cellStyle name="SAPBEXchaText 6 2 4 2" xfId="44502"/>
    <cellStyle name="SAPBEXchaText 6 2 5" xfId="15049"/>
    <cellStyle name="SAPBEXchaText 6 2 5 2" xfId="35925"/>
    <cellStyle name="SAPBEXchaText 6 2 6" xfId="27187"/>
    <cellStyle name="SAPBEXchaText 6 3" xfId="21785"/>
    <cellStyle name="SAPBEXchaText 6 3 2" xfId="42660"/>
    <cellStyle name="SAPBEXchaText 6 4" xfId="21747"/>
    <cellStyle name="SAPBEXchaText 6 4 2" xfId="42622"/>
    <cellStyle name="SAPBEXchaText 6 5" xfId="21839"/>
    <cellStyle name="SAPBEXchaText 6 5 2" xfId="42714"/>
    <cellStyle name="SAPBEXchaText 6 6" xfId="13231"/>
    <cellStyle name="SAPBEXchaText 6 6 2" xfId="34107"/>
    <cellStyle name="SAPBEXchaText 6 7" xfId="25369"/>
    <cellStyle name="SAPBEXchaText 7" xfId="8304"/>
    <cellStyle name="SAPBEXchaText 7 2" xfId="22993"/>
    <cellStyle name="SAPBEXchaText 7 2 2" xfId="43866"/>
    <cellStyle name="SAPBEXchaText 7 3" xfId="22114"/>
    <cellStyle name="SAPBEXchaText 7 3 2" xfId="42989"/>
    <cellStyle name="SAPBEXchaText 7 4" xfId="22319"/>
    <cellStyle name="SAPBEXchaText 7 4 2" xfId="43194"/>
    <cellStyle name="SAPBEXchaText 7 5" xfId="17309"/>
    <cellStyle name="SAPBEXchaText 7 5 2" xfId="38185"/>
    <cellStyle name="SAPBEXchaText 7 6" xfId="29447"/>
    <cellStyle name="SAPBEXchaText 8" xfId="10188"/>
    <cellStyle name="SAPBEXchaText 8 2" xfId="23473"/>
    <cellStyle name="SAPBEXchaText 8 2 2" xfId="44345"/>
    <cellStyle name="SAPBEXchaText 8 3" xfId="21662"/>
    <cellStyle name="SAPBEXchaText 8 3 2" xfId="42537"/>
    <cellStyle name="SAPBEXchaText 8 4" xfId="21351"/>
    <cellStyle name="SAPBEXchaText 8 4 2" xfId="42226"/>
    <cellStyle name="SAPBEXchaText 8 5" xfId="18959"/>
    <cellStyle name="SAPBEXchaText 8 5 2" xfId="39835"/>
    <cellStyle name="SAPBEXchaText 8 6" xfId="31099"/>
    <cellStyle name="SAPBEXchaText 9" xfId="20883"/>
    <cellStyle name="SAPBEXchaText 9 2" xfId="41758"/>
    <cellStyle name="SAPBEXexcBad7" xfId="1146"/>
    <cellStyle name="SAPBEXexcBad7 10" xfId="22148"/>
    <cellStyle name="SAPBEXexcBad7 10 2" xfId="43023"/>
    <cellStyle name="SAPBEXexcBad7 11" xfId="22132"/>
    <cellStyle name="SAPBEXexcBad7 11 2" xfId="43007"/>
    <cellStyle name="SAPBEXexcBad7 12" xfId="12120"/>
    <cellStyle name="SAPBEXexcBad7 12 2" xfId="33020"/>
    <cellStyle name="SAPBEXexcBad7 13" xfId="24164"/>
    <cellStyle name="SAPBEXexcBad7 13 2" xfId="45034"/>
    <cellStyle name="SAPBEXexcBad7 14" xfId="24253"/>
    <cellStyle name="SAPBEXexcBad7 14 2" xfId="45114"/>
    <cellStyle name="SAPBEXexcBad7 2" xfId="2727"/>
    <cellStyle name="SAPBEXexcBad7 2 10" xfId="24356"/>
    <cellStyle name="SAPBEXexcBad7 2 2" xfId="4344"/>
    <cellStyle name="SAPBEXexcBad7 2 2 2" xfId="6198"/>
    <cellStyle name="SAPBEXexcBad7 2 2 2 2" xfId="22503"/>
    <cellStyle name="SAPBEXexcBad7 2 2 2 2 2" xfId="43378"/>
    <cellStyle name="SAPBEXexcBad7 2 2 2 3" xfId="21402"/>
    <cellStyle name="SAPBEXexcBad7 2 2 2 3 2" xfId="42277"/>
    <cellStyle name="SAPBEXexcBad7 2 2 2 4" xfId="21124"/>
    <cellStyle name="SAPBEXexcBad7 2 2 2 4 2" xfId="41999"/>
    <cellStyle name="SAPBEXexcBad7 2 2 2 5" xfId="15207"/>
    <cellStyle name="SAPBEXexcBad7 2 2 2 5 2" xfId="36083"/>
    <cellStyle name="SAPBEXexcBad7 2 2 2 6" xfId="27345"/>
    <cellStyle name="SAPBEXexcBad7 2 2 3" xfId="21959"/>
    <cellStyle name="SAPBEXexcBad7 2 2 3 2" xfId="42834"/>
    <cellStyle name="SAPBEXexcBad7 2 2 4" xfId="21183"/>
    <cellStyle name="SAPBEXexcBad7 2 2 4 2" xfId="42058"/>
    <cellStyle name="SAPBEXexcBad7 2 2 5" xfId="22753"/>
    <cellStyle name="SAPBEXexcBad7 2 2 5 2" xfId="43628"/>
    <cellStyle name="SAPBEXexcBad7 2 2 6" xfId="13389"/>
    <cellStyle name="SAPBEXexcBad7 2 2 6 2" xfId="34265"/>
    <cellStyle name="SAPBEXexcBad7 2 2 7" xfId="25527"/>
    <cellStyle name="SAPBEXexcBad7 2 3" xfId="8310"/>
    <cellStyle name="SAPBEXexcBad7 2 3 2" xfId="22999"/>
    <cellStyle name="SAPBEXexcBad7 2 3 2 2" xfId="43872"/>
    <cellStyle name="SAPBEXexcBad7 2 3 3" xfId="21221"/>
    <cellStyle name="SAPBEXexcBad7 2 3 3 2" xfId="42096"/>
    <cellStyle name="SAPBEXexcBad7 2 3 4" xfId="22873"/>
    <cellStyle name="SAPBEXexcBad7 2 3 4 2" xfId="43747"/>
    <cellStyle name="SAPBEXexcBad7 2 3 5" xfId="17315"/>
    <cellStyle name="SAPBEXexcBad7 2 3 5 2" xfId="38191"/>
    <cellStyle name="SAPBEXexcBad7 2 3 6" xfId="29453"/>
    <cellStyle name="SAPBEXexcBad7 2 4" xfId="10194"/>
    <cellStyle name="SAPBEXexcBad7 2 4 2" xfId="23479"/>
    <cellStyle name="SAPBEXexcBad7 2 4 2 2" xfId="44351"/>
    <cellStyle name="SAPBEXexcBad7 2 4 3" xfId="22295"/>
    <cellStyle name="SAPBEXexcBad7 2 4 3 2" xfId="43170"/>
    <cellStyle name="SAPBEXexcBad7 2 4 4" xfId="21200"/>
    <cellStyle name="SAPBEXexcBad7 2 4 4 2" xfId="42075"/>
    <cellStyle name="SAPBEXexcBad7 2 4 5" xfId="18965"/>
    <cellStyle name="SAPBEXexcBad7 2 4 5 2" xfId="39841"/>
    <cellStyle name="SAPBEXexcBad7 2 4 6" xfId="31105"/>
    <cellStyle name="SAPBEXexcBad7 2 5" xfId="20886"/>
    <cellStyle name="SAPBEXexcBad7 2 5 2" xfId="41761"/>
    <cellStyle name="SAPBEXexcBad7 2 6" xfId="21327"/>
    <cellStyle name="SAPBEXexcBad7 2 6 2" xfId="42202"/>
    <cellStyle name="SAPBEXexcBad7 2 7" xfId="23260"/>
    <cellStyle name="SAPBEXexcBad7 2 7 2" xfId="44133"/>
    <cellStyle name="SAPBEXexcBad7 2 8" xfId="12121"/>
    <cellStyle name="SAPBEXexcBad7 2 8 2" xfId="33021"/>
    <cellStyle name="SAPBEXexcBad7 2 9" xfId="24189"/>
    <cellStyle name="SAPBEXexcBad7 2 9 2" xfId="45057"/>
    <cellStyle name="SAPBEXexcBad7 3" xfId="2728"/>
    <cellStyle name="SAPBEXexcBad7 3 2" xfId="4345"/>
    <cellStyle name="SAPBEXexcBad7 3 2 2" xfId="6199"/>
    <cellStyle name="SAPBEXexcBad7 3 2 2 2" xfId="22504"/>
    <cellStyle name="SAPBEXexcBad7 3 2 2 2 2" xfId="43379"/>
    <cellStyle name="SAPBEXexcBad7 3 2 2 3" xfId="21763"/>
    <cellStyle name="SAPBEXexcBad7 3 2 2 3 2" xfId="42638"/>
    <cellStyle name="SAPBEXexcBad7 3 2 2 4" xfId="22920"/>
    <cellStyle name="SAPBEXexcBad7 3 2 2 4 2" xfId="43794"/>
    <cellStyle name="SAPBEXexcBad7 3 2 2 5" xfId="15208"/>
    <cellStyle name="SAPBEXexcBad7 3 2 2 5 2" xfId="36084"/>
    <cellStyle name="SAPBEXexcBad7 3 2 2 6" xfId="27346"/>
    <cellStyle name="SAPBEXexcBad7 3 2 3" xfId="21960"/>
    <cellStyle name="SAPBEXexcBad7 3 2 3 2" xfId="42835"/>
    <cellStyle name="SAPBEXexcBad7 3 2 4" xfId="21309"/>
    <cellStyle name="SAPBEXexcBad7 3 2 4 2" xfId="42184"/>
    <cellStyle name="SAPBEXexcBad7 3 2 5" xfId="22946"/>
    <cellStyle name="SAPBEXexcBad7 3 2 5 2" xfId="43820"/>
    <cellStyle name="SAPBEXexcBad7 3 2 6" xfId="13390"/>
    <cellStyle name="SAPBEXexcBad7 3 2 6 2" xfId="34266"/>
    <cellStyle name="SAPBEXexcBad7 3 2 7" xfId="25528"/>
    <cellStyle name="SAPBEXexcBad7 3 3" xfId="8311"/>
    <cellStyle name="SAPBEXexcBad7 3 3 2" xfId="23000"/>
    <cellStyle name="SAPBEXexcBad7 3 3 2 2" xfId="43873"/>
    <cellStyle name="SAPBEXexcBad7 3 3 3" xfId="21771"/>
    <cellStyle name="SAPBEXexcBad7 3 3 3 2" xfId="42646"/>
    <cellStyle name="SAPBEXexcBad7 3 3 4" xfId="21098"/>
    <cellStyle name="SAPBEXexcBad7 3 3 4 2" xfId="41973"/>
    <cellStyle name="SAPBEXexcBad7 3 3 5" xfId="17316"/>
    <cellStyle name="SAPBEXexcBad7 3 3 5 2" xfId="38192"/>
    <cellStyle name="SAPBEXexcBad7 3 3 6" xfId="29454"/>
    <cellStyle name="SAPBEXexcBad7 3 4" xfId="10195"/>
    <cellStyle name="SAPBEXexcBad7 3 4 2" xfId="23480"/>
    <cellStyle name="SAPBEXexcBad7 3 4 2 2" xfId="44352"/>
    <cellStyle name="SAPBEXexcBad7 3 4 3" xfId="22782"/>
    <cellStyle name="SAPBEXexcBad7 3 4 3 2" xfId="43657"/>
    <cellStyle name="SAPBEXexcBad7 3 4 4" xfId="24002"/>
    <cellStyle name="SAPBEXexcBad7 3 4 4 2" xfId="44874"/>
    <cellStyle name="SAPBEXexcBad7 3 4 5" xfId="18966"/>
    <cellStyle name="SAPBEXexcBad7 3 4 5 2" xfId="39842"/>
    <cellStyle name="SAPBEXexcBad7 3 4 6" xfId="31106"/>
    <cellStyle name="SAPBEXexcBad7 3 5" xfId="21482"/>
    <cellStyle name="SAPBEXexcBad7 3 5 2" xfId="42357"/>
    <cellStyle name="SAPBEXexcBad7 3 6" xfId="21414"/>
    <cellStyle name="SAPBEXexcBad7 3 6 2" xfId="42289"/>
    <cellStyle name="SAPBEXexcBad7 3 7" xfId="21910"/>
    <cellStyle name="SAPBEXexcBad7 3 7 2" xfId="42785"/>
    <cellStyle name="SAPBEXexcBad7 3 8" xfId="12247"/>
    <cellStyle name="SAPBEXexcBad7 3 8 2" xfId="33136"/>
    <cellStyle name="SAPBEXexcBad7 3 9" xfId="24357"/>
    <cellStyle name="SAPBEXexcBad7 4" xfId="2729"/>
    <cellStyle name="SAPBEXexcBad7 4 2" xfId="4346"/>
    <cellStyle name="SAPBEXexcBad7 4 2 2" xfId="6200"/>
    <cellStyle name="SAPBEXexcBad7 4 2 2 2" xfId="22505"/>
    <cellStyle name="SAPBEXexcBad7 4 2 2 2 2" xfId="43380"/>
    <cellStyle name="SAPBEXexcBad7 4 2 2 3" xfId="22179"/>
    <cellStyle name="SAPBEXexcBad7 4 2 2 3 2" xfId="43054"/>
    <cellStyle name="SAPBEXexcBad7 4 2 2 4" xfId="22146"/>
    <cellStyle name="SAPBEXexcBad7 4 2 2 4 2" xfId="43021"/>
    <cellStyle name="SAPBEXexcBad7 4 2 2 5" xfId="15209"/>
    <cellStyle name="SAPBEXexcBad7 4 2 2 5 2" xfId="36085"/>
    <cellStyle name="SAPBEXexcBad7 4 2 2 6" xfId="27347"/>
    <cellStyle name="SAPBEXexcBad7 4 2 3" xfId="21961"/>
    <cellStyle name="SAPBEXexcBad7 4 2 3 2" xfId="42836"/>
    <cellStyle name="SAPBEXexcBad7 4 2 4" xfId="21396"/>
    <cellStyle name="SAPBEXexcBad7 4 2 4 2" xfId="42271"/>
    <cellStyle name="SAPBEXexcBad7 4 2 5" xfId="22890"/>
    <cellStyle name="SAPBEXexcBad7 4 2 5 2" xfId="43764"/>
    <cellStyle name="SAPBEXexcBad7 4 2 6" xfId="13391"/>
    <cellStyle name="SAPBEXexcBad7 4 2 6 2" xfId="34267"/>
    <cellStyle name="SAPBEXexcBad7 4 2 7" xfId="25529"/>
    <cellStyle name="SAPBEXexcBad7 4 3" xfId="8312"/>
    <cellStyle name="SAPBEXexcBad7 4 3 2" xfId="23001"/>
    <cellStyle name="SAPBEXexcBad7 4 3 2 2" xfId="43874"/>
    <cellStyle name="SAPBEXexcBad7 4 3 3" xfId="21728"/>
    <cellStyle name="SAPBEXexcBad7 4 3 3 2" xfId="42603"/>
    <cellStyle name="SAPBEXexcBad7 4 3 4" xfId="21032"/>
    <cellStyle name="SAPBEXexcBad7 4 3 4 2" xfId="41907"/>
    <cellStyle name="SAPBEXexcBad7 4 3 5" xfId="17317"/>
    <cellStyle name="SAPBEXexcBad7 4 3 5 2" xfId="38193"/>
    <cellStyle name="SAPBEXexcBad7 4 3 6" xfId="29455"/>
    <cellStyle name="SAPBEXexcBad7 4 4" xfId="10196"/>
    <cellStyle name="SAPBEXexcBad7 4 4 2" xfId="23481"/>
    <cellStyle name="SAPBEXexcBad7 4 4 2 2" xfId="44353"/>
    <cellStyle name="SAPBEXexcBad7 4 4 3" xfId="22900"/>
    <cellStyle name="SAPBEXexcBad7 4 4 3 2" xfId="43774"/>
    <cellStyle name="SAPBEXexcBad7 4 4 4" xfId="22932"/>
    <cellStyle name="SAPBEXexcBad7 4 4 4 2" xfId="43806"/>
    <cellStyle name="SAPBEXexcBad7 4 4 5" xfId="18967"/>
    <cellStyle name="SAPBEXexcBad7 4 4 5 2" xfId="39843"/>
    <cellStyle name="SAPBEXexcBad7 4 4 6" xfId="31107"/>
    <cellStyle name="SAPBEXexcBad7 4 5" xfId="21483"/>
    <cellStyle name="SAPBEXexcBad7 4 5 2" xfId="42358"/>
    <cellStyle name="SAPBEXexcBad7 4 6" xfId="22355"/>
    <cellStyle name="SAPBEXexcBad7 4 6 2" xfId="43230"/>
    <cellStyle name="SAPBEXexcBad7 4 7" xfId="23741"/>
    <cellStyle name="SAPBEXexcBad7 4 7 2" xfId="44613"/>
    <cellStyle name="SAPBEXexcBad7 4 8" xfId="12248"/>
    <cellStyle name="SAPBEXexcBad7 4 8 2" xfId="33137"/>
    <cellStyle name="SAPBEXexcBad7 4 9" xfId="24358"/>
    <cellStyle name="SAPBEXexcBad7 5" xfId="2730"/>
    <cellStyle name="SAPBEXexcBad7 5 2" xfId="4347"/>
    <cellStyle name="SAPBEXexcBad7 5 2 2" xfId="6201"/>
    <cellStyle name="SAPBEXexcBad7 5 2 2 2" xfId="22506"/>
    <cellStyle name="SAPBEXexcBad7 5 2 2 2 2" xfId="43381"/>
    <cellStyle name="SAPBEXexcBad7 5 2 2 3" xfId="21845"/>
    <cellStyle name="SAPBEXexcBad7 5 2 2 3 2" xfId="42720"/>
    <cellStyle name="SAPBEXexcBad7 5 2 2 4" xfId="21056"/>
    <cellStyle name="SAPBEXexcBad7 5 2 2 4 2" xfId="41931"/>
    <cellStyle name="SAPBEXexcBad7 5 2 2 5" xfId="15210"/>
    <cellStyle name="SAPBEXexcBad7 5 2 2 5 2" xfId="36086"/>
    <cellStyle name="SAPBEXexcBad7 5 2 2 6" xfId="27348"/>
    <cellStyle name="SAPBEXexcBad7 5 2 3" xfId="21962"/>
    <cellStyle name="SAPBEXexcBad7 5 2 3 2" xfId="42837"/>
    <cellStyle name="SAPBEXexcBad7 5 2 4" xfId="21859"/>
    <cellStyle name="SAPBEXexcBad7 5 2 4 2" xfId="42734"/>
    <cellStyle name="SAPBEXexcBad7 5 2 5" xfId="22926"/>
    <cellStyle name="SAPBEXexcBad7 5 2 5 2" xfId="43800"/>
    <cellStyle name="SAPBEXexcBad7 5 2 6" xfId="13392"/>
    <cellStyle name="SAPBEXexcBad7 5 2 6 2" xfId="34268"/>
    <cellStyle name="SAPBEXexcBad7 5 2 7" xfId="25530"/>
    <cellStyle name="SAPBEXexcBad7 5 3" xfId="8313"/>
    <cellStyle name="SAPBEXexcBad7 5 3 2" xfId="23002"/>
    <cellStyle name="SAPBEXexcBad7 5 3 2 2" xfId="43875"/>
    <cellStyle name="SAPBEXexcBad7 5 3 3" xfId="22250"/>
    <cellStyle name="SAPBEXexcBad7 5 3 3 2" xfId="43125"/>
    <cellStyle name="SAPBEXexcBad7 5 3 4" xfId="22854"/>
    <cellStyle name="SAPBEXexcBad7 5 3 4 2" xfId="43729"/>
    <cellStyle name="SAPBEXexcBad7 5 3 5" xfId="17318"/>
    <cellStyle name="SAPBEXexcBad7 5 3 5 2" xfId="38194"/>
    <cellStyle name="SAPBEXexcBad7 5 3 6" xfId="29456"/>
    <cellStyle name="SAPBEXexcBad7 5 4" xfId="10197"/>
    <cellStyle name="SAPBEXexcBad7 5 4 2" xfId="23482"/>
    <cellStyle name="SAPBEXexcBad7 5 4 2 2" xfId="44354"/>
    <cellStyle name="SAPBEXexcBad7 5 4 3" xfId="23222"/>
    <cellStyle name="SAPBEXexcBad7 5 4 3 2" xfId="44095"/>
    <cellStyle name="SAPBEXexcBad7 5 4 4" xfId="21252"/>
    <cellStyle name="SAPBEXexcBad7 5 4 4 2" xfId="42127"/>
    <cellStyle name="SAPBEXexcBad7 5 4 5" xfId="18968"/>
    <cellStyle name="SAPBEXexcBad7 5 4 5 2" xfId="39844"/>
    <cellStyle name="SAPBEXexcBad7 5 4 6" xfId="31108"/>
    <cellStyle name="SAPBEXexcBad7 5 5" xfId="21484"/>
    <cellStyle name="SAPBEXexcBad7 5 5 2" xfId="42359"/>
    <cellStyle name="SAPBEXexcBad7 5 6" xfId="23306"/>
    <cellStyle name="SAPBEXexcBad7 5 6 2" xfId="44178"/>
    <cellStyle name="SAPBEXexcBad7 5 7" xfId="21875"/>
    <cellStyle name="SAPBEXexcBad7 5 7 2" xfId="42750"/>
    <cellStyle name="SAPBEXexcBad7 5 8" xfId="12249"/>
    <cellStyle name="SAPBEXexcBad7 5 8 2" xfId="33138"/>
    <cellStyle name="SAPBEXexcBad7 5 9" xfId="24359"/>
    <cellStyle name="SAPBEXexcBad7 6" xfId="3812"/>
    <cellStyle name="SAPBEXexcBad7 6 2" xfId="6041"/>
    <cellStyle name="SAPBEXexcBad7 6 2 2" xfId="22400"/>
    <cellStyle name="SAPBEXexcBad7 6 2 2 2" xfId="43275"/>
    <cellStyle name="SAPBEXexcBad7 6 2 3" xfId="22875"/>
    <cellStyle name="SAPBEXexcBad7 6 2 3 2" xfId="43749"/>
    <cellStyle name="SAPBEXexcBad7 6 2 4" xfId="20971"/>
    <cellStyle name="SAPBEXexcBad7 6 2 4 2" xfId="41846"/>
    <cellStyle name="SAPBEXexcBad7 6 2 5" xfId="15050"/>
    <cellStyle name="SAPBEXexcBad7 6 2 5 2" xfId="35926"/>
    <cellStyle name="SAPBEXexcBad7 6 2 6" xfId="27188"/>
    <cellStyle name="SAPBEXexcBad7 6 3" xfId="21786"/>
    <cellStyle name="SAPBEXexcBad7 6 3 2" xfId="42661"/>
    <cellStyle name="SAPBEXexcBad7 6 4" xfId="23991"/>
    <cellStyle name="SAPBEXexcBad7 6 4 2" xfId="44863"/>
    <cellStyle name="SAPBEXexcBad7 6 5" xfId="22121"/>
    <cellStyle name="SAPBEXexcBad7 6 5 2" xfId="42996"/>
    <cellStyle name="SAPBEXexcBad7 6 6" xfId="13232"/>
    <cellStyle name="SAPBEXexcBad7 6 6 2" xfId="34108"/>
    <cellStyle name="SAPBEXexcBad7 6 7" xfId="25370"/>
    <cellStyle name="SAPBEXexcBad7 7" xfId="8309"/>
    <cellStyle name="SAPBEXexcBad7 7 2" xfId="22998"/>
    <cellStyle name="SAPBEXexcBad7 7 2 2" xfId="43871"/>
    <cellStyle name="SAPBEXexcBad7 7 3" xfId="22656"/>
    <cellStyle name="SAPBEXexcBad7 7 3 2" xfId="43531"/>
    <cellStyle name="SAPBEXexcBad7 7 4" xfId="23631"/>
    <cellStyle name="SAPBEXexcBad7 7 4 2" xfId="44503"/>
    <cellStyle name="SAPBEXexcBad7 7 5" xfId="17314"/>
    <cellStyle name="SAPBEXexcBad7 7 5 2" xfId="38190"/>
    <cellStyle name="SAPBEXexcBad7 7 6" xfId="29452"/>
    <cellStyle name="SAPBEXexcBad7 8" xfId="10193"/>
    <cellStyle name="SAPBEXexcBad7 8 2" xfId="23478"/>
    <cellStyle name="SAPBEXexcBad7 8 2 2" xfId="44350"/>
    <cellStyle name="SAPBEXexcBad7 8 3" xfId="22688"/>
    <cellStyle name="SAPBEXexcBad7 8 3 2" xfId="43563"/>
    <cellStyle name="SAPBEXexcBad7 8 4" xfId="21322"/>
    <cellStyle name="SAPBEXexcBad7 8 4 2" xfId="42197"/>
    <cellStyle name="SAPBEXexcBad7 8 5" xfId="18964"/>
    <cellStyle name="SAPBEXexcBad7 8 5 2" xfId="39840"/>
    <cellStyle name="SAPBEXexcBad7 8 6" xfId="31104"/>
    <cellStyle name="SAPBEXexcBad7 9" xfId="20885"/>
    <cellStyle name="SAPBEXexcBad7 9 2" xfId="41760"/>
    <cellStyle name="SAPBEXexcBad8" xfId="1147"/>
    <cellStyle name="SAPBEXexcBad8 10" xfId="22672"/>
    <cellStyle name="SAPBEXexcBad8 10 2" xfId="43547"/>
    <cellStyle name="SAPBEXexcBad8 11" xfId="21428"/>
    <cellStyle name="SAPBEXexcBad8 11 2" xfId="42303"/>
    <cellStyle name="SAPBEXexcBad8 12" xfId="12122"/>
    <cellStyle name="SAPBEXexcBad8 12 2" xfId="33022"/>
    <cellStyle name="SAPBEXexcBad8 13" xfId="24163"/>
    <cellStyle name="SAPBEXexcBad8 13 2" xfId="45033"/>
    <cellStyle name="SAPBEXexcBad8 14" xfId="24254"/>
    <cellStyle name="SAPBEXexcBad8 14 2" xfId="45115"/>
    <cellStyle name="SAPBEXexcBad8 2" xfId="2731"/>
    <cellStyle name="SAPBEXexcBad8 2 10" xfId="24360"/>
    <cellStyle name="SAPBEXexcBad8 2 2" xfId="4348"/>
    <cellStyle name="SAPBEXexcBad8 2 2 2" xfId="6202"/>
    <cellStyle name="SAPBEXexcBad8 2 2 2 2" xfId="22507"/>
    <cellStyle name="SAPBEXexcBad8 2 2 2 2 2" xfId="43382"/>
    <cellStyle name="SAPBEXexcBad8 2 2 2 3" xfId="23338"/>
    <cellStyle name="SAPBEXexcBad8 2 2 2 3 2" xfId="44210"/>
    <cellStyle name="SAPBEXexcBad8 2 2 2 4" xfId="23834"/>
    <cellStyle name="SAPBEXexcBad8 2 2 2 4 2" xfId="44706"/>
    <cellStyle name="SAPBEXexcBad8 2 2 2 5" xfId="15211"/>
    <cellStyle name="SAPBEXexcBad8 2 2 2 5 2" xfId="36087"/>
    <cellStyle name="SAPBEXexcBad8 2 2 2 6" xfId="27349"/>
    <cellStyle name="SAPBEXexcBad8 2 2 3" xfId="21963"/>
    <cellStyle name="SAPBEXexcBad8 2 2 3 2" xfId="42838"/>
    <cellStyle name="SAPBEXexcBad8 2 2 4" xfId="21642"/>
    <cellStyle name="SAPBEXexcBad8 2 2 4 2" xfId="42517"/>
    <cellStyle name="SAPBEXexcBad8 2 2 5" xfId="21149"/>
    <cellStyle name="SAPBEXexcBad8 2 2 5 2" xfId="42024"/>
    <cellStyle name="SAPBEXexcBad8 2 2 6" xfId="13393"/>
    <cellStyle name="SAPBEXexcBad8 2 2 6 2" xfId="34269"/>
    <cellStyle name="SAPBEXexcBad8 2 2 7" xfId="25531"/>
    <cellStyle name="SAPBEXexcBad8 2 3" xfId="8315"/>
    <cellStyle name="SAPBEXexcBad8 2 3 2" xfId="23004"/>
    <cellStyle name="SAPBEXexcBad8 2 3 2 2" xfId="43877"/>
    <cellStyle name="SAPBEXexcBad8 2 3 3" xfId="21222"/>
    <cellStyle name="SAPBEXexcBad8 2 3 3 2" xfId="42097"/>
    <cellStyle name="SAPBEXexcBad8 2 3 4" xfId="23170"/>
    <cellStyle name="SAPBEXexcBad8 2 3 4 2" xfId="44043"/>
    <cellStyle name="SAPBEXexcBad8 2 3 5" xfId="17320"/>
    <cellStyle name="SAPBEXexcBad8 2 3 5 2" xfId="38196"/>
    <cellStyle name="SAPBEXexcBad8 2 3 6" xfId="29458"/>
    <cellStyle name="SAPBEXexcBad8 2 4" xfId="10199"/>
    <cellStyle name="SAPBEXexcBad8 2 4 2" xfId="23484"/>
    <cellStyle name="SAPBEXexcBad8 2 4 2 2" xfId="44356"/>
    <cellStyle name="SAPBEXexcBad8 2 4 3" xfId="23684"/>
    <cellStyle name="SAPBEXexcBad8 2 4 3 2" xfId="44556"/>
    <cellStyle name="SAPBEXexcBad8 2 4 4" xfId="24003"/>
    <cellStyle name="SAPBEXexcBad8 2 4 4 2" xfId="44875"/>
    <cellStyle name="SAPBEXexcBad8 2 4 5" xfId="18970"/>
    <cellStyle name="SAPBEXexcBad8 2 4 5 2" xfId="39846"/>
    <cellStyle name="SAPBEXexcBad8 2 4 6" xfId="31110"/>
    <cellStyle name="SAPBEXexcBad8 2 5" xfId="20888"/>
    <cellStyle name="SAPBEXexcBad8 2 5 2" xfId="41763"/>
    <cellStyle name="SAPBEXexcBad8 2 6" xfId="23276"/>
    <cellStyle name="SAPBEXexcBad8 2 6 2" xfId="44149"/>
    <cellStyle name="SAPBEXexcBad8 2 7" xfId="22651"/>
    <cellStyle name="SAPBEXexcBad8 2 7 2" xfId="43526"/>
    <cellStyle name="SAPBEXexcBad8 2 8" xfId="12123"/>
    <cellStyle name="SAPBEXexcBad8 2 8 2" xfId="33023"/>
    <cellStyle name="SAPBEXexcBad8 2 9" xfId="24190"/>
    <cellStyle name="SAPBEXexcBad8 2 9 2" xfId="45058"/>
    <cellStyle name="SAPBEXexcBad8 3" xfId="2732"/>
    <cellStyle name="SAPBEXexcBad8 3 2" xfId="4349"/>
    <cellStyle name="SAPBEXexcBad8 3 2 2" xfId="6203"/>
    <cellStyle name="SAPBEXexcBad8 3 2 2 2" xfId="22508"/>
    <cellStyle name="SAPBEXexcBad8 3 2 2 2 2" xfId="43383"/>
    <cellStyle name="SAPBEXexcBad8 3 2 2 3" xfId="22248"/>
    <cellStyle name="SAPBEXexcBad8 3 2 2 3 2" xfId="43123"/>
    <cellStyle name="SAPBEXexcBad8 3 2 2 4" xfId="21723"/>
    <cellStyle name="SAPBEXexcBad8 3 2 2 4 2" xfId="42598"/>
    <cellStyle name="SAPBEXexcBad8 3 2 2 5" xfId="15212"/>
    <cellStyle name="SAPBEXexcBad8 3 2 2 5 2" xfId="36088"/>
    <cellStyle name="SAPBEXexcBad8 3 2 2 6" xfId="27350"/>
    <cellStyle name="SAPBEXexcBad8 3 2 3" xfId="21964"/>
    <cellStyle name="SAPBEXexcBad8 3 2 3 2" xfId="42839"/>
    <cellStyle name="SAPBEXexcBad8 3 2 4" xfId="21648"/>
    <cellStyle name="SAPBEXexcBad8 3 2 4 2" xfId="42523"/>
    <cellStyle name="SAPBEXexcBad8 3 2 5" xfId="22675"/>
    <cellStyle name="SAPBEXexcBad8 3 2 5 2" xfId="43550"/>
    <cellStyle name="SAPBEXexcBad8 3 2 6" xfId="13394"/>
    <cellStyle name="SAPBEXexcBad8 3 2 6 2" xfId="34270"/>
    <cellStyle name="SAPBEXexcBad8 3 2 7" xfId="25532"/>
    <cellStyle name="SAPBEXexcBad8 3 3" xfId="8316"/>
    <cellStyle name="SAPBEXexcBad8 3 3 2" xfId="23005"/>
    <cellStyle name="SAPBEXexcBad8 3 3 2 2" xfId="43878"/>
    <cellStyle name="SAPBEXexcBad8 3 3 3" xfId="21891"/>
    <cellStyle name="SAPBEXexcBad8 3 3 3 2" xfId="42766"/>
    <cellStyle name="SAPBEXexcBad8 3 3 4" xfId="22187"/>
    <cellStyle name="SAPBEXexcBad8 3 3 4 2" xfId="43062"/>
    <cellStyle name="SAPBEXexcBad8 3 3 5" xfId="17321"/>
    <cellStyle name="SAPBEXexcBad8 3 3 5 2" xfId="38197"/>
    <cellStyle name="SAPBEXexcBad8 3 3 6" xfId="29459"/>
    <cellStyle name="SAPBEXexcBad8 3 4" xfId="10200"/>
    <cellStyle name="SAPBEXexcBad8 3 4 2" xfId="23485"/>
    <cellStyle name="SAPBEXexcBad8 3 4 2 2" xfId="44357"/>
    <cellStyle name="SAPBEXexcBad8 3 4 3" xfId="21707"/>
    <cellStyle name="SAPBEXexcBad8 3 4 3 2" xfId="42582"/>
    <cellStyle name="SAPBEXexcBad8 3 4 4" xfId="22155"/>
    <cellStyle name="SAPBEXexcBad8 3 4 4 2" xfId="43030"/>
    <cellStyle name="SAPBEXexcBad8 3 4 5" xfId="18971"/>
    <cellStyle name="SAPBEXexcBad8 3 4 5 2" xfId="39847"/>
    <cellStyle name="SAPBEXexcBad8 3 4 6" xfId="31111"/>
    <cellStyle name="SAPBEXexcBad8 3 5" xfId="21485"/>
    <cellStyle name="SAPBEXexcBad8 3 5 2" xfId="42360"/>
    <cellStyle name="SAPBEXexcBad8 3 6" xfId="24114"/>
    <cellStyle name="SAPBEXexcBad8 3 6 2" xfId="44985"/>
    <cellStyle name="SAPBEXexcBad8 3 7" xfId="22166"/>
    <cellStyle name="SAPBEXexcBad8 3 7 2" xfId="43041"/>
    <cellStyle name="SAPBEXexcBad8 3 8" xfId="12250"/>
    <cellStyle name="SAPBEXexcBad8 3 8 2" xfId="33139"/>
    <cellStyle name="SAPBEXexcBad8 3 9" xfId="24361"/>
    <cellStyle name="SAPBEXexcBad8 4" xfId="2733"/>
    <cellStyle name="SAPBEXexcBad8 4 2" xfId="4350"/>
    <cellStyle name="SAPBEXexcBad8 4 2 2" xfId="6204"/>
    <cellStyle name="SAPBEXexcBad8 4 2 2 2" xfId="22509"/>
    <cellStyle name="SAPBEXexcBad8 4 2 2 2 2" xfId="43384"/>
    <cellStyle name="SAPBEXexcBad8 4 2 2 3" xfId="22326"/>
    <cellStyle name="SAPBEXexcBad8 4 2 2 3 2" xfId="43201"/>
    <cellStyle name="SAPBEXexcBad8 4 2 2 4" xfId="22734"/>
    <cellStyle name="SAPBEXexcBad8 4 2 2 4 2" xfId="43609"/>
    <cellStyle name="SAPBEXexcBad8 4 2 2 5" xfId="15213"/>
    <cellStyle name="SAPBEXexcBad8 4 2 2 5 2" xfId="36089"/>
    <cellStyle name="SAPBEXexcBad8 4 2 2 6" xfId="27351"/>
    <cellStyle name="SAPBEXexcBad8 4 2 3" xfId="21965"/>
    <cellStyle name="SAPBEXexcBad8 4 2 3 2" xfId="42840"/>
    <cellStyle name="SAPBEXexcBad8 4 2 4" xfId="21601"/>
    <cellStyle name="SAPBEXexcBad8 4 2 4 2" xfId="42476"/>
    <cellStyle name="SAPBEXexcBad8 4 2 5" xfId="24048"/>
    <cellStyle name="SAPBEXexcBad8 4 2 5 2" xfId="44920"/>
    <cellStyle name="SAPBEXexcBad8 4 2 6" xfId="13395"/>
    <cellStyle name="SAPBEXexcBad8 4 2 6 2" xfId="34271"/>
    <cellStyle name="SAPBEXexcBad8 4 2 7" xfId="25533"/>
    <cellStyle name="SAPBEXexcBad8 4 3" xfId="8317"/>
    <cellStyle name="SAPBEXexcBad8 4 3 2" xfId="23006"/>
    <cellStyle name="SAPBEXexcBad8 4 3 2 2" xfId="43879"/>
    <cellStyle name="SAPBEXexcBad8 4 3 3" xfId="22361"/>
    <cellStyle name="SAPBEXexcBad8 4 3 3 2" xfId="43236"/>
    <cellStyle name="SAPBEXexcBad8 4 3 4" xfId="23908"/>
    <cellStyle name="SAPBEXexcBad8 4 3 4 2" xfId="44780"/>
    <cellStyle name="SAPBEXexcBad8 4 3 5" xfId="17322"/>
    <cellStyle name="SAPBEXexcBad8 4 3 5 2" xfId="38198"/>
    <cellStyle name="SAPBEXexcBad8 4 3 6" xfId="29460"/>
    <cellStyle name="SAPBEXexcBad8 4 4" xfId="10201"/>
    <cellStyle name="SAPBEXexcBad8 4 4 2" xfId="23486"/>
    <cellStyle name="SAPBEXexcBad8 4 4 2 2" xfId="44358"/>
    <cellStyle name="SAPBEXexcBad8 4 4 3" xfId="22206"/>
    <cellStyle name="SAPBEXexcBad8 4 4 3 2" xfId="43081"/>
    <cellStyle name="SAPBEXexcBad8 4 4 4" xfId="24038"/>
    <cellStyle name="SAPBEXexcBad8 4 4 4 2" xfId="44910"/>
    <cellStyle name="SAPBEXexcBad8 4 4 5" xfId="18972"/>
    <cellStyle name="SAPBEXexcBad8 4 4 5 2" xfId="39848"/>
    <cellStyle name="SAPBEXexcBad8 4 4 6" xfId="31112"/>
    <cellStyle name="SAPBEXexcBad8 4 5" xfId="21486"/>
    <cellStyle name="SAPBEXexcBad8 4 5 2" xfId="42361"/>
    <cellStyle name="SAPBEXexcBad8 4 6" xfId="23950"/>
    <cellStyle name="SAPBEXexcBad8 4 6 2" xfId="44822"/>
    <cellStyle name="SAPBEXexcBad8 4 7" xfId="23733"/>
    <cellStyle name="SAPBEXexcBad8 4 7 2" xfId="44605"/>
    <cellStyle name="SAPBEXexcBad8 4 8" xfId="12251"/>
    <cellStyle name="SAPBEXexcBad8 4 8 2" xfId="33140"/>
    <cellStyle name="SAPBEXexcBad8 4 9" xfId="24362"/>
    <cellStyle name="SAPBEXexcBad8 5" xfId="2734"/>
    <cellStyle name="SAPBEXexcBad8 5 2" xfId="4351"/>
    <cellStyle name="SAPBEXexcBad8 5 2 2" xfId="6205"/>
    <cellStyle name="SAPBEXexcBad8 5 2 2 2" xfId="22510"/>
    <cellStyle name="SAPBEXexcBad8 5 2 2 2 2" xfId="43385"/>
    <cellStyle name="SAPBEXexcBad8 5 2 2 3" xfId="21617"/>
    <cellStyle name="SAPBEXexcBad8 5 2 2 3 2" xfId="42492"/>
    <cellStyle name="SAPBEXexcBad8 5 2 2 4" xfId="24070"/>
    <cellStyle name="SAPBEXexcBad8 5 2 2 4 2" xfId="44942"/>
    <cellStyle name="SAPBEXexcBad8 5 2 2 5" xfId="15214"/>
    <cellStyle name="SAPBEXexcBad8 5 2 2 5 2" xfId="36090"/>
    <cellStyle name="SAPBEXexcBad8 5 2 2 6" xfId="27352"/>
    <cellStyle name="SAPBEXexcBad8 5 2 3" xfId="21966"/>
    <cellStyle name="SAPBEXexcBad8 5 2 3 2" xfId="42841"/>
    <cellStyle name="SAPBEXexcBad8 5 2 4" xfId="22193"/>
    <cellStyle name="SAPBEXexcBad8 5 2 4 2" xfId="43068"/>
    <cellStyle name="SAPBEXexcBad8 5 2 5" xfId="22325"/>
    <cellStyle name="SAPBEXexcBad8 5 2 5 2" xfId="43200"/>
    <cellStyle name="SAPBEXexcBad8 5 2 6" xfId="13396"/>
    <cellStyle name="SAPBEXexcBad8 5 2 6 2" xfId="34272"/>
    <cellStyle name="SAPBEXexcBad8 5 2 7" xfId="25534"/>
    <cellStyle name="SAPBEXexcBad8 5 3" xfId="8318"/>
    <cellStyle name="SAPBEXexcBad8 5 3 2" xfId="23007"/>
    <cellStyle name="SAPBEXexcBad8 5 3 2 2" xfId="43880"/>
    <cellStyle name="SAPBEXexcBad8 5 3 3" xfId="22743"/>
    <cellStyle name="SAPBEXexcBad8 5 3 3 2" xfId="43618"/>
    <cellStyle name="SAPBEXexcBad8 5 3 4" xfId="23198"/>
    <cellStyle name="SAPBEXexcBad8 5 3 4 2" xfId="44071"/>
    <cellStyle name="SAPBEXexcBad8 5 3 5" xfId="17323"/>
    <cellStyle name="SAPBEXexcBad8 5 3 5 2" xfId="38199"/>
    <cellStyle name="SAPBEXexcBad8 5 3 6" xfId="29461"/>
    <cellStyle name="SAPBEXexcBad8 5 4" xfId="10202"/>
    <cellStyle name="SAPBEXexcBad8 5 4 2" xfId="23487"/>
    <cellStyle name="SAPBEXexcBad8 5 4 2 2" xfId="44359"/>
    <cellStyle name="SAPBEXexcBad8 5 4 3" xfId="23290"/>
    <cellStyle name="SAPBEXexcBad8 5 4 3 2" xfId="44162"/>
    <cellStyle name="SAPBEXexcBad8 5 4 4" xfId="22892"/>
    <cellStyle name="SAPBEXexcBad8 5 4 4 2" xfId="43766"/>
    <cellStyle name="SAPBEXexcBad8 5 4 5" xfId="18973"/>
    <cellStyle name="SAPBEXexcBad8 5 4 5 2" xfId="39849"/>
    <cellStyle name="SAPBEXexcBad8 5 4 6" xfId="31113"/>
    <cellStyle name="SAPBEXexcBad8 5 5" xfId="21487"/>
    <cellStyle name="SAPBEXexcBad8 5 5 2" xfId="42362"/>
    <cellStyle name="SAPBEXexcBad8 5 6" xfId="23744"/>
    <cellStyle name="SAPBEXexcBad8 5 6 2" xfId="44616"/>
    <cellStyle name="SAPBEXexcBad8 5 7" xfId="23777"/>
    <cellStyle name="SAPBEXexcBad8 5 7 2" xfId="44649"/>
    <cellStyle name="SAPBEXexcBad8 5 8" xfId="12252"/>
    <cellStyle name="SAPBEXexcBad8 5 8 2" xfId="33141"/>
    <cellStyle name="SAPBEXexcBad8 5 9" xfId="24363"/>
    <cellStyle name="SAPBEXexcBad8 6" xfId="3813"/>
    <cellStyle name="SAPBEXexcBad8 6 2" xfId="6042"/>
    <cellStyle name="SAPBEXexcBad8 6 2 2" xfId="22401"/>
    <cellStyle name="SAPBEXexcBad8 6 2 2 2" xfId="43276"/>
    <cellStyle name="SAPBEXexcBad8 6 2 3" xfId="23279"/>
    <cellStyle name="SAPBEXexcBad8 6 2 3 2" xfId="44152"/>
    <cellStyle name="SAPBEXexcBad8 6 2 4" xfId="21055"/>
    <cellStyle name="SAPBEXexcBad8 6 2 4 2" xfId="41930"/>
    <cellStyle name="SAPBEXexcBad8 6 2 5" xfId="15051"/>
    <cellStyle name="SAPBEXexcBad8 6 2 5 2" xfId="35927"/>
    <cellStyle name="SAPBEXexcBad8 6 2 6" xfId="27189"/>
    <cellStyle name="SAPBEXexcBad8 6 3" xfId="21787"/>
    <cellStyle name="SAPBEXexcBad8 6 3 2" xfId="42662"/>
    <cellStyle name="SAPBEXexcBad8 6 4" xfId="21210"/>
    <cellStyle name="SAPBEXexcBad8 6 4 2" xfId="42085"/>
    <cellStyle name="SAPBEXexcBad8 6 5" xfId="22348"/>
    <cellStyle name="SAPBEXexcBad8 6 5 2" xfId="43223"/>
    <cellStyle name="SAPBEXexcBad8 6 6" xfId="13233"/>
    <cellStyle name="SAPBEXexcBad8 6 6 2" xfId="34109"/>
    <cellStyle name="SAPBEXexcBad8 6 7" xfId="25371"/>
    <cellStyle name="SAPBEXexcBad8 7" xfId="8314"/>
    <cellStyle name="SAPBEXexcBad8 7 2" xfId="23003"/>
    <cellStyle name="SAPBEXexcBad8 7 2 2" xfId="43876"/>
    <cellStyle name="SAPBEXexcBad8 7 3" xfId="23757"/>
    <cellStyle name="SAPBEXexcBad8 7 3 2" xfId="44629"/>
    <cellStyle name="SAPBEXexcBad8 7 4" xfId="24041"/>
    <cellStyle name="SAPBEXexcBad8 7 4 2" xfId="44913"/>
    <cellStyle name="SAPBEXexcBad8 7 5" xfId="17319"/>
    <cellStyle name="SAPBEXexcBad8 7 5 2" xfId="38195"/>
    <cellStyle name="SAPBEXexcBad8 7 6" xfId="29457"/>
    <cellStyle name="SAPBEXexcBad8 8" xfId="10198"/>
    <cellStyle name="SAPBEXexcBad8 8 2" xfId="23483"/>
    <cellStyle name="SAPBEXexcBad8 8 2 2" xfId="44355"/>
    <cellStyle name="SAPBEXexcBad8 8 3" xfId="23355"/>
    <cellStyle name="SAPBEXexcBad8 8 3 2" xfId="44227"/>
    <cellStyle name="SAPBEXexcBad8 8 4" xfId="21199"/>
    <cellStyle name="SAPBEXexcBad8 8 4 2" xfId="42074"/>
    <cellStyle name="SAPBEXexcBad8 8 5" xfId="18969"/>
    <cellStyle name="SAPBEXexcBad8 8 5 2" xfId="39845"/>
    <cellStyle name="SAPBEXexcBad8 8 6" xfId="31109"/>
    <cellStyle name="SAPBEXexcBad8 9" xfId="20887"/>
    <cellStyle name="SAPBEXexcBad8 9 2" xfId="41762"/>
    <cellStyle name="SAPBEXexcBad9" xfId="1148"/>
    <cellStyle name="SAPBEXexcBad9 10" xfId="21610"/>
    <cellStyle name="SAPBEXexcBad9 10 2" xfId="42485"/>
    <cellStyle name="SAPBEXexcBad9 11" xfId="21089"/>
    <cellStyle name="SAPBEXexcBad9 11 2" xfId="41964"/>
    <cellStyle name="SAPBEXexcBad9 12" xfId="12124"/>
    <cellStyle name="SAPBEXexcBad9 12 2" xfId="33024"/>
    <cellStyle name="SAPBEXexcBad9 13" xfId="24162"/>
    <cellStyle name="SAPBEXexcBad9 13 2" xfId="45032"/>
    <cellStyle name="SAPBEXexcBad9 14" xfId="24255"/>
    <cellStyle name="SAPBEXexcBad9 14 2" xfId="45116"/>
    <cellStyle name="SAPBEXexcBad9 2" xfId="2735"/>
    <cellStyle name="SAPBEXexcBad9 2 10" xfId="24364"/>
    <cellStyle name="SAPBEXexcBad9 2 2" xfId="4352"/>
    <cellStyle name="SAPBEXexcBad9 2 2 2" xfId="6206"/>
    <cellStyle name="SAPBEXexcBad9 2 2 2 2" xfId="22511"/>
    <cellStyle name="SAPBEXexcBad9 2 2 2 2 2" xfId="43386"/>
    <cellStyle name="SAPBEXexcBad9 2 2 2 3" xfId="24012"/>
    <cellStyle name="SAPBEXexcBad9 2 2 2 3 2" xfId="44884"/>
    <cellStyle name="SAPBEXexcBad9 2 2 2 4" xfId="22389"/>
    <cellStyle name="SAPBEXexcBad9 2 2 2 4 2" xfId="43264"/>
    <cellStyle name="SAPBEXexcBad9 2 2 2 5" xfId="15215"/>
    <cellStyle name="SAPBEXexcBad9 2 2 2 5 2" xfId="36091"/>
    <cellStyle name="SAPBEXexcBad9 2 2 2 6" xfId="27353"/>
    <cellStyle name="SAPBEXexcBad9 2 2 3" xfId="21967"/>
    <cellStyle name="SAPBEXexcBad9 2 2 3 2" xfId="42842"/>
    <cellStyle name="SAPBEXexcBad9 2 2 4" xfId="21732"/>
    <cellStyle name="SAPBEXexcBad9 2 2 4 2" xfId="42607"/>
    <cellStyle name="SAPBEXexcBad9 2 2 5" xfId="23424"/>
    <cellStyle name="SAPBEXexcBad9 2 2 5 2" xfId="44296"/>
    <cellStyle name="SAPBEXexcBad9 2 2 6" xfId="13397"/>
    <cellStyle name="SAPBEXexcBad9 2 2 6 2" xfId="34273"/>
    <cellStyle name="SAPBEXexcBad9 2 2 7" xfId="25535"/>
    <cellStyle name="SAPBEXexcBad9 2 3" xfId="8320"/>
    <cellStyle name="SAPBEXexcBad9 2 3 2" xfId="23009"/>
    <cellStyle name="SAPBEXexcBad9 2 3 2 2" xfId="43882"/>
    <cellStyle name="SAPBEXexcBad9 2 3 3" xfId="22755"/>
    <cellStyle name="SAPBEXexcBad9 2 3 3 2" xfId="43630"/>
    <cellStyle name="SAPBEXexcBad9 2 3 4" xfId="22315"/>
    <cellStyle name="SAPBEXexcBad9 2 3 4 2" xfId="43190"/>
    <cellStyle name="SAPBEXexcBad9 2 3 5" xfId="17325"/>
    <cellStyle name="SAPBEXexcBad9 2 3 5 2" xfId="38201"/>
    <cellStyle name="SAPBEXexcBad9 2 3 6" xfId="29463"/>
    <cellStyle name="SAPBEXexcBad9 2 4" xfId="10204"/>
    <cellStyle name="SAPBEXexcBad9 2 4 2" xfId="23489"/>
    <cellStyle name="SAPBEXexcBad9 2 4 2 2" xfId="44361"/>
    <cellStyle name="SAPBEXexcBad9 2 4 3" xfId="23326"/>
    <cellStyle name="SAPBEXexcBad9 2 4 3 2" xfId="44198"/>
    <cellStyle name="SAPBEXexcBad9 2 4 4" xfId="23835"/>
    <cellStyle name="SAPBEXexcBad9 2 4 4 2" xfId="44707"/>
    <cellStyle name="SAPBEXexcBad9 2 4 5" xfId="18975"/>
    <cellStyle name="SAPBEXexcBad9 2 4 5 2" xfId="39851"/>
    <cellStyle name="SAPBEXexcBad9 2 4 6" xfId="31115"/>
    <cellStyle name="SAPBEXexcBad9 2 5" xfId="20890"/>
    <cellStyle name="SAPBEXexcBad9 2 5 2" xfId="41765"/>
    <cellStyle name="SAPBEXexcBad9 2 6" xfId="22888"/>
    <cellStyle name="SAPBEXexcBad9 2 6 2" xfId="43762"/>
    <cellStyle name="SAPBEXexcBad9 2 7" xfId="21213"/>
    <cellStyle name="SAPBEXexcBad9 2 7 2" xfId="42088"/>
    <cellStyle name="SAPBEXexcBad9 2 8" xfId="12125"/>
    <cellStyle name="SAPBEXexcBad9 2 8 2" xfId="33025"/>
    <cellStyle name="SAPBEXexcBad9 2 9" xfId="24191"/>
    <cellStyle name="SAPBEXexcBad9 2 9 2" xfId="45059"/>
    <cellStyle name="SAPBEXexcBad9 3" xfId="2736"/>
    <cellStyle name="SAPBEXexcBad9 3 2" xfId="4353"/>
    <cellStyle name="SAPBEXexcBad9 3 2 2" xfId="6207"/>
    <cellStyle name="SAPBEXexcBad9 3 2 2 2" xfId="22512"/>
    <cellStyle name="SAPBEXexcBad9 3 2 2 2 2" xfId="43387"/>
    <cellStyle name="SAPBEXexcBad9 3 2 2 3" xfId="21623"/>
    <cellStyle name="SAPBEXexcBad9 3 2 2 3 2" xfId="42498"/>
    <cellStyle name="SAPBEXexcBad9 3 2 2 4" xfId="24072"/>
    <cellStyle name="SAPBEXexcBad9 3 2 2 4 2" xfId="44944"/>
    <cellStyle name="SAPBEXexcBad9 3 2 2 5" xfId="15216"/>
    <cellStyle name="SAPBEXexcBad9 3 2 2 5 2" xfId="36092"/>
    <cellStyle name="SAPBEXexcBad9 3 2 2 6" xfId="27354"/>
    <cellStyle name="SAPBEXexcBad9 3 2 3" xfId="21968"/>
    <cellStyle name="SAPBEXexcBad9 3 2 3 2" xfId="42843"/>
    <cellStyle name="SAPBEXexcBad9 3 2 4" xfId="23255"/>
    <cellStyle name="SAPBEXexcBad9 3 2 4 2" xfId="44128"/>
    <cellStyle name="SAPBEXexcBad9 3 2 5" xfId="22129"/>
    <cellStyle name="SAPBEXexcBad9 3 2 5 2" xfId="43004"/>
    <cellStyle name="SAPBEXexcBad9 3 2 6" xfId="13398"/>
    <cellStyle name="SAPBEXexcBad9 3 2 6 2" xfId="34274"/>
    <cellStyle name="SAPBEXexcBad9 3 2 7" xfId="25536"/>
    <cellStyle name="SAPBEXexcBad9 3 3" xfId="8321"/>
    <cellStyle name="SAPBEXexcBad9 3 3 2" xfId="23010"/>
    <cellStyle name="SAPBEXexcBad9 3 3 2 2" xfId="43883"/>
    <cellStyle name="SAPBEXexcBad9 3 3 3" xfId="21228"/>
    <cellStyle name="SAPBEXexcBad9 3 3 3 2" xfId="42103"/>
    <cellStyle name="SAPBEXexcBad9 3 3 4" xfId="21869"/>
    <cellStyle name="SAPBEXexcBad9 3 3 4 2" xfId="42744"/>
    <cellStyle name="SAPBEXexcBad9 3 3 5" xfId="17326"/>
    <cellStyle name="SAPBEXexcBad9 3 3 5 2" xfId="38202"/>
    <cellStyle name="SAPBEXexcBad9 3 3 6" xfId="29464"/>
    <cellStyle name="SAPBEXexcBad9 3 4" xfId="10205"/>
    <cellStyle name="SAPBEXexcBad9 3 4 2" xfId="23490"/>
    <cellStyle name="SAPBEXexcBad9 3 4 2 2" xfId="44362"/>
    <cellStyle name="SAPBEXexcBad9 3 4 3" xfId="23442"/>
    <cellStyle name="SAPBEXexcBad9 3 4 3 2" xfId="44314"/>
    <cellStyle name="SAPBEXexcBad9 3 4 4" xfId="21319"/>
    <cellStyle name="SAPBEXexcBad9 3 4 4 2" xfId="42194"/>
    <cellStyle name="SAPBEXexcBad9 3 4 5" xfId="18976"/>
    <cellStyle name="SAPBEXexcBad9 3 4 5 2" xfId="39852"/>
    <cellStyle name="SAPBEXexcBad9 3 4 6" xfId="31116"/>
    <cellStyle name="SAPBEXexcBad9 3 5" xfId="21488"/>
    <cellStyle name="SAPBEXexcBad9 3 5 2" xfId="42363"/>
    <cellStyle name="SAPBEXexcBad9 3 6" xfId="24077"/>
    <cellStyle name="SAPBEXexcBad9 3 6 2" xfId="44949"/>
    <cellStyle name="SAPBEXexcBad9 3 7" xfId="23762"/>
    <cellStyle name="SAPBEXexcBad9 3 7 2" xfId="44634"/>
    <cellStyle name="SAPBEXexcBad9 3 8" xfId="12253"/>
    <cellStyle name="SAPBEXexcBad9 3 8 2" xfId="33142"/>
    <cellStyle name="SAPBEXexcBad9 3 9" xfId="24365"/>
    <cellStyle name="SAPBEXexcBad9 4" xfId="2737"/>
    <cellStyle name="SAPBEXexcBad9 4 2" xfId="4354"/>
    <cellStyle name="SAPBEXexcBad9 4 2 2" xfId="6208"/>
    <cellStyle name="SAPBEXexcBad9 4 2 2 2" xfId="22513"/>
    <cellStyle name="SAPBEXexcBad9 4 2 2 2 2" xfId="43388"/>
    <cellStyle name="SAPBEXexcBad9 4 2 2 3" xfId="21041"/>
    <cellStyle name="SAPBEXexcBad9 4 2 2 3 2" xfId="41916"/>
    <cellStyle name="SAPBEXexcBad9 4 2 2 4" xfId="23826"/>
    <cellStyle name="SAPBEXexcBad9 4 2 2 4 2" xfId="44698"/>
    <cellStyle name="SAPBEXexcBad9 4 2 2 5" xfId="15217"/>
    <cellStyle name="SAPBEXexcBad9 4 2 2 5 2" xfId="36093"/>
    <cellStyle name="SAPBEXexcBad9 4 2 2 6" xfId="27355"/>
    <cellStyle name="SAPBEXexcBad9 4 2 3" xfId="21969"/>
    <cellStyle name="SAPBEXexcBad9 4 2 3 2" xfId="42844"/>
    <cellStyle name="SAPBEXexcBad9 4 2 4" xfId="24024"/>
    <cellStyle name="SAPBEXexcBad9 4 2 4 2" xfId="44896"/>
    <cellStyle name="SAPBEXexcBad9 4 2 5" xfId="22663"/>
    <cellStyle name="SAPBEXexcBad9 4 2 5 2" xfId="43538"/>
    <cellStyle name="SAPBEXexcBad9 4 2 6" xfId="13399"/>
    <cellStyle name="SAPBEXexcBad9 4 2 6 2" xfId="34275"/>
    <cellStyle name="SAPBEXexcBad9 4 2 7" xfId="25537"/>
    <cellStyle name="SAPBEXexcBad9 4 3" xfId="8322"/>
    <cellStyle name="SAPBEXexcBad9 4 3 2" xfId="23011"/>
    <cellStyle name="SAPBEXexcBad9 4 3 2 2" xfId="43884"/>
    <cellStyle name="SAPBEXexcBad9 4 3 3" xfId="21889"/>
    <cellStyle name="SAPBEXexcBad9 4 3 3 2" xfId="42764"/>
    <cellStyle name="SAPBEXexcBad9 4 3 4" xfId="21080"/>
    <cellStyle name="SAPBEXexcBad9 4 3 4 2" xfId="41955"/>
    <cellStyle name="SAPBEXexcBad9 4 3 5" xfId="17327"/>
    <cellStyle name="SAPBEXexcBad9 4 3 5 2" xfId="38203"/>
    <cellStyle name="SAPBEXexcBad9 4 3 6" xfId="29465"/>
    <cellStyle name="SAPBEXexcBad9 4 4" xfId="10206"/>
    <cellStyle name="SAPBEXexcBad9 4 4 2" xfId="23491"/>
    <cellStyle name="SAPBEXexcBad9 4 4 2 2" xfId="44363"/>
    <cellStyle name="SAPBEXexcBad9 4 4 3" xfId="23661"/>
    <cellStyle name="SAPBEXexcBad9 4 4 3 2" xfId="44533"/>
    <cellStyle name="SAPBEXexcBad9 4 4 4" xfId="20987"/>
    <cellStyle name="SAPBEXexcBad9 4 4 4 2" xfId="41862"/>
    <cellStyle name="SAPBEXexcBad9 4 4 5" xfId="18977"/>
    <cellStyle name="SAPBEXexcBad9 4 4 5 2" xfId="39853"/>
    <cellStyle name="SAPBEXexcBad9 4 4 6" xfId="31117"/>
    <cellStyle name="SAPBEXexcBad9 4 5" xfId="21489"/>
    <cellStyle name="SAPBEXexcBad9 4 5 2" xfId="42364"/>
    <cellStyle name="SAPBEXexcBad9 4 6" xfId="20853"/>
    <cellStyle name="SAPBEXexcBad9 4 6 2" xfId="41729"/>
    <cellStyle name="SAPBEXexcBad9 4 7" xfId="22383"/>
    <cellStyle name="SAPBEXexcBad9 4 7 2" xfId="43258"/>
    <cellStyle name="SAPBEXexcBad9 4 8" xfId="12254"/>
    <cellStyle name="SAPBEXexcBad9 4 8 2" xfId="33143"/>
    <cellStyle name="SAPBEXexcBad9 4 9" xfId="24366"/>
    <cellStyle name="SAPBEXexcBad9 5" xfId="2738"/>
    <cellStyle name="SAPBEXexcBad9 5 2" xfId="4355"/>
    <cellStyle name="SAPBEXexcBad9 5 2 2" xfId="6209"/>
    <cellStyle name="SAPBEXexcBad9 5 2 2 2" xfId="22514"/>
    <cellStyle name="SAPBEXexcBad9 5 2 2 2 2" xfId="43389"/>
    <cellStyle name="SAPBEXexcBad9 5 2 2 3" xfId="21108"/>
    <cellStyle name="SAPBEXexcBad9 5 2 2 3 2" xfId="41983"/>
    <cellStyle name="SAPBEXexcBad9 5 2 2 4" xfId="21729"/>
    <cellStyle name="SAPBEXexcBad9 5 2 2 4 2" xfId="42604"/>
    <cellStyle name="SAPBEXexcBad9 5 2 2 5" xfId="15218"/>
    <cellStyle name="SAPBEXexcBad9 5 2 2 5 2" xfId="36094"/>
    <cellStyle name="SAPBEXexcBad9 5 2 2 6" xfId="27356"/>
    <cellStyle name="SAPBEXexcBad9 5 2 3" xfId="21970"/>
    <cellStyle name="SAPBEXexcBad9 5 2 3 2" xfId="42845"/>
    <cellStyle name="SAPBEXexcBad9 5 2 4" xfId="23257"/>
    <cellStyle name="SAPBEXexcBad9 5 2 4 2" xfId="44130"/>
    <cellStyle name="SAPBEXexcBad9 5 2 5" xfId="21593"/>
    <cellStyle name="SAPBEXexcBad9 5 2 5 2" xfId="42468"/>
    <cellStyle name="SAPBEXexcBad9 5 2 6" xfId="13400"/>
    <cellStyle name="SAPBEXexcBad9 5 2 6 2" xfId="34276"/>
    <cellStyle name="SAPBEXexcBad9 5 2 7" xfId="25538"/>
    <cellStyle name="SAPBEXexcBad9 5 3" xfId="8323"/>
    <cellStyle name="SAPBEXexcBad9 5 3 2" xfId="23012"/>
    <cellStyle name="SAPBEXexcBad9 5 3 2 2" xfId="43885"/>
    <cellStyle name="SAPBEXexcBad9 5 3 3" xfId="23342"/>
    <cellStyle name="SAPBEXexcBad9 5 3 3 2" xfId="44214"/>
    <cellStyle name="SAPBEXexcBad9 5 3 4" xfId="21015"/>
    <cellStyle name="SAPBEXexcBad9 5 3 4 2" xfId="41890"/>
    <cellStyle name="SAPBEXexcBad9 5 3 5" xfId="17328"/>
    <cellStyle name="SAPBEXexcBad9 5 3 5 2" xfId="38204"/>
    <cellStyle name="SAPBEXexcBad9 5 3 6" xfId="29466"/>
    <cellStyle name="SAPBEXexcBad9 5 4" xfId="10207"/>
    <cellStyle name="SAPBEXexcBad9 5 4 2" xfId="23492"/>
    <cellStyle name="SAPBEXexcBad9 5 4 2 2" xfId="44364"/>
    <cellStyle name="SAPBEXexcBad9 5 4 3" xfId="23810"/>
    <cellStyle name="SAPBEXexcBad9 5 4 3 2" xfId="44682"/>
    <cellStyle name="SAPBEXexcBad9 5 4 4" xfId="21196"/>
    <cellStyle name="SAPBEXexcBad9 5 4 4 2" xfId="42071"/>
    <cellStyle name="SAPBEXexcBad9 5 4 5" xfId="18978"/>
    <cellStyle name="SAPBEXexcBad9 5 4 5 2" xfId="39854"/>
    <cellStyle name="SAPBEXexcBad9 5 4 6" xfId="31118"/>
    <cellStyle name="SAPBEXexcBad9 5 5" xfId="21490"/>
    <cellStyle name="SAPBEXexcBad9 5 5 2" xfId="42365"/>
    <cellStyle name="SAPBEXexcBad9 5 6" xfId="21272"/>
    <cellStyle name="SAPBEXexcBad9 5 6 2" xfId="42147"/>
    <cellStyle name="SAPBEXexcBad9 5 7" xfId="23390"/>
    <cellStyle name="SAPBEXexcBad9 5 7 2" xfId="44262"/>
    <cellStyle name="SAPBEXexcBad9 5 8" xfId="12255"/>
    <cellStyle name="SAPBEXexcBad9 5 8 2" xfId="33144"/>
    <cellStyle name="SAPBEXexcBad9 5 9" xfId="24367"/>
    <cellStyle name="SAPBEXexcBad9 6" xfId="3814"/>
    <cellStyle name="SAPBEXexcBad9 6 2" xfId="6043"/>
    <cellStyle name="SAPBEXexcBad9 6 2 2" xfId="22402"/>
    <cellStyle name="SAPBEXexcBad9 6 2 2 2" xfId="43277"/>
    <cellStyle name="SAPBEXexcBad9 6 2 3" xfId="24099"/>
    <cellStyle name="SAPBEXexcBad9 6 2 3 2" xfId="44970"/>
    <cellStyle name="SAPBEXexcBad9 6 2 4" xfId="23924"/>
    <cellStyle name="SAPBEXexcBad9 6 2 4 2" xfId="44796"/>
    <cellStyle name="SAPBEXexcBad9 6 2 5" xfId="15052"/>
    <cellStyle name="SAPBEXexcBad9 6 2 5 2" xfId="35928"/>
    <cellStyle name="SAPBEXexcBad9 6 2 6" xfId="27190"/>
    <cellStyle name="SAPBEXexcBad9 6 3" xfId="21788"/>
    <cellStyle name="SAPBEXexcBad9 6 3 2" xfId="42663"/>
    <cellStyle name="SAPBEXexcBad9 6 4" xfId="23382"/>
    <cellStyle name="SAPBEXexcBad9 6 4 2" xfId="44254"/>
    <cellStyle name="SAPBEXexcBad9 6 5" xfId="23906"/>
    <cellStyle name="SAPBEXexcBad9 6 5 2" xfId="44778"/>
    <cellStyle name="SAPBEXexcBad9 6 6" xfId="13234"/>
    <cellStyle name="SAPBEXexcBad9 6 6 2" xfId="34110"/>
    <cellStyle name="SAPBEXexcBad9 6 7" xfId="25372"/>
    <cellStyle name="SAPBEXexcBad9 7" xfId="8319"/>
    <cellStyle name="SAPBEXexcBad9 7 2" xfId="23008"/>
    <cellStyle name="SAPBEXexcBad9 7 2 2" xfId="43881"/>
    <cellStyle name="SAPBEXexcBad9 7 3" xfId="23915"/>
    <cellStyle name="SAPBEXexcBad9 7 3 2" xfId="44787"/>
    <cellStyle name="SAPBEXexcBad9 7 4" xfId="22885"/>
    <cellStyle name="SAPBEXexcBad9 7 4 2" xfId="43759"/>
    <cellStyle name="SAPBEXexcBad9 7 5" xfId="17324"/>
    <cellStyle name="SAPBEXexcBad9 7 5 2" xfId="38200"/>
    <cellStyle name="SAPBEXexcBad9 7 6" xfId="29462"/>
    <cellStyle name="SAPBEXexcBad9 8" xfId="10203"/>
    <cellStyle name="SAPBEXexcBad9 8 2" xfId="23488"/>
    <cellStyle name="SAPBEXexcBad9 8 2 2" xfId="44360"/>
    <cellStyle name="SAPBEXexcBad9 8 3" xfId="21634"/>
    <cellStyle name="SAPBEXexcBad9 8 3 2" xfId="42509"/>
    <cellStyle name="SAPBEXexcBad9 8 4" xfId="22642"/>
    <cellStyle name="SAPBEXexcBad9 8 4 2" xfId="43517"/>
    <cellStyle name="SAPBEXexcBad9 8 5" xfId="18974"/>
    <cellStyle name="SAPBEXexcBad9 8 5 2" xfId="39850"/>
    <cellStyle name="SAPBEXexcBad9 8 6" xfId="31114"/>
    <cellStyle name="SAPBEXexcBad9 9" xfId="20889"/>
    <cellStyle name="SAPBEXexcBad9 9 2" xfId="41764"/>
    <cellStyle name="SAPBEXexcCritical4" xfId="1149"/>
    <cellStyle name="SAPBEXexcCritical4 10" xfId="23207"/>
    <cellStyle name="SAPBEXexcCritical4 10 2" xfId="44080"/>
    <cellStyle name="SAPBEXexcCritical4 11" xfId="23979"/>
    <cellStyle name="SAPBEXexcCritical4 11 2" xfId="44851"/>
    <cellStyle name="SAPBEXexcCritical4 12" xfId="12126"/>
    <cellStyle name="SAPBEXexcCritical4 12 2" xfId="33026"/>
    <cellStyle name="SAPBEXexcCritical4 13" xfId="24161"/>
    <cellStyle name="SAPBEXexcCritical4 13 2" xfId="45031"/>
    <cellStyle name="SAPBEXexcCritical4 14" xfId="24256"/>
    <cellStyle name="SAPBEXexcCritical4 14 2" xfId="45117"/>
    <cellStyle name="SAPBEXexcCritical4 2" xfId="2739"/>
    <cellStyle name="SAPBEXexcCritical4 2 10" xfId="24368"/>
    <cellStyle name="SAPBEXexcCritical4 2 2" xfId="4356"/>
    <cellStyle name="SAPBEXexcCritical4 2 2 2" xfId="6210"/>
    <cellStyle name="SAPBEXexcCritical4 2 2 2 2" xfId="22515"/>
    <cellStyle name="SAPBEXexcCritical4 2 2 2 2 2" xfId="43390"/>
    <cellStyle name="SAPBEXexcCritical4 2 2 2 3" xfId="22632"/>
    <cellStyle name="SAPBEXexcCritical4 2 2 2 3 2" xfId="43507"/>
    <cellStyle name="SAPBEXexcCritical4 2 2 2 4" xfId="21819"/>
    <cellStyle name="SAPBEXexcCritical4 2 2 2 4 2" xfId="42694"/>
    <cellStyle name="SAPBEXexcCritical4 2 2 2 5" xfId="15219"/>
    <cellStyle name="SAPBEXexcCritical4 2 2 2 5 2" xfId="36095"/>
    <cellStyle name="SAPBEXexcCritical4 2 2 2 6" xfId="27357"/>
    <cellStyle name="SAPBEXexcCritical4 2 2 3" xfId="21971"/>
    <cellStyle name="SAPBEXexcCritical4 2 2 3 2" xfId="42846"/>
    <cellStyle name="SAPBEXexcCritical4 2 2 4" xfId="23988"/>
    <cellStyle name="SAPBEXexcCritical4 2 2 4 2" xfId="44860"/>
    <cellStyle name="SAPBEXexcCritical4 2 2 5" xfId="23265"/>
    <cellStyle name="SAPBEXexcCritical4 2 2 5 2" xfId="44138"/>
    <cellStyle name="SAPBEXexcCritical4 2 2 6" xfId="13401"/>
    <cellStyle name="SAPBEXexcCritical4 2 2 6 2" xfId="34277"/>
    <cellStyle name="SAPBEXexcCritical4 2 2 7" xfId="25539"/>
    <cellStyle name="SAPBEXexcCritical4 2 3" xfId="8325"/>
    <cellStyle name="SAPBEXexcCritical4 2 3 2" xfId="23014"/>
    <cellStyle name="SAPBEXexcCritical4 2 3 2 2" xfId="43887"/>
    <cellStyle name="SAPBEXexcCritical4 2 3 3" xfId="21224"/>
    <cellStyle name="SAPBEXexcCritical4 2 3 3 2" xfId="42099"/>
    <cellStyle name="SAPBEXexcCritical4 2 3 4" xfId="20947"/>
    <cellStyle name="SAPBEXexcCritical4 2 3 4 2" xfId="41822"/>
    <cellStyle name="SAPBEXexcCritical4 2 3 5" xfId="17330"/>
    <cellStyle name="SAPBEXexcCritical4 2 3 5 2" xfId="38206"/>
    <cellStyle name="SAPBEXexcCritical4 2 3 6" xfId="29468"/>
    <cellStyle name="SAPBEXexcCritical4 2 4" xfId="10209"/>
    <cellStyle name="SAPBEXexcCritical4 2 4 2" xfId="23494"/>
    <cellStyle name="SAPBEXexcCritical4 2 4 2 2" xfId="44366"/>
    <cellStyle name="SAPBEXexcCritical4 2 4 3" xfId="23690"/>
    <cellStyle name="SAPBEXexcCritical4 2 4 3 2" xfId="44562"/>
    <cellStyle name="SAPBEXexcCritical4 2 4 4" xfId="23381"/>
    <cellStyle name="SAPBEXexcCritical4 2 4 4 2" xfId="44253"/>
    <cellStyle name="SAPBEXexcCritical4 2 4 5" xfId="18980"/>
    <cellStyle name="SAPBEXexcCritical4 2 4 5 2" xfId="39856"/>
    <cellStyle name="SAPBEXexcCritical4 2 4 6" xfId="31120"/>
    <cellStyle name="SAPBEXexcCritical4 2 5" xfId="20892"/>
    <cellStyle name="SAPBEXexcCritical4 2 5 2" xfId="41767"/>
    <cellStyle name="SAPBEXexcCritical4 2 6" xfId="21061"/>
    <cellStyle name="SAPBEXexcCritical4 2 6 2" xfId="41936"/>
    <cellStyle name="SAPBEXexcCritical4 2 7" xfId="23876"/>
    <cellStyle name="SAPBEXexcCritical4 2 7 2" xfId="44748"/>
    <cellStyle name="SAPBEXexcCritical4 2 8" xfId="12127"/>
    <cellStyle name="SAPBEXexcCritical4 2 8 2" xfId="33027"/>
    <cellStyle name="SAPBEXexcCritical4 2 9" xfId="24192"/>
    <cellStyle name="SAPBEXexcCritical4 2 9 2" xfId="45060"/>
    <cellStyle name="SAPBEXexcCritical4 3" xfId="2740"/>
    <cellStyle name="SAPBEXexcCritical4 3 2" xfId="4357"/>
    <cellStyle name="SAPBEXexcCritical4 3 2 2" xfId="6211"/>
    <cellStyle name="SAPBEXexcCritical4 3 2 2 2" xfId="22516"/>
    <cellStyle name="SAPBEXexcCritical4 3 2 2 2 2" xfId="43391"/>
    <cellStyle name="SAPBEXexcCritical4 3 2 2 3" xfId="22181"/>
    <cellStyle name="SAPBEXexcCritical4 3 2 2 3 2" xfId="43056"/>
    <cellStyle name="SAPBEXexcCritical4 3 2 2 4" xfId="23642"/>
    <cellStyle name="SAPBEXexcCritical4 3 2 2 4 2" xfId="44514"/>
    <cellStyle name="SAPBEXexcCritical4 3 2 2 5" xfId="15220"/>
    <cellStyle name="SAPBEXexcCritical4 3 2 2 5 2" xfId="36096"/>
    <cellStyle name="SAPBEXexcCritical4 3 2 2 6" xfId="27358"/>
    <cellStyle name="SAPBEXexcCritical4 3 2 3" xfId="21972"/>
    <cellStyle name="SAPBEXexcCritical4 3 2 3 2" xfId="42847"/>
    <cellStyle name="SAPBEXexcCritical4 3 2 4" xfId="20963"/>
    <cellStyle name="SAPBEXexcCritical4 3 2 4 2" xfId="41838"/>
    <cellStyle name="SAPBEXexcCritical4 3 2 5" xfId="23358"/>
    <cellStyle name="SAPBEXexcCritical4 3 2 5 2" xfId="44230"/>
    <cellStyle name="SAPBEXexcCritical4 3 2 6" xfId="13402"/>
    <cellStyle name="SAPBEXexcCritical4 3 2 6 2" xfId="34278"/>
    <cellStyle name="SAPBEXexcCritical4 3 2 7" xfId="25540"/>
    <cellStyle name="SAPBEXexcCritical4 3 3" xfId="8326"/>
    <cellStyle name="SAPBEXexcCritical4 3 3 2" xfId="23015"/>
    <cellStyle name="SAPBEXexcCritical4 3 3 2 2" xfId="43888"/>
    <cellStyle name="SAPBEXexcCritical4 3 3 3" xfId="21773"/>
    <cellStyle name="SAPBEXexcCritical4 3 3 3 2" xfId="42648"/>
    <cellStyle name="SAPBEXexcCritical4 3 3 4" xfId="22896"/>
    <cellStyle name="SAPBEXexcCritical4 3 3 4 2" xfId="43770"/>
    <cellStyle name="SAPBEXexcCritical4 3 3 5" xfId="17331"/>
    <cellStyle name="SAPBEXexcCritical4 3 3 5 2" xfId="38207"/>
    <cellStyle name="SAPBEXexcCritical4 3 3 6" xfId="29469"/>
    <cellStyle name="SAPBEXexcCritical4 3 4" xfId="10210"/>
    <cellStyle name="SAPBEXexcCritical4 3 4 2" xfId="23495"/>
    <cellStyle name="SAPBEXexcCritical4 3 4 2 2" xfId="44367"/>
    <cellStyle name="SAPBEXexcCritical4 3 4 3" xfId="23850"/>
    <cellStyle name="SAPBEXexcCritical4 3 4 3 2" xfId="44722"/>
    <cellStyle name="SAPBEXexcCritical4 3 4 4" xfId="21172"/>
    <cellStyle name="SAPBEXexcCritical4 3 4 4 2" xfId="42047"/>
    <cellStyle name="SAPBEXexcCritical4 3 4 5" xfId="18981"/>
    <cellStyle name="SAPBEXexcCritical4 3 4 5 2" xfId="39857"/>
    <cellStyle name="SAPBEXexcCritical4 3 4 6" xfId="31121"/>
    <cellStyle name="SAPBEXexcCritical4 3 5" xfId="21491"/>
    <cellStyle name="SAPBEXexcCritical4 3 5 2" xfId="42366"/>
    <cellStyle name="SAPBEXexcCritical4 3 6" xfId="21144"/>
    <cellStyle name="SAPBEXexcCritical4 3 6 2" xfId="42019"/>
    <cellStyle name="SAPBEXexcCritical4 3 7" xfId="22195"/>
    <cellStyle name="SAPBEXexcCritical4 3 7 2" xfId="43070"/>
    <cellStyle name="SAPBEXexcCritical4 3 8" xfId="12256"/>
    <cellStyle name="SAPBEXexcCritical4 3 8 2" xfId="33145"/>
    <cellStyle name="SAPBEXexcCritical4 3 9" xfId="24369"/>
    <cellStyle name="SAPBEXexcCritical4 4" xfId="2741"/>
    <cellStyle name="SAPBEXexcCritical4 4 2" xfId="4358"/>
    <cellStyle name="SAPBEXexcCritical4 4 2 2" xfId="6212"/>
    <cellStyle name="SAPBEXexcCritical4 4 2 2 2" xfId="22517"/>
    <cellStyle name="SAPBEXexcCritical4 4 2 2 2 2" xfId="43392"/>
    <cellStyle name="SAPBEXexcCritical4 4 2 2 3" xfId="23426"/>
    <cellStyle name="SAPBEXexcCritical4 4 2 2 3 2" xfId="44298"/>
    <cellStyle name="SAPBEXexcCritical4 4 2 2 4" xfId="20996"/>
    <cellStyle name="SAPBEXexcCritical4 4 2 2 4 2" xfId="41871"/>
    <cellStyle name="SAPBEXexcCritical4 4 2 2 5" xfId="15221"/>
    <cellStyle name="SAPBEXexcCritical4 4 2 2 5 2" xfId="36097"/>
    <cellStyle name="SAPBEXexcCritical4 4 2 2 6" xfId="27359"/>
    <cellStyle name="SAPBEXexcCritical4 4 2 3" xfId="21973"/>
    <cellStyle name="SAPBEXexcCritical4 4 2 3 2" xfId="42848"/>
    <cellStyle name="SAPBEXexcCritical4 4 2 4" xfId="23650"/>
    <cellStyle name="SAPBEXexcCritical4 4 2 4 2" xfId="44522"/>
    <cellStyle name="SAPBEXexcCritical4 4 2 5" xfId="22333"/>
    <cellStyle name="SAPBEXexcCritical4 4 2 5 2" xfId="43208"/>
    <cellStyle name="SAPBEXexcCritical4 4 2 6" xfId="13403"/>
    <cellStyle name="SAPBEXexcCritical4 4 2 6 2" xfId="34279"/>
    <cellStyle name="SAPBEXexcCritical4 4 2 7" xfId="25541"/>
    <cellStyle name="SAPBEXexcCritical4 4 3" xfId="8327"/>
    <cellStyle name="SAPBEXexcCritical4 4 3 2" xfId="23016"/>
    <cellStyle name="SAPBEXexcCritical4 4 3 2 2" xfId="43889"/>
    <cellStyle name="SAPBEXexcCritical4 4 3 3" xfId="22141"/>
    <cellStyle name="SAPBEXexcCritical4 4 3 3 2" xfId="43016"/>
    <cellStyle name="SAPBEXexcCritical4 4 3 4" xfId="23283"/>
    <cellStyle name="SAPBEXexcCritical4 4 3 4 2" xfId="44156"/>
    <cellStyle name="SAPBEXexcCritical4 4 3 5" xfId="17332"/>
    <cellStyle name="SAPBEXexcCritical4 4 3 5 2" xfId="38208"/>
    <cellStyle name="SAPBEXexcCritical4 4 3 6" xfId="29470"/>
    <cellStyle name="SAPBEXexcCritical4 4 4" xfId="10211"/>
    <cellStyle name="SAPBEXexcCritical4 4 4 2" xfId="23496"/>
    <cellStyle name="SAPBEXexcCritical4 4 4 2 2" xfId="44368"/>
    <cellStyle name="SAPBEXexcCritical4 4 4 3" xfId="22719"/>
    <cellStyle name="SAPBEXexcCritical4 4 4 3 2" xfId="43594"/>
    <cellStyle name="SAPBEXexcCritical4 4 4 4" xfId="24044"/>
    <cellStyle name="SAPBEXexcCritical4 4 4 4 2" xfId="44916"/>
    <cellStyle name="SAPBEXexcCritical4 4 4 5" xfId="18982"/>
    <cellStyle name="SAPBEXexcCritical4 4 4 5 2" xfId="39858"/>
    <cellStyle name="SAPBEXexcCritical4 4 4 6" xfId="31122"/>
    <cellStyle name="SAPBEXexcCritical4 4 5" xfId="21492"/>
    <cellStyle name="SAPBEXexcCritical4 4 5 2" xfId="42367"/>
    <cellStyle name="SAPBEXexcCritical4 4 6" xfId="22175"/>
    <cellStyle name="SAPBEXexcCritical4 4 6 2" xfId="43050"/>
    <cellStyle name="SAPBEXexcCritical4 4 7" xfId="23172"/>
    <cellStyle name="SAPBEXexcCritical4 4 7 2" xfId="44045"/>
    <cellStyle name="SAPBEXexcCritical4 4 8" xfId="12257"/>
    <cellStyle name="SAPBEXexcCritical4 4 8 2" xfId="33146"/>
    <cellStyle name="SAPBEXexcCritical4 4 9" xfId="24370"/>
    <cellStyle name="SAPBEXexcCritical4 5" xfId="2742"/>
    <cellStyle name="SAPBEXexcCritical4 5 2" xfId="4359"/>
    <cellStyle name="SAPBEXexcCritical4 5 2 2" xfId="6213"/>
    <cellStyle name="SAPBEXexcCritical4 5 2 2 2" xfId="22518"/>
    <cellStyle name="SAPBEXexcCritical4 5 2 2 2 2" xfId="43393"/>
    <cellStyle name="SAPBEXexcCritical4 5 2 2 3" xfId="24096"/>
    <cellStyle name="SAPBEXexcCritical4 5 2 2 3 2" xfId="44967"/>
    <cellStyle name="SAPBEXexcCritical4 5 2 2 4" xfId="21637"/>
    <cellStyle name="SAPBEXexcCritical4 5 2 2 4 2" xfId="42512"/>
    <cellStyle name="SAPBEXexcCritical4 5 2 2 5" xfId="15222"/>
    <cellStyle name="SAPBEXexcCritical4 5 2 2 5 2" xfId="36098"/>
    <cellStyle name="SAPBEXexcCritical4 5 2 2 6" xfId="27360"/>
    <cellStyle name="SAPBEXexcCritical4 5 2 3" xfId="21974"/>
    <cellStyle name="SAPBEXexcCritical4 5 2 3 2" xfId="42849"/>
    <cellStyle name="SAPBEXexcCritical4 5 2 4" xfId="21335"/>
    <cellStyle name="SAPBEXexcCritical4 5 2 4 2" xfId="42210"/>
    <cellStyle name="SAPBEXexcCritical4 5 2 5" xfId="22749"/>
    <cellStyle name="SAPBEXexcCritical4 5 2 5 2" xfId="43624"/>
    <cellStyle name="SAPBEXexcCritical4 5 2 6" xfId="13404"/>
    <cellStyle name="SAPBEXexcCritical4 5 2 6 2" xfId="34280"/>
    <cellStyle name="SAPBEXexcCritical4 5 2 7" xfId="25542"/>
    <cellStyle name="SAPBEXexcCritical4 5 3" xfId="8328"/>
    <cellStyle name="SAPBEXexcCritical4 5 3 2" xfId="23017"/>
    <cellStyle name="SAPBEXexcCritical4 5 3 2 2" xfId="43890"/>
    <cellStyle name="SAPBEXexcCritical4 5 3 3" xfId="22849"/>
    <cellStyle name="SAPBEXexcCritical4 5 3 3 2" xfId="43724"/>
    <cellStyle name="SAPBEXexcCritical4 5 3 4" xfId="21600"/>
    <cellStyle name="SAPBEXexcCritical4 5 3 4 2" xfId="42475"/>
    <cellStyle name="SAPBEXexcCritical4 5 3 5" xfId="17333"/>
    <cellStyle name="SAPBEXexcCritical4 5 3 5 2" xfId="38209"/>
    <cellStyle name="SAPBEXexcCritical4 5 3 6" xfId="29471"/>
    <cellStyle name="SAPBEXexcCritical4 5 4" xfId="10212"/>
    <cellStyle name="SAPBEXexcCritical4 5 4 2" xfId="23497"/>
    <cellStyle name="SAPBEXexcCritical4 5 4 2 2" xfId="44369"/>
    <cellStyle name="SAPBEXexcCritical4 5 4 3" xfId="21758"/>
    <cellStyle name="SAPBEXexcCritical4 5 4 3 2" xfId="42633"/>
    <cellStyle name="SAPBEXexcCritical4 5 4 4" xfId="23718"/>
    <cellStyle name="SAPBEXexcCritical4 5 4 4 2" xfId="44590"/>
    <cellStyle name="SAPBEXexcCritical4 5 4 5" xfId="18983"/>
    <cellStyle name="SAPBEXexcCritical4 5 4 5 2" xfId="39859"/>
    <cellStyle name="SAPBEXexcCritical4 5 4 6" xfId="31123"/>
    <cellStyle name="SAPBEXexcCritical4 5 5" xfId="21493"/>
    <cellStyle name="SAPBEXexcCritical4 5 5 2" xfId="42368"/>
    <cellStyle name="SAPBEXexcCritical4 5 6" xfId="23166"/>
    <cellStyle name="SAPBEXexcCritical4 5 6 2" xfId="44039"/>
    <cellStyle name="SAPBEXexcCritical4 5 7" xfId="21009"/>
    <cellStyle name="SAPBEXexcCritical4 5 7 2" xfId="41884"/>
    <cellStyle name="SAPBEXexcCritical4 5 8" xfId="12258"/>
    <cellStyle name="SAPBEXexcCritical4 5 8 2" xfId="33147"/>
    <cellStyle name="SAPBEXexcCritical4 5 9" xfId="24371"/>
    <cellStyle name="SAPBEXexcCritical4 6" xfId="3815"/>
    <cellStyle name="SAPBEXexcCritical4 6 2" xfId="6044"/>
    <cellStyle name="SAPBEXexcCritical4 6 2 2" xfId="22403"/>
    <cellStyle name="SAPBEXexcCritical4 6 2 2 2" xfId="43278"/>
    <cellStyle name="SAPBEXexcCritical4 6 2 3" xfId="23934"/>
    <cellStyle name="SAPBEXexcCritical4 6 2 3 2" xfId="44806"/>
    <cellStyle name="SAPBEXexcCritical4 6 2 4" xfId="22942"/>
    <cellStyle name="SAPBEXexcCritical4 6 2 4 2" xfId="43816"/>
    <cellStyle name="SAPBEXexcCritical4 6 2 5" xfId="15053"/>
    <cellStyle name="SAPBEXexcCritical4 6 2 5 2" xfId="35929"/>
    <cellStyle name="SAPBEXexcCritical4 6 2 6" xfId="27191"/>
    <cellStyle name="SAPBEXexcCritical4 6 3" xfId="21789"/>
    <cellStyle name="SAPBEXexcCritical4 6 3 2" xfId="42664"/>
    <cellStyle name="SAPBEXexcCritical4 6 4" xfId="21332"/>
    <cellStyle name="SAPBEXexcCritical4 6 4 2" xfId="42207"/>
    <cellStyle name="SAPBEXexcCritical4 6 5" xfId="22830"/>
    <cellStyle name="SAPBEXexcCritical4 6 5 2" xfId="43705"/>
    <cellStyle name="SAPBEXexcCritical4 6 6" xfId="13235"/>
    <cellStyle name="SAPBEXexcCritical4 6 6 2" xfId="34111"/>
    <cellStyle name="SAPBEXexcCritical4 6 7" xfId="25373"/>
    <cellStyle name="SAPBEXexcCritical4 7" xfId="8324"/>
    <cellStyle name="SAPBEXexcCritical4 7 2" xfId="23013"/>
    <cellStyle name="SAPBEXexcCritical4 7 2 2" xfId="43886"/>
    <cellStyle name="SAPBEXexcCritical4 7 3" xfId="22812"/>
    <cellStyle name="SAPBEXexcCritical4 7 3 2" xfId="43687"/>
    <cellStyle name="SAPBEXexcCritical4 7 4" xfId="20855"/>
    <cellStyle name="SAPBEXexcCritical4 7 4 2" xfId="41731"/>
    <cellStyle name="SAPBEXexcCritical4 7 5" xfId="17329"/>
    <cellStyle name="SAPBEXexcCritical4 7 5 2" xfId="38205"/>
    <cellStyle name="SAPBEXexcCritical4 7 6" xfId="29467"/>
    <cellStyle name="SAPBEXexcCritical4 8" xfId="10208"/>
    <cellStyle name="SAPBEXexcCritical4 8 2" xfId="23493"/>
    <cellStyle name="SAPBEXexcCritical4 8 2 2" xfId="44365"/>
    <cellStyle name="SAPBEXexcCritical4 8 3" xfId="21671"/>
    <cellStyle name="SAPBEXexcCritical4 8 3 2" xfId="42546"/>
    <cellStyle name="SAPBEXexcCritical4 8 4" xfId="24009"/>
    <cellStyle name="SAPBEXexcCritical4 8 4 2" xfId="44881"/>
    <cellStyle name="SAPBEXexcCritical4 8 5" xfId="18979"/>
    <cellStyle name="SAPBEXexcCritical4 8 5 2" xfId="39855"/>
    <cellStyle name="SAPBEXexcCritical4 8 6" xfId="31119"/>
    <cellStyle name="SAPBEXexcCritical4 9" xfId="20891"/>
    <cellStyle name="SAPBEXexcCritical4 9 2" xfId="41766"/>
    <cellStyle name="SAPBEXexcCritical5" xfId="1150"/>
    <cellStyle name="SAPBEXexcCritical5 10" xfId="23912"/>
    <cellStyle name="SAPBEXexcCritical5 10 2" xfId="44784"/>
    <cellStyle name="SAPBEXexcCritical5 11" xfId="21066"/>
    <cellStyle name="SAPBEXexcCritical5 11 2" xfId="41941"/>
    <cellStyle name="SAPBEXexcCritical5 12" xfId="12128"/>
    <cellStyle name="SAPBEXexcCritical5 12 2" xfId="33028"/>
    <cellStyle name="SAPBEXexcCritical5 13" xfId="24160"/>
    <cellStyle name="SAPBEXexcCritical5 13 2" xfId="45030"/>
    <cellStyle name="SAPBEXexcCritical5 14" xfId="24257"/>
    <cellStyle name="SAPBEXexcCritical5 14 2" xfId="45118"/>
    <cellStyle name="SAPBEXexcCritical5 2" xfId="2743"/>
    <cellStyle name="SAPBEXexcCritical5 2 10" xfId="24372"/>
    <cellStyle name="SAPBEXexcCritical5 2 2" xfId="4360"/>
    <cellStyle name="SAPBEXexcCritical5 2 2 2" xfId="6214"/>
    <cellStyle name="SAPBEXexcCritical5 2 2 2 2" xfId="22519"/>
    <cellStyle name="SAPBEXexcCritical5 2 2 2 2 2" xfId="43394"/>
    <cellStyle name="SAPBEXexcCritical5 2 2 2 3" xfId="23931"/>
    <cellStyle name="SAPBEXexcCritical5 2 2 2 3 2" xfId="44803"/>
    <cellStyle name="SAPBEXexcCritical5 2 2 2 4" xfId="21754"/>
    <cellStyle name="SAPBEXexcCritical5 2 2 2 4 2" xfId="42629"/>
    <cellStyle name="SAPBEXexcCritical5 2 2 2 5" xfId="15223"/>
    <cellStyle name="SAPBEXexcCritical5 2 2 2 5 2" xfId="36099"/>
    <cellStyle name="SAPBEXexcCritical5 2 2 2 6" xfId="27361"/>
    <cellStyle name="SAPBEXexcCritical5 2 2 3" xfId="21975"/>
    <cellStyle name="SAPBEXexcCritical5 2 2 3 2" xfId="42850"/>
    <cellStyle name="SAPBEXexcCritical5 2 2 4" xfId="21420"/>
    <cellStyle name="SAPBEXexcCritical5 2 2 4 2" xfId="42295"/>
    <cellStyle name="SAPBEXexcCritical5 2 2 5" xfId="22880"/>
    <cellStyle name="SAPBEXexcCritical5 2 2 5 2" xfId="43754"/>
    <cellStyle name="SAPBEXexcCritical5 2 2 6" xfId="13405"/>
    <cellStyle name="SAPBEXexcCritical5 2 2 6 2" xfId="34281"/>
    <cellStyle name="SAPBEXexcCritical5 2 2 7" xfId="25543"/>
    <cellStyle name="SAPBEXexcCritical5 2 3" xfId="8330"/>
    <cellStyle name="SAPBEXexcCritical5 2 3 2" xfId="23019"/>
    <cellStyle name="SAPBEXexcCritical5 2 3 2 2" xfId="43892"/>
    <cellStyle name="SAPBEXexcCritical5 2 3 3" xfId="21225"/>
    <cellStyle name="SAPBEXexcCritical5 2 3 3 2" xfId="42100"/>
    <cellStyle name="SAPBEXexcCritical5 2 3 4" xfId="22133"/>
    <cellStyle name="SAPBEXexcCritical5 2 3 4 2" xfId="43008"/>
    <cellStyle name="SAPBEXexcCritical5 2 3 5" xfId="17335"/>
    <cellStyle name="SAPBEXexcCritical5 2 3 5 2" xfId="38211"/>
    <cellStyle name="SAPBEXexcCritical5 2 3 6" xfId="29473"/>
    <cellStyle name="SAPBEXexcCritical5 2 4" xfId="10214"/>
    <cellStyle name="SAPBEXexcCritical5 2 4 2" xfId="23499"/>
    <cellStyle name="SAPBEXexcCritical5 2 4 2 2" xfId="44371"/>
    <cellStyle name="SAPBEXexcCritical5 2 4 3" xfId="22825"/>
    <cellStyle name="SAPBEXexcCritical5 2 4 3 2" xfId="43700"/>
    <cellStyle name="SAPBEXexcCritical5 2 4 4" xfId="22143"/>
    <cellStyle name="SAPBEXexcCritical5 2 4 4 2" xfId="43018"/>
    <cellStyle name="SAPBEXexcCritical5 2 4 5" xfId="18985"/>
    <cellStyle name="SAPBEXexcCritical5 2 4 5 2" xfId="39861"/>
    <cellStyle name="SAPBEXexcCritical5 2 4 6" xfId="31125"/>
    <cellStyle name="SAPBEXexcCritical5 2 5" xfId="20894"/>
    <cellStyle name="SAPBEXexcCritical5 2 5 2" xfId="41769"/>
    <cellStyle name="SAPBEXexcCritical5 2 6" xfId="23334"/>
    <cellStyle name="SAPBEXexcCritical5 2 6 2" xfId="44206"/>
    <cellStyle name="SAPBEXexcCritical5 2 7" xfId="23968"/>
    <cellStyle name="SAPBEXexcCritical5 2 7 2" xfId="44840"/>
    <cellStyle name="SAPBEXexcCritical5 2 8" xfId="12129"/>
    <cellStyle name="SAPBEXexcCritical5 2 8 2" xfId="33029"/>
    <cellStyle name="SAPBEXexcCritical5 2 9" xfId="24193"/>
    <cellStyle name="SAPBEXexcCritical5 2 9 2" xfId="45061"/>
    <cellStyle name="SAPBEXexcCritical5 3" xfId="2744"/>
    <cellStyle name="SAPBEXexcCritical5 3 2" xfId="4361"/>
    <cellStyle name="SAPBEXexcCritical5 3 2 2" xfId="6215"/>
    <cellStyle name="SAPBEXexcCritical5 3 2 2 2" xfId="22520"/>
    <cellStyle name="SAPBEXexcCritical5 3 2 2 2 2" xfId="43395"/>
    <cellStyle name="SAPBEXexcCritical5 3 2 2 3" xfId="23202"/>
    <cellStyle name="SAPBEXexcCritical5 3 2 2 3 2" xfId="44075"/>
    <cellStyle name="SAPBEXexcCritical5 3 2 2 4" xfId="23971"/>
    <cellStyle name="SAPBEXexcCritical5 3 2 2 4 2" xfId="44843"/>
    <cellStyle name="SAPBEXexcCritical5 3 2 2 5" xfId="15224"/>
    <cellStyle name="SAPBEXexcCritical5 3 2 2 5 2" xfId="36100"/>
    <cellStyle name="SAPBEXexcCritical5 3 2 2 6" xfId="27362"/>
    <cellStyle name="SAPBEXexcCritical5 3 2 3" xfId="21976"/>
    <cellStyle name="SAPBEXexcCritical5 3 2 3 2" xfId="42851"/>
    <cellStyle name="SAPBEXexcCritical5 3 2 4" xfId="22909"/>
    <cellStyle name="SAPBEXexcCritical5 3 2 4 2" xfId="43783"/>
    <cellStyle name="SAPBEXexcCritical5 3 2 5" xfId="22797"/>
    <cellStyle name="SAPBEXexcCritical5 3 2 5 2" xfId="43672"/>
    <cellStyle name="SAPBEXexcCritical5 3 2 6" xfId="13406"/>
    <cellStyle name="SAPBEXexcCritical5 3 2 6 2" xfId="34282"/>
    <cellStyle name="SAPBEXexcCritical5 3 2 7" xfId="25544"/>
    <cellStyle name="SAPBEXexcCritical5 3 3" xfId="8331"/>
    <cellStyle name="SAPBEXexcCritical5 3 3 2" xfId="23020"/>
    <cellStyle name="SAPBEXexcCritical5 3 3 2 2" xfId="43893"/>
    <cellStyle name="SAPBEXexcCritical5 3 3 3" xfId="21890"/>
    <cellStyle name="SAPBEXexcCritical5 3 3 3 2" xfId="42765"/>
    <cellStyle name="SAPBEXexcCritical5 3 3 4" xfId="21523"/>
    <cellStyle name="SAPBEXexcCritical5 3 3 4 2" xfId="42398"/>
    <cellStyle name="SAPBEXexcCritical5 3 3 5" xfId="17336"/>
    <cellStyle name="SAPBEXexcCritical5 3 3 5 2" xfId="38212"/>
    <cellStyle name="SAPBEXexcCritical5 3 3 6" xfId="29474"/>
    <cellStyle name="SAPBEXexcCritical5 3 4" xfId="10215"/>
    <cellStyle name="SAPBEXexcCritical5 3 4 2" xfId="23500"/>
    <cellStyle name="SAPBEXexcCritical5 3 4 2 2" xfId="44372"/>
    <cellStyle name="SAPBEXexcCritical5 3 4 3" xfId="22939"/>
    <cellStyle name="SAPBEXexcCritical5 3 4 3 2" xfId="43813"/>
    <cellStyle name="SAPBEXexcCritical5 3 4 4" xfId="23440"/>
    <cellStyle name="SAPBEXexcCritical5 3 4 4 2" xfId="44312"/>
    <cellStyle name="SAPBEXexcCritical5 3 4 5" xfId="18986"/>
    <cellStyle name="SAPBEXexcCritical5 3 4 5 2" xfId="39862"/>
    <cellStyle name="SAPBEXexcCritical5 3 4 6" xfId="31126"/>
    <cellStyle name="SAPBEXexcCritical5 3 5" xfId="21494"/>
    <cellStyle name="SAPBEXexcCritical5 3 5 2" xfId="42369"/>
    <cellStyle name="SAPBEXexcCritical5 3 6" xfId="22191"/>
    <cellStyle name="SAPBEXexcCritical5 3 6 2" xfId="43066"/>
    <cellStyle name="SAPBEXexcCritical5 3 7" xfId="20993"/>
    <cellStyle name="SAPBEXexcCritical5 3 7 2" xfId="41868"/>
    <cellStyle name="SAPBEXexcCritical5 3 8" xfId="12259"/>
    <cellStyle name="SAPBEXexcCritical5 3 8 2" xfId="33148"/>
    <cellStyle name="SAPBEXexcCritical5 3 9" xfId="24373"/>
    <cellStyle name="SAPBEXexcCritical5 4" xfId="2745"/>
    <cellStyle name="SAPBEXexcCritical5 4 2" xfId="4362"/>
    <cellStyle name="SAPBEXexcCritical5 4 2 2" xfId="6216"/>
    <cellStyle name="SAPBEXexcCritical5 4 2 2 2" xfId="22521"/>
    <cellStyle name="SAPBEXexcCritical5 4 2 2 2 2" xfId="43396"/>
    <cellStyle name="SAPBEXexcCritical5 4 2 2 3" xfId="22848"/>
    <cellStyle name="SAPBEXexcCritical5 4 2 2 3 2" xfId="43723"/>
    <cellStyle name="SAPBEXexcCritical5 4 2 2 4" xfId="21375"/>
    <cellStyle name="SAPBEXexcCritical5 4 2 2 4 2" xfId="42250"/>
    <cellStyle name="SAPBEXexcCritical5 4 2 2 5" xfId="15225"/>
    <cellStyle name="SAPBEXexcCritical5 4 2 2 5 2" xfId="36101"/>
    <cellStyle name="SAPBEXexcCritical5 4 2 2 6" xfId="27363"/>
    <cellStyle name="SAPBEXexcCritical5 4 2 3" xfId="21977"/>
    <cellStyle name="SAPBEXexcCritical5 4 2 3 2" xfId="42852"/>
    <cellStyle name="SAPBEXexcCritical5 4 2 4" xfId="22764"/>
    <cellStyle name="SAPBEXexcCritical5 4 2 4 2" xfId="43639"/>
    <cellStyle name="SAPBEXexcCritical5 4 2 5" xfId="23176"/>
    <cellStyle name="SAPBEXexcCritical5 4 2 5 2" xfId="44049"/>
    <cellStyle name="SAPBEXexcCritical5 4 2 6" xfId="13407"/>
    <cellStyle name="SAPBEXexcCritical5 4 2 6 2" xfId="34283"/>
    <cellStyle name="SAPBEXexcCritical5 4 2 7" xfId="25545"/>
    <cellStyle name="SAPBEXexcCritical5 4 3" xfId="8332"/>
    <cellStyle name="SAPBEXexcCritical5 4 3 2" xfId="23021"/>
    <cellStyle name="SAPBEXexcCritical5 4 3 2 2" xfId="43894"/>
    <cellStyle name="SAPBEXexcCritical5 4 3 3" xfId="22674"/>
    <cellStyle name="SAPBEXexcCritical5 4 3 3 2" xfId="43549"/>
    <cellStyle name="SAPBEXexcCritical5 4 3 4" xfId="21060"/>
    <cellStyle name="SAPBEXexcCritical5 4 3 4 2" xfId="41935"/>
    <cellStyle name="SAPBEXexcCritical5 4 3 5" xfId="17337"/>
    <cellStyle name="SAPBEXexcCritical5 4 3 5 2" xfId="38213"/>
    <cellStyle name="SAPBEXexcCritical5 4 3 6" xfId="29475"/>
    <cellStyle name="SAPBEXexcCritical5 4 4" xfId="10216"/>
    <cellStyle name="SAPBEXexcCritical5 4 4 2" xfId="23501"/>
    <cellStyle name="SAPBEXexcCritical5 4 4 2 2" xfId="44373"/>
    <cellStyle name="SAPBEXexcCritical5 4 4 3" xfId="23261"/>
    <cellStyle name="SAPBEXexcCritical5 4 4 3 2" xfId="44134"/>
    <cellStyle name="SAPBEXexcCritical5 4 4 4" xfId="21644"/>
    <cellStyle name="SAPBEXexcCritical5 4 4 4 2" xfId="42519"/>
    <cellStyle name="SAPBEXexcCritical5 4 4 5" xfId="18987"/>
    <cellStyle name="SAPBEXexcCritical5 4 4 5 2" xfId="39863"/>
    <cellStyle name="SAPBEXexcCritical5 4 4 6" xfId="31127"/>
    <cellStyle name="SAPBEXexcCritical5 4 5" xfId="21495"/>
    <cellStyle name="SAPBEXexcCritical5 4 5 2" xfId="42370"/>
    <cellStyle name="SAPBEXexcCritical5 4 6" xfId="22712"/>
    <cellStyle name="SAPBEXexcCritical5 4 6 2" xfId="43587"/>
    <cellStyle name="SAPBEXexcCritical5 4 7" xfId="24030"/>
    <cellStyle name="SAPBEXexcCritical5 4 7 2" xfId="44902"/>
    <cellStyle name="SAPBEXexcCritical5 4 8" xfId="12260"/>
    <cellStyle name="SAPBEXexcCritical5 4 8 2" xfId="33149"/>
    <cellStyle name="SAPBEXexcCritical5 4 9" xfId="24374"/>
    <cellStyle name="SAPBEXexcCritical5 5" xfId="2746"/>
    <cellStyle name="SAPBEXexcCritical5 5 2" xfId="4363"/>
    <cellStyle name="SAPBEXexcCritical5 5 2 2" xfId="6217"/>
    <cellStyle name="SAPBEXexcCritical5 5 2 2 2" xfId="22522"/>
    <cellStyle name="SAPBEXexcCritical5 5 2 2 2 2" xfId="43397"/>
    <cellStyle name="SAPBEXexcCritical5 5 2 2 3" xfId="24053"/>
    <cellStyle name="SAPBEXexcCritical5 5 2 2 3 2" xfId="44925"/>
    <cellStyle name="SAPBEXexcCritical5 5 2 2 4" xfId="22943"/>
    <cellStyle name="SAPBEXexcCritical5 5 2 2 4 2" xfId="43817"/>
    <cellStyle name="SAPBEXexcCritical5 5 2 2 5" xfId="15226"/>
    <cellStyle name="SAPBEXexcCritical5 5 2 2 5 2" xfId="36102"/>
    <cellStyle name="SAPBEXexcCritical5 5 2 2 6" xfId="27364"/>
    <cellStyle name="SAPBEXexcCritical5 5 2 3" xfId="21978"/>
    <cellStyle name="SAPBEXexcCritical5 5 2 3 2" xfId="42853"/>
    <cellStyle name="SAPBEXexcCritical5 5 2 4" xfId="21837"/>
    <cellStyle name="SAPBEXexcCritical5 5 2 4 2" xfId="42712"/>
    <cellStyle name="SAPBEXexcCritical5 5 2 5" xfId="21654"/>
    <cellStyle name="SAPBEXexcCritical5 5 2 5 2" xfId="42529"/>
    <cellStyle name="SAPBEXexcCritical5 5 2 6" xfId="13408"/>
    <cellStyle name="SAPBEXexcCritical5 5 2 6 2" xfId="34284"/>
    <cellStyle name="SAPBEXexcCritical5 5 2 7" xfId="25546"/>
    <cellStyle name="SAPBEXexcCritical5 5 3" xfId="8333"/>
    <cellStyle name="SAPBEXexcCritical5 5 3 2" xfId="23022"/>
    <cellStyle name="SAPBEXexcCritical5 5 3 2 2" xfId="43895"/>
    <cellStyle name="SAPBEXexcCritical5 5 3 3" xfId="23169"/>
    <cellStyle name="SAPBEXexcCritical5 5 3 3 2" xfId="44042"/>
    <cellStyle name="SAPBEXexcCritical5 5 3 4" xfId="24079"/>
    <cellStyle name="SAPBEXexcCritical5 5 3 4 2" xfId="44951"/>
    <cellStyle name="SAPBEXexcCritical5 5 3 5" xfId="17338"/>
    <cellStyle name="SAPBEXexcCritical5 5 3 5 2" xfId="38214"/>
    <cellStyle name="SAPBEXexcCritical5 5 3 6" xfId="29476"/>
    <cellStyle name="SAPBEXexcCritical5 5 4" xfId="10217"/>
    <cellStyle name="SAPBEXexcCritical5 5 4 2" xfId="23502"/>
    <cellStyle name="SAPBEXexcCritical5 5 4 2 2" xfId="44374"/>
    <cellStyle name="SAPBEXexcCritical5 5 4 3" xfId="23391"/>
    <cellStyle name="SAPBEXexcCritical5 5 4 3 2" xfId="44263"/>
    <cellStyle name="SAPBEXexcCritical5 5 4 4" xfId="23370"/>
    <cellStyle name="SAPBEXexcCritical5 5 4 4 2" xfId="44242"/>
    <cellStyle name="SAPBEXexcCritical5 5 4 5" xfId="18988"/>
    <cellStyle name="SAPBEXexcCritical5 5 4 5 2" xfId="39864"/>
    <cellStyle name="SAPBEXexcCritical5 5 4 6" xfId="31128"/>
    <cellStyle name="SAPBEXexcCritical5 5 5" xfId="21496"/>
    <cellStyle name="SAPBEXexcCritical5 5 5 2" xfId="42371"/>
    <cellStyle name="SAPBEXexcCritical5 5 6" xfId="21178"/>
    <cellStyle name="SAPBEXexcCritical5 5 6 2" xfId="42053"/>
    <cellStyle name="SAPBEXexcCritical5 5 7" xfId="22349"/>
    <cellStyle name="SAPBEXexcCritical5 5 7 2" xfId="43224"/>
    <cellStyle name="SAPBEXexcCritical5 5 8" xfId="12261"/>
    <cellStyle name="SAPBEXexcCritical5 5 8 2" xfId="33150"/>
    <cellStyle name="SAPBEXexcCritical5 5 9" xfId="24375"/>
    <cellStyle name="SAPBEXexcCritical5 6" xfId="3816"/>
    <cellStyle name="SAPBEXexcCritical5 6 2" xfId="6045"/>
    <cellStyle name="SAPBEXexcCritical5 6 2 2" xfId="22404"/>
    <cellStyle name="SAPBEXexcCritical5 6 2 2 2" xfId="43279"/>
    <cellStyle name="SAPBEXexcCritical5 6 2 3" xfId="22140"/>
    <cellStyle name="SAPBEXexcCritical5 6 2 3 2" xfId="43015"/>
    <cellStyle name="SAPBEXexcCritical5 6 2 4" xfId="22835"/>
    <cellStyle name="SAPBEXexcCritical5 6 2 4 2" xfId="43710"/>
    <cellStyle name="SAPBEXexcCritical5 6 2 5" xfId="15054"/>
    <cellStyle name="SAPBEXexcCritical5 6 2 5 2" xfId="35930"/>
    <cellStyle name="SAPBEXexcCritical5 6 2 6" xfId="27192"/>
    <cellStyle name="SAPBEXexcCritical5 6 3" xfId="21790"/>
    <cellStyle name="SAPBEXexcCritical5 6 3 2" xfId="42665"/>
    <cellStyle name="SAPBEXexcCritical5 6 4" xfId="21417"/>
    <cellStyle name="SAPBEXexcCritical5 6 4 2" xfId="42292"/>
    <cellStyle name="SAPBEXexcCritical5 6 5" xfId="23211"/>
    <cellStyle name="SAPBEXexcCritical5 6 5 2" xfId="44084"/>
    <cellStyle name="SAPBEXexcCritical5 6 6" xfId="13236"/>
    <cellStyle name="SAPBEXexcCritical5 6 6 2" xfId="34112"/>
    <cellStyle name="SAPBEXexcCritical5 6 7" xfId="25374"/>
    <cellStyle name="SAPBEXexcCritical5 7" xfId="8329"/>
    <cellStyle name="SAPBEXexcCritical5 7 2" xfId="23018"/>
    <cellStyle name="SAPBEXexcCritical5 7 2 2" xfId="43891"/>
    <cellStyle name="SAPBEXexcCritical5 7 3" xfId="22256"/>
    <cellStyle name="SAPBEXexcCritical5 7 3 2" xfId="43131"/>
    <cellStyle name="SAPBEXexcCritical5 7 4" xfId="22242"/>
    <cellStyle name="SAPBEXexcCritical5 7 4 2" xfId="43117"/>
    <cellStyle name="SAPBEXexcCritical5 7 5" xfId="17334"/>
    <cellStyle name="SAPBEXexcCritical5 7 5 2" xfId="38210"/>
    <cellStyle name="SAPBEXexcCritical5 7 6" xfId="29472"/>
    <cellStyle name="SAPBEXexcCritical5 8" xfId="10213"/>
    <cellStyle name="SAPBEXexcCritical5 8 2" xfId="23498"/>
    <cellStyle name="SAPBEXexcCritical5 8 2 2" xfId="44370"/>
    <cellStyle name="SAPBEXexcCritical5 8 3" xfId="22345"/>
    <cellStyle name="SAPBEXexcCritical5 8 3 2" xfId="43220"/>
    <cellStyle name="SAPBEXexcCritical5 8 4" xfId="23787"/>
    <cellStyle name="SAPBEXexcCritical5 8 4 2" xfId="44659"/>
    <cellStyle name="SAPBEXexcCritical5 8 5" xfId="18984"/>
    <cellStyle name="SAPBEXexcCritical5 8 5 2" xfId="39860"/>
    <cellStyle name="SAPBEXexcCritical5 8 6" xfId="31124"/>
    <cellStyle name="SAPBEXexcCritical5 9" xfId="20893"/>
    <cellStyle name="SAPBEXexcCritical5 9 2" xfId="41768"/>
    <cellStyle name="SAPBEXexcCritical6" xfId="1151"/>
    <cellStyle name="SAPBEXexcCritical6 10" xfId="24042"/>
    <cellStyle name="SAPBEXexcCritical6 10 2" xfId="44914"/>
    <cellStyle name="SAPBEXexcCritical6 11" xfId="23404"/>
    <cellStyle name="SAPBEXexcCritical6 11 2" xfId="44276"/>
    <cellStyle name="SAPBEXexcCritical6 12" xfId="12130"/>
    <cellStyle name="SAPBEXexcCritical6 12 2" xfId="33030"/>
    <cellStyle name="SAPBEXexcCritical6 13" xfId="24159"/>
    <cellStyle name="SAPBEXexcCritical6 13 2" xfId="45029"/>
    <cellStyle name="SAPBEXexcCritical6 14" xfId="24258"/>
    <cellStyle name="SAPBEXexcCritical6 14 2" xfId="45119"/>
    <cellStyle name="SAPBEXexcCritical6 2" xfId="2747"/>
    <cellStyle name="SAPBEXexcCritical6 2 10" xfId="24376"/>
    <cellStyle name="SAPBEXexcCritical6 2 2" xfId="4364"/>
    <cellStyle name="SAPBEXexcCritical6 2 2 2" xfId="6218"/>
    <cellStyle name="SAPBEXexcCritical6 2 2 2 2" xfId="22523"/>
    <cellStyle name="SAPBEXexcCritical6 2 2 2 2 2" xfId="43398"/>
    <cellStyle name="SAPBEXexcCritical6 2 2 2 3" xfId="21166"/>
    <cellStyle name="SAPBEXexcCritical6 2 2 2 3 2" xfId="42041"/>
    <cellStyle name="SAPBEXexcCritical6 2 2 2 4" xfId="23887"/>
    <cellStyle name="SAPBEXexcCritical6 2 2 2 4 2" xfId="44759"/>
    <cellStyle name="SAPBEXexcCritical6 2 2 2 5" xfId="15227"/>
    <cellStyle name="SAPBEXexcCritical6 2 2 2 5 2" xfId="36103"/>
    <cellStyle name="SAPBEXexcCritical6 2 2 2 6" xfId="27365"/>
    <cellStyle name="SAPBEXexcCritical6 2 2 3" xfId="21979"/>
    <cellStyle name="SAPBEXexcCritical6 2 2 3 2" xfId="42854"/>
    <cellStyle name="SAPBEXexcCritical6 2 2 4" xfId="24105"/>
    <cellStyle name="SAPBEXexcCritical6 2 2 4 2" xfId="44976"/>
    <cellStyle name="SAPBEXexcCritical6 2 2 5" xfId="22696"/>
    <cellStyle name="SAPBEXexcCritical6 2 2 5 2" xfId="43571"/>
    <cellStyle name="SAPBEXexcCritical6 2 2 6" xfId="13409"/>
    <cellStyle name="SAPBEXexcCritical6 2 2 6 2" xfId="34285"/>
    <cellStyle name="SAPBEXexcCritical6 2 2 7" xfId="25547"/>
    <cellStyle name="SAPBEXexcCritical6 2 3" xfId="8335"/>
    <cellStyle name="SAPBEXexcCritical6 2 3 2" xfId="23024"/>
    <cellStyle name="SAPBEXexcCritical6 2 3 2 2" xfId="43897"/>
    <cellStyle name="SAPBEXexcCritical6 2 3 3" xfId="21226"/>
    <cellStyle name="SAPBEXexcCritical6 2 3 3 2" xfId="42101"/>
    <cellStyle name="SAPBEXexcCritical6 2 3 4" xfId="22098"/>
    <cellStyle name="SAPBEXexcCritical6 2 3 4 2" xfId="42973"/>
    <cellStyle name="SAPBEXexcCritical6 2 3 5" xfId="17340"/>
    <cellStyle name="SAPBEXexcCritical6 2 3 5 2" xfId="38216"/>
    <cellStyle name="SAPBEXexcCritical6 2 3 6" xfId="29478"/>
    <cellStyle name="SAPBEXexcCritical6 2 4" xfId="10219"/>
    <cellStyle name="SAPBEXexcCritical6 2 4 2" xfId="23504"/>
    <cellStyle name="SAPBEXexcCritical6 2 4 2 2" xfId="44376"/>
    <cellStyle name="SAPBEXexcCritical6 2 4 3" xfId="23884"/>
    <cellStyle name="SAPBEXexcCritical6 2 4 3 2" xfId="44756"/>
    <cellStyle name="SAPBEXexcCritical6 2 4 4" xfId="22271"/>
    <cellStyle name="SAPBEXexcCritical6 2 4 4 2" xfId="43146"/>
    <cellStyle name="SAPBEXexcCritical6 2 4 5" xfId="18990"/>
    <cellStyle name="SAPBEXexcCritical6 2 4 5 2" xfId="39866"/>
    <cellStyle name="SAPBEXexcCritical6 2 4 6" xfId="31130"/>
    <cellStyle name="SAPBEXexcCritical6 2 5" xfId="20896"/>
    <cellStyle name="SAPBEXexcCritical6 2 5 2" xfId="41771"/>
    <cellStyle name="SAPBEXexcCritical6 2 6" xfId="21301"/>
    <cellStyle name="SAPBEXexcCritical6 2 6 2" xfId="42176"/>
    <cellStyle name="SAPBEXexcCritical6 2 7" xfId="23838"/>
    <cellStyle name="SAPBEXexcCritical6 2 7 2" xfId="44710"/>
    <cellStyle name="SAPBEXexcCritical6 2 8" xfId="12131"/>
    <cellStyle name="SAPBEXexcCritical6 2 8 2" xfId="33031"/>
    <cellStyle name="SAPBEXexcCritical6 2 9" xfId="24194"/>
    <cellStyle name="SAPBEXexcCritical6 2 9 2" xfId="45062"/>
    <cellStyle name="SAPBEXexcCritical6 3" xfId="2748"/>
    <cellStyle name="SAPBEXexcCritical6 3 2" xfId="4365"/>
    <cellStyle name="SAPBEXexcCritical6 3 2 2" xfId="6219"/>
    <cellStyle name="SAPBEXexcCritical6 3 2 2 2" xfId="22524"/>
    <cellStyle name="SAPBEXexcCritical6 3 2 2 2 2" xfId="43399"/>
    <cellStyle name="SAPBEXexcCritical6 3 2 2 3" xfId="21284"/>
    <cellStyle name="SAPBEXexcCritical6 3 2 2 3 2" xfId="42159"/>
    <cellStyle name="SAPBEXexcCritical6 3 2 2 4" xfId="23839"/>
    <cellStyle name="SAPBEXexcCritical6 3 2 2 4 2" xfId="44711"/>
    <cellStyle name="SAPBEXexcCritical6 3 2 2 5" xfId="15228"/>
    <cellStyle name="SAPBEXexcCritical6 3 2 2 5 2" xfId="36104"/>
    <cellStyle name="SAPBEXexcCritical6 3 2 2 6" xfId="27366"/>
    <cellStyle name="SAPBEXexcCritical6 3 2 3" xfId="21980"/>
    <cellStyle name="SAPBEXexcCritical6 3 2 3 2" xfId="42855"/>
    <cellStyle name="SAPBEXexcCritical6 3 2 4" xfId="23941"/>
    <cellStyle name="SAPBEXexcCritical6 3 2 4 2" xfId="44813"/>
    <cellStyle name="SAPBEXexcCritical6 3 2 5" xfId="22301"/>
    <cellStyle name="SAPBEXexcCritical6 3 2 5 2" xfId="43176"/>
    <cellStyle name="SAPBEXexcCritical6 3 2 6" xfId="13410"/>
    <cellStyle name="SAPBEXexcCritical6 3 2 6 2" xfId="34286"/>
    <cellStyle name="SAPBEXexcCritical6 3 2 7" xfId="25548"/>
    <cellStyle name="SAPBEXexcCritical6 3 3" xfId="8336"/>
    <cellStyle name="SAPBEXexcCritical6 3 3 2" xfId="23025"/>
    <cellStyle name="SAPBEXexcCritical6 3 3 2 2" xfId="43898"/>
    <cellStyle name="SAPBEXexcCritical6 3 3 3" xfId="22224"/>
    <cellStyle name="SAPBEXexcCritical6 3 3 3 2" xfId="43099"/>
    <cellStyle name="SAPBEXexcCritical6 3 3 4" xfId="23952"/>
    <cellStyle name="SAPBEXexcCritical6 3 3 4 2" xfId="44824"/>
    <cellStyle name="SAPBEXexcCritical6 3 3 5" xfId="17341"/>
    <cellStyle name="SAPBEXexcCritical6 3 3 5 2" xfId="38217"/>
    <cellStyle name="SAPBEXexcCritical6 3 3 6" xfId="29479"/>
    <cellStyle name="SAPBEXexcCritical6 3 4" xfId="10220"/>
    <cellStyle name="SAPBEXexcCritical6 3 4 2" xfId="23505"/>
    <cellStyle name="SAPBEXexcCritical6 3 4 2 2" xfId="44377"/>
    <cellStyle name="SAPBEXexcCritical6 3 4 3" xfId="22118"/>
    <cellStyle name="SAPBEXexcCritical6 3 4 3 2" xfId="42993"/>
    <cellStyle name="SAPBEXexcCritical6 3 4 4" xfId="21872"/>
    <cellStyle name="SAPBEXexcCritical6 3 4 4 2" xfId="42747"/>
    <cellStyle name="SAPBEXexcCritical6 3 4 5" xfId="18991"/>
    <cellStyle name="SAPBEXexcCritical6 3 4 5 2" xfId="39867"/>
    <cellStyle name="SAPBEXexcCritical6 3 4 6" xfId="31131"/>
    <cellStyle name="SAPBEXexcCritical6 3 5" xfId="21497"/>
    <cellStyle name="SAPBEXexcCritical6 3 5 2" xfId="42372"/>
    <cellStyle name="SAPBEXexcCritical6 3 6" xfId="21083"/>
    <cellStyle name="SAPBEXexcCritical6 3 6 2" xfId="41958"/>
    <cellStyle name="SAPBEXexcCritical6 3 7" xfId="21126"/>
    <cellStyle name="SAPBEXexcCritical6 3 7 2" xfId="42001"/>
    <cellStyle name="SAPBEXexcCritical6 3 8" xfId="12262"/>
    <cellStyle name="SAPBEXexcCritical6 3 8 2" xfId="33151"/>
    <cellStyle name="SAPBEXexcCritical6 3 9" xfId="24377"/>
    <cellStyle name="SAPBEXexcCritical6 4" xfId="2749"/>
    <cellStyle name="SAPBEXexcCritical6 4 2" xfId="4366"/>
    <cellStyle name="SAPBEXexcCritical6 4 2 2" xfId="6220"/>
    <cellStyle name="SAPBEXexcCritical6 4 2 2 2" xfId="22525"/>
    <cellStyle name="SAPBEXexcCritical6 4 2 2 2 2" xfId="43400"/>
    <cellStyle name="SAPBEXexcCritical6 4 2 2 3" xfId="21070"/>
    <cellStyle name="SAPBEXexcCritical6 4 2 2 3 2" xfId="41945"/>
    <cellStyle name="SAPBEXexcCritical6 4 2 2 4" xfId="21112"/>
    <cellStyle name="SAPBEXexcCritical6 4 2 2 4 2" xfId="41987"/>
    <cellStyle name="SAPBEXexcCritical6 4 2 2 5" xfId="15229"/>
    <cellStyle name="SAPBEXexcCritical6 4 2 2 5 2" xfId="36105"/>
    <cellStyle name="SAPBEXexcCritical6 4 2 2 6" xfId="27367"/>
    <cellStyle name="SAPBEXexcCritical6 4 2 3" xfId="21981"/>
    <cellStyle name="SAPBEXexcCritical6 4 2 3 2" xfId="42856"/>
    <cellStyle name="SAPBEXexcCritical6 4 2 4" xfId="22766"/>
    <cellStyle name="SAPBEXexcCritical6 4 2 4 2" xfId="43641"/>
    <cellStyle name="SAPBEXexcCritical6 4 2 5" xfId="21899"/>
    <cellStyle name="SAPBEXexcCritical6 4 2 5 2" xfId="42774"/>
    <cellStyle name="SAPBEXexcCritical6 4 2 6" xfId="13411"/>
    <cellStyle name="SAPBEXexcCritical6 4 2 6 2" xfId="34287"/>
    <cellStyle name="SAPBEXexcCritical6 4 2 7" xfId="25549"/>
    <cellStyle name="SAPBEXexcCritical6 4 3" xfId="8337"/>
    <cellStyle name="SAPBEXexcCritical6 4 3 2" xfId="23026"/>
    <cellStyle name="SAPBEXexcCritical6 4 3 2 2" xfId="43899"/>
    <cellStyle name="SAPBEXexcCritical6 4 3 3" xfId="22275"/>
    <cellStyle name="SAPBEXexcCritical6 4 3 3 2" xfId="43150"/>
    <cellStyle name="SAPBEXexcCritical6 4 3 4" xfId="24116"/>
    <cellStyle name="SAPBEXexcCritical6 4 3 4 2" xfId="44987"/>
    <cellStyle name="SAPBEXexcCritical6 4 3 5" xfId="17342"/>
    <cellStyle name="SAPBEXexcCritical6 4 3 5 2" xfId="38218"/>
    <cellStyle name="SAPBEXexcCritical6 4 3 6" xfId="29480"/>
    <cellStyle name="SAPBEXexcCritical6 4 4" xfId="10221"/>
    <cellStyle name="SAPBEXexcCritical6 4 4 2" xfId="23506"/>
    <cellStyle name="SAPBEXexcCritical6 4 4 2 2" xfId="44378"/>
    <cellStyle name="SAPBEXexcCritical6 4 4 3" xfId="22659"/>
    <cellStyle name="SAPBEXexcCritical6 4 4 3 2" xfId="43534"/>
    <cellStyle name="SAPBEXexcCritical6 4 4 4" xfId="21388"/>
    <cellStyle name="SAPBEXexcCritical6 4 4 4 2" xfId="42263"/>
    <cellStyle name="SAPBEXexcCritical6 4 4 5" xfId="18992"/>
    <cellStyle name="SAPBEXexcCritical6 4 4 5 2" xfId="39868"/>
    <cellStyle name="SAPBEXexcCritical6 4 4 6" xfId="31132"/>
    <cellStyle name="SAPBEXexcCritical6 4 5" xfId="21498"/>
    <cellStyle name="SAPBEXexcCritical6 4 5 2" xfId="42373"/>
    <cellStyle name="SAPBEXexcCritical6 4 6" xfId="21865"/>
    <cellStyle name="SAPBEXexcCritical6 4 6 2" xfId="42740"/>
    <cellStyle name="SAPBEXexcCritical6 4 7" xfId="21095"/>
    <cellStyle name="SAPBEXexcCritical6 4 7 2" xfId="41970"/>
    <cellStyle name="SAPBEXexcCritical6 4 8" xfId="12263"/>
    <cellStyle name="SAPBEXexcCritical6 4 8 2" xfId="33152"/>
    <cellStyle name="SAPBEXexcCritical6 4 9" xfId="24378"/>
    <cellStyle name="SAPBEXexcCritical6 5" xfId="2750"/>
    <cellStyle name="SAPBEXexcCritical6 5 2" xfId="4367"/>
    <cellStyle name="SAPBEXexcCritical6 5 2 2" xfId="6221"/>
    <cellStyle name="SAPBEXexcCritical6 5 2 2 2" xfId="22526"/>
    <cellStyle name="SAPBEXexcCritical6 5 2 2 2 2" xfId="43401"/>
    <cellStyle name="SAPBEXexcCritical6 5 2 2 3" xfId="21587"/>
    <cellStyle name="SAPBEXexcCritical6 5 2 2 3 2" xfId="42462"/>
    <cellStyle name="SAPBEXexcCritical6 5 2 2 4" xfId="22142"/>
    <cellStyle name="SAPBEXexcCritical6 5 2 2 4 2" xfId="43017"/>
    <cellStyle name="SAPBEXexcCritical6 5 2 2 5" xfId="15230"/>
    <cellStyle name="SAPBEXexcCritical6 5 2 2 5 2" xfId="36106"/>
    <cellStyle name="SAPBEXexcCritical6 5 2 2 6" xfId="27368"/>
    <cellStyle name="SAPBEXexcCritical6 5 2 3" xfId="21982"/>
    <cellStyle name="SAPBEXexcCritical6 5 2 3 2" xfId="42857"/>
    <cellStyle name="SAPBEXexcCritical6 5 2 4" xfId="22106"/>
    <cellStyle name="SAPBEXexcCritical6 5 2 4 2" xfId="42981"/>
    <cellStyle name="SAPBEXexcCritical6 5 2 5" xfId="21620"/>
    <cellStyle name="SAPBEXexcCritical6 5 2 5 2" xfId="42495"/>
    <cellStyle name="SAPBEXexcCritical6 5 2 6" xfId="13412"/>
    <cellStyle name="SAPBEXexcCritical6 5 2 6 2" xfId="34288"/>
    <cellStyle name="SAPBEXexcCritical6 5 2 7" xfId="25550"/>
    <cellStyle name="SAPBEXexcCritical6 5 3" xfId="8338"/>
    <cellStyle name="SAPBEXexcCritical6 5 3 2" xfId="23027"/>
    <cellStyle name="SAPBEXexcCritical6 5 3 2 2" xfId="43900"/>
    <cellStyle name="SAPBEXexcCritical6 5 3 3" xfId="23314"/>
    <cellStyle name="SAPBEXexcCritical6 5 3 3 2" xfId="44186"/>
    <cellStyle name="SAPBEXexcCritical6 5 3 4" xfId="22441"/>
    <cellStyle name="SAPBEXexcCritical6 5 3 4 2" xfId="43316"/>
    <cellStyle name="SAPBEXexcCritical6 5 3 5" xfId="17343"/>
    <cellStyle name="SAPBEXexcCritical6 5 3 5 2" xfId="38219"/>
    <cellStyle name="SAPBEXexcCritical6 5 3 6" xfId="29481"/>
    <cellStyle name="SAPBEXexcCritical6 5 4" xfId="10222"/>
    <cellStyle name="SAPBEXexcCritical6 5 4 2" xfId="23507"/>
    <cellStyle name="SAPBEXexcCritical6 5 4 2 2" xfId="44379"/>
    <cellStyle name="SAPBEXexcCritical6 5 4 3" xfId="23759"/>
    <cellStyle name="SAPBEXexcCritical6 5 4 3 2" xfId="44631"/>
    <cellStyle name="SAPBEXexcCritical6 5 4 4" xfId="21293"/>
    <cellStyle name="SAPBEXexcCritical6 5 4 4 2" xfId="42168"/>
    <cellStyle name="SAPBEXexcCritical6 5 4 5" xfId="18993"/>
    <cellStyle name="SAPBEXexcCritical6 5 4 5 2" xfId="39869"/>
    <cellStyle name="SAPBEXexcCritical6 5 4 6" xfId="31133"/>
    <cellStyle name="SAPBEXexcCritical6 5 5" xfId="21499"/>
    <cellStyle name="SAPBEXexcCritical6 5 5 2" xfId="42374"/>
    <cellStyle name="SAPBEXexcCritical6 5 6" xfId="23855"/>
    <cellStyle name="SAPBEXexcCritical6 5 6 2" xfId="44727"/>
    <cellStyle name="SAPBEXexcCritical6 5 7" xfId="20956"/>
    <cellStyle name="SAPBEXexcCritical6 5 7 2" xfId="41831"/>
    <cellStyle name="SAPBEXexcCritical6 5 8" xfId="12264"/>
    <cellStyle name="SAPBEXexcCritical6 5 8 2" xfId="33153"/>
    <cellStyle name="SAPBEXexcCritical6 5 9" xfId="24379"/>
    <cellStyle name="SAPBEXexcCritical6 6" xfId="3817"/>
    <cellStyle name="SAPBEXexcCritical6 6 2" xfId="6046"/>
    <cellStyle name="SAPBEXexcCritical6 6 2 2" xfId="22405"/>
    <cellStyle name="SAPBEXexcCritical6 6 2 2 2" xfId="43280"/>
    <cellStyle name="SAPBEXexcCritical6 6 2 3" xfId="22649"/>
    <cellStyle name="SAPBEXexcCritical6 6 2 3 2" xfId="43524"/>
    <cellStyle name="SAPBEXexcCritical6 6 2 4" xfId="22435"/>
    <cellStyle name="SAPBEXexcCritical6 6 2 4 2" xfId="43310"/>
    <cellStyle name="SAPBEXexcCritical6 6 2 5" xfId="15055"/>
    <cellStyle name="SAPBEXexcCritical6 6 2 5 2" xfId="35931"/>
    <cellStyle name="SAPBEXexcCritical6 6 2 6" xfId="27193"/>
    <cellStyle name="SAPBEXexcCritical6 6 3" xfId="21791"/>
    <cellStyle name="SAPBEXexcCritical6 6 3 2" xfId="42666"/>
    <cellStyle name="SAPBEXexcCritical6 6 4" xfId="23816"/>
    <cellStyle name="SAPBEXexcCritical6 6 4 2" xfId="44688"/>
    <cellStyle name="SAPBEXexcCritical6 6 5" xfId="24089"/>
    <cellStyle name="SAPBEXexcCritical6 6 5 2" xfId="44961"/>
    <cellStyle name="SAPBEXexcCritical6 6 6" xfId="13237"/>
    <cellStyle name="SAPBEXexcCritical6 6 6 2" xfId="34113"/>
    <cellStyle name="SAPBEXexcCritical6 6 7" xfId="25375"/>
    <cellStyle name="SAPBEXexcCritical6 7" xfId="8334"/>
    <cellStyle name="SAPBEXexcCritical6 7 2" xfId="23023"/>
    <cellStyle name="SAPBEXexcCritical6 7 2 2" xfId="43896"/>
    <cellStyle name="SAPBEXexcCritical6 7 3" xfId="22747"/>
    <cellStyle name="SAPBEXexcCritical6 7 3 2" xfId="43622"/>
    <cellStyle name="SAPBEXexcCritical6 7 4" xfId="22280"/>
    <cellStyle name="SAPBEXexcCritical6 7 4 2" xfId="43155"/>
    <cellStyle name="SAPBEXexcCritical6 7 5" xfId="17339"/>
    <cellStyle name="SAPBEXexcCritical6 7 5 2" xfId="38215"/>
    <cellStyle name="SAPBEXexcCritical6 7 6" xfId="29477"/>
    <cellStyle name="SAPBEXexcCritical6 8" xfId="10218"/>
    <cellStyle name="SAPBEXexcCritical6 8 2" xfId="23503"/>
    <cellStyle name="SAPBEXexcCritical6 8 2 2" xfId="44375"/>
    <cellStyle name="SAPBEXexcCritical6 8 3" xfId="23726"/>
    <cellStyle name="SAPBEXexcCritical6 8 3 2" xfId="44598"/>
    <cellStyle name="SAPBEXexcCritical6 8 4" xfId="23786"/>
    <cellStyle name="SAPBEXexcCritical6 8 4 2" xfId="44658"/>
    <cellStyle name="SAPBEXexcCritical6 8 5" xfId="18989"/>
    <cellStyle name="SAPBEXexcCritical6 8 5 2" xfId="39865"/>
    <cellStyle name="SAPBEXexcCritical6 8 6" xfId="31129"/>
    <cellStyle name="SAPBEXexcCritical6 9" xfId="20895"/>
    <cellStyle name="SAPBEXexcCritical6 9 2" xfId="41770"/>
    <cellStyle name="SAPBEXexcGood1" xfId="1152"/>
    <cellStyle name="SAPBEXexcGood1 10" xfId="21174"/>
    <cellStyle name="SAPBEXexcGood1 10 2" xfId="42049"/>
    <cellStyle name="SAPBEXexcGood1 11" xfId="23226"/>
    <cellStyle name="SAPBEXexcGood1 11 2" xfId="44099"/>
    <cellStyle name="SAPBEXexcGood1 12" xfId="12132"/>
    <cellStyle name="SAPBEXexcGood1 12 2" xfId="33032"/>
    <cellStyle name="SAPBEXexcGood1 13" xfId="24158"/>
    <cellStyle name="SAPBEXexcGood1 13 2" xfId="45028"/>
    <cellStyle name="SAPBEXexcGood1 14" xfId="24259"/>
    <cellStyle name="SAPBEXexcGood1 14 2" xfId="45120"/>
    <cellStyle name="SAPBEXexcGood1 2" xfId="2751"/>
    <cellStyle name="SAPBEXexcGood1 2 10" xfId="24380"/>
    <cellStyle name="SAPBEXexcGood1 2 2" xfId="4368"/>
    <cellStyle name="SAPBEXexcGood1 2 2 2" xfId="6222"/>
    <cellStyle name="SAPBEXexcGood1 2 2 2 2" xfId="22527"/>
    <cellStyle name="SAPBEXexcGood1 2 2 2 2 2" xfId="43402"/>
    <cellStyle name="SAPBEXexcGood1 2 2 2 3" xfId="21598"/>
    <cellStyle name="SAPBEXexcGood1 2 2 2 3 2" xfId="42473"/>
    <cellStyle name="SAPBEXexcGood1 2 2 2 4" xfId="20845"/>
    <cellStyle name="SAPBEXexcGood1 2 2 2 4 2" xfId="41721"/>
    <cellStyle name="SAPBEXexcGood1 2 2 2 5" xfId="15231"/>
    <cellStyle name="SAPBEXexcGood1 2 2 2 5 2" xfId="36107"/>
    <cellStyle name="SAPBEXexcGood1 2 2 2 6" xfId="27369"/>
    <cellStyle name="SAPBEXexcGood1 2 2 3" xfId="21983"/>
    <cellStyle name="SAPBEXexcGood1 2 2 3 2" xfId="42858"/>
    <cellStyle name="SAPBEXexcGood1 2 2 4" xfId="24064"/>
    <cellStyle name="SAPBEXexcGood1 2 2 4 2" xfId="44936"/>
    <cellStyle name="SAPBEXexcGood1 2 2 5" xfId="23768"/>
    <cellStyle name="SAPBEXexcGood1 2 2 5 2" xfId="44640"/>
    <cellStyle name="SAPBEXexcGood1 2 2 6" xfId="13413"/>
    <cellStyle name="SAPBEXexcGood1 2 2 6 2" xfId="34289"/>
    <cellStyle name="SAPBEXexcGood1 2 2 7" xfId="25551"/>
    <cellStyle name="SAPBEXexcGood1 2 3" xfId="8340"/>
    <cellStyle name="SAPBEXexcGood1 2 3 2" xfId="23029"/>
    <cellStyle name="SAPBEXexcGood1 2 3 2 2" xfId="43902"/>
    <cellStyle name="SAPBEXexcGood1 2 3 3" xfId="21227"/>
    <cellStyle name="SAPBEXexcGood1 2 3 3 2" xfId="42102"/>
    <cellStyle name="SAPBEXexcGood1 2 3 4" xfId="23815"/>
    <cellStyle name="SAPBEXexcGood1 2 3 4 2" xfId="44687"/>
    <cellStyle name="SAPBEXexcGood1 2 3 5" xfId="17345"/>
    <cellStyle name="SAPBEXexcGood1 2 3 5 2" xfId="38221"/>
    <cellStyle name="SAPBEXexcGood1 2 3 6" xfId="29483"/>
    <cellStyle name="SAPBEXexcGood1 2 4" xfId="10224"/>
    <cellStyle name="SAPBEXexcGood1 2 4 2" xfId="23509"/>
    <cellStyle name="SAPBEXexcGood1 2 4 2 2" xfId="44381"/>
    <cellStyle name="SAPBEXexcGood1 2 4 3" xfId="22258"/>
    <cellStyle name="SAPBEXexcGood1 2 4 3 2" xfId="43133"/>
    <cellStyle name="SAPBEXexcGood1 2 4 4" xfId="22912"/>
    <cellStyle name="SAPBEXexcGood1 2 4 4 2" xfId="43786"/>
    <cellStyle name="SAPBEXexcGood1 2 4 5" xfId="18995"/>
    <cellStyle name="SAPBEXexcGood1 2 4 5 2" xfId="39871"/>
    <cellStyle name="SAPBEXexcGood1 2 4 6" xfId="31135"/>
    <cellStyle name="SAPBEXexcGood1 2 5" xfId="20898"/>
    <cellStyle name="SAPBEXexcGood1 2 5 2" xfId="41773"/>
    <cellStyle name="SAPBEXexcGood1 2 6" xfId="23249"/>
    <cellStyle name="SAPBEXexcGood1 2 6 2" xfId="44122"/>
    <cellStyle name="SAPBEXexcGood1 2 7" xfId="21854"/>
    <cellStyle name="SAPBEXexcGood1 2 7 2" xfId="42729"/>
    <cellStyle name="SAPBEXexcGood1 2 8" xfId="12133"/>
    <cellStyle name="SAPBEXexcGood1 2 8 2" xfId="33033"/>
    <cellStyle name="SAPBEXexcGood1 2 9" xfId="24195"/>
    <cellStyle name="SAPBEXexcGood1 2 9 2" xfId="45063"/>
    <cellStyle name="SAPBEXexcGood1 3" xfId="2752"/>
    <cellStyle name="SAPBEXexcGood1 3 2" xfId="4369"/>
    <cellStyle name="SAPBEXexcGood1 3 2 2" xfId="6223"/>
    <cellStyle name="SAPBEXexcGood1 3 2 2 2" xfId="22528"/>
    <cellStyle name="SAPBEXexcGood1 3 2 2 2 2" xfId="43403"/>
    <cellStyle name="SAPBEXexcGood1 3 2 2 3" xfId="22327"/>
    <cellStyle name="SAPBEXexcGood1 3 2 2 3 2" xfId="43202"/>
    <cellStyle name="SAPBEXexcGood1 3 2 2 4" xfId="23862"/>
    <cellStyle name="SAPBEXexcGood1 3 2 2 4 2" xfId="44734"/>
    <cellStyle name="SAPBEXexcGood1 3 2 2 5" xfId="15232"/>
    <cellStyle name="SAPBEXexcGood1 3 2 2 5 2" xfId="36108"/>
    <cellStyle name="SAPBEXexcGood1 3 2 2 6" xfId="27370"/>
    <cellStyle name="SAPBEXexcGood1 3 2 3" xfId="21984"/>
    <cellStyle name="SAPBEXexcGood1 3 2 3 2" xfId="42859"/>
    <cellStyle name="SAPBEXexcGood1 3 2 4" xfId="20850"/>
    <cellStyle name="SAPBEXexcGood1 3 2 4 2" xfId="41726"/>
    <cellStyle name="SAPBEXexcGood1 3 2 5" xfId="22759"/>
    <cellStyle name="SAPBEXexcGood1 3 2 5 2" xfId="43634"/>
    <cellStyle name="SAPBEXexcGood1 3 2 6" xfId="13414"/>
    <cellStyle name="SAPBEXexcGood1 3 2 6 2" xfId="34290"/>
    <cellStyle name="SAPBEXexcGood1 3 2 7" xfId="25552"/>
    <cellStyle name="SAPBEXexcGood1 3 3" xfId="8341"/>
    <cellStyle name="SAPBEXexcGood1 3 3 2" xfId="23030"/>
    <cellStyle name="SAPBEXexcGood1 3 3 2 2" xfId="43903"/>
    <cellStyle name="SAPBEXexcGood1 3 3 3" xfId="21775"/>
    <cellStyle name="SAPBEXexcGood1 3 3 3 2" xfId="42650"/>
    <cellStyle name="SAPBEXexcGood1 3 3 4" xfId="21412"/>
    <cellStyle name="SAPBEXexcGood1 3 3 4 2" xfId="42287"/>
    <cellStyle name="SAPBEXexcGood1 3 3 5" xfId="17346"/>
    <cellStyle name="SAPBEXexcGood1 3 3 5 2" xfId="38222"/>
    <cellStyle name="SAPBEXexcGood1 3 3 6" xfId="29484"/>
    <cellStyle name="SAPBEXexcGood1 3 4" xfId="10225"/>
    <cellStyle name="SAPBEXexcGood1 3 4 2" xfId="23510"/>
    <cellStyle name="SAPBEXexcGood1 3 4 2 2" xfId="44382"/>
    <cellStyle name="SAPBEXexcGood1 3 4 3" xfId="22751"/>
    <cellStyle name="SAPBEXexcGood1 3 4 3 2" xfId="43626"/>
    <cellStyle name="SAPBEXexcGood1 3 4 4" xfId="23429"/>
    <cellStyle name="SAPBEXexcGood1 3 4 4 2" xfId="44301"/>
    <cellStyle name="SAPBEXexcGood1 3 4 5" xfId="18996"/>
    <cellStyle name="SAPBEXexcGood1 3 4 5 2" xfId="39872"/>
    <cellStyle name="SAPBEXexcGood1 3 4 6" xfId="31136"/>
    <cellStyle name="SAPBEXexcGood1 3 5" xfId="21500"/>
    <cellStyle name="SAPBEXexcGood1 3 5 2" xfId="42375"/>
    <cellStyle name="SAPBEXexcGood1 3 6" xfId="23371"/>
    <cellStyle name="SAPBEXexcGood1 3 6 2" xfId="44243"/>
    <cellStyle name="SAPBEXexcGood1 3 7" xfId="22929"/>
    <cellStyle name="SAPBEXexcGood1 3 7 2" xfId="43803"/>
    <cellStyle name="SAPBEXexcGood1 3 8" xfId="12265"/>
    <cellStyle name="SAPBEXexcGood1 3 8 2" xfId="33154"/>
    <cellStyle name="SAPBEXexcGood1 3 9" xfId="24381"/>
    <cellStyle name="SAPBEXexcGood1 4" xfId="2753"/>
    <cellStyle name="SAPBEXexcGood1 4 2" xfId="4370"/>
    <cellStyle name="SAPBEXexcGood1 4 2 2" xfId="6224"/>
    <cellStyle name="SAPBEXexcGood1 4 2 2 2" xfId="22529"/>
    <cellStyle name="SAPBEXexcGood1 4 2 2 2 2" xfId="43404"/>
    <cellStyle name="SAPBEXexcGood1 4 2 2 3" xfId="22235"/>
    <cellStyle name="SAPBEXexcGood1 4 2 2 3 2" xfId="43110"/>
    <cellStyle name="SAPBEXexcGood1 4 2 2 4" xfId="22176"/>
    <cellStyle name="SAPBEXexcGood1 4 2 2 4 2" xfId="43051"/>
    <cellStyle name="SAPBEXexcGood1 4 2 2 5" xfId="15233"/>
    <cellStyle name="SAPBEXexcGood1 4 2 2 5 2" xfId="36109"/>
    <cellStyle name="SAPBEXexcGood1 4 2 2 6" xfId="27371"/>
    <cellStyle name="SAPBEXexcGood1 4 2 3" xfId="21985"/>
    <cellStyle name="SAPBEXexcGood1 4 2 3 2" xfId="42860"/>
    <cellStyle name="SAPBEXexcGood1 4 2 4" xfId="21007"/>
    <cellStyle name="SAPBEXexcGood1 4 2 4 2" xfId="41882"/>
    <cellStyle name="SAPBEXexcGood1 4 2 5" xfId="23325"/>
    <cellStyle name="SAPBEXexcGood1 4 2 5 2" xfId="44197"/>
    <cellStyle name="SAPBEXexcGood1 4 2 6" xfId="13415"/>
    <cellStyle name="SAPBEXexcGood1 4 2 6 2" xfId="34291"/>
    <cellStyle name="SAPBEXexcGood1 4 2 7" xfId="25553"/>
    <cellStyle name="SAPBEXexcGood1 4 3" xfId="8342"/>
    <cellStyle name="SAPBEXexcGood1 4 3 2" xfId="23031"/>
    <cellStyle name="SAPBEXexcGood1 4 3 2 2" xfId="43904"/>
    <cellStyle name="SAPBEXexcGood1 4 3 3" xfId="22769"/>
    <cellStyle name="SAPBEXexcGood1 4 3 3 2" xfId="43644"/>
    <cellStyle name="SAPBEXexcGood1 4 3 4" xfId="21325"/>
    <cellStyle name="SAPBEXexcGood1 4 3 4 2" xfId="42200"/>
    <cellStyle name="SAPBEXexcGood1 4 3 5" xfId="17347"/>
    <cellStyle name="SAPBEXexcGood1 4 3 5 2" xfId="38223"/>
    <cellStyle name="SAPBEXexcGood1 4 3 6" xfId="29485"/>
    <cellStyle name="SAPBEXexcGood1 4 4" xfId="10226"/>
    <cellStyle name="SAPBEXexcGood1 4 4 2" xfId="23511"/>
    <cellStyle name="SAPBEXexcGood1 4 4 2 2" xfId="44383"/>
    <cellStyle name="SAPBEXexcGood1 4 4 3" xfId="22861"/>
    <cellStyle name="SAPBEXexcGood1 4 4 3 2" xfId="43735"/>
    <cellStyle name="SAPBEXexcGood1 4 4 4" xfId="21874"/>
    <cellStyle name="SAPBEXexcGood1 4 4 4 2" xfId="42749"/>
    <cellStyle name="SAPBEXexcGood1 4 4 5" xfId="18997"/>
    <cellStyle name="SAPBEXexcGood1 4 4 5 2" xfId="39873"/>
    <cellStyle name="SAPBEXexcGood1 4 4 6" xfId="31137"/>
    <cellStyle name="SAPBEXexcGood1 4 5" xfId="21501"/>
    <cellStyle name="SAPBEXexcGood1 4 5 2" xfId="42376"/>
    <cellStyle name="SAPBEXexcGood1 4 6" xfId="21650"/>
    <cellStyle name="SAPBEXexcGood1 4 6 2" xfId="42525"/>
    <cellStyle name="SAPBEXexcGood1 4 7" xfId="23937"/>
    <cellStyle name="SAPBEXexcGood1 4 7 2" xfId="44809"/>
    <cellStyle name="SAPBEXexcGood1 4 8" xfId="12266"/>
    <cellStyle name="SAPBEXexcGood1 4 8 2" xfId="33155"/>
    <cellStyle name="SAPBEXexcGood1 4 9" xfId="24382"/>
    <cellStyle name="SAPBEXexcGood1 5" xfId="2754"/>
    <cellStyle name="SAPBEXexcGood1 5 2" xfId="4371"/>
    <cellStyle name="SAPBEXexcGood1 5 2 2" xfId="6225"/>
    <cellStyle name="SAPBEXexcGood1 5 2 2 2" xfId="22530"/>
    <cellStyle name="SAPBEXexcGood1 5 2 2 2 2" xfId="43405"/>
    <cellStyle name="SAPBEXexcGood1 5 2 2 3" xfId="23435"/>
    <cellStyle name="SAPBEXexcGood1 5 2 2 3 2" xfId="44307"/>
    <cellStyle name="SAPBEXexcGood1 5 2 2 4" xfId="23750"/>
    <cellStyle name="SAPBEXexcGood1 5 2 2 4 2" xfId="44622"/>
    <cellStyle name="SAPBEXexcGood1 5 2 2 5" xfId="15234"/>
    <cellStyle name="SAPBEXexcGood1 5 2 2 5 2" xfId="36110"/>
    <cellStyle name="SAPBEXexcGood1 5 2 2 6" xfId="27372"/>
    <cellStyle name="SAPBEXexcGood1 5 2 3" xfId="21986"/>
    <cellStyle name="SAPBEXexcGood1 5 2 3 2" xfId="42861"/>
    <cellStyle name="SAPBEXexcGood1 5 2 4" xfId="21372"/>
    <cellStyle name="SAPBEXexcGood1 5 2 4 2" xfId="42247"/>
    <cellStyle name="SAPBEXexcGood1 5 2 5" xfId="22944"/>
    <cellStyle name="SAPBEXexcGood1 5 2 5 2" xfId="43818"/>
    <cellStyle name="SAPBEXexcGood1 5 2 6" xfId="13416"/>
    <cellStyle name="SAPBEXexcGood1 5 2 6 2" xfId="34292"/>
    <cellStyle name="SAPBEXexcGood1 5 2 7" xfId="25554"/>
    <cellStyle name="SAPBEXexcGood1 5 3" xfId="8343"/>
    <cellStyle name="SAPBEXexcGood1 5 3 2" xfId="23032"/>
    <cellStyle name="SAPBEXexcGood1 5 3 2 2" xfId="43905"/>
    <cellStyle name="SAPBEXexcGood1 5 3 3" xfId="21615"/>
    <cellStyle name="SAPBEXexcGood1 5 3 3 2" xfId="42490"/>
    <cellStyle name="SAPBEXexcGood1 5 3 4" xfId="22820"/>
    <cellStyle name="SAPBEXexcGood1 5 3 4 2" xfId="43695"/>
    <cellStyle name="SAPBEXexcGood1 5 3 5" xfId="17348"/>
    <cellStyle name="SAPBEXexcGood1 5 3 5 2" xfId="38224"/>
    <cellStyle name="SAPBEXexcGood1 5 3 6" xfId="29486"/>
    <cellStyle name="SAPBEXexcGood1 5 4" xfId="10227"/>
    <cellStyle name="SAPBEXexcGood1 5 4 2" xfId="23512"/>
    <cellStyle name="SAPBEXexcGood1 5 4 2 2" xfId="44384"/>
    <cellStyle name="SAPBEXexcGood1 5 4 3" xfId="23181"/>
    <cellStyle name="SAPBEXexcGood1 5 4 3 2" xfId="44054"/>
    <cellStyle name="SAPBEXexcGood1 5 4 4" xfId="23248"/>
    <cellStyle name="SAPBEXexcGood1 5 4 4 2" xfId="44121"/>
    <cellStyle name="SAPBEXexcGood1 5 4 5" xfId="18998"/>
    <cellStyle name="SAPBEXexcGood1 5 4 5 2" xfId="39874"/>
    <cellStyle name="SAPBEXexcGood1 5 4 6" xfId="31138"/>
    <cellStyle name="SAPBEXexcGood1 5 5" xfId="21502"/>
    <cellStyle name="SAPBEXexcGood1 5 5 2" xfId="42377"/>
    <cellStyle name="SAPBEXexcGood1 5 6" xfId="22643"/>
    <cellStyle name="SAPBEXexcGood1 5 6 2" xfId="43518"/>
    <cellStyle name="SAPBEXexcGood1 5 7" xfId="23154"/>
    <cellStyle name="SAPBEXexcGood1 5 7 2" xfId="44027"/>
    <cellStyle name="SAPBEXexcGood1 5 8" xfId="12267"/>
    <cellStyle name="SAPBEXexcGood1 5 8 2" xfId="33156"/>
    <cellStyle name="SAPBEXexcGood1 5 9" xfId="24383"/>
    <cellStyle name="SAPBEXexcGood1 6" xfId="3818"/>
    <cellStyle name="SAPBEXexcGood1 6 2" xfId="6047"/>
    <cellStyle name="SAPBEXexcGood1 6 2 2" xfId="22406"/>
    <cellStyle name="SAPBEXexcGood1 6 2 2 2" xfId="43281"/>
    <cellStyle name="SAPBEXexcGood1 6 2 3" xfId="24055"/>
    <cellStyle name="SAPBEXexcGood1 6 2 3 2" xfId="44927"/>
    <cellStyle name="SAPBEXexcGood1 6 2 4" xfId="22123"/>
    <cellStyle name="SAPBEXexcGood1 6 2 4 2" xfId="42998"/>
    <cellStyle name="SAPBEXexcGood1 6 2 5" xfId="15056"/>
    <cellStyle name="SAPBEXexcGood1 6 2 5 2" xfId="35932"/>
    <cellStyle name="SAPBEXexcGood1 6 2 6" xfId="27194"/>
    <cellStyle name="SAPBEXexcGood1 6 3" xfId="21792"/>
    <cellStyle name="SAPBEXexcGood1 6 3 2" xfId="42667"/>
    <cellStyle name="SAPBEXexcGood1 6 4" xfId="23899"/>
    <cellStyle name="SAPBEXexcGood1 6 4 2" xfId="44771"/>
    <cellStyle name="SAPBEXexcGood1 6 5" xfId="22278"/>
    <cellStyle name="SAPBEXexcGood1 6 5 2" xfId="43153"/>
    <cellStyle name="SAPBEXexcGood1 6 6" xfId="13238"/>
    <cellStyle name="SAPBEXexcGood1 6 6 2" xfId="34114"/>
    <cellStyle name="SAPBEXexcGood1 6 7" xfId="25376"/>
    <cellStyle name="SAPBEXexcGood1 7" xfId="8339"/>
    <cellStyle name="SAPBEXexcGood1 7 2" xfId="23028"/>
    <cellStyle name="SAPBEXexcGood1 7 2 2" xfId="43901"/>
    <cellStyle name="SAPBEXexcGood1 7 3" xfId="22858"/>
    <cellStyle name="SAPBEXexcGood1 7 3 2" xfId="43733"/>
    <cellStyle name="SAPBEXexcGood1 7 4" xfId="22838"/>
    <cellStyle name="SAPBEXexcGood1 7 4 2" xfId="43713"/>
    <cellStyle name="SAPBEXexcGood1 7 5" xfId="17344"/>
    <cellStyle name="SAPBEXexcGood1 7 5 2" xfId="38220"/>
    <cellStyle name="SAPBEXexcGood1 7 6" xfId="29482"/>
    <cellStyle name="SAPBEXexcGood1 8" xfId="10223"/>
    <cellStyle name="SAPBEXexcGood1 8 2" xfId="23508"/>
    <cellStyle name="SAPBEXexcGood1 8 2 2" xfId="44380"/>
    <cellStyle name="SAPBEXexcGood1 8 3" xfId="23919"/>
    <cellStyle name="SAPBEXexcGood1 8 3 2" xfId="44791"/>
    <cellStyle name="SAPBEXexcGood1 8 4" xfId="21250"/>
    <cellStyle name="SAPBEXexcGood1 8 4 2" xfId="42125"/>
    <cellStyle name="SAPBEXexcGood1 8 5" xfId="18994"/>
    <cellStyle name="SAPBEXexcGood1 8 5 2" xfId="39870"/>
    <cellStyle name="SAPBEXexcGood1 8 6" xfId="31134"/>
    <cellStyle name="SAPBEXexcGood1 9" xfId="20897"/>
    <cellStyle name="SAPBEXexcGood1 9 2" xfId="41772"/>
    <cellStyle name="SAPBEXexcGood2" xfId="1153"/>
    <cellStyle name="SAPBEXexcGood2 10" xfId="23753"/>
    <cellStyle name="SAPBEXexcGood2 10 2" xfId="44625"/>
    <cellStyle name="SAPBEXexcGood2 11" xfId="23901"/>
    <cellStyle name="SAPBEXexcGood2 11 2" xfId="44773"/>
    <cellStyle name="SAPBEXexcGood2 12" xfId="12134"/>
    <cellStyle name="SAPBEXexcGood2 12 2" xfId="33034"/>
    <cellStyle name="SAPBEXexcGood2 13" xfId="24157"/>
    <cellStyle name="SAPBEXexcGood2 13 2" xfId="45027"/>
    <cellStyle name="SAPBEXexcGood2 14" xfId="24260"/>
    <cellStyle name="SAPBEXexcGood2 14 2" xfId="45121"/>
    <cellStyle name="SAPBEXexcGood2 2" xfId="2755"/>
    <cellStyle name="SAPBEXexcGood2 2 10" xfId="24384"/>
    <cellStyle name="SAPBEXexcGood2 2 2" xfId="4373"/>
    <cellStyle name="SAPBEXexcGood2 2 2 2" xfId="6226"/>
    <cellStyle name="SAPBEXexcGood2 2 2 2 2" xfId="22531"/>
    <cellStyle name="SAPBEXexcGood2 2 2 2 2 2" xfId="43406"/>
    <cellStyle name="SAPBEXexcGood2 2 2 2 3" xfId="21621"/>
    <cellStyle name="SAPBEXexcGood2 2 2 2 3 2" xfId="42496"/>
    <cellStyle name="SAPBEXexcGood2 2 2 2 4" xfId="24071"/>
    <cellStyle name="SAPBEXexcGood2 2 2 2 4 2" xfId="44943"/>
    <cellStyle name="SAPBEXexcGood2 2 2 2 5" xfId="15235"/>
    <cellStyle name="SAPBEXexcGood2 2 2 2 5 2" xfId="36111"/>
    <cellStyle name="SAPBEXexcGood2 2 2 2 6" xfId="27373"/>
    <cellStyle name="SAPBEXexcGood2 2 2 3" xfId="21987"/>
    <cellStyle name="SAPBEXexcGood2 2 2 3 2" xfId="42862"/>
    <cellStyle name="SAPBEXexcGood2 2 2 4" xfId="21849"/>
    <cellStyle name="SAPBEXexcGood2 2 2 4 2" xfId="42724"/>
    <cellStyle name="SAPBEXexcGood2 2 2 5" xfId="23247"/>
    <cellStyle name="SAPBEXexcGood2 2 2 5 2" xfId="44120"/>
    <cellStyle name="SAPBEXexcGood2 2 2 6" xfId="13417"/>
    <cellStyle name="SAPBEXexcGood2 2 2 6 2" xfId="34293"/>
    <cellStyle name="SAPBEXexcGood2 2 2 7" xfId="25555"/>
    <cellStyle name="SAPBEXexcGood2 2 3" xfId="8345"/>
    <cellStyle name="SAPBEXexcGood2 2 3 2" xfId="23034"/>
    <cellStyle name="SAPBEXexcGood2 2 3 2 2" xfId="43907"/>
    <cellStyle name="SAPBEXexcGood2 2 3 3" xfId="22865"/>
    <cellStyle name="SAPBEXexcGood2 2 3 3 2" xfId="43739"/>
    <cellStyle name="SAPBEXexcGood2 2 3 4" xfId="23999"/>
    <cellStyle name="SAPBEXexcGood2 2 3 4 2" xfId="44871"/>
    <cellStyle name="SAPBEXexcGood2 2 3 5" xfId="17350"/>
    <cellStyle name="SAPBEXexcGood2 2 3 5 2" xfId="38226"/>
    <cellStyle name="SAPBEXexcGood2 2 3 6" xfId="29488"/>
    <cellStyle name="SAPBEXexcGood2 2 4" xfId="10229"/>
    <cellStyle name="SAPBEXexcGood2 2 4 2" xfId="23514"/>
    <cellStyle name="SAPBEXexcGood2 2 4 2 2" xfId="44386"/>
    <cellStyle name="SAPBEXexcGood2 2 4 3" xfId="22167"/>
    <cellStyle name="SAPBEXexcGood2 2 4 3 2" xfId="43042"/>
    <cellStyle name="SAPBEXexcGood2 2 4 4" xfId="21867"/>
    <cellStyle name="SAPBEXexcGood2 2 4 4 2" xfId="42742"/>
    <cellStyle name="SAPBEXexcGood2 2 4 5" xfId="19000"/>
    <cellStyle name="SAPBEXexcGood2 2 4 5 2" xfId="39876"/>
    <cellStyle name="SAPBEXexcGood2 2 4 6" xfId="31140"/>
    <cellStyle name="SAPBEXexcGood2 2 5" xfId="20900"/>
    <cellStyle name="SAPBEXexcGood2 2 5 2" xfId="41775"/>
    <cellStyle name="SAPBEXexcGood2 2 6" xfId="22682"/>
    <cellStyle name="SAPBEXexcGood2 2 6 2" xfId="43557"/>
    <cellStyle name="SAPBEXexcGood2 2 7" xfId="21416"/>
    <cellStyle name="SAPBEXexcGood2 2 7 2" xfId="42291"/>
    <cellStyle name="SAPBEXexcGood2 2 8" xfId="12135"/>
    <cellStyle name="SAPBEXexcGood2 2 8 2" xfId="33035"/>
    <cellStyle name="SAPBEXexcGood2 2 9" xfId="24196"/>
    <cellStyle name="SAPBEXexcGood2 2 9 2" xfId="45064"/>
    <cellStyle name="SAPBEXexcGood2 3" xfId="2756"/>
    <cellStyle name="SAPBEXexcGood2 3 2" xfId="4374"/>
    <cellStyle name="SAPBEXexcGood2 3 2 2" xfId="6227"/>
    <cellStyle name="SAPBEXexcGood2 3 2 2 2" xfId="22532"/>
    <cellStyle name="SAPBEXexcGood2 3 2 2 2 2" xfId="43407"/>
    <cellStyle name="SAPBEXexcGood2 3 2 2 3" xfId="21191"/>
    <cellStyle name="SAPBEXexcGood2 3 2 2 3 2" xfId="42066"/>
    <cellStyle name="SAPBEXexcGood2 3 2 2 4" xfId="23233"/>
    <cellStyle name="SAPBEXexcGood2 3 2 2 4 2" xfId="44106"/>
    <cellStyle name="SAPBEXexcGood2 3 2 2 5" xfId="15236"/>
    <cellStyle name="SAPBEXexcGood2 3 2 2 5 2" xfId="36112"/>
    <cellStyle name="SAPBEXexcGood2 3 2 2 6" xfId="27374"/>
    <cellStyle name="SAPBEXexcGood2 3 2 3" xfId="21988"/>
    <cellStyle name="SAPBEXexcGood2 3 2 3 2" xfId="42863"/>
    <cellStyle name="SAPBEXexcGood2 3 2 4" xfId="21695"/>
    <cellStyle name="SAPBEXexcGood2 3 2 4 2" xfId="42570"/>
    <cellStyle name="SAPBEXexcGood2 3 2 5" xfId="23983"/>
    <cellStyle name="SAPBEXexcGood2 3 2 5 2" xfId="44855"/>
    <cellStyle name="SAPBEXexcGood2 3 2 6" xfId="13418"/>
    <cellStyle name="SAPBEXexcGood2 3 2 6 2" xfId="34294"/>
    <cellStyle name="SAPBEXexcGood2 3 2 7" xfId="25556"/>
    <cellStyle name="SAPBEXexcGood2 3 3" xfId="8346"/>
    <cellStyle name="SAPBEXexcGood2 3 3 2" xfId="23035"/>
    <cellStyle name="SAPBEXexcGood2 3 3 2 2" xfId="43908"/>
    <cellStyle name="SAPBEXexcGood2 3 3 3" xfId="23317"/>
    <cellStyle name="SAPBEXexcGood2 3 3 3 2" xfId="44189"/>
    <cellStyle name="SAPBEXexcGood2 3 3 4" xfId="22683"/>
    <cellStyle name="SAPBEXexcGood2 3 3 4 2" xfId="43558"/>
    <cellStyle name="SAPBEXexcGood2 3 3 5" xfId="17351"/>
    <cellStyle name="SAPBEXexcGood2 3 3 5 2" xfId="38227"/>
    <cellStyle name="SAPBEXexcGood2 3 3 6" xfId="29489"/>
    <cellStyle name="SAPBEXexcGood2 3 4" xfId="10230"/>
    <cellStyle name="SAPBEXexcGood2 3 4 2" xfId="23515"/>
    <cellStyle name="SAPBEXexcGood2 3 4 2 2" xfId="44387"/>
    <cellStyle name="SAPBEXexcGood2 3 4 3" xfId="22693"/>
    <cellStyle name="SAPBEXexcGood2 3 4 3 2" xfId="43568"/>
    <cellStyle name="SAPBEXexcGood2 3 4 4" xfId="21390"/>
    <cellStyle name="SAPBEXexcGood2 3 4 4 2" xfId="42265"/>
    <cellStyle name="SAPBEXexcGood2 3 4 5" xfId="19001"/>
    <cellStyle name="SAPBEXexcGood2 3 4 5 2" xfId="39877"/>
    <cellStyle name="SAPBEXexcGood2 3 4 6" xfId="31141"/>
    <cellStyle name="SAPBEXexcGood2 3 5" xfId="21503"/>
    <cellStyle name="SAPBEXexcGood2 3 5 2" xfId="42378"/>
    <cellStyle name="SAPBEXexcGood2 3 6" xfId="24033"/>
    <cellStyle name="SAPBEXexcGood2 3 6 2" xfId="44905"/>
    <cellStyle name="SAPBEXexcGood2 3 7" xfId="21713"/>
    <cellStyle name="SAPBEXexcGood2 3 7 2" xfId="42588"/>
    <cellStyle name="SAPBEXexcGood2 3 8" xfId="12268"/>
    <cellStyle name="SAPBEXexcGood2 3 8 2" xfId="33157"/>
    <cellStyle name="SAPBEXexcGood2 3 9" xfId="24385"/>
    <cellStyle name="SAPBEXexcGood2 4" xfId="2757"/>
    <cellStyle name="SAPBEXexcGood2 4 2" xfId="4375"/>
    <cellStyle name="SAPBEXexcGood2 4 2 2" xfId="6228"/>
    <cellStyle name="SAPBEXexcGood2 4 2 2 2" xfId="22533"/>
    <cellStyle name="SAPBEXexcGood2 4 2 2 2 2" xfId="43408"/>
    <cellStyle name="SAPBEXexcGood2 4 2 2 3" xfId="21026"/>
    <cellStyle name="SAPBEXexcGood2 4 2 2 3 2" xfId="41901"/>
    <cellStyle name="SAPBEXexcGood2 4 2 2 4" xfId="22298"/>
    <cellStyle name="SAPBEXexcGood2 4 2 2 4 2" xfId="43173"/>
    <cellStyle name="SAPBEXexcGood2 4 2 2 5" xfId="15237"/>
    <cellStyle name="SAPBEXexcGood2 4 2 2 5 2" xfId="36113"/>
    <cellStyle name="SAPBEXexcGood2 4 2 2 6" xfId="27375"/>
    <cellStyle name="SAPBEXexcGood2 4 2 3" xfId="21989"/>
    <cellStyle name="SAPBEXexcGood2 4 2 3 2" xfId="42864"/>
    <cellStyle name="SAPBEXexcGood2 4 2 4" xfId="23703"/>
    <cellStyle name="SAPBEXexcGood2 4 2 4 2" xfId="44575"/>
    <cellStyle name="SAPBEXexcGood2 4 2 5" xfId="21316"/>
    <cellStyle name="SAPBEXexcGood2 4 2 5 2" xfId="42191"/>
    <cellStyle name="SAPBEXexcGood2 4 2 6" xfId="13419"/>
    <cellStyle name="SAPBEXexcGood2 4 2 6 2" xfId="34295"/>
    <cellStyle name="SAPBEXexcGood2 4 2 7" xfId="25557"/>
    <cellStyle name="SAPBEXexcGood2 4 3" xfId="8347"/>
    <cellStyle name="SAPBEXexcGood2 4 3 2" xfId="23036"/>
    <cellStyle name="SAPBEXexcGood2 4 3 2 2" xfId="43909"/>
    <cellStyle name="SAPBEXexcGood2 4 3 3" xfId="20978"/>
    <cellStyle name="SAPBEXexcGood2 4 3 3 2" xfId="41853"/>
    <cellStyle name="SAPBEXexcGood2 4 3 4" xfId="24036"/>
    <cellStyle name="SAPBEXexcGood2 4 3 4 2" xfId="44908"/>
    <cellStyle name="SAPBEXexcGood2 4 3 5" xfId="17352"/>
    <cellStyle name="SAPBEXexcGood2 4 3 5 2" xfId="38228"/>
    <cellStyle name="SAPBEXexcGood2 4 3 6" xfId="29490"/>
    <cellStyle name="SAPBEXexcGood2 4 4" xfId="10231"/>
    <cellStyle name="SAPBEXexcGood2 4 4 2" xfId="23516"/>
    <cellStyle name="SAPBEXexcGood2 4 4 2 2" xfId="44388"/>
    <cellStyle name="SAPBEXexcGood2 4 4 3" xfId="22299"/>
    <cellStyle name="SAPBEXexcGood2 4 4 3 2" xfId="43174"/>
    <cellStyle name="SAPBEXexcGood2 4 4 4" xfId="21297"/>
    <cellStyle name="SAPBEXexcGood2 4 4 4 2" xfId="42172"/>
    <cellStyle name="SAPBEXexcGood2 4 4 5" xfId="19002"/>
    <cellStyle name="SAPBEXexcGood2 4 4 5 2" xfId="39878"/>
    <cellStyle name="SAPBEXexcGood2 4 4 6" xfId="31142"/>
    <cellStyle name="SAPBEXexcGood2 4 5" xfId="21504"/>
    <cellStyle name="SAPBEXexcGood2 4 5 2" xfId="42379"/>
    <cellStyle name="SAPBEXexcGood2 4 6" xfId="22897"/>
    <cellStyle name="SAPBEXexcGood2 4 6 2" xfId="43771"/>
    <cellStyle name="SAPBEXexcGood2 4 7" xfId="20961"/>
    <cellStyle name="SAPBEXexcGood2 4 7 2" xfId="41836"/>
    <cellStyle name="SAPBEXexcGood2 4 8" xfId="12269"/>
    <cellStyle name="SAPBEXexcGood2 4 8 2" xfId="33158"/>
    <cellStyle name="SAPBEXexcGood2 4 9" xfId="24386"/>
    <cellStyle name="SAPBEXexcGood2 5" xfId="2758"/>
    <cellStyle name="SAPBEXexcGood2 5 2" xfId="4376"/>
    <cellStyle name="SAPBEXexcGood2 5 2 2" xfId="6229"/>
    <cellStyle name="SAPBEXexcGood2 5 2 2 2" xfId="22534"/>
    <cellStyle name="SAPBEXexcGood2 5 2 2 2 2" xfId="43409"/>
    <cellStyle name="SAPBEXexcGood2 5 2 2 3" xfId="21092"/>
    <cellStyle name="SAPBEXexcGood2 5 2 2 3 2" xfId="41967"/>
    <cellStyle name="SAPBEXexcGood2 5 2 2 4" xfId="21441"/>
    <cellStyle name="SAPBEXexcGood2 5 2 2 4 2" xfId="42316"/>
    <cellStyle name="SAPBEXexcGood2 5 2 2 5" xfId="15238"/>
    <cellStyle name="SAPBEXexcGood2 5 2 2 5 2" xfId="36114"/>
    <cellStyle name="SAPBEXexcGood2 5 2 2 6" xfId="27376"/>
    <cellStyle name="SAPBEXexcGood2 5 2 3" xfId="21990"/>
    <cellStyle name="SAPBEXexcGood2 5 2 3 2" xfId="42865"/>
    <cellStyle name="SAPBEXexcGood2 5 2 4" xfId="23432"/>
    <cellStyle name="SAPBEXexcGood2 5 2 4 2" xfId="44304"/>
    <cellStyle name="SAPBEXexcGood2 5 2 5" xfId="22641"/>
    <cellStyle name="SAPBEXexcGood2 5 2 5 2" xfId="43516"/>
    <cellStyle name="SAPBEXexcGood2 5 2 6" xfId="13420"/>
    <cellStyle name="SAPBEXexcGood2 5 2 6 2" xfId="34296"/>
    <cellStyle name="SAPBEXexcGood2 5 2 7" xfId="25558"/>
    <cellStyle name="SAPBEXexcGood2 5 3" xfId="8348"/>
    <cellStyle name="SAPBEXexcGood2 5 3 2" xfId="23037"/>
    <cellStyle name="SAPBEXexcGood2 5 3 2 2" xfId="43910"/>
    <cellStyle name="SAPBEXexcGood2 5 3 3" xfId="21766"/>
    <cellStyle name="SAPBEXexcGood2 5 3 3 2" xfId="42641"/>
    <cellStyle name="SAPBEXexcGood2 5 3 4" xfId="21741"/>
    <cellStyle name="SAPBEXexcGood2 5 3 4 2" xfId="42616"/>
    <cellStyle name="SAPBEXexcGood2 5 3 5" xfId="17353"/>
    <cellStyle name="SAPBEXexcGood2 5 3 5 2" xfId="38229"/>
    <cellStyle name="SAPBEXexcGood2 5 3 6" xfId="29491"/>
    <cellStyle name="SAPBEXexcGood2 5 4" xfId="10232"/>
    <cellStyle name="SAPBEXexcGood2 5 4 2" xfId="23517"/>
    <cellStyle name="SAPBEXexcGood2 5 4 2 2" xfId="44389"/>
    <cellStyle name="SAPBEXexcGood2 5 4 3" xfId="22788"/>
    <cellStyle name="SAPBEXexcGood2 5 4 3 2" xfId="43663"/>
    <cellStyle name="SAPBEXexcGood2 5 4 4" xfId="21991"/>
    <cellStyle name="SAPBEXexcGood2 5 4 4 2" xfId="42866"/>
    <cellStyle name="SAPBEXexcGood2 5 4 5" xfId="19003"/>
    <cellStyle name="SAPBEXexcGood2 5 4 5 2" xfId="39879"/>
    <cellStyle name="SAPBEXexcGood2 5 4 6" xfId="31143"/>
    <cellStyle name="SAPBEXexcGood2 5 5" xfId="21505"/>
    <cellStyle name="SAPBEXexcGood2 5 5 2" xfId="42380"/>
    <cellStyle name="SAPBEXexcGood2 5 6" xfId="23996"/>
    <cellStyle name="SAPBEXexcGood2 5 6 2" xfId="44868"/>
    <cellStyle name="SAPBEXexcGood2 5 7" xfId="23767"/>
    <cellStyle name="SAPBEXexcGood2 5 7 2" xfId="44639"/>
    <cellStyle name="SAPBEXexcGood2 5 8" xfId="12270"/>
    <cellStyle name="SAPBEXexcGood2 5 8 2" xfId="33159"/>
    <cellStyle name="SAPBEXexcGood2 5 9" xfId="24387"/>
    <cellStyle name="SAPBEXexcGood2 6" xfId="3819"/>
    <cellStyle name="SAPBEXexcGood2 6 2" xfId="6048"/>
    <cellStyle name="SAPBEXexcGood2 6 2 2" xfId="22407"/>
    <cellStyle name="SAPBEXexcGood2 6 2 2 2" xfId="43282"/>
    <cellStyle name="SAPBEXexcGood2 6 2 3" xfId="21164"/>
    <cellStyle name="SAPBEXexcGood2 6 2 3 2" xfId="42039"/>
    <cellStyle name="SAPBEXexcGood2 6 2 4" xfId="22261"/>
    <cellStyle name="SAPBEXexcGood2 6 2 4 2" xfId="43136"/>
    <cellStyle name="SAPBEXexcGood2 6 2 5" xfId="15057"/>
    <cellStyle name="SAPBEXexcGood2 6 2 5 2" xfId="35933"/>
    <cellStyle name="SAPBEXexcGood2 6 2 6" xfId="27195"/>
    <cellStyle name="SAPBEXexcGood2 6 3" xfId="21793"/>
    <cellStyle name="SAPBEXexcGood2 6 3 2" xfId="42668"/>
    <cellStyle name="SAPBEXexcGood2 6 4" xfId="23421"/>
    <cellStyle name="SAPBEXexcGood2 6 4 2" xfId="44293"/>
    <cellStyle name="SAPBEXexcGood2 6 5" xfId="21258"/>
    <cellStyle name="SAPBEXexcGood2 6 5 2" xfId="42133"/>
    <cellStyle name="SAPBEXexcGood2 6 6" xfId="13239"/>
    <cellStyle name="SAPBEXexcGood2 6 6 2" xfId="34115"/>
    <cellStyle name="SAPBEXexcGood2 6 7" xfId="25377"/>
    <cellStyle name="SAPBEXexcGood2 7" xfId="8344"/>
    <cellStyle name="SAPBEXexcGood2 7 2" xfId="23033"/>
    <cellStyle name="SAPBEXexcGood2 7 2 2" xfId="43906"/>
    <cellStyle name="SAPBEXexcGood2 7 3" xfId="23177"/>
    <cellStyle name="SAPBEXexcGood2 7 3 2" xfId="44050"/>
    <cellStyle name="SAPBEXexcGood2 7 4" xfId="21202"/>
    <cellStyle name="SAPBEXexcGood2 7 4 2" xfId="42077"/>
    <cellStyle name="SAPBEXexcGood2 7 5" xfId="17349"/>
    <cellStyle name="SAPBEXexcGood2 7 5 2" xfId="38225"/>
    <cellStyle name="SAPBEXexcGood2 7 6" xfId="29487"/>
    <cellStyle name="SAPBEXexcGood2 8" xfId="10228"/>
    <cellStyle name="SAPBEXexcGood2 8 2" xfId="23513"/>
    <cellStyle name="SAPBEXexcGood2 8 2 2" xfId="44385"/>
    <cellStyle name="SAPBEXexcGood2 8 3" xfId="22387"/>
    <cellStyle name="SAPBEXexcGood2 8 3 2" xfId="43262"/>
    <cellStyle name="SAPBEXexcGood2 8 4" xfId="23737"/>
    <cellStyle name="SAPBEXexcGood2 8 4 2" xfId="44609"/>
    <cellStyle name="SAPBEXexcGood2 8 5" xfId="18999"/>
    <cellStyle name="SAPBEXexcGood2 8 5 2" xfId="39875"/>
    <cellStyle name="SAPBEXexcGood2 8 6" xfId="31139"/>
    <cellStyle name="SAPBEXexcGood2 9" xfId="20899"/>
    <cellStyle name="SAPBEXexcGood2 9 2" xfId="41774"/>
    <cellStyle name="SAPBEXexcGood3" xfId="1154"/>
    <cellStyle name="SAPBEXexcGood3 10" xfId="24006"/>
    <cellStyle name="SAPBEXexcGood3 10 2" xfId="44878"/>
    <cellStyle name="SAPBEXexcGood3 11" xfId="23807"/>
    <cellStyle name="SAPBEXexcGood3 11 2" xfId="44679"/>
    <cellStyle name="SAPBEXexcGood3 12" xfId="12136"/>
    <cellStyle name="SAPBEXexcGood3 12 2" xfId="33036"/>
    <cellStyle name="SAPBEXexcGood3 13" xfId="24156"/>
    <cellStyle name="SAPBEXexcGood3 13 2" xfId="45026"/>
    <cellStyle name="SAPBEXexcGood3 14" xfId="24261"/>
    <cellStyle name="SAPBEXexcGood3 14 2" xfId="45122"/>
    <cellStyle name="SAPBEXexcGood3 2" xfId="2759"/>
    <cellStyle name="SAPBEXexcGood3 2 10" xfId="24388"/>
    <cellStyle name="SAPBEXexcGood3 2 2" xfId="4378"/>
    <cellStyle name="SAPBEXexcGood3 2 2 2" xfId="6230"/>
    <cellStyle name="SAPBEXexcGood3 2 2 2 2" xfId="22535"/>
    <cellStyle name="SAPBEXexcGood3 2 2 2 2 2" xfId="43410"/>
    <cellStyle name="SAPBEXexcGood3 2 2 2 3" xfId="21121"/>
    <cellStyle name="SAPBEXexcGood3 2 2 2 3 2" xfId="41996"/>
    <cellStyle name="SAPBEXexcGood3 2 2 2 4" xfId="22391"/>
    <cellStyle name="SAPBEXexcGood3 2 2 2 4 2" xfId="43266"/>
    <cellStyle name="SAPBEXexcGood3 2 2 2 5" xfId="15239"/>
    <cellStyle name="SAPBEXexcGood3 2 2 2 5 2" xfId="36115"/>
    <cellStyle name="SAPBEXexcGood3 2 2 2 6" xfId="27377"/>
    <cellStyle name="SAPBEXexcGood3 2 2 3" xfId="21992"/>
    <cellStyle name="SAPBEXexcGood3 2 2 3 2" xfId="42867"/>
    <cellStyle name="SAPBEXexcGood3 2 2 4" xfId="21184"/>
    <cellStyle name="SAPBEXexcGood3 2 2 4 2" xfId="42059"/>
    <cellStyle name="SAPBEXexcGood3 2 2 5" xfId="22260"/>
    <cellStyle name="SAPBEXexcGood3 2 2 5 2" xfId="43135"/>
    <cellStyle name="SAPBEXexcGood3 2 2 6" xfId="13421"/>
    <cellStyle name="SAPBEXexcGood3 2 2 6 2" xfId="34297"/>
    <cellStyle name="SAPBEXexcGood3 2 2 7" xfId="25559"/>
    <cellStyle name="SAPBEXexcGood3 2 3" xfId="8350"/>
    <cellStyle name="SAPBEXexcGood3 2 3 2" xfId="23039"/>
    <cellStyle name="SAPBEXexcGood3 2 3 2 2" xfId="43912"/>
    <cellStyle name="SAPBEXexcGood3 2 3 3" xfId="22925"/>
    <cellStyle name="SAPBEXexcGood3 2 3 3 2" xfId="43799"/>
    <cellStyle name="SAPBEXexcGood3 2 3 4" xfId="21612"/>
    <cellStyle name="SAPBEXexcGood3 2 3 4 2" xfId="42487"/>
    <cellStyle name="SAPBEXexcGood3 2 3 5" xfId="17355"/>
    <cellStyle name="SAPBEXexcGood3 2 3 5 2" xfId="38231"/>
    <cellStyle name="SAPBEXexcGood3 2 3 6" xfId="29493"/>
    <cellStyle name="SAPBEXexcGood3 2 4" xfId="10234"/>
    <cellStyle name="SAPBEXexcGood3 2 4 2" xfId="23519"/>
    <cellStyle name="SAPBEXexcGood3 2 4 2 2" xfId="44391"/>
    <cellStyle name="SAPBEXexcGood3 2 4 3" xfId="23231"/>
    <cellStyle name="SAPBEXexcGood3 2 4 3 2" xfId="44104"/>
    <cellStyle name="SAPBEXexcGood3 2 4 4" xfId="21828"/>
    <cellStyle name="SAPBEXexcGood3 2 4 4 2" xfId="42703"/>
    <cellStyle name="SAPBEXexcGood3 2 4 5" xfId="19005"/>
    <cellStyle name="SAPBEXexcGood3 2 4 5 2" xfId="39881"/>
    <cellStyle name="SAPBEXexcGood3 2 4 6" xfId="31145"/>
    <cellStyle name="SAPBEXexcGood3 2 5" xfId="20902"/>
    <cellStyle name="SAPBEXexcGood3 2 5 2" xfId="41777"/>
    <cellStyle name="SAPBEXexcGood3 2 6" xfId="21205"/>
    <cellStyle name="SAPBEXexcGood3 2 6 2" xfId="42080"/>
    <cellStyle name="SAPBEXexcGood3 2 7" xfId="23659"/>
    <cellStyle name="SAPBEXexcGood3 2 7 2" xfId="44531"/>
    <cellStyle name="SAPBEXexcGood3 2 8" xfId="12137"/>
    <cellStyle name="SAPBEXexcGood3 2 8 2" xfId="33037"/>
    <cellStyle name="SAPBEXexcGood3 2 9" xfId="24197"/>
    <cellStyle name="SAPBEXexcGood3 2 9 2" xfId="45065"/>
    <cellStyle name="SAPBEXexcGood3 3" xfId="2760"/>
    <cellStyle name="SAPBEXexcGood3 3 2" xfId="4379"/>
    <cellStyle name="SAPBEXexcGood3 3 2 2" xfId="6231"/>
    <cellStyle name="SAPBEXexcGood3 3 2 2 2" xfId="22536"/>
    <cellStyle name="SAPBEXexcGood3 3 2 2 2 2" xfId="43411"/>
    <cellStyle name="SAPBEXexcGood3 3 2 2 3" xfId="22762"/>
    <cellStyle name="SAPBEXexcGood3 3 2 2 3 2" xfId="43637"/>
    <cellStyle name="SAPBEXexcGood3 3 2 2 4" xfId="21659"/>
    <cellStyle name="SAPBEXexcGood3 3 2 2 4 2" xfId="42534"/>
    <cellStyle name="SAPBEXexcGood3 3 2 2 5" xfId="15240"/>
    <cellStyle name="SAPBEXexcGood3 3 2 2 5 2" xfId="36116"/>
    <cellStyle name="SAPBEXexcGood3 3 2 2 6" xfId="27378"/>
    <cellStyle name="SAPBEXexcGood3 3 2 3" xfId="21993"/>
    <cellStyle name="SAPBEXexcGood3 3 2 3 2" xfId="42868"/>
    <cellStyle name="SAPBEXexcGood3 3 2 4" xfId="21310"/>
    <cellStyle name="SAPBEXexcGood3 3 2 4 2" xfId="42185"/>
    <cellStyle name="SAPBEXexcGood3 3 2 5" xfId="22205"/>
    <cellStyle name="SAPBEXexcGood3 3 2 5 2" xfId="43080"/>
    <cellStyle name="SAPBEXexcGood3 3 2 6" xfId="13422"/>
    <cellStyle name="SAPBEXexcGood3 3 2 6 2" xfId="34298"/>
    <cellStyle name="SAPBEXexcGood3 3 2 7" xfId="25560"/>
    <cellStyle name="SAPBEXexcGood3 3 3" xfId="8351"/>
    <cellStyle name="SAPBEXexcGood3 3 3 2" xfId="23040"/>
    <cellStyle name="SAPBEXexcGood3 3 3 2 2" xfId="43913"/>
    <cellStyle name="SAPBEXexcGood3 3 3 3" xfId="21229"/>
    <cellStyle name="SAPBEXexcGood3 3 3 3 2" xfId="42104"/>
    <cellStyle name="SAPBEXexcGood3 3 3 4" xfId="22800"/>
    <cellStyle name="SAPBEXexcGood3 3 3 4 2" xfId="43675"/>
    <cellStyle name="SAPBEXexcGood3 3 3 5" xfId="17356"/>
    <cellStyle name="SAPBEXexcGood3 3 3 5 2" xfId="38232"/>
    <cellStyle name="SAPBEXexcGood3 3 3 6" xfId="29494"/>
    <cellStyle name="SAPBEXexcGood3 3 4" xfId="10235"/>
    <cellStyle name="SAPBEXexcGood3 3 4 2" xfId="23520"/>
    <cellStyle name="SAPBEXexcGood3 3 4 2 2" xfId="44392"/>
    <cellStyle name="SAPBEXexcGood3 3 4 3" xfId="23362"/>
    <cellStyle name="SAPBEXexcGood3 3 4 3 2" xfId="44234"/>
    <cellStyle name="SAPBEXexcGood3 3 4 4" xfId="22765"/>
    <cellStyle name="SAPBEXexcGood3 3 4 4 2" xfId="43640"/>
    <cellStyle name="SAPBEXexcGood3 3 4 5" xfId="19006"/>
    <cellStyle name="SAPBEXexcGood3 3 4 5 2" xfId="39882"/>
    <cellStyle name="SAPBEXexcGood3 3 4 6" xfId="31146"/>
    <cellStyle name="SAPBEXexcGood3 3 5" xfId="21506"/>
    <cellStyle name="SAPBEXexcGood3 3 5 2" xfId="42381"/>
    <cellStyle name="SAPBEXexcGood3 3 6" xfId="23384"/>
    <cellStyle name="SAPBEXexcGood3 3 6 2" xfId="44256"/>
    <cellStyle name="SAPBEXexcGood3 3 7" xfId="22852"/>
    <cellStyle name="SAPBEXexcGood3 3 7 2" xfId="43727"/>
    <cellStyle name="SAPBEXexcGood3 3 8" xfId="12271"/>
    <cellStyle name="SAPBEXexcGood3 3 8 2" xfId="33160"/>
    <cellStyle name="SAPBEXexcGood3 3 9" xfId="24389"/>
    <cellStyle name="SAPBEXexcGood3 4" xfId="2761"/>
    <cellStyle name="SAPBEXexcGood3 4 2" xfId="4380"/>
    <cellStyle name="SAPBEXexcGood3 4 2 2" xfId="6232"/>
    <cellStyle name="SAPBEXexcGood3 4 2 2 2" xfId="22537"/>
    <cellStyle name="SAPBEXexcGood3 4 2 2 2 2" xfId="43412"/>
    <cellStyle name="SAPBEXexcGood3 4 2 2 3" xfId="21847"/>
    <cellStyle name="SAPBEXexcGood3 4 2 2 3 2" xfId="42722"/>
    <cellStyle name="SAPBEXexcGood3 4 2 2 4" xfId="21898"/>
    <cellStyle name="SAPBEXexcGood3 4 2 2 4 2" xfId="42773"/>
    <cellStyle name="SAPBEXexcGood3 4 2 2 5" xfId="15241"/>
    <cellStyle name="SAPBEXexcGood3 4 2 2 5 2" xfId="36117"/>
    <cellStyle name="SAPBEXexcGood3 4 2 2 6" xfId="27379"/>
    <cellStyle name="SAPBEXexcGood3 4 2 3" xfId="21994"/>
    <cellStyle name="SAPBEXexcGood3 4 2 3 2" xfId="42869"/>
    <cellStyle name="SAPBEXexcGood3 4 2 4" xfId="21397"/>
    <cellStyle name="SAPBEXexcGood3 4 2 4 2" xfId="42272"/>
    <cellStyle name="SAPBEXexcGood3 4 2 5" xfId="22881"/>
    <cellStyle name="SAPBEXexcGood3 4 2 5 2" xfId="43755"/>
    <cellStyle name="SAPBEXexcGood3 4 2 6" xfId="13423"/>
    <cellStyle name="SAPBEXexcGood3 4 2 6 2" xfId="34299"/>
    <cellStyle name="SAPBEXexcGood3 4 2 7" xfId="25561"/>
    <cellStyle name="SAPBEXexcGood3 4 3" xfId="8352"/>
    <cellStyle name="SAPBEXexcGood3 4 3 2" xfId="23041"/>
    <cellStyle name="SAPBEXexcGood3 4 3 2 2" xfId="43914"/>
    <cellStyle name="SAPBEXexcGood3 4 3 3" xfId="22226"/>
    <cellStyle name="SAPBEXexcGood3 4 3 3 2" xfId="43101"/>
    <cellStyle name="SAPBEXexcGood3 4 3 4" xfId="22329"/>
    <cellStyle name="SAPBEXexcGood3 4 3 4 2" xfId="43204"/>
    <cellStyle name="SAPBEXexcGood3 4 3 5" xfId="17357"/>
    <cellStyle name="SAPBEXexcGood3 4 3 5 2" xfId="38233"/>
    <cellStyle name="SAPBEXexcGood3 4 3 6" xfId="29495"/>
    <cellStyle name="SAPBEXexcGood3 4 4" xfId="10236"/>
    <cellStyle name="SAPBEXexcGood3 4 4 2" xfId="23521"/>
    <cellStyle name="SAPBEXexcGood3 4 4 2 2" xfId="44393"/>
    <cellStyle name="SAPBEXexcGood3 4 4 3" xfId="23443"/>
    <cellStyle name="SAPBEXexcGood3 4 4 3 2" xfId="44315"/>
    <cellStyle name="SAPBEXexcGood3 4 4 4" xfId="23643"/>
    <cellStyle name="SAPBEXexcGood3 4 4 4 2" xfId="44515"/>
    <cellStyle name="SAPBEXexcGood3 4 4 5" xfId="19007"/>
    <cellStyle name="SAPBEXexcGood3 4 4 5 2" xfId="39883"/>
    <cellStyle name="SAPBEXexcGood3 4 4 6" xfId="31147"/>
    <cellStyle name="SAPBEXexcGood3 4 5" xfId="21507"/>
    <cellStyle name="SAPBEXexcGood3 4 5 2" xfId="42382"/>
    <cellStyle name="SAPBEXexcGood3 4 6" xfId="23995"/>
    <cellStyle name="SAPBEXexcGood3 4 6 2" xfId="44867"/>
    <cellStyle name="SAPBEXexcGood3 4 7" xfId="22667"/>
    <cellStyle name="SAPBEXexcGood3 4 7 2" xfId="43542"/>
    <cellStyle name="SAPBEXexcGood3 4 8" xfId="12272"/>
    <cellStyle name="SAPBEXexcGood3 4 8 2" xfId="33161"/>
    <cellStyle name="SAPBEXexcGood3 4 9" xfId="24390"/>
    <cellStyle name="SAPBEXexcGood3 5" xfId="2762"/>
    <cellStyle name="SAPBEXexcGood3 5 2" xfId="4381"/>
    <cellStyle name="SAPBEXexcGood3 5 2 2" xfId="6233"/>
    <cellStyle name="SAPBEXexcGood3 5 2 2 2" xfId="22538"/>
    <cellStyle name="SAPBEXexcGood3 5 2 2 2 2" xfId="43413"/>
    <cellStyle name="SAPBEXexcGood3 5 2 2 3" xfId="22139"/>
    <cellStyle name="SAPBEXexcGood3 5 2 2 3 2" xfId="43014"/>
    <cellStyle name="SAPBEXexcGood3 5 2 2 4" xfId="21638"/>
    <cellStyle name="SAPBEXexcGood3 5 2 2 4 2" xfId="42513"/>
    <cellStyle name="SAPBEXexcGood3 5 2 2 5" xfId="15242"/>
    <cellStyle name="SAPBEXexcGood3 5 2 2 5 2" xfId="36118"/>
    <cellStyle name="SAPBEXexcGood3 5 2 2 6" xfId="27380"/>
    <cellStyle name="SAPBEXexcGood3 5 2 3" xfId="21995"/>
    <cellStyle name="SAPBEXexcGood3 5 2 3 2" xfId="42870"/>
    <cellStyle name="SAPBEXexcGood3 5 2 4" xfId="21858"/>
    <cellStyle name="SAPBEXexcGood3 5 2 4 2" xfId="42733"/>
    <cellStyle name="SAPBEXexcGood3 5 2 5" xfId="22811"/>
    <cellStyle name="SAPBEXexcGood3 5 2 5 2" xfId="43686"/>
    <cellStyle name="SAPBEXexcGood3 5 2 6" xfId="13424"/>
    <cellStyle name="SAPBEXexcGood3 5 2 6 2" xfId="34300"/>
    <cellStyle name="SAPBEXexcGood3 5 2 7" xfId="25562"/>
    <cellStyle name="SAPBEXexcGood3 5 3" xfId="8353"/>
    <cellStyle name="SAPBEXexcGood3 5 3 2" xfId="23042"/>
    <cellStyle name="SAPBEXexcGood3 5 3 2 2" xfId="43915"/>
    <cellStyle name="SAPBEXexcGood3 5 3 3" xfId="22879"/>
    <cellStyle name="SAPBEXexcGood3 5 3 3 2" xfId="43753"/>
    <cellStyle name="SAPBEXexcGood3 5 3 4" xfId="23238"/>
    <cellStyle name="SAPBEXexcGood3 5 3 4 2" xfId="44111"/>
    <cellStyle name="SAPBEXexcGood3 5 3 5" xfId="17358"/>
    <cellStyle name="SAPBEXexcGood3 5 3 5 2" xfId="38234"/>
    <cellStyle name="SAPBEXexcGood3 5 3 6" xfId="29496"/>
    <cellStyle name="SAPBEXexcGood3 5 4" xfId="10237"/>
    <cellStyle name="SAPBEXexcGood3 5 4 2" xfId="23522"/>
    <cellStyle name="SAPBEXexcGood3 5 4 2 2" xfId="44394"/>
    <cellStyle name="SAPBEXexcGood3 5 4 3" xfId="23319"/>
    <cellStyle name="SAPBEXexcGood3 5 4 3 2" xfId="44191"/>
    <cellStyle name="SAPBEXexcGood3 5 4 4" xfId="22698"/>
    <cellStyle name="SAPBEXexcGood3 5 4 4 2" xfId="43573"/>
    <cellStyle name="SAPBEXexcGood3 5 4 5" xfId="19008"/>
    <cellStyle name="SAPBEXexcGood3 5 4 5 2" xfId="39884"/>
    <cellStyle name="SAPBEXexcGood3 5 4 6" xfId="31148"/>
    <cellStyle name="SAPBEXexcGood3 5 5" xfId="21508"/>
    <cellStyle name="SAPBEXexcGood3 5 5 2" xfId="42383"/>
    <cellStyle name="SAPBEXexcGood3 5 6" xfId="21206"/>
    <cellStyle name="SAPBEXexcGood3 5 6 2" xfId="42081"/>
    <cellStyle name="SAPBEXexcGood3 5 7" xfId="21630"/>
    <cellStyle name="SAPBEXexcGood3 5 7 2" xfId="42505"/>
    <cellStyle name="SAPBEXexcGood3 5 8" xfId="12273"/>
    <cellStyle name="SAPBEXexcGood3 5 8 2" xfId="33162"/>
    <cellStyle name="SAPBEXexcGood3 5 9" xfId="24391"/>
    <cellStyle name="SAPBEXexcGood3 6" xfId="3820"/>
    <cellStyle name="SAPBEXexcGood3 6 2" xfId="6049"/>
    <cellStyle name="SAPBEXexcGood3 6 2 2" xfId="22408"/>
    <cellStyle name="SAPBEXexcGood3 6 2 2 2" xfId="43283"/>
    <cellStyle name="SAPBEXexcGood3 6 2 3" xfId="21281"/>
    <cellStyle name="SAPBEXexcGood3 6 2 3 2" xfId="42156"/>
    <cellStyle name="SAPBEXexcGood3 6 2 4" xfId="22294"/>
    <cellStyle name="SAPBEXexcGood3 6 2 4 2" xfId="43169"/>
    <cellStyle name="SAPBEXexcGood3 6 2 5" xfId="15058"/>
    <cellStyle name="SAPBEXexcGood3 6 2 5 2" xfId="35934"/>
    <cellStyle name="SAPBEXexcGood3 6 2 6" xfId="27196"/>
    <cellStyle name="SAPBEXexcGood3 6 3" xfId="21794"/>
    <cellStyle name="SAPBEXexcGood3 6 3 2" xfId="42669"/>
    <cellStyle name="SAPBEXexcGood3 6 4" xfId="24108"/>
    <cellStyle name="SAPBEXexcGood3 6 4 2" xfId="44979"/>
    <cellStyle name="SAPBEXexcGood3 6 5" xfId="22124"/>
    <cellStyle name="SAPBEXexcGood3 6 5 2" xfId="42999"/>
    <cellStyle name="SAPBEXexcGood3 6 6" xfId="13240"/>
    <cellStyle name="SAPBEXexcGood3 6 6 2" xfId="34116"/>
    <cellStyle name="SAPBEXexcGood3 6 7" xfId="25378"/>
    <cellStyle name="SAPBEXexcGood3 7" xfId="8349"/>
    <cellStyle name="SAPBEXexcGood3 7 2" xfId="23038"/>
    <cellStyle name="SAPBEXexcGood3 7 2 2" xfId="43911"/>
    <cellStyle name="SAPBEXexcGood3 7 3" xfId="23672"/>
    <cellStyle name="SAPBEXexcGood3 7 3 2" xfId="44544"/>
    <cellStyle name="SAPBEXexcGood3 7 4" xfId="23707"/>
    <cellStyle name="SAPBEXexcGood3 7 4 2" xfId="44579"/>
    <cellStyle name="SAPBEXexcGood3 7 5" xfId="17354"/>
    <cellStyle name="SAPBEXexcGood3 7 5 2" xfId="38230"/>
    <cellStyle name="SAPBEXexcGood3 7 6" xfId="29492"/>
    <cellStyle name="SAPBEXexcGood3 8" xfId="10233"/>
    <cellStyle name="SAPBEXexcGood3 8 2" xfId="23518"/>
    <cellStyle name="SAPBEXexcGood3 8 2 2" xfId="44390"/>
    <cellStyle name="SAPBEXexcGood3 8 3" xfId="22905"/>
    <cellStyle name="SAPBEXexcGood3 8 3 2" xfId="43779"/>
    <cellStyle name="SAPBEXexcGood3 8 4" xfId="22714"/>
    <cellStyle name="SAPBEXexcGood3 8 4 2" xfId="43589"/>
    <cellStyle name="SAPBEXexcGood3 8 5" xfId="19004"/>
    <cellStyle name="SAPBEXexcGood3 8 5 2" xfId="39880"/>
    <cellStyle name="SAPBEXexcGood3 8 6" xfId="31144"/>
    <cellStyle name="SAPBEXexcGood3 9" xfId="20901"/>
    <cellStyle name="SAPBEXexcGood3 9 2" xfId="41776"/>
    <cellStyle name="SAPBEXfilterDrill" xfId="1155"/>
    <cellStyle name="SAPBEXfilterDrill 10" xfId="20958"/>
    <cellStyle name="SAPBEXfilterDrill 10 2" xfId="41833"/>
    <cellStyle name="SAPBEXfilterDrill 11" xfId="21718"/>
    <cellStyle name="SAPBEXfilterDrill 11 2" xfId="42593"/>
    <cellStyle name="SAPBEXfilterDrill 12" xfId="12138"/>
    <cellStyle name="SAPBEXfilterDrill 12 2" xfId="33038"/>
    <cellStyle name="SAPBEXfilterDrill 13" xfId="24155"/>
    <cellStyle name="SAPBEXfilterDrill 13 2" xfId="45025"/>
    <cellStyle name="SAPBEXfilterDrill 14" xfId="24262"/>
    <cellStyle name="SAPBEXfilterDrill 14 2" xfId="45123"/>
    <cellStyle name="SAPBEXfilterDrill 2" xfId="2763"/>
    <cellStyle name="SAPBEXfilterDrill 2 10" xfId="24392"/>
    <cellStyle name="SAPBEXfilterDrill 2 2" xfId="4383"/>
    <cellStyle name="SAPBEXfilterDrill 2 2 2" xfId="6234"/>
    <cellStyle name="SAPBEXfilterDrill 2 2 2 2" xfId="22539"/>
    <cellStyle name="SAPBEXfilterDrill 2 2 2 2 2" xfId="43414"/>
    <cellStyle name="SAPBEXfilterDrill 2 2 2 3" xfId="23712"/>
    <cellStyle name="SAPBEXfilterDrill 2 2 2 3 2" xfId="44584"/>
    <cellStyle name="SAPBEXfilterDrill 2 2 2 4" xfId="21314"/>
    <cellStyle name="SAPBEXfilterDrill 2 2 2 4 2" xfId="42189"/>
    <cellStyle name="SAPBEXfilterDrill 2 2 2 5" xfId="15243"/>
    <cellStyle name="SAPBEXfilterDrill 2 2 2 5 2" xfId="36119"/>
    <cellStyle name="SAPBEXfilterDrill 2 2 2 6" xfId="27381"/>
    <cellStyle name="SAPBEXfilterDrill 2 2 3" xfId="21997"/>
    <cellStyle name="SAPBEXfilterDrill 2 2 3 2" xfId="42872"/>
    <cellStyle name="SAPBEXfilterDrill 2 2 4" xfId="23824"/>
    <cellStyle name="SAPBEXfilterDrill 2 2 4 2" xfId="44696"/>
    <cellStyle name="SAPBEXfilterDrill 2 2 5" xfId="21260"/>
    <cellStyle name="SAPBEXfilterDrill 2 2 5 2" xfId="42135"/>
    <cellStyle name="SAPBEXfilterDrill 2 2 6" xfId="13425"/>
    <cellStyle name="SAPBEXfilterDrill 2 2 6 2" xfId="34301"/>
    <cellStyle name="SAPBEXfilterDrill 2 2 7" xfId="25563"/>
    <cellStyle name="SAPBEXfilterDrill 2 3" xfId="8355"/>
    <cellStyle name="SAPBEXfilterDrill 2 3 2" xfId="23044"/>
    <cellStyle name="SAPBEXfilterDrill 2 3 2 2" xfId="43917"/>
    <cellStyle name="SAPBEXfilterDrill 2 3 3" xfId="21625"/>
    <cellStyle name="SAPBEXfilterDrill 2 3 3 2" xfId="42500"/>
    <cellStyle name="SAPBEXfilterDrill 2 3 4" xfId="21391"/>
    <cellStyle name="SAPBEXfilterDrill 2 3 4 2" xfId="42266"/>
    <cellStyle name="SAPBEXfilterDrill 2 3 5" xfId="17360"/>
    <cellStyle name="SAPBEXfilterDrill 2 3 5 2" xfId="38236"/>
    <cellStyle name="SAPBEXfilterDrill 2 3 6" xfId="29498"/>
    <cellStyle name="SAPBEXfilterDrill 2 4" xfId="10239"/>
    <cellStyle name="SAPBEXfilterDrill 2 4 2" xfId="23524"/>
    <cellStyle name="SAPBEXfilterDrill 2 4 2 2" xfId="44396"/>
    <cellStyle name="SAPBEXfilterDrill 2 4 3" xfId="22214"/>
    <cellStyle name="SAPBEXfilterDrill 2 4 3 2" xfId="43089"/>
    <cellStyle name="SAPBEXfilterDrill 2 4 4" xfId="21539"/>
    <cellStyle name="SAPBEXfilterDrill 2 4 4 2" xfId="42414"/>
    <cellStyle name="SAPBEXfilterDrill 2 4 5" xfId="19010"/>
    <cellStyle name="SAPBEXfilterDrill 2 4 5 2" xfId="39886"/>
    <cellStyle name="SAPBEXfilterDrill 2 4 6" xfId="31150"/>
    <cellStyle name="SAPBEXfilterDrill 2 5" xfId="20904"/>
    <cellStyle name="SAPBEXfilterDrill 2 5 2" xfId="41779"/>
    <cellStyle name="SAPBEXfilterDrill 2 6" xfId="21328"/>
    <cellStyle name="SAPBEXfilterDrill 2 6 2" xfId="42203"/>
    <cellStyle name="SAPBEXfilterDrill 2 7" xfId="22935"/>
    <cellStyle name="SAPBEXfilterDrill 2 7 2" xfId="43809"/>
    <cellStyle name="SAPBEXfilterDrill 2 8" xfId="12139"/>
    <cellStyle name="SAPBEXfilterDrill 2 8 2" xfId="33039"/>
    <cellStyle name="SAPBEXfilterDrill 2 9" xfId="24198"/>
    <cellStyle name="SAPBEXfilterDrill 2 9 2" xfId="45066"/>
    <cellStyle name="SAPBEXfilterDrill 3" xfId="2764"/>
    <cellStyle name="SAPBEXfilterDrill 3 2" xfId="4384"/>
    <cellStyle name="SAPBEXfilterDrill 3 2 2" xfId="6235"/>
    <cellStyle name="SAPBEXfilterDrill 3 2 2 2" xfId="22540"/>
    <cellStyle name="SAPBEXfilterDrill 3 2 2 2 2" xfId="43415"/>
    <cellStyle name="SAPBEXfilterDrill 3 2 2 3" xfId="23209"/>
    <cellStyle name="SAPBEXfilterDrill 3 2 2 3 2" xfId="44082"/>
    <cellStyle name="SAPBEXfilterDrill 3 2 2 4" xfId="23981"/>
    <cellStyle name="SAPBEXfilterDrill 3 2 2 4 2" xfId="44853"/>
    <cellStyle name="SAPBEXfilterDrill 3 2 2 5" xfId="15244"/>
    <cellStyle name="SAPBEXfilterDrill 3 2 2 5 2" xfId="36120"/>
    <cellStyle name="SAPBEXfilterDrill 3 2 2 6" xfId="27382"/>
    <cellStyle name="SAPBEXfilterDrill 3 2 3" xfId="21998"/>
    <cellStyle name="SAPBEXfilterDrill 3 2 3 2" xfId="42873"/>
    <cellStyle name="SAPBEXfilterDrill 3 2 4" xfId="23640"/>
    <cellStyle name="SAPBEXfilterDrill 3 2 4 2" xfId="44512"/>
    <cellStyle name="SAPBEXfilterDrill 3 2 5" xfId="22282"/>
    <cellStyle name="SAPBEXfilterDrill 3 2 5 2" xfId="43157"/>
    <cellStyle name="SAPBEXfilterDrill 3 2 6" xfId="13426"/>
    <cellStyle name="SAPBEXfilterDrill 3 2 6 2" xfId="34302"/>
    <cellStyle name="SAPBEXfilterDrill 3 2 7" xfId="25564"/>
    <cellStyle name="SAPBEXfilterDrill 3 3" xfId="8356"/>
    <cellStyle name="SAPBEXfilterDrill 3 3 2" xfId="23045"/>
    <cellStyle name="SAPBEXfilterDrill 3 3 2 2" xfId="43918"/>
    <cellStyle name="SAPBEXfilterDrill 3 3 3" xfId="21230"/>
    <cellStyle name="SAPBEXfilterDrill 3 3 3 2" xfId="42105"/>
    <cellStyle name="SAPBEXfilterDrill 3 3 4" xfId="21298"/>
    <cellStyle name="SAPBEXfilterDrill 3 3 4 2" xfId="42173"/>
    <cellStyle name="SAPBEXfilterDrill 3 3 5" xfId="17361"/>
    <cellStyle name="SAPBEXfilterDrill 3 3 5 2" xfId="38237"/>
    <cellStyle name="SAPBEXfilterDrill 3 3 6" xfId="29499"/>
    <cellStyle name="SAPBEXfilterDrill 3 4" xfId="10240"/>
    <cellStyle name="SAPBEXfilterDrill 3 4 2" xfId="23525"/>
    <cellStyle name="SAPBEXfilterDrill 3 4 2 2" xfId="44397"/>
    <cellStyle name="SAPBEXfilterDrill 3 4 3" xfId="21628"/>
    <cellStyle name="SAPBEXfilterDrill 3 4 3 2" xfId="42503"/>
    <cellStyle name="SAPBEXfilterDrill 3 4 4" xfId="21363"/>
    <cellStyle name="SAPBEXfilterDrill 3 4 4 2" xfId="42238"/>
    <cellStyle name="SAPBEXfilterDrill 3 4 5" xfId="19011"/>
    <cellStyle name="SAPBEXfilterDrill 3 4 5 2" xfId="39887"/>
    <cellStyle name="SAPBEXfilterDrill 3 4 6" xfId="31151"/>
    <cellStyle name="SAPBEXfilterDrill 3 5" xfId="21509"/>
    <cellStyle name="SAPBEXfilterDrill 3 5 2" xfId="42384"/>
    <cellStyle name="SAPBEXfilterDrill 3 6" xfId="21102"/>
    <cellStyle name="SAPBEXfilterDrill 3 6 2" xfId="41977"/>
    <cellStyle name="SAPBEXfilterDrill 3 7" xfId="22251"/>
    <cellStyle name="SAPBEXfilterDrill 3 7 2" xfId="43126"/>
    <cellStyle name="SAPBEXfilterDrill 3 8" xfId="12274"/>
    <cellStyle name="SAPBEXfilterDrill 3 8 2" xfId="33163"/>
    <cellStyle name="SAPBEXfilterDrill 3 9" xfId="24393"/>
    <cellStyle name="SAPBEXfilterDrill 4" xfId="2765"/>
    <cellStyle name="SAPBEXfilterDrill 4 2" xfId="4385"/>
    <cellStyle name="SAPBEXfilterDrill 4 2 2" xfId="6236"/>
    <cellStyle name="SAPBEXfilterDrill 4 2 2 2" xfId="22541"/>
    <cellStyle name="SAPBEXfilterDrill 4 2 2 2 2" xfId="43416"/>
    <cellStyle name="SAPBEXfilterDrill 4 2 2 3" xfId="23913"/>
    <cellStyle name="SAPBEXfilterDrill 4 2 2 3 2" xfId="44785"/>
    <cellStyle name="SAPBEXfilterDrill 4 2 2 4" xfId="23709"/>
    <cellStyle name="SAPBEXfilterDrill 4 2 2 4 2" xfId="44581"/>
    <cellStyle name="SAPBEXfilterDrill 4 2 2 5" xfId="15245"/>
    <cellStyle name="SAPBEXfilterDrill 4 2 2 5 2" xfId="36121"/>
    <cellStyle name="SAPBEXfilterDrill 4 2 2 6" xfId="27383"/>
    <cellStyle name="SAPBEXfilterDrill 4 2 3" xfId="21999"/>
    <cellStyle name="SAPBEXfilterDrill 4 2 3 2" xfId="42874"/>
    <cellStyle name="SAPBEXfilterDrill 4 2 4" xfId="22707"/>
    <cellStyle name="SAPBEXfilterDrill 4 2 4 2" xfId="43582"/>
    <cellStyle name="SAPBEXfilterDrill 4 2 5" xfId="22247"/>
    <cellStyle name="SAPBEXfilterDrill 4 2 5 2" xfId="43122"/>
    <cellStyle name="SAPBEXfilterDrill 4 2 6" xfId="13427"/>
    <cellStyle name="SAPBEXfilterDrill 4 2 6 2" xfId="34303"/>
    <cellStyle name="SAPBEXfilterDrill 4 2 7" xfId="25565"/>
    <cellStyle name="SAPBEXfilterDrill 4 3" xfId="8357"/>
    <cellStyle name="SAPBEXfilterDrill 4 3 2" xfId="23046"/>
    <cellStyle name="SAPBEXfilterDrill 4 3 2 2" xfId="43919"/>
    <cellStyle name="SAPBEXfilterDrill 4 3 3" xfId="21777"/>
    <cellStyle name="SAPBEXfilterDrill 4 3 3 2" xfId="42652"/>
    <cellStyle name="SAPBEXfilterDrill 4 3 4" xfId="21838"/>
    <cellStyle name="SAPBEXfilterDrill 4 3 4 2" xfId="42713"/>
    <cellStyle name="SAPBEXfilterDrill 4 3 5" xfId="17362"/>
    <cellStyle name="SAPBEXfilterDrill 4 3 5 2" xfId="38238"/>
    <cellStyle name="SAPBEXfilterDrill 4 3 6" xfId="29500"/>
    <cellStyle name="SAPBEXfilterDrill 4 4" xfId="10241"/>
    <cellStyle name="SAPBEXfilterDrill 4 4 2" xfId="23526"/>
    <cellStyle name="SAPBEXfilterDrill 4 4 2 2" xfId="44398"/>
    <cellStyle name="SAPBEXfilterDrill 4 4 3" xfId="23657"/>
    <cellStyle name="SAPBEXfilterDrill 4 4 3 2" xfId="44529"/>
    <cellStyle name="SAPBEXfilterDrill 4 4 4" xfId="21002"/>
    <cellStyle name="SAPBEXfilterDrill 4 4 4 2" xfId="41877"/>
    <cellStyle name="SAPBEXfilterDrill 4 4 5" xfId="19012"/>
    <cellStyle name="SAPBEXfilterDrill 4 4 5 2" xfId="39888"/>
    <cellStyle name="SAPBEXfilterDrill 4 4 6" xfId="31152"/>
    <cellStyle name="SAPBEXfilterDrill 4 5" xfId="21510"/>
    <cellStyle name="SAPBEXfilterDrill 4 5 2" xfId="42385"/>
    <cellStyle name="SAPBEXfilterDrill 4 6" xfId="22131"/>
    <cellStyle name="SAPBEXfilterDrill 4 6 2" xfId="43006"/>
    <cellStyle name="SAPBEXfilterDrill 4 7" xfId="22354"/>
    <cellStyle name="SAPBEXfilterDrill 4 7 2" xfId="43229"/>
    <cellStyle name="SAPBEXfilterDrill 4 8" xfId="12275"/>
    <cellStyle name="SAPBEXfilterDrill 4 8 2" xfId="33164"/>
    <cellStyle name="SAPBEXfilterDrill 4 9" xfId="24394"/>
    <cellStyle name="SAPBEXfilterDrill 5" xfId="2766"/>
    <cellStyle name="SAPBEXfilterDrill 5 2" xfId="4386"/>
    <cellStyle name="SAPBEXfilterDrill 5 2 2" xfId="6237"/>
    <cellStyle name="SAPBEXfilterDrill 5 2 2 2" xfId="22542"/>
    <cellStyle name="SAPBEXfilterDrill 5 2 2 2 2" xfId="43417"/>
    <cellStyle name="SAPBEXfilterDrill 5 2 2 3" xfId="24016"/>
    <cellStyle name="SAPBEXfilterDrill 5 2 2 3 2" xfId="44888"/>
    <cellStyle name="SAPBEXfilterDrill 5 2 2 4" xfId="23234"/>
    <cellStyle name="SAPBEXfilterDrill 5 2 2 4 2" xfId="44107"/>
    <cellStyle name="SAPBEXfilterDrill 5 2 2 5" xfId="15246"/>
    <cellStyle name="SAPBEXfilterDrill 5 2 2 5 2" xfId="36122"/>
    <cellStyle name="SAPBEXfilterDrill 5 2 2 6" xfId="27384"/>
    <cellStyle name="SAPBEXfilterDrill 5 2 3" xfId="22000"/>
    <cellStyle name="SAPBEXfilterDrill 5 2 3 2" xfId="42875"/>
    <cellStyle name="SAPBEXfilterDrill 5 2 4" xfId="22364"/>
    <cellStyle name="SAPBEXfilterDrill 5 2 4 2" xfId="43239"/>
    <cellStyle name="SAPBEXfilterDrill 5 2 5" xfId="22136"/>
    <cellStyle name="SAPBEXfilterDrill 5 2 5 2" xfId="43011"/>
    <cellStyle name="SAPBEXfilterDrill 5 2 6" xfId="13428"/>
    <cellStyle name="SAPBEXfilterDrill 5 2 6 2" xfId="34304"/>
    <cellStyle name="SAPBEXfilterDrill 5 2 7" xfId="25566"/>
    <cellStyle name="SAPBEXfilterDrill 5 3" xfId="8358"/>
    <cellStyle name="SAPBEXfilterDrill 5 3 2" xfId="23047"/>
    <cellStyle name="SAPBEXfilterDrill 5 3 2 2" xfId="43920"/>
    <cellStyle name="SAPBEXfilterDrill 5 3 3" xfId="23203"/>
    <cellStyle name="SAPBEXfilterDrill 5 3 3 2" xfId="44076"/>
    <cellStyle name="SAPBEXfilterDrill 5 3 4" xfId="23285"/>
    <cellStyle name="SAPBEXfilterDrill 5 3 4 2" xfId="44158"/>
    <cellStyle name="SAPBEXfilterDrill 5 3 5" xfId="17363"/>
    <cellStyle name="SAPBEXfilterDrill 5 3 5 2" xfId="38239"/>
    <cellStyle name="SAPBEXfilterDrill 5 3 6" xfId="29501"/>
    <cellStyle name="SAPBEXfilterDrill 5 4" xfId="10242"/>
    <cellStyle name="SAPBEXfilterDrill 5 4 2" xfId="23527"/>
    <cellStyle name="SAPBEXfilterDrill 5 4 2 2" xfId="44399"/>
    <cellStyle name="SAPBEXfilterDrill 5 4 3" xfId="23804"/>
    <cellStyle name="SAPBEXfilterDrill 5 4 3 2" xfId="44676"/>
    <cellStyle name="SAPBEXfilterDrill 5 4 4" xfId="20857"/>
    <cellStyle name="SAPBEXfilterDrill 5 4 4 2" xfId="41733"/>
    <cellStyle name="SAPBEXfilterDrill 5 4 5" xfId="19013"/>
    <cellStyle name="SAPBEXfilterDrill 5 4 5 2" xfId="39889"/>
    <cellStyle name="SAPBEXfilterDrill 5 4 6" xfId="31153"/>
    <cellStyle name="SAPBEXfilterDrill 5 5" xfId="21511"/>
    <cellStyle name="SAPBEXfilterDrill 5 5 2" xfId="42386"/>
    <cellStyle name="SAPBEXfilterDrill 5 6" xfId="23413"/>
    <cellStyle name="SAPBEXfilterDrill 5 6 2" xfId="44285"/>
    <cellStyle name="SAPBEXfilterDrill 5 7" xfId="21076"/>
    <cellStyle name="SAPBEXfilterDrill 5 7 2" xfId="41951"/>
    <cellStyle name="SAPBEXfilterDrill 5 8" xfId="12276"/>
    <cellStyle name="SAPBEXfilterDrill 5 8 2" xfId="33165"/>
    <cellStyle name="SAPBEXfilterDrill 5 9" xfId="24395"/>
    <cellStyle name="SAPBEXfilterDrill 6" xfId="3821"/>
    <cellStyle name="SAPBEXfilterDrill 6 2" xfId="6050"/>
    <cellStyle name="SAPBEXfilterDrill 6 2 2" xfId="22409"/>
    <cellStyle name="SAPBEXfilterDrill 6 2 2 2" xfId="43284"/>
    <cellStyle name="SAPBEXfilterDrill 6 2 3" xfId="21378"/>
    <cellStyle name="SAPBEXfilterDrill 6 2 3 2" xfId="42253"/>
    <cellStyle name="SAPBEXfilterDrill 6 2 4" xfId="21113"/>
    <cellStyle name="SAPBEXfilterDrill 6 2 4 2" xfId="41988"/>
    <cellStyle name="SAPBEXfilterDrill 6 2 5" xfId="15059"/>
    <cellStyle name="SAPBEXfilterDrill 6 2 5 2" xfId="35935"/>
    <cellStyle name="SAPBEXfilterDrill 6 2 6" xfId="27197"/>
    <cellStyle name="SAPBEXfilterDrill 6 3" xfId="21795"/>
    <cellStyle name="SAPBEXfilterDrill 6 3 2" xfId="42670"/>
    <cellStyle name="SAPBEXfilterDrill 6 4" xfId="23944"/>
    <cellStyle name="SAPBEXfilterDrill 6 4 2" xfId="44816"/>
    <cellStyle name="SAPBEXfilterDrill 6 5" xfId="21711"/>
    <cellStyle name="SAPBEXfilterDrill 6 5 2" xfId="42586"/>
    <cellStyle name="SAPBEXfilterDrill 6 6" xfId="13241"/>
    <cellStyle name="SAPBEXfilterDrill 6 6 2" xfId="34117"/>
    <cellStyle name="SAPBEXfilterDrill 6 7" xfId="25379"/>
    <cellStyle name="SAPBEXfilterDrill 7" xfId="8354"/>
    <cellStyle name="SAPBEXfilterDrill 7 2" xfId="23043"/>
    <cellStyle name="SAPBEXfilterDrill 7 2 2" xfId="43916"/>
    <cellStyle name="SAPBEXfilterDrill 7 3" xfId="23789"/>
    <cellStyle name="SAPBEXfilterDrill 7 3 2" xfId="44661"/>
    <cellStyle name="SAPBEXfilterDrill 7 4" xfId="21866"/>
    <cellStyle name="SAPBEXfilterDrill 7 4 2" xfId="42741"/>
    <cellStyle name="SAPBEXfilterDrill 7 5" xfId="17359"/>
    <cellStyle name="SAPBEXfilterDrill 7 5 2" xfId="38235"/>
    <cellStyle name="SAPBEXfilterDrill 7 6" xfId="29497"/>
    <cellStyle name="SAPBEXfilterDrill 8" xfId="10238"/>
    <cellStyle name="SAPBEXfilterDrill 8 2" xfId="23523"/>
    <cellStyle name="SAPBEXfilterDrill 8 2 2" xfId="44395"/>
    <cellStyle name="SAPBEXfilterDrill 8 3" xfId="21716"/>
    <cellStyle name="SAPBEXfilterDrill 8 3 2" xfId="42591"/>
    <cellStyle name="SAPBEXfilterDrill 8 4" xfId="20951"/>
    <cellStyle name="SAPBEXfilterDrill 8 4 2" xfId="41826"/>
    <cellStyle name="SAPBEXfilterDrill 8 5" xfId="19009"/>
    <cellStyle name="SAPBEXfilterDrill 8 5 2" xfId="39885"/>
    <cellStyle name="SAPBEXfilterDrill 8 6" xfId="31149"/>
    <cellStyle name="SAPBEXfilterDrill 9" xfId="20903"/>
    <cellStyle name="SAPBEXfilterDrill 9 2" xfId="41778"/>
    <cellStyle name="SAPBEXfilterItem" xfId="1156"/>
    <cellStyle name="SAPBEXfilterItem 10" xfId="24154"/>
    <cellStyle name="SAPBEXfilterItem 10 2" xfId="45024"/>
    <cellStyle name="SAPBEXfilterItem 11" xfId="24263"/>
    <cellStyle name="SAPBEXfilterItem 11 2" xfId="45124"/>
    <cellStyle name="SAPBEXfilterItem 2" xfId="2767"/>
    <cellStyle name="SAPBEXfilterItem 2 2" xfId="4388"/>
    <cellStyle name="SAPBEXfilterItem 2 2 2" xfId="6238"/>
    <cellStyle name="SAPBEXfilterItem 2 2 2 2" xfId="22543"/>
    <cellStyle name="SAPBEXfilterItem 2 2 2 2 2" xfId="43418"/>
    <cellStyle name="SAPBEXfilterItem 2 2 2 3" xfId="23914"/>
    <cellStyle name="SAPBEXfilterItem 2 2 2 3 2" xfId="44786"/>
    <cellStyle name="SAPBEXfilterItem 2 2 2 4" xfId="22772"/>
    <cellStyle name="SAPBEXfilterItem 2 2 2 4 2" xfId="43647"/>
    <cellStyle name="SAPBEXfilterItem 2 2 2 5" xfId="15247"/>
    <cellStyle name="SAPBEXfilterItem 2 2 2 5 2" xfId="36123"/>
    <cellStyle name="SAPBEXfilterItem 2 2 2 6" xfId="27385"/>
    <cellStyle name="SAPBEXfilterItem 2 2 3" xfId="22001"/>
    <cellStyle name="SAPBEXfilterItem 2 2 3 2" xfId="42876"/>
    <cellStyle name="SAPBEXfilterItem 2 2 4" xfId="24023"/>
    <cellStyle name="SAPBEXfilterItem 2 2 4 2" xfId="44895"/>
    <cellStyle name="SAPBEXfilterItem 2 2 5" xfId="22122"/>
    <cellStyle name="SAPBEXfilterItem 2 2 5 2" xfId="42997"/>
    <cellStyle name="SAPBEXfilterItem 2 2 6" xfId="13429"/>
    <cellStyle name="SAPBEXfilterItem 2 2 6 2" xfId="34305"/>
    <cellStyle name="SAPBEXfilterItem 2 2 7" xfId="25567"/>
    <cellStyle name="SAPBEXfilterItem 2 3" xfId="10244"/>
    <cellStyle name="SAPBEXfilterItem 2 3 2" xfId="23529"/>
    <cellStyle name="SAPBEXfilterItem 2 3 2 2" xfId="44401"/>
    <cellStyle name="SAPBEXfilterItem 2 3 3" xfId="23842"/>
    <cellStyle name="SAPBEXfilterItem 2 3 3 2" xfId="44714"/>
    <cellStyle name="SAPBEXfilterItem 2 3 4" xfId="22706"/>
    <cellStyle name="SAPBEXfilterItem 2 3 4 2" xfId="43581"/>
    <cellStyle name="SAPBEXfilterItem 2 3 5" xfId="19015"/>
    <cellStyle name="SAPBEXfilterItem 2 3 5 2" xfId="39891"/>
    <cellStyle name="SAPBEXfilterItem 2 3 6" xfId="31155"/>
    <cellStyle name="SAPBEXfilterItem 2 4" xfId="21512"/>
    <cellStyle name="SAPBEXfilterItem 2 4 2" xfId="42387"/>
    <cellStyle name="SAPBEXfilterItem 2 5" xfId="23296"/>
    <cellStyle name="SAPBEXfilterItem 2 5 2" xfId="44168"/>
    <cellStyle name="SAPBEXfilterItem 2 6" xfId="23904"/>
    <cellStyle name="SAPBEXfilterItem 2 6 2" xfId="44776"/>
    <cellStyle name="SAPBEXfilterItem 2 7" xfId="12277"/>
    <cellStyle name="SAPBEXfilterItem 2 7 2" xfId="33166"/>
    <cellStyle name="SAPBEXfilterItem 2 8" xfId="24396"/>
    <cellStyle name="SAPBEXfilterItem 3" xfId="3822"/>
    <cellStyle name="SAPBEXfilterItem 3 2" xfId="6051"/>
    <cellStyle name="SAPBEXfilterItem 3 2 2" xfId="22410"/>
    <cellStyle name="SAPBEXfilterItem 3 2 2 2" xfId="43285"/>
    <cellStyle name="SAPBEXfilterItem 3 2 3" xfId="23769"/>
    <cellStyle name="SAPBEXfilterItem 3 2 3 2" xfId="44641"/>
    <cellStyle name="SAPBEXfilterItem 3 2 4" xfId="21653"/>
    <cellStyle name="SAPBEXfilterItem 3 2 4 2" xfId="42528"/>
    <cellStyle name="SAPBEXfilterItem 3 2 5" xfId="15060"/>
    <cellStyle name="SAPBEXfilterItem 3 2 5 2" xfId="35936"/>
    <cellStyle name="SAPBEXfilterItem 3 2 6" xfId="27198"/>
    <cellStyle name="SAPBEXfilterItem 3 3" xfId="21796"/>
    <cellStyle name="SAPBEXfilterItem 3 3 2" xfId="42671"/>
    <cellStyle name="SAPBEXfilterItem 3 4" xfId="22099"/>
    <cellStyle name="SAPBEXfilterItem 3 4 2" xfId="42974"/>
    <cellStyle name="SAPBEXfilterItem 3 5" xfId="22846"/>
    <cellStyle name="SAPBEXfilterItem 3 5 2" xfId="43721"/>
    <cellStyle name="SAPBEXfilterItem 3 6" xfId="13242"/>
    <cellStyle name="SAPBEXfilterItem 3 6 2" xfId="34118"/>
    <cellStyle name="SAPBEXfilterItem 3 7" xfId="25380"/>
    <cellStyle name="SAPBEXfilterItem 4" xfId="10243"/>
    <cellStyle name="SAPBEXfilterItem 4 2" xfId="23528"/>
    <cellStyle name="SAPBEXfilterItem 4 2 2" xfId="44400"/>
    <cellStyle name="SAPBEXfilterItem 4 3" xfId="21663"/>
    <cellStyle name="SAPBEXfilterItem 4 3 2" xfId="42538"/>
    <cellStyle name="SAPBEXfilterItem 4 4" xfId="24081"/>
    <cellStyle name="SAPBEXfilterItem 4 4 2" xfId="44953"/>
    <cellStyle name="SAPBEXfilterItem 4 5" xfId="19014"/>
    <cellStyle name="SAPBEXfilterItem 4 5 2" xfId="39890"/>
    <cellStyle name="SAPBEXfilterItem 4 6" xfId="31154"/>
    <cellStyle name="SAPBEXfilterItem 5" xfId="12190"/>
    <cellStyle name="SAPBEXfilterItem 5 2" xfId="33088"/>
    <cellStyle name="SAPBEXfilterItem 6" xfId="20905"/>
    <cellStyle name="SAPBEXfilterItem 6 2" xfId="41780"/>
    <cellStyle name="SAPBEXfilterItem 7" xfId="20990"/>
    <cellStyle name="SAPBEXfilterItem 7 2" xfId="41865"/>
    <cellStyle name="SAPBEXfilterItem 8" xfId="21757"/>
    <cellStyle name="SAPBEXfilterItem 8 2" xfId="42632"/>
    <cellStyle name="SAPBEXfilterItem 9" xfId="12140"/>
    <cellStyle name="SAPBEXfilterItem 9 2" xfId="33040"/>
    <cellStyle name="SAPBEXfilterText" xfId="1157"/>
    <cellStyle name="SAPBEXformats" xfId="1158"/>
    <cellStyle name="SAPBEXformats 10" xfId="22289"/>
    <cellStyle name="SAPBEXformats 10 2" xfId="43164"/>
    <cellStyle name="SAPBEXformats 11" xfId="21036"/>
    <cellStyle name="SAPBEXformats 11 2" xfId="41911"/>
    <cellStyle name="SAPBEXformats 12" xfId="12141"/>
    <cellStyle name="SAPBEXformats 12 2" xfId="33041"/>
    <cellStyle name="SAPBEXformats 13" xfId="24153"/>
    <cellStyle name="SAPBEXformats 13 2" xfId="45023"/>
    <cellStyle name="SAPBEXformats 14" xfId="24264"/>
    <cellStyle name="SAPBEXformats 14 2" xfId="45125"/>
    <cellStyle name="SAPBEXformats 2" xfId="2768"/>
    <cellStyle name="SAPBEXformats 2 10" xfId="24397"/>
    <cellStyle name="SAPBEXformats 2 2" xfId="4390"/>
    <cellStyle name="SAPBEXformats 2 2 2" xfId="6239"/>
    <cellStyle name="SAPBEXformats 2 2 2 2" xfId="22544"/>
    <cellStyle name="SAPBEXformats 2 2 2 2 2" xfId="43419"/>
    <cellStyle name="SAPBEXformats 2 2 2 3" xfId="23974"/>
    <cellStyle name="SAPBEXformats 2 2 2 3 2" xfId="44846"/>
    <cellStyle name="SAPBEXformats 2 2 2 4" xfId="23687"/>
    <cellStyle name="SAPBEXformats 2 2 2 4 2" xfId="44559"/>
    <cellStyle name="SAPBEXformats 2 2 2 5" xfId="15248"/>
    <cellStyle name="SAPBEXformats 2 2 2 5 2" xfId="36124"/>
    <cellStyle name="SAPBEXformats 2 2 2 6" xfId="27386"/>
    <cellStyle name="SAPBEXformats 2 2 3" xfId="22002"/>
    <cellStyle name="SAPBEXformats 2 2 3 2" xfId="42877"/>
    <cellStyle name="SAPBEXformats 2 2 4" xfId="23987"/>
    <cellStyle name="SAPBEXformats 2 2 4 2" xfId="44859"/>
    <cellStyle name="SAPBEXformats 2 2 5" xfId="22945"/>
    <cellStyle name="SAPBEXformats 2 2 5 2" xfId="43819"/>
    <cellStyle name="SAPBEXformats 2 2 6" xfId="13430"/>
    <cellStyle name="SAPBEXformats 2 2 6 2" xfId="34306"/>
    <cellStyle name="SAPBEXformats 2 2 7" xfId="25568"/>
    <cellStyle name="SAPBEXformats 2 3" xfId="8360"/>
    <cellStyle name="SAPBEXformats 2 3 2" xfId="23049"/>
    <cellStyle name="SAPBEXformats 2 3 2 2" xfId="43922"/>
    <cellStyle name="SAPBEXformats 2 3 3" xfId="23651"/>
    <cellStyle name="SAPBEXformats 2 3 3 2" xfId="44523"/>
    <cellStyle name="SAPBEXformats 2 3 4" xfId="21118"/>
    <cellStyle name="SAPBEXformats 2 3 4 2" xfId="41993"/>
    <cellStyle name="SAPBEXformats 2 3 5" xfId="17365"/>
    <cellStyle name="SAPBEXformats 2 3 5 2" xfId="38241"/>
    <cellStyle name="SAPBEXformats 2 3 6" xfId="29503"/>
    <cellStyle name="SAPBEXformats 2 4" xfId="10246"/>
    <cellStyle name="SAPBEXformats 2 4 2" xfId="23531"/>
    <cellStyle name="SAPBEXformats 2 4 2 2" xfId="44403"/>
    <cellStyle name="SAPBEXformats 2 4 3" xfId="22381"/>
    <cellStyle name="SAPBEXformats 2 4 3 2" xfId="43256"/>
    <cellStyle name="SAPBEXformats 2 4 4" xfId="23956"/>
    <cellStyle name="SAPBEXformats 2 4 4 2" xfId="44828"/>
    <cellStyle name="SAPBEXformats 2 4 5" xfId="19017"/>
    <cellStyle name="SAPBEXformats 2 4 5 2" xfId="39893"/>
    <cellStyle name="SAPBEXformats 2 4 6" xfId="31157"/>
    <cellStyle name="SAPBEXformats 2 5" xfId="20907"/>
    <cellStyle name="SAPBEXformats 2 5 2" xfId="41782"/>
    <cellStyle name="SAPBEXformats 2 6" xfId="24113"/>
    <cellStyle name="SAPBEXformats 2 6 2" xfId="44984"/>
    <cellStyle name="SAPBEXformats 2 7" xfId="22384"/>
    <cellStyle name="SAPBEXformats 2 7 2" xfId="43259"/>
    <cellStyle name="SAPBEXformats 2 8" xfId="12142"/>
    <cellStyle name="SAPBEXformats 2 8 2" xfId="33042"/>
    <cellStyle name="SAPBEXformats 2 9" xfId="24199"/>
    <cellStyle name="SAPBEXformats 2 9 2" xfId="45067"/>
    <cellStyle name="SAPBEXformats 3" xfId="2769"/>
    <cellStyle name="SAPBEXformats 3 2" xfId="4391"/>
    <cellStyle name="SAPBEXformats 3 2 2" xfId="6240"/>
    <cellStyle name="SAPBEXformats 3 2 2 2" xfId="22545"/>
    <cellStyle name="SAPBEXformats 3 2 2 2 2" xfId="43420"/>
    <cellStyle name="SAPBEXformats 3 2 2 3" xfId="20966"/>
    <cellStyle name="SAPBEXformats 3 2 2 3 2" xfId="41841"/>
    <cellStyle name="SAPBEXformats 3 2 2 4" xfId="23446"/>
    <cellStyle name="SAPBEXformats 3 2 2 4 2" xfId="44318"/>
    <cellStyle name="SAPBEXformats 3 2 2 5" xfId="15249"/>
    <cellStyle name="SAPBEXformats 3 2 2 5 2" xfId="36125"/>
    <cellStyle name="SAPBEXformats 3 2 2 6" xfId="27387"/>
    <cellStyle name="SAPBEXformats 3 2 3" xfId="22003"/>
    <cellStyle name="SAPBEXformats 3 2 3 2" xfId="42878"/>
    <cellStyle name="SAPBEXformats 3 2 4" xfId="20964"/>
    <cellStyle name="SAPBEXformats 3 2 4 2" xfId="41839"/>
    <cellStyle name="SAPBEXformats 3 2 5" xfId="23225"/>
    <cellStyle name="SAPBEXformats 3 2 5 2" xfId="44098"/>
    <cellStyle name="SAPBEXformats 3 2 6" xfId="13431"/>
    <cellStyle name="SAPBEXformats 3 2 6 2" xfId="34307"/>
    <cellStyle name="SAPBEXformats 3 2 7" xfId="25569"/>
    <cellStyle name="SAPBEXformats 3 3" xfId="8361"/>
    <cellStyle name="SAPBEXformats 3 3 2" xfId="23050"/>
    <cellStyle name="SAPBEXformats 3 3 2 2" xfId="43923"/>
    <cellStyle name="SAPBEXformats 3 3 3" xfId="21231"/>
    <cellStyle name="SAPBEXformats 3 3 3 2" xfId="42106"/>
    <cellStyle name="SAPBEXformats 3 3 4" xfId="23943"/>
    <cellStyle name="SAPBEXformats 3 3 4 2" xfId="44815"/>
    <cellStyle name="SAPBEXformats 3 3 5" xfId="17366"/>
    <cellStyle name="SAPBEXformats 3 3 5 2" xfId="38242"/>
    <cellStyle name="SAPBEXformats 3 3 6" xfId="29504"/>
    <cellStyle name="SAPBEXformats 3 4" xfId="10247"/>
    <cellStyle name="SAPBEXformats 3 4 2" xfId="23532"/>
    <cellStyle name="SAPBEXformats 3 4 2 2" xfId="44404"/>
    <cellStyle name="SAPBEXformats 3 4 3" xfId="22162"/>
    <cellStyle name="SAPBEXformats 3 4 3 2" xfId="43037"/>
    <cellStyle name="SAPBEXformats 3 4 4" xfId="24120"/>
    <cellStyle name="SAPBEXformats 3 4 4 2" xfId="44991"/>
    <cellStyle name="SAPBEXformats 3 4 5" xfId="19018"/>
    <cellStyle name="SAPBEXformats 3 4 5 2" xfId="39894"/>
    <cellStyle name="SAPBEXformats 3 4 6" xfId="31158"/>
    <cellStyle name="SAPBEXformats 3 5" xfId="21514"/>
    <cellStyle name="SAPBEXformats 3 5 2" xfId="42389"/>
    <cellStyle name="SAPBEXformats 3 6" xfId="23949"/>
    <cellStyle name="SAPBEXformats 3 6 2" xfId="44821"/>
    <cellStyle name="SAPBEXformats 3 7" xfId="23183"/>
    <cellStyle name="SAPBEXformats 3 7 2" xfId="44056"/>
    <cellStyle name="SAPBEXformats 3 8" xfId="12278"/>
    <cellStyle name="SAPBEXformats 3 8 2" xfId="33167"/>
    <cellStyle name="SAPBEXformats 3 9" xfId="24398"/>
    <cellStyle name="SAPBEXformats 4" xfId="2770"/>
    <cellStyle name="SAPBEXformats 4 2" xfId="4392"/>
    <cellStyle name="SAPBEXformats 4 2 2" xfId="6241"/>
    <cellStyle name="SAPBEXformats 4 2 2 2" xfId="22546"/>
    <cellStyle name="SAPBEXformats 4 2 2 2 2" xfId="43421"/>
    <cellStyle name="SAPBEXformats 4 2 2 3" xfId="22686"/>
    <cellStyle name="SAPBEXformats 4 2 2 3 2" xfId="43561"/>
    <cellStyle name="SAPBEXformats 4 2 2 4" xfId="21105"/>
    <cellStyle name="SAPBEXformats 4 2 2 4 2" xfId="41980"/>
    <cellStyle name="SAPBEXformats 4 2 2 5" xfId="15250"/>
    <cellStyle name="SAPBEXformats 4 2 2 5 2" xfId="36126"/>
    <cellStyle name="SAPBEXformats 4 2 2 6" xfId="27388"/>
    <cellStyle name="SAPBEXformats 4 2 3" xfId="22004"/>
    <cellStyle name="SAPBEXformats 4 2 3 2" xfId="42879"/>
    <cellStyle name="SAPBEXformats 4 2 4" xfId="23796"/>
    <cellStyle name="SAPBEXformats 4 2 4 2" xfId="44668"/>
    <cellStyle name="SAPBEXformats 4 2 5" xfId="21602"/>
    <cellStyle name="SAPBEXformats 4 2 5 2" xfId="42477"/>
    <cellStyle name="SAPBEXformats 4 2 6" xfId="13432"/>
    <cellStyle name="SAPBEXformats 4 2 6 2" xfId="34308"/>
    <cellStyle name="SAPBEXformats 4 2 7" xfId="25570"/>
    <cellStyle name="SAPBEXformats 4 3" xfId="8362"/>
    <cellStyle name="SAPBEXformats 4 3 2" xfId="23051"/>
    <cellStyle name="SAPBEXformats 4 3 2 2" xfId="43924"/>
    <cellStyle name="SAPBEXformats 4 3 3" xfId="21888"/>
    <cellStyle name="SAPBEXformats 4 3 3 2" xfId="42763"/>
    <cellStyle name="SAPBEXformats 4 3 4" xfId="24069"/>
    <cellStyle name="SAPBEXformats 4 3 4 2" xfId="44941"/>
    <cellStyle name="SAPBEXformats 4 3 5" xfId="17367"/>
    <cellStyle name="SAPBEXformats 4 3 5 2" xfId="38243"/>
    <cellStyle name="SAPBEXformats 4 3 6" xfId="29505"/>
    <cellStyle name="SAPBEXformats 4 4" xfId="10248"/>
    <cellStyle name="SAPBEXformats 4 4 2" xfId="23533"/>
    <cellStyle name="SAPBEXformats 4 4 2 2" xfId="44405"/>
    <cellStyle name="SAPBEXformats 4 4 3" xfId="22689"/>
    <cellStyle name="SAPBEXformats 4 4 3 2" xfId="43564"/>
    <cellStyle name="SAPBEXformats 4 4 4" xfId="21843"/>
    <cellStyle name="SAPBEXformats 4 4 4 2" xfId="42718"/>
    <cellStyle name="SAPBEXformats 4 4 5" xfId="19019"/>
    <cellStyle name="SAPBEXformats 4 4 5 2" xfId="39895"/>
    <cellStyle name="SAPBEXformats 4 4 6" xfId="31159"/>
    <cellStyle name="SAPBEXformats 4 5" xfId="21515"/>
    <cellStyle name="SAPBEXformats 4 5 2" xfId="42390"/>
    <cellStyle name="SAPBEXformats 4 6" xfId="23902"/>
    <cellStyle name="SAPBEXformats 4 6 2" xfId="44774"/>
    <cellStyle name="SAPBEXformats 4 7" xfId="22104"/>
    <cellStyle name="SAPBEXformats 4 7 2" xfId="42979"/>
    <cellStyle name="SAPBEXformats 4 8" xfId="12279"/>
    <cellStyle name="SAPBEXformats 4 8 2" xfId="33168"/>
    <cellStyle name="SAPBEXformats 4 9" xfId="24399"/>
    <cellStyle name="SAPBEXformats 5" xfId="2771"/>
    <cellStyle name="SAPBEXformats 5 2" xfId="4393"/>
    <cellStyle name="SAPBEXformats 5 2 2" xfId="6242"/>
    <cellStyle name="SAPBEXformats 5 2 2 2" xfId="22547"/>
    <cellStyle name="SAPBEXformats 5 2 2 2 2" xfId="43422"/>
    <cellStyle name="SAPBEXformats 5 2 2 3" xfId="21042"/>
    <cellStyle name="SAPBEXformats 5 2 2 3 2" xfId="41917"/>
    <cellStyle name="SAPBEXformats 5 2 2 4" xfId="21047"/>
    <cellStyle name="SAPBEXformats 5 2 2 4 2" xfId="41922"/>
    <cellStyle name="SAPBEXformats 5 2 2 5" xfId="15251"/>
    <cellStyle name="SAPBEXformats 5 2 2 5 2" xfId="36127"/>
    <cellStyle name="SAPBEXformats 5 2 2 6" xfId="27389"/>
    <cellStyle name="SAPBEXformats 5 2 3" xfId="22005"/>
    <cellStyle name="SAPBEXformats 5 2 3 2" xfId="42880"/>
    <cellStyle name="SAPBEXformats 5 2 4" xfId="21336"/>
    <cellStyle name="SAPBEXformats 5 2 4 2" xfId="42211"/>
    <cellStyle name="SAPBEXformats 5 2 5" xfId="22810"/>
    <cellStyle name="SAPBEXformats 5 2 5 2" xfId="43685"/>
    <cellStyle name="SAPBEXformats 5 2 6" xfId="13433"/>
    <cellStyle name="SAPBEXformats 5 2 6 2" xfId="34309"/>
    <cellStyle name="SAPBEXformats 5 2 7" xfId="25571"/>
    <cellStyle name="SAPBEXformats 5 3" xfId="8363"/>
    <cellStyle name="SAPBEXformats 5 3 2" xfId="23052"/>
    <cellStyle name="SAPBEXformats 5 3 2 2" xfId="43925"/>
    <cellStyle name="SAPBEXformats 5 3 3" xfId="23340"/>
    <cellStyle name="SAPBEXformats 5 3 3 2" xfId="44212"/>
    <cellStyle name="SAPBEXformats 5 3 4" xfId="23819"/>
    <cellStyle name="SAPBEXformats 5 3 4 2" xfId="44691"/>
    <cellStyle name="SAPBEXformats 5 3 5" xfId="17368"/>
    <cellStyle name="SAPBEXformats 5 3 5 2" xfId="38244"/>
    <cellStyle name="SAPBEXformats 5 3 6" xfId="29506"/>
    <cellStyle name="SAPBEXformats 5 4" xfId="10249"/>
    <cellStyle name="SAPBEXformats 5 4 2" xfId="23534"/>
    <cellStyle name="SAPBEXformats 5 4 2 2" xfId="44406"/>
    <cellStyle name="SAPBEXformats 5 4 3" xfId="22296"/>
    <cellStyle name="SAPBEXformats 5 4 3 2" xfId="43171"/>
    <cellStyle name="SAPBEXformats 5 4 4" xfId="21640"/>
    <cellStyle name="SAPBEXformats 5 4 4 2" xfId="42515"/>
    <cellStyle name="SAPBEXformats 5 4 5" xfId="19020"/>
    <cellStyle name="SAPBEXformats 5 4 5 2" xfId="39896"/>
    <cellStyle name="SAPBEXformats 5 4 6" xfId="31160"/>
    <cellStyle name="SAPBEXformats 5 5" xfId="21516"/>
    <cellStyle name="SAPBEXformats 5 5 2" xfId="42391"/>
    <cellStyle name="SAPBEXformats 5 6" xfId="23212"/>
    <cellStyle name="SAPBEXformats 5 6 2" xfId="44085"/>
    <cellStyle name="SAPBEXformats 5 7" xfId="23984"/>
    <cellStyle name="SAPBEXformats 5 7 2" xfId="44856"/>
    <cellStyle name="SAPBEXformats 5 8" xfId="12280"/>
    <cellStyle name="SAPBEXformats 5 8 2" xfId="33169"/>
    <cellStyle name="SAPBEXformats 5 9" xfId="24400"/>
    <cellStyle name="SAPBEXformats 6" xfId="3823"/>
    <cellStyle name="SAPBEXformats 6 2" xfId="6052"/>
    <cellStyle name="SAPBEXformats 6 2 2" xfId="22411"/>
    <cellStyle name="SAPBEXformats 6 2 2 2" xfId="43286"/>
    <cellStyle name="SAPBEXformats 6 2 3" xfId="21848"/>
    <cellStyle name="SAPBEXformats 6 2 3 2" xfId="42723"/>
    <cellStyle name="SAPBEXformats 6 2 4" xfId="22917"/>
    <cellStyle name="SAPBEXformats 6 2 4 2" xfId="43791"/>
    <cellStyle name="SAPBEXformats 6 2 5" xfId="15061"/>
    <cellStyle name="SAPBEXformats 6 2 5 2" xfId="35937"/>
    <cellStyle name="SAPBEXformats 6 2 6" xfId="27199"/>
    <cellStyle name="SAPBEXformats 6 3" xfId="21797"/>
    <cellStyle name="SAPBEXformats 6 3 2" xfId="42672"/>
    <cellStyle name="SAPBEXformats 6 4" xfId="22281"/>
    <cellStyle name="SAPBEXformats 6 4 2" xfId="43156"/>
    <cellStyle name="SAPBEXformats 6 5" xfId="21339"/>
    <cellStyle name="SAPBEXformats 6 5 2" xfId="42214"/>
    <cellStyle name="SAPBEXformats 6 6" xfId="13243"/>
    <cellStyle name="SAPBEXformats 6 6 2" xfId="34119"/>
    <cellStyle name="SAPBEXformats 6 7" xfId="25381"/>
    <cellStyle name="SAPBEXformats 7" xfId="8359"/>
    <cellStyle name="SAPBEXformats 7 2" xfId="23048"/>
    <cellStyle name="SAPBEXformats 7 2 2" xfId="43921"/>
    <cellStyle name="SAPBEXformats 7 3" xfId="21652"/>
    <cellStyle name="SAPBEXformats 7 3 2" xfId="42527"/>
    <cellStyle name="SAPBEXformats 7 4" xfId="24107"/>
    <cellStyle name="SAPBEXformats 7 4 2" xfId="44978"/>
    <cellStyle name="SAPBEXformats 7 5" xfId="17364"/>
    <cellStyle name="SAPBEXformats 7 5 2" xfId="38240"/>
    <cellStyle name="SAPBEXformats 7 6" xfId="29502"/>
    <cellStyle name="SAPBEXformats 8" xfId="10245"/>
    <cellStyle name="SAPBEXformats 8 2" xfId="23530"/>
    <cellStyle name="SAPBEXformats 8 2 2" xfId="44402"/>
    <cellStyle name="SAPBEXformats 8 3" xfId="21752"/>
    <cellStyle name="SAPBEXformats 8 3 2" xfId="42627"/>
    <cellStyle name="SAPBEXformats 8 4" xfId="22736"/>
    <cellStyle name="SAPBEXformats 8 4 2" xfId="43611"/>
    <cellStyle name="SAPBEXformats 8 5" xfId="19016"/>
    <cellStyle name="SAPBEXformats 8 5 2" xfId="39892"/>
    <cellStyle name="SAPBEXformats 8 6" xfId="31156"/>
    <cellStyle name="SAPBEXformats 9" xfId="20906"/>
    <cellStyle name="SAPBEXformats 9 2" xfId="41781"/>
    <cellStyle name="SAPBEXheaderItem" xfId="1159"/>
    <cellStyle name="SAPBEXheaderItem 10" xfId="21352"/>
    <cellStyle name="SAPBEXheaderItem 10 2" xfId="42227"/>
    <cellStyle name="SAPBEXheaderItem 11" xfId="23178"/>
    <cellStyle name="SAPBEXheaderItem 11 2" xfId="44051"/>
    <cellStyle name="SAPBEXheaderItem 12" xfId="12143"/>
    <cellStyle name="SAPBEXheaderItem 12 2" xfId="33043"/>
    <cellStyle name="SAPBEXheaderItem 13" xfId="24152"/>
    <cellStyle name="SAPBEXheaderItem 13 2" xfId="45022"/>
    <cellStyle name="SAPBEXheaderItem 14" xfId="24265"/>
    <cellStyle name="SAPBEXheaderItem 14 2" xfId="45126"/>
    <cellStyle name="SAPBEXheaderItem 2" xfId="2772"/>
    <cellStyle name="SAPBEXheaderItem 2 10" xfId="24401"/>
    <cellStyle name="SAPBEXheaderItem 2 2" xfId="4394"/>
    <cellStyle name="SAPBEXheaderItem 2 2 2" xfId="6243"/>
    <cellStyle name="SAPBEXheaderItem 2 2 2 2" xfId="22548"/>
    <cellStyle name="SAPBEXheaderItem 2 2 2 2 2" xfId="43423"/>
    <cellStyle name="SAPBEXheaderItem 2 2 2 3" xfId="21109"/>
    <cellStyle name="SAPBEXheaderItem 2 2 2 3 2" xfId="41984"/>
    <cellStyle name="SAPBEXheaderItem 2 2 2 4" xfId="21881"/>
    <cellStyle name="SAPBEXheaderItem 2 2 2 4 2" xfId="42756"/>
    <cellStyle name="SAPBEXheaderItem 2 2 2 5" xfId="15252"/>
    <cellStyle name="SAPBEXheaderItem 2 2 2 5 2" xfId="36128"/>
    <cellStyle name="SAPBEXheaderItem 2 2 2 6" xfId="27390"/>
    <cellStyle name="SAPBEXheaderItem 2 2 3" xfId="22006"/>
    <cellStyle name="SAPBEXheaderItem 2 2 3 2" xfId="42881"/>
    <cellStyle name="SAPBEXheaderItem 2 2 4" xfId="21421"/>
    <cellStyle name="SAPBEXheaderItem 2 2 4 2" xfId="42296"/>
    <cellStyle name="SAPBEXheaderItem 2 2 5" xfId="21433"/>
    <cellStyle name="SAPBEXheaderItem 2 2 5 2" xfId="42308"/>
    <cellStyle name="SAPBEXheaderItem 2 2 6" xfId="13434"/>
    <cellStyle name="SAPBEXheaderItem 2 2 6 2" xfId="34310"/>
    <cellStyle name="SAPBEXheaderItem 2 2 7" xfId="25572"/>
    <cellStyle name="SAPBEXheaderItem 2 3" xfId="8365"/>
    <cellStyle name="SAPBEXheaderItem 2 3 2" xfId="23054"/>
    <cellStyle name="SAPBEXheaderItem 2 3 2 2" xfId="43927"/>
    <cellStyle name="SAPBEXheaderItem 2 3 3" xfId="23798"/>
    <cellStyle name="SAPBEXheaderItem 2 3 3 2" xfId="44670"/>
    <cellStyle name="SAPBEXheaderItem 2 3 4" xfId="22807"/>
    <cellStyle name="SAPBEXheaderItem 2 3 4 2" xfId="43682"/>
    <cellStyle name="SAPBEXheaderItem 2 3 5" xfId="17370"/>
    <cellStyle name="SAPBEXheaderItem 2 3 5 2" xfId="38246"/>
    <cellStyle name="SAPBEXheaderItem 2 3 6" xfId="29508"/>
    <cellStyle name="SAPBEXheaderItem 2 4" xfId="10251"/>
    <cellStyle name="SAPBEXheaderItem 2 4 2" xfId="23536"/>
    <cellStyle name="SAPBEXheaderItem 2 4 2 2" xfId="44408"/>
    <cellStyle name="SAPBEXheaderItem 2 4 3" xfId="22901"/>
    <cellStyle name="SAPBEXheaderItem 2 4 3 2" xfId="43775"/>
    <cellStyle name="SAPBEXheaderItem 2 4 4" xfId="21408"/>
    <cellStyle name="SAPBEXheaderItem 2 4 4 2" xfId="42283"/>
    <cellStyle name="SAPBEXheaderItem 2 4 5" xfId="19022"/>
    <cellStyle name="SAPBEXheaderItem 2 4 5 2" xfId="39898"/>
    <cellStyle name="SAPBEXheaderItem 2 4 6" xfId="31162"/>
    <cellStyle name="SAPBEXheaderItem 2 5" xfId="20909"/>
    <cellStyle name="SAPBEXheaderItem 2 5 2" xfId="41784"/>
    <cellStyle name="SAPBEXheaderItem 2 6" xfId="23722"/>
    <cellStyle name="SAPBEXheaderItem 2 6 2" xfId="44594"/>
    <cellStyle name="SAPBEXheaderItem 2 7" xfId="23907"/>
    <cellStyle name="SAPBEXheaderItem 2 7 2" xfId="44779"/>
    <cellStyle name="SAPBEXheaderItem 2 8" xfId="12144"/>
    <cellStyle name="SAPBEXheaderItem 2 8 2" xfId="33044"/>
    <cellStyle name="SAPBEXheaderItem 2 9" xfId="24200"/>
    <cellStyle name="SAPBEXheaderItem 2 9 2" xfId="45068"/>
    <cellStyle name="SAPBEXheaderItem 3" xfId="2773"/>
    <cellStyle name="SAPBEXheaderItem 3 2" xfId="4395"/>
    <cellStyle name="SAPBEXheaderItem 3 2 2" xfId="6244"/>
    <cellStyle name="SAPBEXheaderItem 3 2 2 2" xfId="22549"/>
    <cellStyle name="SAPBEXheaderItem 3 2 2 2 2" xfId="43424"/>
    <cellStyle name="SAPBEXheaderItem 3 2 2 3" xfId="23736"/>
    <cellStyle name="SAPBEXheaderItem 3 2 2 3 2" xfId="44608"/>
    <cellStyle name="SAPBEXheaderItem 3 2 2 4" xfId="21643"/>
    <cellStyle name="SAPBEXheaderItem 3 2 2 4 2" xfId="42518"/>
    <cellStyle name="SAPBEXheaderItem 3 2 2 5" xfId="15253"/>
    <cellStyle name="SAPBEXheaderItem 3 2 2 5 2" xfId="36129"/>
    <cellStyle name="SAPBEXheaderItem 3 2 2 6" xfId="27391"/>
    <cellStyle name="SAPBEXheaderItem 3 2 3" xfId="22007"/>
    <cellStyle name="SAPBEXheaderItem 3 2 3 2" xfId="42882"/>
    <cellStyle name="SAPBEXheaderItem 3 2 4" xfId="23236"/>
    <cellStyle name="SAPBEXheaderItem 3 2 4 2" xfId="44109"/>
    <cellStyle name="SAPBEXheaderItem 3 2 5" xfId="23770"/>
    <cellStyle name="SAPBEXheaderItem 3 2 5 2" xfId="44642"/>
    <cellStyle name="SAPBEXheaderItem 3 2 6" xfId="13435"/>
    <cellStyle name="SAPBEXheaderItem 3 2 6 2" xfId="34311"/>
    <cellStyle name="SAPBEXheaderItem 3 2 7" xfId="25573"/>
    <cellStyle name="SAPBEXheaderItem 3 3" xfId="8366"/>
    <cellStyle name="SAPBEXheaderItem 3 3 2" xfId="23055"/>
    <cellStyle name="SAPBEXheaderItem 3 3 2 2" xfId="43928"/>
    <cellStyle name="SAPBEXheaderItem 3 3 3" xfId="21232"/>
    <cellStyle name="SAPBEXheaderItem 3 3 3 2" xfId="42107"/>
    <cellStyle name="SAPBEXheaderItem 3 3 4" xfId="21106"/>
    <cellStyle name="SAPBEXheaderItem 3 3 4 2" xfId="41981"/>
    <cellStyle name="SAPBEXheaderItem 3 3 5" xfId="17371"/>
    <cellStyle name="SAPBEXheaderItem 3 3 5 2" xfId="38247"/>
    <cellStyle name="SAPBEXheaderItem 3 3 6" xfId="29509"/>
    <cellStyle name="SAPBEXheaderItem 3 4" xfId="10252"/>
    <cellStyle name="SAPBEXheaderItem 3 4 2" xfId="23537"/>
    <cellStyle name="SAPBEXheaderItem 3 4 2 2" xfId="44409"/>
    <cellStyle name="SAPBEXheaderItem 3 4 3" xfId="23223"/>
    <cellStyle name="SAPBEXheaderItem 3 4 3 2" xfId="44096"/>
    <cellStyle name="SAPBEXheaderItem 3 4 4" xfId="21321"/>
    <cellStyle name="SAPBEXheaderItem 3 4 4 2" xfId="42196"/>
    <cellStyle name="SAPBEXheaderItem 3 4 5" xfId="19023"/>
    <cellStyle name="SAPBEXheaderItem 3 4 5 2" xfId="39899"/>
    <cellStyle name="SAPBEXheaderItem 3 4 6" xfId="31163"/>
    <cellStyle name="SAPBEXheaderItem 3 5" xfId="21517"/>
    <cellStyle name="SAPBEXheaderItem 3 5 2" xfId="42392"/>
    <cellStyle name="SAPBEXheaderItem 3 6" xfId="24073"/>
    <cellStyle name="SAPBEXheaderItem 3 6 2" xfId="44945"/>
    <cellStyle name="SAPBEXheaderItem 3 7" xfId="22793"/>
    <cellStyle name="SAPBEXheaderItem 3 7 2" xfId="43668"/>
    <cellStyle name="SAPBEXheaderItem 3 8" xfId="12281"/>
    <cellStyle name="SAPBEXheaderItem 3 8 2" xfId="33170"/>
    <cellStyle name="SAPBEXheaderItem 3 9" xfId="24402"/>
    <cellStyle name="SAPBEXheaderItem 4" xfId="2774"/>
    <cellStyle name="SAPBEXheaderItem 4 2" xfId="4396"/>
    <cellStyle name="SAPBEXheaderItem 4 2 2" xfId="6245"/>
    <cellStyle name="SAPBEXheaderItem 4 2 2 2" xfId="22550"/>
    <cellStyle name="SAPBEXheaderItem 4 2 2 2 2" xfId="43425"/>
    <cellStyle name="SAPBEXheaderItem 4 2 2 3" xfId="22700"/>
    <cellStyle name="SAPBEXheaderItem 4 2 2 3 2" xfId="43575"/>
    <cellStyle name="SAPBEXheaderItem 4 2 2 4" xfId="23210"/>
    <cellStyle name="SAPBEXheaderItem 4 2 2 4 2" xfId="44083"/>
    <cellStyle name="SAPBEXheaderItem 4 2 2 5" xfId="15254"/>
    <cellStyle name="SAPBEXheaderItem 4 2 2 5 2" xfId="36130"/>
    <cellStyle name="SAPBEXheaderItem 4 2 2 6" xfId="27392"/>
    <cellStyle name="SAPBEXheaderItem 4 2 3" xfId="22008"/>
    <cellStyle name="SAPBEXheaderItem 4 2 3 2" xfId="42883"/>
    <cellStyle name="SAPBEXheaderItem 4 2 4" xfId="22874"/>
    <cellStyle name="SAPBEXheaderItem 4 2 4 2" xfId="43748"/>
    <cellStyle name="SAPBEXheaderItem 4 2 5" xfId="21218"/>
    <cellStyle name="SAPBEXheaderItem 4 2 5 2" xfId="42093"/>
    <cellStyle name="SAPBEXheaderItem 4 2 6" xfId="13436"/>
    <cellStyle name="SAPBEXheaderItem 4 2 6 2" xfId="34312"/>
    <cellStyle name="SAPBEXheaderItem 4 2 7" xfId="25574"/>
    <cellStyle name="SAPBEXheaderItem 4 3" xfId="8367"/>
    <cellStyle name="SAPBEXheaderItem 4 3 2" xfId="23056"/>
    <cellStyle name="SAPBEXheaderItem 4 3 2 2" xfId="43929"/>
    <cellStyle name="SAPBEXheaderItem 4 3 3" xfId="22228"/>
    <cellStyle name="SAPBEXheaderItem 4 3 3 2" xfId="43103"/>
    <cellStyle name="SAPBEXheaderItem 4 3 4" xfId="24067"/>
    <cellStyle name="SAPBEXheaderItem 4 3 4 2" xfId="44939"/>
    <cellStyle name="SAPBEXheaderItem 4 3 5" xfId="17372"/>
    <cellStyle name="SAPBEXheaderItem 4 3 5 2" xfId="38248"/>
    <cellStyle name="SAPBEXheaderItem 4 3 6" xfId="29510"/>
    <cellStyle name="SAPBEXheaderItem 4 4" xfId="10253"/>
    <cellStyle name="SAPBEXheaderItem 4 4 2" xfId="23538"/>
    <cellStyle name="SAPBEXheaderItem 4 4 2 2" xfId="44410"/>
    <cellStyle name="SAPBEXheaderItem 4 4 3" xfId="23356"/>
    <cellStyle name="SAPBEXheaderItem 4 4 3 2" xfId="44228"/>
    <cellStyle name="SAPBEXheaderItem 4 4 4" xfId="22815"/>
    <cellStyle name="SAPBEXheaderItem 4 4 4 2" xfId="43690"/>
    <cellStyle name="SAPBEXheaderItem 4 4 5" xfId="19024"/>
    <cellStyle name="SAPBEXheaderItem 4 4 5 2" xfId="39900"/>
    <cellStyle name="SAPBEXheaderItem 4 4 6" xfId="31164"/>
    <cellStyle name="SAPBEXheaderItem 4 5" xfId="21518"/>
    <cellStyle name="SAPBEXheaderItem 4 5 2" xfId="42393"/>
    <cellStyle name="SAPBEXheaderItem 4 6" xfId="21158"/>
    <cellStyle name="SAPBEXheaderItem 4 6 2" xfId="42033"/>
    <cellStyle name="SAPBEXheaderItem 4 7" xfId="23364"/>
    <cellStyle name="SAPBEXheaderItem 4 7 2" xfId="44236"/>
    <cellStyle name="SAPBEXheaderItem 4 8" xfId="12282"/>
    <cellStyle name="SAPBEXheaderItem 4 8 2" xfId="33171"/>
    <cellStyle name="SAPBEXheaderItem 4 9" xfId="24403"/>
    <cellStyle name="SAPBEXheaderItem 5" xfId="2775"/>
    <cellStyle name="SAPBEXheaderItem 5 2" xfId="4397"/>
    <cellStyle name="SAPBEXheaderItem 5 2 2" xfId="6246"/>
    <cellStyle name="SAPBEXheaderItem 5 2 2 2" xfId="22551"/>
    <cellStyle name="SAPBEXheaderItem 5 2 2 2 2" xfId="43426"/>
    <cellStyle name="SAPBEXheaderItem 5 2 2 3" xfId="23280"/>
    <cellStyle name="SAPBEXheaderItem 5 2 2 3 2" xfId="44153"/>
    <cellStyle name="SAPBEXheaderItem 5 2 2 4" xfId="21054"/>
    <cellStyle name="SAPBEXheaderItem 5 2 2 4 2" xfId="41929"/>
    <cellStyle name="SAPBEXheaderItem 5 2 2 5" xfId="15255"/>
    <cellStyle name="SAPBEXheaderItem 5 2 2 5 2" xfId="36131"/>
    <cellStyle name="SAPBEXheaderItem 5 2 2 6" xfId="27393"/>
    <cellStyle name="SAPBEXheaderItem 5 2 3" xfId="22009"/>
    <cellStyle name="SAPBEXheaderItem 5 2 3 2" xfId="42884"/>
    <cellStyle name="SAPBEXheaderItem 5 2 4" xfId="22439"/>
    <cellStyle name="SAPBEXheaderItem 5 2 4 2" xfId="43314"/>
    <cellStyle name="SAPBEXheaderItem 5 2 5" xfId="23830"/>
    <cellStyle name="SAPBEXheaderItem 5 2 5 2" xfId="44702"/>
    <cellStyle name="SAPBEXheaderItem 5 2 6" xfId="13437"/>
    <cellStyle name="SAPBEXheaderItem 5 2 6 2" xfId="34313"/>
    <cellStyle name="SAPBEXheaderItem 5 2 7" xfId="25575"/>
    <cellStyle name="SAPBEXheaderItem 5 3" xfId="8368"/>
    <cellStyle name="SAPBEXheaderItem 5 3 2" xfId="23057"/>
    <cellStyle name="SAPBEXheaderItem 5 3 2 2" xfId="43930"/>
    <cellStyle name="SAPBEXheaderItem 5 3 3" xfId="23671"/>
    <cellStyle name="SAPBEXheaderItem 5 3 3 2" xfId="44543"/>
    <cellStyle name="SAPBEXheaderItem 5 3 4" xfId="23992"/>
    <cellStyle name="SAPBEXheaderItem 5 3 4 2" xfId="44864"/>
    <cellStyle name="SAPBEXheaderItem 5 3 5" xfId="17373"/>
    <cellStyle name="SAPBEXheaderItem 5 3 5 2" xfId="38249"/>
    <cellStyle name="SAPBEXheaderItem 5 3 6" xfId="29511"/>
    <cellStyle name="SAPBEXheaderItem 5 4" xfId="10254"/>
    <cellStyle name="SAPBEXheaderItem 5 4 2" xfId="23539"/>
    <cellStyle name="SAPBEXheaderItem 5 4 2 2" xfId="44411"/>
    <cellStyle name="SAPBEXheaderItem 5 4 3" xfId="22194"/>
    <cellStyle name="SAPBEXheaderItem 5 4 3 2" xfId="43069"/>
    <cellStyle name="SAPBEXheaderItem 5 4 4" xfId="24026"/>
    <cellStyle name="SAPBEXheaderItem 5 4 4 2" xfId="44898"/>
    <cellStyle name="SAPBEXheaderItem 5 4 5" xfId="19025"/>
    <cellStyle name="SAPBEXheaderItem 5 4 5 2" xfId="39901"/>
    <cellStyle name="SAPBEXheaderItem 5 4 6" xfId="31165"/>
    <cellStyle name="SAPBEXheaderItem 5 5" xfId="21519"/>
    <cellStyle name="SAPBEXheaderItem 5 5 2" xfId="42394"/>
    <cellStyle name="SAPBEXheaderItem 5 6" xfId="21275"/>
    <cellStyle name="SAPBEXheaderItem 5 6 2" xfId="42150"/>
    <cellStyle name="SAPBEXheaderItem 5 7" xfId="23683"/>
    <cellStyle name="SAPBEXheaderItem 5 7 2" xfId="44555"/>
    <cellStyle name="SAPBEXheaderItem 5 8" xfId="12283"/>
    <cellStyle name="SAPBEXheaderItem 5 8 2" xfId="33172"/>
    <cellStyle name="SAPBEXheaderItem 5 9" xfId="24404"/>
    <cellStyle name="SAPBEXheaderItem 6" xfId="3824"/>
    <cellStyle name="SAPBEXheaderItem 6 2" xfId="6053"/>
    <cellStyle name="SAPBEXheaderItem 6 2 2" xfId="22412"/>
    <cellStyle name="SAPBEXheaderItem 6 2 2 2" xfId="43287"/>
    <cellStyle name="SAPBEXheaderItem 6 2 3" xfId="23345"/>
    <cellStyle name="SAPBEXheaderItem 6 2 3 2" xfId="44217"/>
    <cellStyle name="SAPBEXheaderItem 6 2 4" xfId="22898"/>
    <cellStyle name="SAPBEXheaderItem 6 2 4 2" xfId="43772"/>
    <cellStyle name="SAPBEXheaderItem 6 2 5" xfId="15062"/>
    <cellStyle name="SAPBEXheaderItem 6 2 5 2" xfId="35938"/>
    <cellStyle name="SAPBEXheaderItem 6 2 6" xfId="27200"/>
    <cellStyle name="SAPBEXheaderItem 6 3" xfId="21798"/>
    <cellStyle name="SAPBEXheaderItem 6 3 2" xfId="42673"/>
    <cellStyle name="SAPBEXheaderItem 6 4" xfId="24068"/>
    <cellStyle name="SAPBEXheaderItem 6 4 2" xfId="44940"/>
    <cellStyle name="SAPBEXheaderItem 6 5" xfId="23397"/>
    <cellStyle name="SAPBEXheaderItem 6 5 2" xfId="44269"/>
    <cellStyle name="SAPBEXheaderItem 6 6" xfId="13244"/>
    <cellStyle name="SAPBEXheaderItem 6 6 2" xfId="34120"/>
    <cellStyle name="SAPBEXheaderItem 6 7" xfId="25382"/>
    <cellStyle name="SAPBEXheaderItem 7" xfId="8364"/>
    <cellStyle name="SAPBEXheaderItem 7 2" xfId="23053"/>
    <cellStyle name="SAPBEXheaderItem 7 2 2" xfId="43926"/>
    <cellStyle name="SAPBEXheaderItem 7 3" xfId="23829"/>
    <cellStyle name="SAPBEXheaderItem 7 3 2" xfId="44701"/>
    <cellStyle name="SAPBEXheaderItem 7 4" xfId="24109"/>
    <cellStyle name="SAPBEXheaderItem 7 4 2" xfId="44980"/>
    <cellStyle name="SAPBEXheaderItem 7 5" xfId="17369"/>
    <cellStyle name="SAPBEXheaderItem 7 5 2" xfId="38245"/>
    <cellStyle name="SAPBEXheaderItem 7 6" xfId="29507"/>
    <cellStyle name="SAPBEXheaderItem 8" xfId="10250"/>
    <cellStyle name="SAPBEXheaderItem 8 2" xfId="23535"/>
    <cellStyle name="SAPBEXheaderItem 8 2 2" xfId="44407"/>
    <cellStyle name="SAPBEXheaderItem 8 3" xfId="22783"/>
    <cellStyle name="SAPBEXheaderItem 8 3 2" xfId="43658"/>
    <cellStyle name="SAPBEXheaderItem 8 4" xfId="23191"/>
    <cellStyle name="SAPBEXheaderItem 8 4 2" xfId="44064"/>
    <cellStyle name="SAPBEXheaderItem 8 5" xfId="19021"/>
    <cellStyle name="SAPBEXheaderItem 8 5 2" xfId="39897"/>
    <cellStyle name="SAPBEXheaderItem 8 6" xfId="31161"/>
    <cellStyle name="SAPBEXheaderItem 9" xfId="20908"/>
    <cellStyle name="SAPBEXheaderItem 9 2" xfId="41783"/>
    <cellStyle name="SAPBEXheaderText" xfId="1160"/>
    <cellStyle name="SAPBEXheaderText 10" xfId="21100"/>
    <cellStyle name="SAPBEXheaderText 10 2" xfId="41975"/>
    <cellStyle name="SAPBEXheaderText 11" xfId="21242"/>
    <cellStyle name="SAPBEXheaderText 11 2" xfId="42117"/>
    <cellStyle name="SAPBEXheaderText 12" xfId="12145"/>
    <cellStyle name="SAPBEXheaderText 12 2" xfId="33045"/>
    <cellStyle name="SAPBEXheaderText 13" xfId="24151"/>
    <cellStyle name="SAPBEXheaderText 13 2" xfId="45021"/>
    <cellStyle name="SAPBEXheaderText 14" xfId="24266"/>
    <cellStyle name="SAPBEXheaderText 14 2" xfId="45127"/>
    <cellStyle name="SAPBEXheaderText 2" xfId="2776"/>
    <cellStyle name="SAPBEXheaderText 2 10" xfId="24405"/>
    <cellStyle name="SAPBEXheaderText 2 2" xfId="4398"/>
    <cellStyle name="SAPBEXheaderText 2 2 2" xfId="6247"/>
    <cellStyle name="SAPBEXheaderText 2 2 2 2" xfId="22552"/>
    <cellStyle name="SAPBEXheaderText 2 2 2 2 2" xfId="43427"/>
    <cellStyle name="SAPBEXheaderText 2 2 2 3" xfId="24095"/>
    <cellStyle name="SAPBEXheaderText 2 2 2 3 2" xfId="44966"/>
    <cellStyle name="SAPBEXheaderText 2 2 2 4" xfId="23688"/>
    <cellStyle name="SAPBEXheaderText 2 2 2 4 2" xfId="44560"/>
    <cellStyle name="SAPBEXheaderText 2 2 2 5" xfId="15256"/>
    <cellStyle name="SAPBEXheaderText 2 2 2 5 2" xfId="36132"/>
    <cellStyle name="SAPBEXheaderText 2 2 2 6" xfId="27394"/>
    <cellStyle name="SAPBEXheaderText 2 2 3" xfId="22010"/>
    <cellStyle name="SAPBEXheaderText 2 2 3 2" xfId="42885"/>
    <cellStyle name="SAPBEXheaderText 2 2 4" xfId="24104"/>
    <cellStyle name="SAPBEXheaderText 2 2 4 2" xfId="44975"/>
    <cellStyle name="SAPBEXheaderText 2 2 5" xfId="22170"/>
    <cellStyle name="SAPBEXheaderText 2 2 5 2" xfId="43045"/>
    <cellStyle name="SAPBEXheaderText 2 2 6" xfId="13438"/>
    <cellStyle name="SAPBEXheaderText 2 2 6 2" xfId="34314"/>
    <cellStyle name="SAPBEXheaderText 2 2 7" xfId="25576"/>
    <cellStyle name="SAPBEXheaderText 2 3" xfId="8370"/>
    <cellStyle name="SAPBEXheaderText 2 3 2" xfId="23059"/>
    <cellStyle name="SAPBEXheaderText 2 3 2 2" xfId="43932"/>
    <cellStyle name="SAPBEXheaderText 2 3 3" xfId="21660"/>
    <cellStyle name="SAPBEXheaderText 2 3 3 2" xfId="42535"/>
    <cellStyle name="SAPBEXheaderText 2 3 4" xfId="21160"/>
    <cellStyle name="SAPBEXheaderText 2 3 4 2" xfId="42035"/>
    <cellStyle name="SAPBEXheaderText 2 3 5" xfId="17375"/>
    <cellStyle name="SAPBEXheaderText 2 3 5 2" xfId="38251"/>
    <cellStyle name="SAPBEXheaderText 2 3 6" xfId="29513"/>
    <cellStyle name="SAPBEXheaderText 2 4" xfId="10256"/>
    <cellStyle name="SAPBEXheaderText 2 4 2" xfId="23541"/>
    <cellStyle name="SAPBEXheaderText 2 4 2 2" xfId="44413"/>
    <cellStyle name="SAPBEXheaderText 2 4 3" xfId="23679"/>
    <cellStyle name="SAPBEXheaderText 2 4 3 2" xfId="44551"/>
    <cellStyle name="SAPBEXheaderText 2 4 4" xfId="23990"/>
    <cellStyle name="SAPBEXheaderText 2 4 4 2" xfId="44862"/>
    <cellStyle name="SAPBEXheaderText 2 4 5" xfId="19027"/>
    <cellStyle name="SAPBEXheaderText 2 4 5 2" xfId="39903"/>
    <cellStyle name="SAPBEXheaderText 2 4 6" xfId="31167"/>
    <cellStyle name="SAPBEXheaderText 2 5" xfId="20911"/>
    <cellStyle name="SAPBEXheaderText 2 5 2" xfId="41786"/>
    <cellStyle name="SAPBEXheaderText 2 6" xfId="21064"/>
    <cellStyle name="SAPBEXheaderText 2 6 2" xfId="41939"/>
    <cellStyle name="SAPBEXheaderText 2 7" xfId="21246"/>
    <cellStyle name="SAPBEXheaderText 2 7 2" xfId="42121"/>
    <cellStyle name="SAPBEXheaderText 2 8" xfId="12146"/>
    <cellStyle name="SAPBEXheaderText 2 8 2" xfId="33046"/>
    <cellStyle name="SAPBEXheaderText 2 9" xfId="24201"/>
    <cellStyle name="SAPBEXheaderText 2 9 2" xfId="45069"/>
    <cellStyle name="SAPBEXheaderText 3" xfId="2777"/>
    <cellStyle name="SAPBEXheaderText 3 2" xfId="4399"/>
    <cellStyle name="SAPBEXheaderText 3 2 2" xfId="6248"/>
    <cellStyle name="SAPBEXheaderText 3 2 2 2" xfId="22553"/>
    <cellStyle name="SAPBEXheaderText 3 2 2 2 2" xfId="43428"/>
    <cellStyle name="SAPBEXheaderText 3 2 2 3" xfId="23930"/>
    <cellStyle name="SAPBEXheaderText 3 2 2 3 2" xfId="44802"/>
    <cellStyle name="SAPBEXheaderText 3 2 2 4" xfId="23845"/>
    <cellStyle name="SAPBEXheaderText 3 2 2 4 2" xfId="44717"/>
    <cellStyle name="SAPBEXheaderText 3 2 2 5" xfId="15257"/>
    <cellStyle name="SAPBEXheaderText 3 2 2 5 2" xfId="36133"/>
    <cellStyle name="SAPBEXheaderText 3 2 2 6" xfId="27395"/>
    <cellStyle name="SAPBEXheaderText 3 2 3" xfId="22011"/>
    <cellStyle name="SAPBEXheaderText 3 2 3 2" xfId="42886"/>
    <cellStyle name="SAPBEXheaderText 3 2 4" xfId="23940"/>
    <cellStyle name="SAPBEXheaderText 3 2 4 2" xfId="44812"/>
    <cellStyle name="SAPBEXheaderText 3 2 5" xfId="22695"/>
    <cellStyle name="SAPBEXheaderText 3 2 5 2" xfId="43570"/>
    <cellStyle name="SAPBEXheaderText 3 2 6" xfId="13439"/>
    <cellStyle name="SAPBEXheaderText 3 2 6 2" xfId="34315"/>
    <cellStyle name="SAPBEXheaderText 3 2 7" xfId="25577"/>
    <cellStyle name="SAPBEXheaderText 3 3" xfId="8371"/>
    <cellStyle name="SAPBEXheaderText 3 3 2" xfId="23060"/>
    <cellStyle name="SAPBEXheaderText 3 3 2 2" xfId="43933"/>
    <cellStyle name="SAPBEXheaderText 3 3 3" xfId="23184"/>
    <cellStyle name="SAPBEXheaderText 3 3 3 2" xfId="44057"/>
    <cellStyle name="SAPBEXheaderText 3 3 4" xfId="22359"/>
    <cellStyle name="SAPBEXheaderText 3 3 4 2" xfId="43234"/>
    <cellStyle name="SAPBEXheaderText 3 3 5" xfId="17376"/>
    <cellStyle name="SAPBEXheaderText 3 3 5 2" xfId="38252"/>
    <cellStyle name="SAPBEXheaderText 3 3 6" xfId="29514"/>
    <cellStyle name="SAPBEXheaderText 3 4" xfId="10257"/>
    <cellStyle name="SAPBEXheaderText 3 4 2" xfId="23542"/>
    <cellStyle name="SAPBEXheaderText 3 4 2 2" xfId="44414"/>
    <cellStyle name="SAPBEXheaderText 3 4 3" xfId="23351"/>
    <cellStyle name="SAPBEXheaderText 3 4 3 2" xfId="44223"/>
    <cellStyle name="SAPBEXheaderText 3 4 4" xfId="20962"/>
    <cellStyle name="SAPBEXheaderText 3 4 4 2" xfId="41837"/>
    <cellStyle name="SAPBEXheaderText 3 4 5" xfId="19028"/>
    <cellStyle name="SAPBEXheaderText 3 4 5 2" xfId="39904"/>
    <cellStyle name="SAPBEXheaderText 3 4 6" xfId="31168"/>
    <cellStyle name="SAPBEXheaderText 3 5" xfId="21520"/>
    <cellStyle name="SAPBEXheaderText 3 5 2" xfId="42395"/>
    <cellStyle name="SAPBEXheaderText 3 6" xfId="21123"/>
    <cellStyle name="SAPBEXheaderText 3 6 2" xfId="41998"/>
    <cellStyle name="SAPBEXheaderText 3 7" xfId="21714"/>
    <cellStyle name="SAPBEXheaderText 3 7 2" xfId="42589"/>
    <cellStyle name="SAPBEXheaderText 3 8" xfId="12284"/>
    <cellStyle name="SAPBEXheaderText 3 8 2" xfId="33173"/>
    <cellStyle name="SAPBEXheaderText 3 9" xfId="24406"/>
    <cellStyle name="SAPBEXheaderText 4" xfId="2778"/>
    <cellStyle name="SAPBEXheaderText 4 2" xfId="4400"/>
    <cellStyle name="SAPBEXheaderText 4 2 2" xfId="6249"/>
    <cellStyle name="SAPBEXheaderText 4 2 2 2" xfId="22554"/>
    <cellStyle name="SAPBEXheaderText 4 2 2 2 2" xfId="43429"/>
    <cellStyle name="SAPBEXheaderText 4 2 2 3" xfId="23339"/>
    <cellStyle name="SAPBEXheaderText 4 2 2 3 2" xfId="44211"/>
    <cellStyle name="SAPBEXheaderText 4 2 2 4" xfId="23174"/>
    <cellStyle name="SAPBEXheaderText 4 2 2 4 2" xfId="44047"/>
    <cellStyle name="SAPBEXheaderText 4 2 2 5" xfId="15258"/>
    <cellStyle name="SAPBEXheaderText 4 2 2 5 2" xfId="36134"/>
    <cellStyle name="SAPBEXheaderText 4 2 2 6" xfId="27396"/>
    <cellStyle name="SAPBEXheaderText 4 2 3" xfId="22012"/>
    <cellStyle name="SAPBEXheaderText 4 2 3 2" xfId="42887"/>
    <cellStyle name="SAPBEXheaderText 4 2 4" xfId="22876"/>
    <cellStyle name="SAPBEXheaderText 4 2 4 2" xfId="43750"/>
    <cellStyle name="SAPBEXheaderText 4 2 5" xfId="20999"/>
    <cellStyle name="SAPBEXheaderText 4 2 5 2" xfId="41874"/>
    <cellStyle name="SAPBEXheaderText 4 2 6" xfId="13440"/>
    <cellStyle name="SAPBEXheaderText 4 2 6 2" xfId="34316"/>
    <cellStyle name="SAPBEXheaderText 4 2 7" xfId="25578"/>
    <cellStyle name="SAPBEXheaderText 4 3" xfId="8372"/>
    <cellStyle name="SAPBEXheaderText 4 3 2" xfId="23061"/>
    <cellStyle name="SAPBEXheaderText 4 3 2 2" xfId="43934"/>
    <cellStyle name="SAPBEXheaderText 4 3 3" xfId="20983"/>
    <cellStyle name="SAPBEXheaderText 4 3 3 2" xfId="41858"/>
    <cellStyle name="SAPBEXheaderText 4 3 4" xfId="21347"/>
    <cellStyle name="SAPBEXheaderText 4 3 4 2" xfId="42222"/>
    <cellStyle name="SAPBEXheaderText 4 3 5" xfId="17377"/>
    <cellStyle name="SAPBEXheaderText 4 3 5 2" xfId="38253"/>
    <cellStyle name="SAPBEXheaderText 4 3 6" xfId="29515"/>
    <cellStyle name="SAPBEXheaderText 4 4" xfId="10258"/>
    <cellStyle name="SAPBEXheaderText 4 4 2" xfId="23543"/>
    <cellStyle name="SAPBEXheaderText 4 4 2 2" xfId="44415"/>
    <cellStyle name="SAPBEXheaderText 4 4 3" xfId="23215"/>
    <cellStyle name="SAPBEXheaderText 4 4 3 2" xfId="44088"/>
    <cellStyle name="SAPBEXheaderText 4 4 4" xfId="21077"/>
    <cellStyle name="SAPBEXheaderText 4 4 4 2" xfId="41952"/>
    <cellStyle name="SAPBEXheaderText 4 4 5" xfId="19029"/>
    <cellStyle name="SAPBEXheaderText 4 4 5 2" xfId="39905"/>
    <cellStyle name="SAPBEXheaderText 4 4 6" xfId="31169"/>
    <cellStyle name="SAPBEXheaderText 4 5" xfId="21521"/>
    <cellStyle name="SAPBEXheaderText 4 5 2" xfId="42396"/>
    <cellStyle name="SAPBEXheaderText 4 6" xfId="23854"/>
    <cellStyle name="SAPBEXheaderText 4 6 2" xfId="44726"/>
    <cellStyle name="SAPBEXheaderText 4 7" xfId="21317"/>
    <cellStyle name="SAPBEXheaderText 4 7 2" xfId="42192"/>
    <cellStyle name="SAPBEXheaderText 4 8" xfId="12285"/>
    <cellStyle name="SAPBEXheaderText 4 8 2" xfId="33174"/>
    <cellStyle name="SAPBEXheaderText 4 9" xfId="24407"/>
    <cellStyle name="SAPBEXheaderText 5" xfId="2779"/>
    <cellStyle name="SAPBEXheaderText 5 2" xfId="4401"/>
    <cellStyle name="SAPBEXheaderText 5 2 2" xfId="6250"/>
    <cellStyle name="SAPBEXheaderText 5 2 2 2" xfId="22555"/>
    <cellStyle name="SAPBEXheaderText 5 2 2 2 2" xfId="43430"/>
    <cellStyle name="SAPBEXheaderText 5 2 2 3" xfId="23168"/>
    <cellStyle name="SAPBEXheaderText 5 2 2 3 2" xfId="44041"/>
    <cellStyle name="SAPBEXheaderText 5 2 2 4" xfId="21279"/>
    <cellStyle name="SAPBEXheaderText 5 2 2 4 2" xfId="42154"/>
    <cellStyle name="SAPBEXheaderText 5 2 2 5" xfId="15259"/>
    <cellStyle name="SAPBEXheaderText 5 2 2 5 2" xfId="36135"/>
    <cellStyle name="SAPBEXheaderText 5 2 2 6" xfId="27397"/>
    <cellStyle name="SAPBEXheaderText 5 2 3" xfId="22013"/>
    <cellStyle name="SAPBEXheaderText 5 2 3 2" xfId="42888"/>
    <cellStyle name="SAPBEXheaderText 5 2 4" xfId="22648"/>
    <cellStyle name="SAPBEXheaderText 5 2 4 2" xfId="43523"/>
    <cellStyle name="SAPBEXheaderText 5 2 5" xfId="23434"/>
    <cellStyle name="SAPBEXheaderText 5 2 5 2" xfId="44306"/>
    <cellStyle name="SAPBEXheaderText 5 2 6" xfId="13441"/>
    <cellStyle name="SAPBEXheaderText 5 2 6 2" xfId="34317"/>
    <cellStyle name="SAPBEXheaderText 5 2 7" xfId="25579"/>
    <cellStyle name="SAPBEXheaderText 5 3" xfId="8373"/>
    <cellStyle name="SAPBEXheaderText 5 3 2" xfId="23062"/>
    <cellStyle name="SAPBEXheaderText 5 3 2 2" xfId="43935"/>
    <cellStyle name="SAPBEXheaderText 5 3 3" xfId="22221"/>
    <cellStyle name="SAPBEXheaderText 5 3 3 2" xfId="43096"/>
    <cellStyle name="SAPBEXheaderText 5 3 4" xfId="21004"/>
    <cellStyle name="SAPBEXheaderText 5 3 4 2" xfId="41879"/>
    <cellStyle name="SAPBEXheaderText 5 3 5" xfId="17378"/>
    <cellStyle name="SAPBEXheaderText 5 3 5 2" xfId="38254"/>
    <cellStyle name="SAPBEXheaderText 5 3 6" xfId="29516"/>
    <cellStyle name="SAPBEXheaderText 5 4" xfId="10259"/>
    <cellStyle name="SAPBEXheaderText 5 4 2" xfId="23544"/>
    <cellStyle name="SAPBEXheaderText 5 4 2 2" xfId="44416"/>
    <cellStyle name="SAPBEXheaderText 5 4 3" xfId="22726"/>
    <cellStyle name="SAPBEXheaderText 5 4 3 2" xfId="43601"/>
    <cellStyle name="SAPBEXheaderText 5 4 4" xfId="21292"/>
    <cellStyle name="SAPBEXheaderText 5 4 4 2" xfId="42167"/>
    <cellStyle name="SAPBEXheaderText 5 4 5" xfId="19030"/>
    <cellStyle name="SAPBEXheaderText 5 4 5 2" xfId="39906"/>
    <cellStyle name="SAPBEXheaderText 5 4 6" xfId="31170"/>
    <cellStyle name="SAPBEXheaderText 5 5" xfId="21522"/>
    <cellStyle name="SAPBEXheaderText 5 5 2" xfId="42397"/>
    <cellStyle name="SAPBEXheaderText 5 6" xfId="22365"/>
    <cellStyle name="SAPBEXheaderText 5 6 2" xfId="43240"/>
    <cellStyle name="SAPBEXheaderText 5 7" xfId="23776"/>
    <cellStyle name="SAPBEXheaderText 5 7 2" xfId="44648"/>
    <cellStyle name="SAPBEXheaderText 5 8" xfId="12286"/>
    <cellStyle name="SAPBEXheaderText 5 8 2" xfId="33175"/>
    <cellStyle name="SAPBEXheaderText 5 9" xfId="24408"/>
    <cellStyle name="SAPBEXheaderText 6" xfId="3825"/>
    <cellStyle name="SAPBEXheaderText 6 2" xfId="6054"/>
    <cellStyle name="SAPBEXheaderText 6 2 2" xfId="22413"/>
    <cellStyle name="SAPBEXheaderText 6 2 2 2" xfId="43288"/>
    <cellStyle name="SAPBEXheaderText 6 2 3" xfId="23859"/>
    <cellStyle name="SAPBEXheaderText 6 2 3 2" xfId="44731"/>
    <cellStyle name="SAPBEXheaderText 6 2 4" xfId="21192"/>
    <cellStyle name="SAPBEXheaderText 6 2 4 2" xfId="42067"/>
    <cellStyle name="SAPBEXheaderText 6 2 5" xfId="15063"/>
    <cellStyle name="SAPBEXheaderText 6 2 5 2" xfId="35939"/>
    <cellStyle name="SAPBEXheaderText 6 2 6" xfId="27201"/>
    <cellStyle name="SAPBEXheaderText 6 3" xfId="21799"/>
    <cellStyle name="SAPBEXheaderText 6 3 2" xfId="42674"/>
    <cellStyle name="SAPBEXheaderText 6 4" xfId="21159"/>
    <cellStyle name="SAPBEXheaderText 6 4 2" xfId="42034"/>
    <cellStyle name="SAPBEXheaderText 6 5" xfId="23396"/>
    <cellStyle name="SAPBEXheaderText 6 5 2" xfId="44268"/>
    <cellStyle name="SAPBEXheaderText 6 6" xfId="13245"/>
    <cellStyle name="SAPBEXheaderText 6 6 2" xfId="34121"/>
    <cellStyle name="SAPBEXheaderText 6 7" xfId="25383"/>
    <cellStyle name="SAPBEXheaderText 7" xfId="8369"/>
    <cellStyle name="SAPBEXheaderText 7 2" xfId="23058"/>
    <cellStyle name="SAPBEXheaderText 7 2 2" xfId="43931"/>
    <cellStyle name="SAPBEXheaderText 7 3" xfId="21739"/>
    <cellStyle name="SAPBEXheaderText 7 3 2" xfId="42614"/>
    <cellStyle name="SAPBEXheaderText 7 4" xfId="20995"/>
    <cellStyle name="SAPBEXheaderText 7 4 2" xfId="41870"/>
    <cellStyle name="SAPBEXheaderText 7 5" xfId="17374"/>
    <cellStyle name="SAPBEXheaderText 7 5 2" xfId="38250"/>
    <cellStyle name="SAPBEXheaderText 7 6" xfId="29512"/>
    <cellStyle name="SAPBEXheaderText 8" xfId="10255"/>
    <cellStyle name="SAPBEXheaderText 8 2" xfId="23540"/>
    <cellStyle name="SAPBEXheaderText 8 2 2" xfId="44412"/>
    <cellStyle name="SAPBEXheaderText 8 3" xfId="21700"/>
    <cellStyle name="SAPBEXheaderText 8 3 2" xfId="42575"/>
    <cellStyle name="SAPBEXheaderText 8 4" xfId="22818"/>
    <cellStyle name="SAPBEXheaderText 8 4 2" xfId="43693"/>
    <cellStyle name="SAPBEXheaderText 8 5" xfId="19026"/>
    <cellStyle name="SAPBEXheaderText 8 5 2" xfId="39902"/>
    <cellStyle name="SAPBEXheaderText 8 6" xfId="31166"/>
    <cellStyle name="SAPBEXheaderText 9" xfId="20910"/>
    <cellStyle name="SAPBEXheaderText 9 2" xfId="41785"/>
    <cellStyle name="SAPBEXHLevel0" xfId="1161"/>
    <cellStyle name="SAPBEXHLevel0 10" xfId="23664"/>
    <cellStyle name="SAPBEXHLevel0 10 2" xfId="44536"/>
    <cellStyle name="SAPBEXHLevel0 11" xfId="20862"/>
    <cellStyle name="SAPBEXHLevel0 11 2" xfId="41738"/>
    <cellStyle name="SAPBEXHLevel0 12" xfId="12147"/>
    <cellStyle name="SAPBEXHLevel0 12 2" xfId="33047"/>
    <cellStyle name="SAPBEXHLevel0 13" xfId="24150"/>
    <cellStyle name="SAPBEXHLevel0 13 2" xfId="45020"/>
    <cellStyle name="SAPBEXHLevel0 14" xfId="24267"/>
    <cellStyle name="SAPBEXHLevel0 14 2" xfId="45128"/>
    <cellStyle name="SAPBEXHLevel0 2" xfId="2780"/>
    <cellStyle name="SAPBEXHLevel0 2 10" xfId="24409"/>
    <cellStyle name="SAPBEXHLevel0 2 2" xfId="4402"/>
    <cellStyle name="SAPBEXHLevel0 2 2 2" xfId="6251"/>
    <cellStyle name="SAPBEXHLevel0 2 2 2 2" xfId="22556"/>
    <cellStyle name="SAPBEXHLevel0 2 2 2 2 2" xfId="43431"/>
    <cellStyle name="SAPBEXHLevel0 2 2 2 3" xfId="24052"/>
    <cellStyle name="SAPBEXHLevel0 2 2 2 3 2" xfId="44924"/>
    <cellStyle name="SAPBEXHLevel0 2 2 2 4" xfId="22217"/>
    <cellStyle name="SAPBEXHLevel0 2 2 2 4 2" xfId="43092"/>
    <cellStyle name="SAPBEXHLevel0 2 2 2 5" xfId="15260"/>
    <cellStyle name="SAPBEXHLevel0 2 2 2 5 2" xfId="36136"/>
    <cellStyle name="SAPBEXHLevel0 2 2 2 6" xfId="27398"/>
    <cellStyle name="SAPBEXHLevel0 2 2 3" xfId="22014"/>
    <cellStyle name="SAPBEXHLevel0 2 2 3 2" xfId="42889"/>
    <cellStyle name="SAPBEXHLevel0 2 2 4" xfId="24063"/>
    <cellStyle name="SAPBEXHLevel0 2 2 4 2" xfId="44935"/>
    <cellStyle name="SAPBEXHLevel0 2 2 5" xfId="22262"/>
    <cellStyle name="SAPBEXHLevel0 2 2 5 2" xfId="43137"/>
    <cellStyle name="SAPBEXHLevel0 2 2 6" xfId="13442"/>
    <cellStyle name="SAPBEXHLevel0 2 2 6 2" xfId="34318"/>
    <cellStyle name="SAPBEXHLevel0 2 2 7" xfId="25580"/>
    <cellStyle name="SAPBEXHLevel0 2 3" xfId="8375"/>
    <cellStyle name="SAPBEXHLevel0 2 3 2" xfId="23064"/>
    <cellStyle name="SAPBEXHLevel0 2 3 2 2" xfId="43937"/>
    <cellStyle name="SAPBEXHLevel0 2 3 3" xfId="23252"/>
    <cellStyle name="SAPBEXHLevel0 2 3 3 2" xfId="44125"/>
    <cellStyle name="SAPBEXHLevel0 2 3 4" xfId="23715"/>
    <cellStyle name="SAPBEXHLevel0 2 3 4 2" xfId="44587"/>
    <cellStyle name="SAPBEXHLevel0 2 3 5" xfId="17380"/>
    <cellStyle name="SAPBEXHLevel0 2 3 5 2" xfId="38256"/>
    <cellStyle name="SAPBEXHLevel0 2 3 6" xfId="29518"/>
    <cellStyle name="SAPBEXHLevel0 2 4" xfId="10261"/>
    <cellStyle name="SAPBEXHLevel0 2 4 2" xfId="23546"/>
    <cellStyle name="SAPBEXHLevel0 2 4 2 2" xfId="44418"/>
    <cellStyle name="SAPBEXHLevel0 2 4 3" xfId="22832"/>
    <cellStyle name="SAPBEXHLevel0 2 4 3 2" xfId="43707"/>
    <cellStyle name="SAPBEXHLevel0 2 4 4" xfId="22337"/>
    <cellStyle name="SAPBEXHLevel0 2 4 4 2" xfId="43212"/>
    <cellStyle name="SAPBEXHLevel0 2 4 5" xfId="19032"/>
    <cellStyle name="SAPBEXHLevel0 2 4 5 2" xfId="39908"/>
    <cellStyle name="SAPBEXHLevel0 2 4 6" xfId="31172"/>
    <cellStyle name="SAPBEXHLevel0 2 5" xfId="20913"/>
    <cellStyle name="SAPBEXHLevel0 2 5 2" xfId="41788"/>
    <cellStyle name="SAPBEXHLevel0 2 6" xfId="23239"/>
    <cellStyle name="SAPBEXHLevel0 2 6 2" xfId="44112"/>
    <cellStyle name="SAPBEXHLevel0 2 7" xfId="22678"/>
    <cellStyle name="SAPBEXHLevel0 2 7 2" xfId="43553"/>
    <cellStyle name="SAPBEXHLevel0 2 8" xfId="12148"/>
    <cellStyle name="SAPBEXHLevel0 2 8 2" xfId="33048"/>
    <cellStyle name="SAPBEXHLevel0 2 9" xfId="24202"/>
    <cellStyle name="SAPBEXHLevel0 2 9 2" xfId="45070"/>
    <cellStyle name="SAPBEXHLevel0 3" xfId="2781"/>
    <cellStyle name="SAPBEXHLevel0 3 2" xfId="4403"/>
    <cellStyle name="SAPBEXHLevel0 3 2 2" xfId="6252"/>
    <cellStyle name="SAPBEXHLevel0 3 2 2 2" xfId="22557"/>
    <cellStyle name="SAPBEXHLevel0 3 2 2 2 2" xfId="43432"/>
    <cellStyle name="SAPBEXHLevel0 3 2 2 3" xfId="21167"/>
    <cellStyle name="SAPBEXHLevel0 3 2 2 3 2" xfId="42042"/>
    <cellStyle name="SAPBEXHLevel0 3 2 2 4" xfId="23729"/>
    <cellStyle name="SAPBEXHLevel0 3 2 2 4 2" xfId="44601"/>
    <cellStyle name="SAPBEXHLevel0 3 2 2 5" xfId="15261"/>
    <cellStyle name="SAPBEXHLevel0 3 2 2 5 2" xfId="36137"/>
    <cellStyle name="SAPBEXHLevel0 3 2 2 6" xfId="27399"/>
    <cellStyle name="SAPBEXHLevel0 3 2 3" xfId="22015"/>
    <cellStyle name="SAPBEXHLevel0 3 2 3 2" xfId="42890"/>
    <cellStyle name="SAPBEXHLevel0 3 2 4" xfId="20849"/>
    <cellStyle name="SAPBEXHLevel0 3 2 4 2" xfId="41725"/>
    <cellStyle name="SAPBEXHLevel0 3 2 5" xfId="22267"/>
    <cellStyle name="SAPBEXHLevel0 3 2 5 2" xfId="43142"/>
    <cellStyle name="SAPBEXHLevel0 3 2 6" xfId="13443"/>
    <cellStyle name="SAPBEXHLevel0 3 2 6 2" xfId="34319"/>
    <cellStyle name="SAPBEXHLevel0 3 2 7" xfId="25581"/>
    <cellStyle name="SAPBEXHLevel0 3 3" xfId="8376"/>
    <cellStyle name="SAPBEXHLevel0 3 3 2" xfId="23065"/>
    <cellStyle name="SAPBEXHLevel0 3 3 2 2" xfId="43938"/>
    <cellStyle name="SAPBEXHLevel0 3 3 3" xfId="20979"/>
    <cellStyle name="SAPBEXHLevel0 3 3 3 2" xfId="41854"/>
    <cellStyle name="SAPBEXHLevel0 3 3 4" xfId="21068"/>
    <cellStyle name="SAPBEXHLevel0 3 3 4 2" xfId="41943"/>
    <cellStyle name="SAPBEXHLevel0 3 3 5" xfId="17381"/>
    <cellStyle name="SAPBEXHLevel0 3 3 5 2" xfId="38257"/>
    <cellStyle name="SAPBEXHLevel0 3 3 6" xfId="29519"/>
    <cellStyle name="SAPBEXHLevel0 3 4" xfId="10262"/>
    <cellStyle name="SAPBEXHLevel0 3 4 2" xfId="23547"/>
    <cellStyle name="SAPBEXHLevel0 3 4 2 2" xfId="44419"/>
    <cellStyle name="SAPBEXHLevel0 3 4 3" xfId="22947"/>
    <cellStyle name="SAPBEXHLevel0 3 4 3 2" xfId="43821"/>
    <cellStyle name="SAPBEXHLevel0 3 4 4" xfId="21833"/>
    <cellStyle name="SAPBEXHLevel0 3 4 4 2" xfId="42708"/>
    <cellStyle name="SAPBEXHLevel0 3 4 5" xfId="19033"/>
    <cellStyle name="SAPBEXHLevel0 3 4 5 2" xfId="39909"/>
    <cellStyle name="SAPBEXHLevel0 3 4 6" xfId="31173"/>
    <cellStyle name="SAPBEXHLevel0 3 5" xfId="21524"/>
    <cellStyle name="SAPBEXHLevel0 3 5 2" xfId="42399"/>
    <cellStyle name="SAPBEXHLevel0 3 6" xfId="23375"/>
    <cellStyle name="SAPBEXHLevel0 3 6 2" xfId="44247"/>
    <cellStyle name="SAPBEXHLevel0 3 7" xfId="21050"/>
    <cellStyle name="SAPBEXHLevel0 3 7 2" xfId="41925"/>
    <cellStyle name="SAPBEXHLevel0 3 8" xfId="12287"/>
    <cellStyle name="SAPBEXHLevel0 3 8 2" xfId="33176"/>
    <cellStyle name="SAPBEXHLevel0 3 9" xfId="24410"/>
    <cellStyle name="SAPBEXHLevel0 4" xfId="2782"/>
    <cellStyle name="SAPBEXHLevel0 4 2" xfId="4404"/>
    <cellStyle name="SAPBEXHLevel0 4 2 2" xfId="6253"/>
    <cellStyle name="SAPBEXHLevel0 4 2 2 2" xfId="22558"/>
    <cellStyle name="SAPBEXHLevel0 4 2 2 2 2" xfId="43433"/>
    <cellStyle name="SAPBEXHLevel0 4 2 2 3" xfId="21285"/>
    <cellStyle name="SAPBEXHLevel0 4 2 2 3 2" xfId="42160"/>
    <cellStyle name="SAPBEXHLevel0 4 2 2 4" xfId="21661"/>
    <cellStyle name="SAPBEXHLevel0 4 2 2 4 2" xfId="42536"/>
    <cellStyle name="SAPBEXHLevel0 4 2 2 5" xfId="15262"/>
    <cellStyle name="SAPBEXHLevel0 4 2 2 5 2" xfId="36138"/>
    <cellStyle name="SAPBEXHLevel0 4 2 2 6" xfId="27400"/>
    <cellStyle name="SAPBEXHLevel0 4 2 3" xfId="22016"/>
    <cellStyle name="SAPBEXHLevel0 4 2 3 2" xfId="42891"/>
    <cellStyle name="SAPBEXHLevel0 4 2 4" xfId="21008"/>
    <cellStyle name="SAPBEXHLevel0 4 2 4 2" xfId="41883"/>
    <cellStyle name="SAPBEXHLevel0 4 2 5" xfId="23185"/>
    <cellStyle name="SAPBEXHLevel0 4 2 5 2" xfId="44058"/>
    <cellStyle name="SAPBEXHLevel0 4 2 6" xfId="13444"/>
    <cellStyle name="SAPBEXHLevel0 4 2 6 2" xfId="34320"/>
    <cellStyle name="SAPBEXHLevel0 4 2 7" xfId="25582"/>
    <cellStyle name="SAPBEXHLevel0 4 3" xfId="8377"/>
    <cellStyle name="SAPBEXHLevel0 4 3 2" xfId="23066"/>
    <cellStyle name="SAPBEXHLevel0 4 3 2 2" xfId="43939"/>
    <cellStyle name="SAPBEXHLevel0 4 3 3" xfId="21887"/>
    <cellStyle name="SAPBEXHLevel0 4 3 3 2" xfId="42762"/>
    <cellStyle name="SAPBEXHLevel0 4 3 4" xfId="22680"/>
    <cellStyle name="SAPBEXHLevel0 4 3 4 2" xfId="43555"/>
    <cellStyle name="SAPBEXHLevel0 4 3 5" xfId="17382"/>
    <cellStyle name="SAPBEXHLevel0 4 3 5 2" xfId="38258"/>
    <cellStyle name="SAPBEXHLevel0 4 3 6" xfId="29520"/>
    <cellStyle name="SAPBEXHLevel0 4 4" xfId="10263"/>
    <cellStyle name="SAPBEXHLevel0 4 4 2" xfId="23548"/>
    <cellStyle name="SAPBEXHLevel0 4 4 2 2" xfId="44420"/>
    <cellStyle name="SAPBEXHLevel0 4 4 3" xfId="23267"/>
    <cellStyle name="SAPBEXHLevel0 4 4 3 2" xfId="44140"/>
    <cellStyle name="SAPBEXHLevel0 4 4 4" xfId="22137"/>
    <cellStyle name="SAPBEXHLevel0 4 4 4 2" xfId="43012"/>
    <cellStyle name="SAPBEXHLevel0 4 4 5" xfId="19034"/>
    <cellStyle name="SAPBEXHLevel0 4 4 5 2" xfId="39910"/>
    <cellStyle name="SAPBEXHLevel0 4 4 6" xfId="31174"/>
    <cellStyle name="SAPBEXHLevel0 4 5" xfId="21525"/>
    <cellStyle name="SAPBEXHLevel0 4 5 2" xfId="42400"/>
    <cellStyle name="SAPBEXHLevel0 4 6" xfId="21618"/>
    <cellStyle name="SAPBEXHLevel0 4 6 2" xfId="42493"/>
    <cellStyle name="SAPBEXHLevel0 4 7" xfId="21393"/>
    <cellStyle name="SAPBEXHLevel0 4 7 2" xfId="42268"/>
    <cellStyle name="SAPBEXHLevel0 4 8" xfId="12288"/>
    <cellStyle name="SAPBEXHLevel0 4 8 2" xfId="33177"/>
    <cellStyle name="SAPBEXHLevel0 4 9" xfId="24411"/>
    <cellStyle name="SAPBEXHLevel0 5" xfId="2783"/>
    <cellStyle name="SAPBEXHLevel0 5 2" xfId="4405"/>
    <cellStyle name="SAPBEXHLevel0 5 2 2" xfId="6254"/>
    <cellStyle name="SAPBEXHLevel0 5 2 2 2" xfId="22559"/>
    <cellStyle name="SAPBEXHLevel0 5 2 2 2 2" xfId="43434"/>
    <cellStyle name="SAPBEXHLevel0 5 2 2 3" xfId="21071"/>
    <cellStyle name="SAPBEXHLevel0 5 2 2 3 2" xfId="41946"/>
    <cellStyle name="SAPBEXHLevel0 5 2 2 4" xfId="22748"/>
    <cellStyle name="SAPBEXHLevel0 5 2 2 4 2" xfId="43623"/>
    <cellStyle name="SAPBEXHLevel0 5 2 2 5" xfId="15263"/>
    <cellStyle name="SAPBEXHLevel0 5 2 2 5 2" xfId="36139"/>
    <cellStyle name="SAPBEXHLevel0 5 2 2 6" xfId="27401"/>
    <cellStyle name="SAPBEXHLevel0 5 2 3" xfId="22017"/>
    <cellStyle name="SAPBEXHLevel0 5 2 3 2" xfId="42892"/>
    <cellStyle name="SAPBEXHLevel0 5 2 4" xfId="21373"/>
    <cellStyle name="SAPBEXHLevel0 5 2 4 2" xfId="42248"/>
    <cellStyle name="SAPBEXHLevel0 5 2 5" xfId="23652"/>
    <cellStyle name="SAPBEXHLevel0 5 2 5 2" xfId="44524"/>
    <cellStyle name="SAPBEXHLevel0 5 2 6" xfId="13445"/>
    <cellStyle name="SAPBEXHLevel0 5 2 6 2" xfId="34321"/>
    <cellStyle name="SAPBEXHLevel0 5 2 7" xfId="25583"/>
    <cellStyle name="SAPBEXHLevel0 5 3" xfId="8378"/>
    <cellStyle name="SAPBEXHLevel0 5 3 2" xfId="23067"/>
    <cellStyle name="SAPBEXHLevel0 5 3 2 2" xfId="43940"/>
    <cellStyle name="SAPBEXHLevel0 5 3 3" xfId="21693"/>
    <cellStyle name="SAPBEXHLevel0 5 3 3 2" xfId="42568"/>
    <cellStyle name="SAPBEXHLevel0 5 3 4" xfId="21255"/>
    <cellStyle name="SAPBEXHLevel0 5 3 4 2" xfId="42130"/>
    <cellStyle name="SAPBEXHLevel0 5 3 5" xfId="17383"/>
    <cellStyle name="SAPBEXHLevel0 5 3 5 2" xfId="38259"/>
    <cellStyle name="SAPBEXHLevel0 5 3 6" xfId="29521"/>
    <cellStyle name="SAPBEXHLevel0 5 4" xfId="10264"/>
    <cellStyle name="SAPBEXHLevel0 5 4 2" xfId="23549"/>
    <cellStyle name="SAPBEXHLevel0 5 4 2 2" xfId="44421"/>
    <cellStyle name="SAPBEXHLevel0 5 4 3" xfId="23403"/>
    <cellStyle name="SAPBEXHLevel0 5 4 3 2" xfId="44275"/>
    <cellStyle name="SAPBEXHLevel0 5 4 4" xfId="23783"/>
    <cellStyle name="SAPBEXHLevel0 5 4 4 2" xfId="44655"/>
    <cellStyle name="SAPBEXHLevel0 5 4 5" xfId="19035"/>
    <cellStyle name="SAPBEXHLevel0 5 4 5 2" xfId="39911"/>
    <cellStyle name="SAPBEXHLevel0 5 4 6" xfId="31175"/>
    <cellStyle name="SAPBEXHLevel0 5 5" xfId="21526"/>
    <cellStyle name="SAPBEXHLevel0 5 5 2" xfId="42401"/>
    <cellStyle name="SAPBEXHLevel0 5 6" xfId="21181"/>
    <cellStyle name="SAPBEXHLevel0 5 6 2" xfId="42056"/>
    <cellStyle name="SAPBEXHLevel0 5 7" xfId="22787"/>
    <cellStyle name="SAPBEXHLevel0 5 7 2" xfId="43662"/>
    <cellStyle name="SAPBEXHLevel0 5 8" xfId="12289"/>
    <cellStyle name="SAPBEXHLevel0 5 8 2" xfId="33178"/>
    <cellStyle name="SAPBEXHLevel0 5 9" xfId="24412"/>
    <cellStyle name="SAPBEXHLevel0 6" xfId="3826"/>
    <cellStyle name="SAPBEXHLevel0 6 2" xfId="6055"/>
    <cellStyle name="SAPBEXHLevel0 6 2 2" xfId="22414"/>
    <cellStyle name="SAPBEXHLevel0 6 2 2 2" xfId="43289"/>
    <cellStyle name="SAPBEXHLevel0 6 2 3" xfId="21822"/>
    <cellStyle name="SAPBEXHLevel0 6 2 3 2" xfId="42697"/>
    <cellStyle name="SAPBEXHLevel0 6 2 4" xfId="23378"/>
    <cellStyle name="SAPBEXHLevel0 6 2 4 2" xfId="44250"/>
    <cellStyle name="SAPBEXHLevel0 6 2 5" xfId="15064"/>
    <cellStyle name="SAPBEXHLevel0 6 2 5 2" xfId="35940"/>
    <cellStyle name="SAPBEXHLevel0 6 2 6" xfId="27202"/>
    <cellStyle name="SAPBEXHLevel0 6 3" xfId="21800"/>
    <cellStyle name="SAPBEXHLevel0 6 3 2" xfId="42675"/>
    <cellStyle name="SAPBEXHLevel0 6 4" xfId="21277"/>
    <cellStyle name="SAPBEXHLevel0 6 4 2" xfId="42152"/>
    <cellStyle name="SAPBEXHLevel0 6 5" xfId="23840"/>
    <cellStyle name="SAPBEXHLevel0 6 5 2" xfId="44712"/>
    <cellStyle name="SAPBEXHLevel0 6 6" xfId="13246"/>
    <cellStyle name="SAPBEXHLevel0 6 6 2" xfId="34122"/>
    <cellStyle name="SAPBEXHLevel0 6 7" xfId="25384"/>
    <cellStyle name="SAPBEXHLevel0 7" xfId="8374"/>
    <cellStyle name="SAPBEXHLevel0 7 2" xfId="23063"/>
    <cellStyle name="SAPBEXHLevel0 7 2 2" xfId="43936"/>
    <cellStyle name="SAPBEXHLevel0 7 3" xfId="21694"/>
    <cellStyle name="SAPBEXHLevel0 7 3 2" xfId="42569"/>
    <cellStyle name="SAPBEXHLevel0 7 4" xfId="21896"/>
    <cellStyle name="SAPBEXHLevel0 7 4 2" xfId="42771"/>
    <cellStyle name="SAPBEXHLevel0 7 5" xfId="17379"/>
    <cellStyle name="SAPBEXHLevel0 7 5 2" xfId="38255"/>
    <cellStyle name="SAPBEXHLevel0 7 6" xfId="29517"/>
    <cellStyle name="SAPBEXHLevel0 8" xfId="10260"/>
    <cellStyle name="SAPBEXHLevel0 8 2" xfId="23545"/>
    <cellStyle name="SAPBEXHLevel0 8 2 2" xfId="44417"/>
    <cellStyle name="SAPBEXHLevel0 8 3" xfId="22351"/>
    <cellStyle name="SAPBEXHLevel0 8 3 2" xfId="43226"/>
    <cellStyle name="SAPBEXHLevel0 8 4" xfId="20844"/>
    <cellStyle name="SAPBEXHLevel0 8 4 2" xfId="41720"/>
    <cellStyle name="SAPBEXHLevel0 8 5" xfId="19031"/>
    <cellStyle name="SAPBEXHLevel0 8 5 2" xfId="39907"/>
    <cellStyle name="SAPBEXHLevel0 8 6" xfId="31171"/>
    <cellStyle name="SAPBEXHLevel0 9" xfId="20912"/>
    <cellStyle name="SAPBEXHLevel0 9 2" xfId="41787"/>
    <cellStyle name="SAPBEXHLevel0X" xfId="1162"/>
    <cellStyle name="SAPBEXHLevel0X 10" xfId="22094"/>
    <cellStyle name="SAPBEXHLevel0X 10 2" xfId="42969"/>
    <cellStyle name="SAPBEXHLevel0X 11" xfId="22328"/>
    <cellStyle name="SAPBEXHLevel0X 11 2" xfId="43203"/>
    <cellStyle name="SAPBEXHLevel0X 12" xfId="12149"/>
    <cellStyle name="SAPBEXHLevel0X 12 2" xfId="33049"/>
    <cellStyle name="SAPBEXHLevel0X 13" xfId="24149"/>
    <cellStyle name="SAPBEXHLevel0X 13 2" xfId="45019"/>
    <cellStyle name="SAPBEXHLevel0X 14" xfId="24268"/>
    <cellStyle name="SAPBEXHLevel0X 14 2" xfId="45129"/>
    <cellStyle name="SAPBEXHLevel0X 2" xfId="2784"/>
    <cellStyle name="SAPBEXHLevel0X 2 10" xfId="24413"/>
    <cellStyle name="SAPBEXHLevel0X 2 2" xfId="4407"/>
    <cellStyle name="SAPBEXHLevel0X 2 2 2" xfId="6255"/>
    <cellStyle name="SAPBEXHLevel0X 2 2 2 2" xfId="22560"/>
    <cellStyle name="SAPBEXHLevel0X 2 2 2 2 2" xfId="43435"/>
    <cellStyle name="SAPBEXHLevel0X 2 2 2 3" xfId="21779"/>
    <cellStyle name="SAPBEXHLevel0X 2 2 2 3 2" xfId="42654"/>
    <cellStyle name="SAPBEXHLevel0X 2 2 2 4" xfId="21263"/>
    <cellStyle name="SAPBEXHLevel0X 2 2 2 4 2" xfId="42138"/>
    <cellStyle name="SAPBEXHLevel0X 2 2 2 5" xfId="15264"/>
    <cellStyle name="SAPBEXHLevel0X 2 2 2 5 2" xfId="36140"/>
    <cellStyle name="SAPBEXHLevel0X 2 2 2 6" xfId="27402"/>
    <cellStyle name="SAPBEXHLevel0X 2 2 3" xfId="22019"/>
    <cellStyle name="SAPBEXHLevel0X 2 2 3 2" xfId="42894"/>
    <cellStyle name="SAPBEXHLevel0X 2 2 4" xfId="22233"/>
    <cellStyle name="SAPBEXHLevel0X 2 2 4 2" xfId="43108"/>
    <cellStyle name="SAPBEXHLevel0X 2 2 5" xfId="23634"/>
    <cellStyle name="SAPBEXHLevel0X 2 2 5 2" xfId="44506"/>
    <cellStyle name="SAPBEXHLevel0X 2 2 6" xfId="13446"/>
    <cellStyle name="SAPBEXHLevel0X 2 2 6 2" xfId="34322"/>
    <cellStyle name="SAPBEXHLevel0X 2 2 7" xfId="25584"/>
    <cellStyle name="SAPBEXHLevel0X 2 3" xfId="8380"/>
    <cellStyle name="SAPBEXHLevel0X 2 3 2" xfId="23069"/>
    <cellStyle name="SAPBEXHLevel0X 2 3 2 2" xfId="43942"/>
    <cellStyle name="SAPBEXHLevel0X 2 3 3" xfId="23837"/>
    <cellStyle name="SAPBEXHLevel0X 2 3 3 2" xfId="44709"/>
    <cellStyle name="SAPBEXHLevel0X 2 3 4" xfId="22440"/>
    <cellStyle name="SAPBEXHLevel0X 2 3 4 2" xfId="43315"/>
    <cellStyle name="SAPBEXHLevel0X 2 3 5" xfId="17385"/>
    <cellStyle name="SAPBEXHLevel0X 2 3 5 2" xfId="38261"/>
    <cellStyle name="SAPBEXHLevel0X 2 3 6" xfId="29523"/>
    <cellStyle name="SAPBEXHLevel0X 2 4" xfId="10266"/>
    <cellStyle name="SAPBEXHLevel0X 2 4 2" xfId="23551"/>
    <cellStyle name="SAPBEXHLevel0X 2 4 2 2" xfId="44423"/>
    <cellStyle name="SAPBEXHLevel0X 2 4 3" xfId="23892"/>
    <cellStyle name="SAPBEXHLevel0X 2 4 3 2" xfId="44764"/>
    <cellStyle name="SAPBEXHLevel0X 2 4 4" xfId="21136"/>
    <cellStyle name="SAPBEXHLevel0X 2 4 4 2" xfId="42011"/>
    <cellStyle name="SAPBEXHLevel0X 2 4 5" xfId="19037"/>
    <cellStyle name="SAPBEXHLevel0X 2 4 5 2" xfId="39913"/>
    <cellStyle name="SAPBEXHLevel0X 2 4 6" xfId="31177"/>
    <cellStyle name="SAPBEXHLevel0X 2 5" xfId="20915"/>
    <cellStyle name="SAPBEXHLevel0X 2 5 2" xfId="41790"/>
    <cellStyle name="SAPBEXHLevel0X 2 6" xfId="21304"/>
    <cellStyle name="SAPBEXHLevel0X 2 6 2" xfId="42179"/>
    <cellStyle name="SAPBEXHLevel0X 2 7" xfId="21670"/>
    <cellStyle name="SAPBEXHLevel0X 2 7 2" xfId="42545"/>
    <cellStyle name="SAPBEXHLevel0X 2 8" xfId="12150"/>
    <cellStyle name="SAPBEXHLevel0X 2 8 2" xfId="33050"/>
    <cellStyle name="SAPBEXHLevel0X 2 9" xfId="24203"/>
    <cellStyle name="SAPBEXHLevel0X 2 9 2" xfId="45071"/>
    <cellStyle name="SAPBEXHLevel0X 3" xfId="2785"/>
    <cellStyle name="SAPBEXHLevel0X 3 2" xfId="4408"/>
    <cellStyle name="SAPBEXHLevel0X 3 2 2" xfId="6256"/>
    <cellStyle name="SAPBEXHLevel0X 3 2 2 2" xfId="22561"/>
    <cellStyle name="SAPBEXHLevel0X 3 2 2 2 2" xfId="43436"/>
    <cellStyle name="SAPBEXHLevel0X 3 2 2 3" xfId="23304"/>
    <cellStyle name="SAPBEXHLevel0X 3 2 2 3 2" xfId="44176"/>
    <cellStyle name="SAPBEXHLevel0X 3 2 2 4" xfId="24046"/>
    <cellStyle name="SAPBEXHLevel0X 3 2 2 4 2" xfId="44918"/>
    <cellStyle name="SAPBEXHLevel0X 3 2 2 5" xfId="15265"/>
    <cellStyle name="SAPBEXHLevel0X 3 2 2 5 2" xfId="36141"/>
    <cellStyle name="SAPBEXHLevel0X 3 2 2 6" xfId="27403"/>
    <cellStyle name="SAPBEXHLevel0X 3 2 3" xfId="22020"/>
    <cellStyle name="SAPBEXHLevel0X 3 2 3 2" xfId="42895"/>
    <cellStyle name="SAPBEXHLevel0X 3 2 4" xfId="22188"/>
    <cellStyle name="SAPBEXHLevel0X 3 2 4 2" xfId="43063"/>
    <cellStyle name="SAPBEXHLevel0X 3 2 5" xfId="23219"/>
    <cellStyle name="SAPBEXHLevel0X 3 2 5 2" xfId="44092"/>
    <cellStyle name="SAPBEXHLevel0X 3 2 6" xfId="13447"/>
    <cellStyle name="SAPBEXHLevel0X 3 2 6 2" xfId="34323"/>
    <cellStyle name="SAPBEXHLevel0X 3 2 7" xfId="25585"/>
    <cellStyle name="SAPBEXHLevel0X 3 3" xfId="8381"/>
    <cellStyle name="SAPBEXHLevel0X 3 3 2" xfId="23070"/>
    <cellStyle name="SAPBEXHLevel0X 3 3 2 2" xfId="43943"/>
    <cellStyle name="SAPBEXHLevel0X 3 3 3" xfId="20980"/>
    <cellStyle name="SAPBEXHLevel0X 3 3 3 2" xfId="41855"/>
    <cellStyle name="SAPBEXHLevel0X 3 3 4" xfId="21346"/>
    <cellStyle name="SAPBEXHLevel0X 3 3 4 2" xfId="42221"/>
    <cellStyle name="SAPBEXHLevel0X 3 3 5" xfId="17386"/>
    <cellStyle name="SAPBEXHLevel0X 3 3 5 2" xfId="38262"/>
    <cellStyle name="SAPBEXHLevel0X 3 3 6" xfId="29524"/>
    <cellStyle name="SAPBEXHLevel0X 3 4" xfId="10267"/>
    <cellStyle name="SAPBEXHLevel0X 3 4 2" xfId="23552"/>
    <cellStyle name="SAPBEXHLevel0X 3 4 2 2" xfId="44424"/>
    <cellStyle name="SAPBEXHLevel0X 3 4 3" xfId="22127"/>
    <cellStyle name="SAPBEXHLevel0X 3 4 3 2" xfId="43002"/>
    <cellStyle name="SAPBEXHLevel0X 3 4 4" xfId="22819"/>
    <cellStyle name="SAPBEXHLevel0X 3 4 4 2" xfId="43694"/>
    <cellStyle name="SAPBEXHLevel0X 3 4 5" xfId="19038"/>
    <cellStyle name="SAPBEXHLevel0X 3 4 5 2" xfId="39914"/>
    <cellStyle name="SAPBEXHLevel0X 3 4 6" xfId="31178"/>
    <cellStyle name="SAPBEXHLevel0X 3 5" xfId="21527"/>
    <cellStyle name="SAPBEXHLevel0X 3 5 2" xfId="42402"/>
    <cellStyle name="SAPBEXHLevel0X 3 6" xfId="21895"/>
    <cellStyle name="SAPBEXHLevel0X 3 6 2" xfId="42770"/>
    <cellStyle name="SAPBEXHLevel0X 3 7" xfId="22809"/>
    <cellStyle name="SAPBEXHLevel0X 3 7 2" xfId="43684"/>
    <cellStyle name="SAPBEXHLevel0X 3 8" xfId="12290"/>
    <cellStyle name="SAPBEXHLevel0X 3 8 2" xfId="33179"/>
    <cellStyle name="SAPBEXHLevel0X 3 9" xfId="24414"/>
    <cellStyle name="SAPBEXHLevel0X 4" xfId="2786"/>
    <cellStyle name="SAPBEXHLevel0X 4 2" xfId="4409"/>
    <cellStyle name="SAPBEXHLevel0X 4 2 2" xfId="6257"/>
    <cellStyle name="SAPBEXHLevel0X 4 2 2 2" xfId="22562"/>
    <cellStyle name="SAPBEXHLevel0X 4 2 2 2 2" xfId="43437"/>
    <cellStyle name="SAPBEXHLevel0X 4 2 2 3" xfId="22804"/>
    <cellStyle name="SAPBEXHLevel0X 4 2 2 3 2" xfId="43679"/>
    <cellStyle name="SAPBEXHLevel0X 4 2 2 4" xfId="22446"/>
    <cellStyle name="SAPBEXHLevel0X 4 2 2 4 2" xfId="43321"/>
    <cellStyle name="SAPBEXHLevel0X 4 2 2 5" xfId="15266"/>
    <cellStyle name="SAPBEXHLevel0X 4 2 2 5 2" xfId="36142"/>
    <cellStyle name="SAPBEXHLevel0X 4 2 2 6" xfId="27404"/>
    <cellStyle name="SAPBEXHLevel0X 4 2 3" xfId="22021"/>
    <cellStyle name="SAPBEXHLevel0X 4 2 3 2" xfId="42896"/>
    <cellStyle name="SAPBEXHLevel0X 4 2 4" xfId="23858"/>
    <cellStyle name="SAPBEXHLevel0X 4 2 4 2" xfId="44730"/>
    <cellStyle name="SAPBEXHLevel0X 4 2 5" xfId="21193"/>
    <cellStyle name="SAPBEXHLevel0X 4 2 5 2" xfId="42068"/>
    <cellStyle name="SAPBEXHLevel0X 4 2 6" xfId="13448"/>
    <cellStyle name="SAPBEXHLevel0X 4 2 6 2" xfId="34324"/>
    <cellStyle name="SAPBEXHLevel0X 4 2 7" xfId="25586"/>
    <cellStyle name="SAPBEXHLevel0X 4 3" xfId="8382"/>
    <cellStyle name="SAPBEXHLevel0X 4 3 2" xfId="23071"/>
    <cellStyle name="SAPBEXHLevel0X 4 3 2 2" xfId="43944"/>
    <cellStyle name="SAPBEXHLevel0X 4 3 3" xfId="22219"/>
    <cellStyle name="SAPBEXHLevel0X 4 3 3 2" xfId="43094"/>
    <cellStyle name="SAPBEXHLevel0X 4 3 4" xfId="23697"/>
    <cellStyle name="SAPBEXHLevel0X 4 3 4 2" xfId="44569"/>
    <cellStyle name="SAPBEXHLevel0X 4 3 5" xfId="17387"/>
    <cellStyle name="SAPBEXHLevel0X 4 3 5 2" xfId="38263"/>
    <cellStyle name="SAPBEXHLevel0X 4 3 6" xfId="29525"/>
    <cellStyle name="SAPBEXHLevel0X 4 4" xfId="10268"/>
    <cellStyle name="SAPBEXHLevel0X 4 4 2" xfId="23553"/>
    <cellStyle name="SAPBEXHLevel0X 4 4 2 2" xfId="44425"/>
    <cellStyle name="SAPBEXHLevel0X 4 4 3" xfId="23685"/>
    <cellStyle name="SAPBEXHLevel0X 4 4 3 2" xfId="44557"/>
    <cellStyle name="SAPBEXHLevel0X 4 4 4" xfId="21251"/>
    <cellStyle name="SAPBEXHLevel0X 4 4 4 2" xfId="42126"/>
    <cellStyle name="SAPBEXHLevel0X 4 4 5" xfId="19039"/>
    <cellStyle name="SAPBEXHLevel0X 4 4 5 2" xfId="39915"/>
    <cellStyle name="SAPBEXHLevel0X 4 4 6" xfId="31179"/>
    <cellStyle name="SAPBEXHLevel0X 4 5" xfId="21528"/>
    <cellStyle name="SAPBEXHLevel0X 4 5 2" xfId="42403"/>
    <cellStyle name="SAPBEXHLevel0X 4 6" xfId="21863"/>
    <cellStyle name="SAPBEXHLevel0X 4 6 2" xfId="42738"/>
    <cellStyle name="SAPBEXHLevel0X 4 7" xfId="21385"/>
    <cellStyle name="SAPBEXHLevel0X 4 7 2" xfId="42260"/>
    <cellStyle name="SAPBEXHLevel0X 4 8" xfId="12291"/>
    <cellStyle name="SAPBEXHLevel0X 4 8 2" xfId="33180"/>
    <cellStyle name="SAPBEXHLevel0X 4 9" xfId="24415"/>
    <cellStyle name="SAPBEXHLevel0X 5" xfId="2787"/>
    <cellStyle name="SAPBEXHLevel0X 5 2" xfId="4410"/>
    <cellStyle name="SAPBEXHLevel0X 5 2 2" xfId="6258"/>
    <cellStyle name="SAPBEXHLevel0X 5 2 2 2" xfId="22563"/>
    <cellStyle name="SAPBEXHLevel0X 5 2 2 2 2" xfId="43438"/>
    <cellStyle name="SAPBEXHLevel0X 5 2 2 3" xfId="22732"/>
    <cellStyle name="SAPBEXHLevel0X 5 2 2 3 2" xfId="43607"/>
    <cellStyle name="SAPBEXHLevel0X 5 2 2 4" xfId="21876"/>
    <cellStyle name="SAPBEXHLevel0X 5 2 2 4 2" xfId="42751"/>
    <cellStyle name="SAPBEXHLevel0X 5 2 2 5" xfId="15267"/>
    <cellStyle name="SAPBEXHLevel0X 5 2 2 5 2" xfId="36143"/>
    <cellStyle name="SAPBEXHLevel0X 5 2 2 6" xfId="27405"/>
    <cellStyle name="SAPBEXHLevel0X 5 2 3" xfId="22022"/>
    <cellStyle name="SAPBEXHLevel0X 5 2 3 2" xfId="42897"/>
    <cellStyle name="SAPBEXHLevel0X 5 2 4" xfId="23286"/>
    <cellStyle name="SAPBEXHLevel0X 5 2 4 2" xfId="44159"/>
    <cellStyle name="SAPBEXHLevel0X 5 2 5" xfId="21253"/>
    <cellStyle name="SAPBEXHLevel0X 5 2 5 2" xfId="42128"/>
    <cellStyle name="SAPBEXHLevel0X 5 2 6" xfId="13449"/>
    <cellStyle name="SAPBEXHLevel0X 5 2 6 2" xfId="34325"/>
    <cellStyle name="SAPBEXHLevel0X 5 2 7" xfId="25587"/>
    <cellStyle name="SAPBEXHLevel0X 5 3" xfId="8383"/>
    <cellStyle name="SAPBEXHLevel0X 5 3 2" xfId="23072"/>
    <cellStyle name="SAPBEXHLevel0X 5 3 2 2" xfId="43945"/>
    <cellStyle name="SAPBEXHLevel0X 5 3 3" xfId="22184"/>
    <cellStyle name="SAPBEXHLevel0X 5 3 3 2" xfId="43059"/>
    <cellStyle name="SAPBEXHLevel0X 5 3 4" xfId="21331"/>
    <cellStyle name="SAPBEXHLevel0X 5 3 4 2" xfId="42206"/>
    <cellStyle name="SAPBEXHLevel0X 5 3 5" xfId="17388"/>
    <cellStyle name="SAPBEXHLevel0X 5 3 5 2" xfId="38264"/>
    <cellStyle name="SAPBEXHLevel0X 5 3 6" xfId="29526"/>
    <cellStyle name="SAPBEXHLevel0X 5 4" xfId="10269"/>
    <cellStyle name="SAPBEXHLevel0X 5 4 2" xfId="23554"/>
    <cellStyle name="SAPBEXHLevel0X 5 4 2 2" xfId="44426"/>
    <cellStyle name="SAPBEXHLevel0X 5 4 3" xfId="21708"/>
    <cellStyle name="SAPBEXHLevel0X 5 4 3 2" xfId="42583"/>
    <cellStyle name="SAPBEXHLevel0X 5 4 4" xfId="21198"/>
    <cellStyle name="SAPBEXHLevel0X 5 4 4 2" xfId="42073"/>
    <cellStyle name="SAPBEXHLevel0X 5 4 5" xfId="19040"/>
    <cellStyle name="SAPBEXHLevel0X 5 4 5 2" xfId="39916"/>
    <cellStyle name="SAPBEXHLevel0X 5 4 6" xfId="31180"/>
    <cellStyle name="SAPBEXHLevel0X 5 5" xfId="21529"/>
    <cellStyle name="SAPBEXHLevel0X 5 5 2" xfId="42404"/>
    <cellStyle name="SAPBEXHLevel0X 5 6" xfId="23155"/>
    <cellStyle name="SAPBEXHLevel0X 5 6 2" xfId="44028"/>
    <cellStyle name="SAPBEXHLevel0X 5 7" xfId="21291"/>
    <cellStyle name="SAPBEXHLevel0X 5 7 2" xfId="42166"/>
    <cellStyle name="SAPBEXHLevel0X 5 8" xfId="12292"/>
    <cellStyle name="SAPBEXHLevel0X 5 8 2" xfId="33181"/>
    <cellStyle name="SAPBEXHLevel0X 5 9" xfId="24416"/>
    <cellStyle name="SAPBEXHLevel0X 6" xfId="3827"/>
    <cellStyle name="SAPBEXHLevel0X 6 2" xfId="6056"/>
    <cellStyle name="SAPBEXHLevel0X 6 2 2" xfId="22415"/>
    <cellStyle name="SAPBEXHLevel0X 6 2 2 2" xfId="43290"/>
    <cellStyle name="SAPBEXHLevel0X 6 2 3" xfId="22253"/>
    <cellStyle name="SAPBEXHLevel0X 6 2 3 2" xfId="43128"/>
    <cellStyle name="SAPBEXHLevel0X 6 2 4" xfId="23303"/>
    <cellStyle name="SAPBEXHLevel0X 6 2 4 2" xfId="44175"/>
    <cellStyle name="SAPBEXHLevel0X 6 2 5" xfId="15065"/>
    <cellStyle name="SAPBEXHLevel0X 6 2 5 2" xfId="35941"/>
    <cellStyle name="SAPBEXHLevel0X 6 2 6" xfId="27203"/>
    <cellStyle name="SAPBEXHLevel0X 6 3" xfId="21801"/>
    <cellStyle name="SAPBEXHLevel0X 6 3 2" xfId="42676"/>
    <cellStyle name="SAPBEXHLevel0X 6 4" xfId="21065"/>
    <cellStyle name="SAPBEXHLevel0X 6 4 2" xfId="41940"/>
    <cellStyle name="SAPBEXHLevel0X 6 5" xfId="21130"/>
    <cellStyle name="SAPBEXHLevel0X 6 5 2" xfId="42005"/>
    <cellStyle name="SAPBEXHLevel0X 6 6" xfId="13247"/>
    <cellStyle name="SAPBEXHLevel0X 6 6 2" xfId="34123"/>
    <cellStyle name="SAPBEXHLevel0X 6 7" xfId="25385"/>
    <cellStyle name="SAPBEXHLevel0X 7" xfId="8379"/>
    <cellStyle name="SAPBEXHLevel0X 7 2" xfId="23068"/>
    <cellStyle name="SAPBEXHLevel0X 7 2 2" xfId="43941"/>
    <cellStyle name="SAPBEXHLevel0X 7 3" xfId="22149"/>
    <cellStyle name="SAPBEXHLevel0X 7 3 2" xfId="43024"/>
    <cellStyle name="SAPBEXHLevel0X 7 4" xfId="21120"/>
    <cellStyle name="SAPBEXHLevel0X 7 4 2" xfId="41995"/>
    <cellStyle name="SAPBEXHLevel0X 7 5" xfId="17384"/>
    <cellStyle name="SAPBEXHLevel0X 7 5 2" xfId="38260"/>
    <cellStyle name="SAPBEXHLevel0X 7 6" xfId="29522"/>
    <cellStyle name="SAPBEXHLevel0X 8" xfId="10265"/>
    <cellStyle name="SAPBEXHLevel0X 8 2" xfId="23550"/>
    <cellStyle name="SAPBEXHLevel0X 8 2 2" xfId="44422"/>
    <cellStyle name="SAPBEXHLevel0X 8 3" xfId="23732"/>
    <cellStyle name="SAPBEXHLevel0X 8 3 2" xfId="44604"/>
    <cellStyle name="SAPBEXHLevel0X 8 4" xfId="22794"/>
    <cellStyle name="SAPBEXHLevel0X 8 4 2" xfId="43669"/>
    <cellStyle name="SAPBEXHLevel0X 8 5" xfId="19036"/>
    <cellStyle name="SAPBEXHLevel0X 8 5 2" xfId="39912"/>
    <cellStyle name="SAPBEXHLevel0X 8 6" xfId="31176"/>
    <cellStyle name="SAPBEXHLevel0X 9" xfId="20914"/>
    <cellStyle name="SAPBEXHLevel0X 9 2" xfId="41789"/>
    <cellStyle name="SAPBEXHLevel1" xfId="1163"/>
    <cellStyle name="SAPBEXHLevel1 10" xfId="22442"/>
    <cellStyle name="SAPBEXHLevel1 10 2" xfId="43317"/>
    <cellStyle name="SAPBEXHLevel1 11" xfId="23216"/>
    <cellStyle name="SAPBEXHLevel1 11 2" xfId="44089"/>
    <cellStyle name="SAPBEXHLevel1 12" xfId="12151"/>
    <cellStyle name="SAPBEXHLevel1 12 2" xfId="33051"/>
    <cellStyle name="SAPBEXHLevel1 13" xfId="24148"/>
    <cellStyle name="SAPBEXHLevel1 13 2" xfId="45018"/>
    <cellStyle name="SAPBEXHLevel1 14" xfId="24269"/>
    <cellStyle name="SAPBEXHLevel1 14 2" xfId="45130"/>
    <cellStyle name="SAPBEXHLevel1 2" xfId="2788"/>
    <cellStyle name="SAPBEXHLevel1 2 10" xfId="24417"/>
    <cellStyle name="SAPBEXHLevel1 2 2" xfId="4412"/>
    <cellStyle name="SAPBEXHLevel1 2 2 2" xfId="6259"/>
    <cellStyle name="SAPBEXHLevel1 2 2 2 2" xfId="22564"/>
    <cellStyle name="SAPBEXHLevel1 2 2 2 2 2" xfId="43439"/>
    <cellStyle name="SAPBEXHLevel1 2 2 2 3" xfId="21821"/>
    <cellStyle name="SAPBEXHLevel1 2 2 2 3 2" xfId="42696"/>
    <cellStyle name="SAPBEXHLevel1 2 2 2 4" xfId="23164"/>
    <cellStyle name="SAPBEXHLevel1 2 2 2 4 2" xfId="44037"/>
    <cellStyle name="SAPBEXHLevel1 2 2 2 5" xfId="15268"/>
    <cellStyle name="SAPBEXHLevel1 2 2 2 5 2" xfId="36144"/>
    <cellStyle name="SAPBEXHLevel1 2 2 2 6" xfId="27406"/>
    <cellStyle name="SAPBEXHLevel1 2 2 3" xfId="22023"/>
    <cellStyle name="SAPBEXHLevel1 2 2 3 2" xfId="42898"/>
    <cellStyle name="SAPBEXHLevel1 2 2 4" xfId="21185"/>
    <cellStyle name="SAPBEXHLevel1 2 2 4 2" xfId="42060"/>
    <cellStyle name="SAPBEXHLevel1 2 2 5" xfId="23921"/>
    <cellStyle name="SAPBEXHLevel1 2 2 5 2" xfId="44793"/>
    <cellStyle name="SAPBEXHLevel1 2 2 6" xfId="13450"/>
    <cellStyle name="SAPBEXHLevel1 2 2 6 2" xfId="34326"/>
    <cellStyle name="SAPBEXHLevel1 2 2 7" xfId="25588"/>
    <cellStyle name="SAPBEXHLevel1 2 3" xfId="8385"/>
    <cellStyle name="SAPBEXHLevel1 2 3 2" xfId="23074"/>
    <cellStyle name="SAPBEXHLevel1 2 3 2 2" xfId="43947"/>
    <cellStyle name="SAPBEXHLevel1 2 3 3" xfId="21749"/>
    <cellStyle name="SAPBEXHLevel1 2 3 3 2" xfId="42624"/>
    <cellStyle name="SAPBEXHLevel1 2 3 4" xfId="22277"/>
    <cellStyle name="SAPBEXHLevel1 2 3 4 2" xfId="43152"/>
    <cellStyle name="SAPBEXHLevel1 2 3 5" xfId="17390"/>
    <cellStyle name="SAPBEXHLevel1 2 3 5 2" xfId="38266"/>
    <cellStyle name="SAPBEXHLevel1 2 3 6" xfId="29528"/>
    <cellStyle name="SAPBEXHLevel1 2 4" xfId="10271"/>
    <cellStyle name="SAPBEXHLevel1 2 4 2" xfId="23556"/>
    <cellStyle name="SAPBEXHLevel1 2 4 2 2" xfId="44428"/>
    <cellStyle name="SAPBEXHLevel1 2 4 3" xfId="22720"/>
    <cellStyle name="SAPBEXHLevel1 2 4 3 2" xfId="43595"/>
    <cellStyle name="SAPBEXHLevel1 2 4 4" xfId="22374"/>
    <cellStyle name="SAPBEXHLevel1 2 4 4 2" xfId="43249"/>
    <cellStyle name="SAPBEXHLevel1 2 4 5" xfId="19042"/>
    <cellStyle name="SAPBEXHLevel1 2 4 5 2" xfId="39918"/>
    <cellStyle name="SAPBEXHLevel1 2 4 6" xfId="31182"/>
    <cellStyle name="SAPBEXHLevel1 2 5" xfId="20917"/>
    <cellStyle name="SAPBEXHLevel1 2 5 2" xfId="41792"/>
    <cellStyle name="SAPBEXHLevel1 2 6" xfId="22245"/>
    <cellStyle name="SAPBEXHLevel1 2 6 2" xfId="43120"/>
    <cellStyle name="SAPBEXHLevel1 2 7" xfId="23332"/>
    <cellStyle name="SAPBEXHLevel1 2 7 2" xfId="44204"/>
    <cellStyle name="SAPBEXHLevel1 2 8" xfId="12152"/>
    <cellStyle name="SAPBEXHLevel1 2 8 2" xfId="33052"/>
    <cellStyle name="SAPBEXHLevel1 2 9" xfId="24204"/>
    <cellStyle name="SAPBEXHLevel1 2 9 2" xfId="45072"/>
    <cellStyle name="SAPBEXHLevel1 3" xfId="2789"/>
    <cellStyle name="SAPBEXHLevel1 3 2" xfId="4413"/>
    <cellStyle name="SAPBEXHLevel1 3 2 2" xfId="6260"/>
    <cellStyle name="SAPBEXHLevel1 3 2 2 2" xfId="22565"/>
    <cellStyle name="SAPBEXHLevel1 3 2 2 2 2" xfId="43440"/>
    <cellStyle name="SAPBEXHLevel1 3 2 2 3" xfId="23649"/>
    <cellStyle name="SAPBEXHLevel1 3 2 2 3 2" xfId="44521"/>
    <cellStyle name="SAPBEXHLevel1 3 2 2 4" xfId="22741"/>
    <cellStyle name="SAPBEXHLevel1 3 2 2 4 2" xfId="43616"/>
    <cellStyle name="SAPBEXHLevel1 3 2 2 5" xfId="15269"/>
    <cellStyle name="SAPBEXHLevel1 3 2 2 5 2" xfId="36145"/>
    <cellStyle name="SAPBEXHLevel1 3 2 2 6" xfId="27407"/>
    <cellStyle name="SAPBEXHLevel1 3 2 3" xfId="22024"/>
    <cellStyle name="SAPBEXHLevel1 3 2 3 2" xfId="42899"/>
    <cellStyle name="SAPBEXHLevel1 3 2 4" xfId="21311"/>
    <cellStyle name="SAPBEXHLevel1 3 2 4 2" xfId="42186"/>
    <cellStyle name="SAPBEXHLevel1 3 2 5" xfId="21705"/>
    <cellStyle name="SAPBEXHLevel1 3 2 5 2" xfId="42580"/>
    <cellStyle name="SAPBEXHLevel1 3 2 6" xfId="13451"/>
    <cellStyle name="SAPBEXHLevel1 3 2 6 2" xfId="34327"/>
    <cellStyle name="SAPBEXHLevel1 3 2 7" xfId="25589"/>
    <cellStyle name="SAPBEXHLevel1 3 3" xfId="8386"/>
    <cellStyle name="SAPBEXHLevel1 3 3 2" xfId="23075"/>
    <cellStyle name="SAPBEXHLevel1 3 3 2 2" xfId="43948"/>
    <cellStyle name="SAPBEXHLevel1 3 3 3" xfId="20981"/>
    <cellStyle name="SAPBEXHLevel1 3 3 3 2" xfId="41856"/>
    <cellStyle name="SAPBEXHLevel1 3 3 4" xfId="23833"/>
    <cellStyle name="SAPBEXHLevel1 3 3 4 2" xfId="44705"/>
    <cellStyle name="SAPBEXHLevel1 3 3 5" xfId="17391"/>
    <cellStyle name="SAPBEXHLevel1 3 3 5 2" xfId="38267"/>
    <cellStyle name="SAPBEXHLevel1 3 3 6" xfId="29529"/>
    <cellStyle name="SAPBEXHLevel1 3 4" xfId="10272"/>
    <cellStyle name="SAPBEXHLevel1 3 4 2" xfId="23557"/>
    <cellStyle name="SAPBEXHLevel1 3 4 2 2" xfId="44429"/>
    <cellStyle name="SAPBEXHLevel1 3 4 3" xfId="22346"/>
    <cellStyle name="SAPBEXHLevel1 3 4 3 2" xfId="43221"/>
    <cellStyle name="SAPBEXHLevel1 3 4 4" xfId="24039"/>
    <cellStyle name="SAPBEXHLevel1 3 4 4 2" xfId="44911"/>
    <cellStyle name="SAPBEXHLevel1 3 4 5" xfId="19043"/>
    <cellStyle name="SAPBEXHLevel1 3 4 5 2" xfId="39919"/>
    <cellStyle name="SAPBEXHLevel1 3 4 6" xfId="31183"/>
    <cellStyle name="SAPBEXHLevel1 3 5" xfId="21530"/>
    <cellStyle name="SAPBEXHLevel1 3 5 2" xfId="42405"/>
    <cellStyle name="SAPBEXHLevel1 3 6" xfId="22733"/>
    <cellStyle name="SAPBEXHLevel1 3 6 2" xfId="43608"/>
    <cellStyle name="SAPBEXHLevel1 3 7" xfId="21170"/>
    <cellStyle name="SAPBEXHLevel1 3 7 2" xfId="42045"/>
    <cellStyle name="SAPBEXHLevel1 3 8" xfId="12293"/>
    <cellStyle name="SAPBEXHLevel1 3 8 2" xfId="33182"/>
    <cellStyle name="SAPBEXHLevel1 3 9" xfId="24418"/>
    <cellStyle name="SAPBEXHLevel1 4" xfId="2790"/>
    <cellStyle name="SAPBEXHLevel1 4 2" xfId="4414"/>
    <cellStyle name="SAPBEXHLevel1 4 2 2" xfId="6261"/>
    <cellStyle name="SAPBEXHLevel1 4 2 2 2" xfId="22566"/>
    <cellStyle name="SAPBEXHLevel1 4 2 2 2 2" xfId="43441"/>
    <cellStyle name="SAPBEXHLevel1 4 2 2 3" xfId="20953"/>
    <cellStyle name="SAPBEXHLevel1 4 2 2 3 2" xfId="41828"/>
    <cellStyle name="SAPBEXHLevel1 4 2 2 4" xfId="22907"/>
    <cellStyle name="SAPBEXHLevel1 4 2 2 4 2" xfId="43781"/>
    <cellStyle name="SAPBEXHLevel1 4 2 2 5" xfId="15270"/>
    <cellStyle name="SAPBEXHLevel1 4 2 2 5 2" xfId="36146"/>
    <cellStyle name="SAPBEXHLevel1 4 2 2 6" xfId="27408"/>
    <cellStyle name="SAPBEXHLevel1 4 2 3" xfId="22025"/>
    <cellStyle name="SAPBEXHLevel1 4 2 3 2" xfId="42900"/>
    <cellStyle name="SAPBEXHLevel1 4 2 4" xfId="21398"/>
    <cellStyle name="SAPBEXHLevel1 4 2 4 2" xfId="42273"/>
    <cellStyle name="SAPBEXHLevel1 4 2 5" xfId="21125"/>
    <cellStyle name="SAPBEXHLevel1 4 2 5 2" xfId="42000"/>
    <cellStyle name="SAPBEXHLevel1 4 2 6" xfId="13452"/>
    <cellStyle name="SAPBEXHLevel1 4 2 6 2" xfId="34328"/>
    <cellStyle name="SAPBEXHLevel1 4 2 7" xfId="25590"/>
    <cellStyle name="SAPBEXHLevel1 4 3" xfId="8387"/>
    <cellStyle name="SAPBEXHLevel1 4 3 2" xfId="23076"/>
    <cellStyle name="SAPBEXHLevel1 4 3 2 2" xfId="43949"/>
    <cellStyle name="SAPBEXHLevel1 4 3 3" xfId="21769"/>
    <cellStyle name="SAPBEXHLevel1 4 3 3 2" xfId="42644"/>
    <cellStyle name="SAPBEXHLevel1 4 3 4" xfId="21052"/>
    <cellStyle name="SAPBEXHLevel1 4 3 4 2" xfId="41927"/>
    <cellStyle name="SAPBEXHLevel1 4 3 5" xfId="17392"/>
    <cellStyle name="SAPBEXHLevel1 4 3 5 2" xfId="38268"/>
    <cellStyle name="SAPBEXHLevel1 4 3 6" xfId="29530"/>
    <cellStyle name="SAPBEXHLevel1 4 4" xfId="10273"/>
    <cellStyle name="SAPBEXHLevel1 4 4 2" xfId="23558"/>
    <cellStyle name="SAPBEXHLevel1 4 4 2 2" xfId="44430"/>
    <cellStyle name="SAPBEXHLevel1 4 4 3" xfId="22826"/>
    <cellStyle name="SAPBEXHLevel1 4 4 3 2" xfId="43701"/>
    <cellStyle name="SAPBEXHLevel1 4 4 4" xfId="22776"/>
    <cellStyle name="SAPBEXHLevel1 4 4 4 2" xfId="43651"/>
    <cellStyle name="SAPBEXHLevel1 4 4 5" xfId="19044"/>
    <cellStyle name="SAPBEXHLevel1 4 4 5 2" xfId="39920"/>
    <cellStyle name="SAPBEXHLevel1 4 4 6" xfId="31184"/>
    <cellStyle name="SAPBEXHLevel1 4 5" xfId="21531"/>
    <cellStyle name="SAPBEXHLevel1 4 5 2" xfId="42406"/>
    <cellStyle name="SAPBEXHLevel1 4 6" xfId="22886"/>
    <cellStyle name="SAPBEXHLevel1 4 6 2" xfId="43760"/>
    <cellStyle name="SAPBEXHLevel1 4 7" xfId="21214"/>
    <cellStyle name="SAPBEXHLevel1 4 7 2" xfId="42089"/>
    <cellStyle name="SAPBEXHLevel1 4 8" xfId="12294"/>
    <cellStyle name="SAPBEXHLevel1 4 8 2" xfId="33183"/>
    <cellStyle name="SAPBEXHLevel1 4 9" xfId="24419"/>
    <cellStyle name="SAPBEXHLevel1 5" xfId="2791"/>
    <cellStyle name="SAPBEXHLevel1 5 2" xfId="4415"/>
    <cellStyle name="SAPBEXHLevel1 5 2 2" xfId="6262"/>
    <cellStyle name="SAPBEXHLevel1 5 2 2 2" xfId="22567"/>
    <cellStyle name="SAPBEXHLevel1 5 2 2 2 2" xfId="43442"/>
    <cellStyle name="SAPBEXHLevel1 5 2 2 3" xfId="21027"/>
    <cellStyle name="SAPBEXHLevel1 5 2 2 3 2" xfId="41902"/>
    <cellStyle name="SAPBEXHLevel1 5 2 2 4" xfId="22936"/>
    <cellStyle name="SAPBEXHLevel1 5 2 2 4 2" xfId="43810"/>
    <cellStyle name="SAPBEXHLevel1 5 2 2 5" xfId="15271"/>
    <cellStyle name="SAPBEXHLevel1 5 2 2 5 2" xfId="36147"/>
    <cellStyle name="SAPBEXHLevel1 5 2 2 6" xfId="27409"/>
    <cellStyle name="SAPBEXHLevel1 5 2 3" xfId="22026"/>
    <cellStyle name="SAPBEXHLevel1 5 2 3 2" xfId="42901"/>
    <cellStyle name="SAPBEXHLevel1 5 2 4" xfId="21857"/>
    <cellStyle name="SAPBEXHLevel1 5 2 4 2" xfId="42732"/>
    <cellStyle name="SAPBEXHLevel1 5 2 5" xfId="22198"/>
    <cellStyle name="SAPBEXHLevel1 5 2 5 2" xfId="43073"/>
    <cellStyle name="SAPBEXHLevel1 5 2 6" xfId="13453"/>
    <cellStyle name="SAPBEXHLevel1 5 2 6 2" xfId="34329"/>
    <cellStyle name="SAPBEXHLevel1 5 2 7" xfId="25591"/>
    <cellStyle name="SAPBEXHLevel1 5 3" xfId="8388"/>
    <cellStyle name="SAPBEXHLevel1 5 3 2" xfId="23077"/>
    <cellStyle name="SAPBEXHLevel1 5 3 2 2" xfId="43950"/>
    <cellStyle name="SAPBEXHLevel1 5 3 3" xfId="22702"/>
    <cellStyle name="SAPBEXHLevel1 5 3 3 2" xfId="43577"/>
    <cellStyle name="SAPBEXHLevel1 5 3 4" xfId="22701"/>
    <cellStyle name="SAPBEXHLevel1 5 3 4 2" xfId="43576"/>
    <cellStyle name="SAPBEXHLevel1 5 3 5" xfId="17393"/>
    <cellStyle name="SAPBEXHLevel1 5 3 5 2" xfId="38269"/>
    <cellStyle name="SAPBEXHLevel1 5 3 6" xfId="29531"/>
    <cellStyle name="SAPBEXHLevel1 5 4" xfId="10274"/>
    <cellStyle name="SAPBEXHLevel1 5 4 2" xfId="23559"/>
    <cellStyle name="SAPBEXHLevel1 5 4 2 2" xfId="44431"/>
    <cellStyle name="SAPBEXHLevel1 5 4 3" xfId="22940"/>
    <cellStyle name="SAPBEXHLevel1 5 4 3 2" xfId="43814"/>
    <cellStyle name="SAPBEXHLevel1 5 4 4" xfId="22101"/>
    <cellStyle name="SAPBEXHLevel1 5 4 4 2" xfId="42976"/>
    <cellStyle name="SAPBEXHLevel1 5 4 5" xfId="19045"/>
    <cellStyle name="SAPBEXHLevel1 5 4 5 2" xfId="39921"/>
    <cellStyle name="SAPBEXHLevel1 5 4 6" xfId="31185"/>
    <cellStyle name="SAPBEXHLevel1 5 5" xfId="21532"/>
    <cellStyle name="SAPBEXHLevel1 5 5 2" xfId="42407"/>
    <cellStyle name="SAPBEXHLevel1 5 6" xfId="21646"/>
    <cellStyle name="SAPBEXHLevel1 5 6 2" xfId="42521"/>
    <cellStyle name="SAPBEXHLevel1 5 7" xfId="23821"/>
    <cellStyle name="SAPBEXHLevel1 5 7 2" xfId="44693"/>
    <cellStyle name="SAPBEXHLevel1 5 8" xfId="12295"/>
    <cellStyle name="SAPBEXHLevel1 5 8 2" xfId="33184"/>
    <cellStyle name="SAPBEXHLevel1 5 9" xfId="24420"/>
    <cellStyle name="SAPBEXHLevel1 6" xfId="3828"/>
    <cellStyle name="SAPBEXHLevel1 6 2" xfId="6057"/>
    <cellStyle name="SAPBEXHLevel1 6 2 2" xfId="22416"/>
    <cellStyle name="SAPBEXHLevel1 6 2 2 2" xfId="43291"/>
    <cellStyle name="SAPBEXHLevel1 6 2 3" xfId="21189"/>
    <cellStyle name="SAPBEXHLevel1 6 2 3 2" xfId="42064"/>
    <cellStyle name="SAPBEXHLevel1 6 2 4" xfId="22216"/>
    <cellStyle name="SAPBEXHLevel1 6 2 4 2" xfId="43091"/>
    <cellStyle name="SAPBEXHLevel1 6 2 5" xfId="15066"/>
    <cellStyle name="SAPBEXHLevel1 6 2 5 2" xfId="35942"/>
    <cellStyle name="SAPBEXHLevel1 6 2 6" xfId="27204"/>
    <cellStyle name="SAPBEXHLevel1 6 3" xfId="21802"/>
    <cellStyle name="SAPBEXHLevel1 6 3 2" xfId="42677"/>
    <cellStyle name="SAPBEXHLevel1 6 4" xfId="21119"/>
    <cellStyle name="SAPBEXHLevel1 6 4 2" xfId="41994"/>
    <cellStyle name="SAPBEXHLevel1 6 5" xfId="23230"/>
    <cellStyle name="SAPBEXHLevel1 6 5 2" xfId="44103"/>
    <cellStyle name="SAPBEXHLevel1 6 6" xfId="13248"/>
    <cellStyle name="SAPBEXHLevel1 6 6 2" xfId="34124"/>
    <cellStyle name="SAPBEXHLevel1 6 7" xfId="25386"/>
    <cellStyle name="SAPBEXHLevel1 7" xfId="8384"/>
    <cellStyle name="SAPBEXHLevel1 7 2" xfId="23073"/>
    <cellStyle name="SAPBEXHLevel1 7 2 2" xfId="43946"/>
    <cellStyle name="SAPBEXHLevel1 7 3" xfId="22681"/>
    <cellStyle name="SAPBEXHLevel1 7 3 2" xfId="43556"/>
    <cellStyle name="SAPBEXHLevel1 7 4" xfId="23877"/>
    <cellStyle name="SAPBEXHLevel1 7 4 2" xfId="44749"/>
    <cellStyle name="SAPBEXHLevel1 7 5" xfId="17389"/>
    <cellStyle name="SAPBEXHLevel1 7 5 2" xfId="38265"/>
    <cellStyle name="SAPBEXHLevel1 7 6" xfId="29527"/>
    <cellStyle name="SAPBEXHLevel1 8" xfId="10270"/>
    <cellStyle name="SAPBEXHLevel1 8 2" xfId="23555"/>
    <cellStyle name="SAPBEXHLevel1 8 2 2" xfId="44427"/>
    <cellStyle name="SAPBEXHLevel1 8 3" xfId="22207"/>
    <cellStyle name="SAPBEXHLevel1 8 3 2" xfId="43082"/>
    <cellStyle name="SAPBEXHLevel1 8 4" xfId="24004"/>
    <cellStyle name="SAPBEXHLevel1 8 4 2" xfId="44876"/>
    <cellStyle name="SAPBEXHLevel1 8 5" xfId="19041"/>
    <cellStyle name="SAPBEXHLevel1 8 5 2" xfId="39917"/>
    <cellStyle name="SAPBEXHLevel1 8 6" xfId="31181"/>
    <cellStyle name="SAPBEXHLevel1 9" xfId="20916"/>
    <cellStyle name="SAPBEXHLevel1 9 2" xfId="41791"/>
    <cellStyle name="SAPBEXHLevel1X" xfId="1164"/>
    <cellStyle name="SAPBEXHLevel1X 10" xfId="24122"/>
    <cellStyle name="SAPBEXHLevel1X 10 2" xfId="44993"/>
    <cellStyle name="SAPBEXHLevel1X 11" xfId="23441"/>
    <cellStyle name="SAPBEXHLevel1X 11 2" xfId="44313"/>
    <cellStyle name="SAPBEXHLevel1X 12" xfId="12153"/>
    <cellStyle name="SAPBEXHLevel1X 12 2" xfId="33053"/>
    <cellStyle name="SAPBEXHLevel1X 13" xfId="24147"/>
    <cellStyle name="SAPBEXHLevel1X 13 2" xfId="45017"/>
    <cellStyle name="SAPBEXHLevel1X 14" xfId="24270"/>
    <cellStyle name="SAPBEXHLevel1X 14 2" xfId="45131"/>
    <cellStyle name="SAPBEXHLevel1X 2" xfId="2792"/>
    <cellStyle name="SAPBEXHLevel1X 2 10" xfId="24421"/>
    <cellStyle name="SAPBEXHLevel1X 2 2" xfId="4417"/>
    <cellStyle name="SAPBEXHLevel1X 2 2 2" xfId="6263"/>
    <cellStyle name="SAPBEXHLevel1X 2 2 2 2" xfId="22568"/>
    <cellStyle name="SAPBEXHLevel1X 2 2 2 2 2" xfId="43443"/>
    <cellStyle name="SAPBEXHLevel1X 2 2 2 3" xfId="21093"/>
    <cellStyle name="SAPBEXHLevel1X 2 2 2 3 2" xfId="41968"/>
    <cellStyle name="SAPBEXHLevel1X 2 2 2 4" xfId="21243"/>
    <cellStyle name="SAPBEXHLevel1X 2 2 2 4 2" xfId="42118"/>
    <cellStyle name="SAPBEXHLevel1X 2 2 2 5" xfId="15272"/>
    <cellStyle name="SAPBEXHLevel1X 2 2 2 5 2" xfId="36148"/>
    <cellStyle name="SAPBEXHLevel1X 2 2 2 6" xfId="27410"/>
    <cellStyle name="SAPBEXHLevel1X 2 2 3" xfId="22027"/>
    <cellStyle name="SAPBEXHLevel1X 2 2 3 2" xfId="42902"/>
    <cellStyle name="SAPBEXHLevel1X 2 2 4" xfId="21733"/>
    <cellStyle name="SAPBEXHLevel1X 2 2 4 2" xfId="42608"/>
    <cellStyle name="SAPBEXHLevel1X 2 2 5" xfId="21355"/>
    <cellStyle name="SAPBEXHLevel1X 2 2 5 2" xfId="42230"/>
    <cellStyle name="SAPBEXHLevel1X 2 2 6" xfId="13454"/>
    <cellStyle name="SAPBEXHLevel1X 2 2 6 2" xfId="34330"/>
    <cellStyle name="SAPBEXHLevel1X 2 2 7" xfId="25592"/>
    <cellStyle name="SAPBEXHLevel1X 2 3" xfId="8390"/>
    <cellStyle name="SAPBEXHLevel1X 2 3 2" xfId="23079"/>
    <cellStyle name="SAPBEXHLevel1X 2 3 2 2" xfId="43952"/>
    <cellStyle name="SAPBEXHLevel1X 2 3 3" xfId="22378"/>
    <cellStyle name="SAPBEXHLevel1X 2 3 3 2" xfId="43253"/>
    <cellStyle name="SAPBEXHLevel1X 2 3 4" xfId="21256"/>
    <cellStyle name="SAPBEXHLevel1X 2 3 4 2" xfId="42131"/>
    <cellStyle name="SAPBEXHLevel1X 2 3 5" xfId="17395"/>
    <cellStyle name="SAPBEXHLevel1X 2 3 5 2" xfId="38271"/>
    <cellStyle name="SAPBEXHLevel1X 2 3 6" xfId="29533"/>
    <cellStyle name="SAPBEXHLevel1X 2 4" xfId="10276"/>
    <cellStyle name="SAPBEXHLevel1X 2 4 2" xfId="23561"/>
    <cellStyle name="SAPBEXHLevel1X 2 4 2 2" xfId="44433"/>
    <cellStyle name="SAPBEXHLevel1X 2 4 3" xfId="23392"/>
    <cellStyle name="SAPBEXHLevel1X 2 4 3 2" xfId="44264"/>
    <cellStyle name="SAPBEXHLevel1X 2 4 4" xfId="23241"/>
    <cellStyle name="SAPBEXHLevel1X 2 4 4 2" xfId="44114"/>
    <cellStyle name="SAPBEXHLevel1X 2 4 5" xfId="19047"/>
    <cellStyle name="SAPBEXHLevel1X 2 4 5 2" xfId="39923"/>
    <cellStyle name="SAPBEXHLevel1X 2 4 6" xfId="31187"/>
    <cellStyle name="SAPBEXHLevel1X 2 5" xfId="20919"/>
    <cellStyle name="SAPBEXHLevel1X 2 5 2" xfId="41794"/>
    <cellStyle name="SAPBEXHLevel1X 2 6" xfId="22200"/>
    <cellStyle name="SAPBEXHLevel1X 2 6 2" xfId="43075"/>
    <cellStyle name="SAPBEXHLevel1X 2 7" xfId="23373"/>
    <cellStyle name="SAPBEXHLevel1X 2 7 2" xfId="44245"/>
    <cellStyle name="SAPBEXHLevel1X 2 8" xfId="12154"/>
    <cellStyle name="SAPBEXHLevel1X 2 8 2" xfId="33054"/>
    <cellStyle name="SAPBEXHLevel1X 2 9" xfId="24205"/>
    <cellStyle name="SAPBEXHLevel1X 2 9 2" xfId="45073"/>
    <cellStyle name="SAPBEXHLevel1X 3" xfId="2793"/>
    <cellStyle name="SAPBEXHLevel1X 3 2" xfId="4418"/>
    <cellStyle name="SAPBEXHLevel1X 3 2 2" xfId="6264"/>
    <cellStyle name="SAPBEXHLevel1X 3 2 2 2" xfId="22569"/>
    <cellStyle name="SAPBEXHLevel1X 3 2 2 2 2" xfId="43444"/>
    <cellStyle name="SAPBEXHLevel1X 3 2 2 3" xfId="21761"/>
    <cellStyle name="SAPBEXHLevel1X 3 2 2 3 2" xfId="42636"/>
    <cellStyle name="SAPBEXHLevel1X 3 2 2 4" xfId="23385"/>
    <cellStyle name="SAPBEXHLevel1X 3 2 2 4 2" xfId="44257"/>
    <cellStyle name="SAPBEXHLevel1X 3 2 2 5" xfId="15273"/>
    <cellStyle name="SAPBEXHLevel1X 3 2 2 5 2" xfId="36149"/>
    <cellStyle name="SAPBEXHLevel1X 3 2 2 6" xfId="27411"/>
    <cellStyle name="SAPBEXHLevel1X 3 2 3" xfId="22028"/>
    <cellStyle name="SAPBEXHLevel1X 3 2 3 2" xfId="42903"/>
    <cellStyle name="SAPBEXHLevel1X 3 2 4" xfId="23778"/>
    <cellStyle name="SAPBEXHLevel1X 3 2 4 2" xfId="44650"/>
    <cellStyle name="SAPBEXHLevel1X 3 2 5" xfId="23865"/>
    <cellStyle name="SAPBEXHLevel1X 3 2 5 2" xfId="44737"/>
    <cellStyle name="SAPBEXHLevel1X 3 2 6" xfId="13455"/>
    <cellStyle name="SAPBEXHLevel1X 3 2 6 2" xfId="34331"/>
    <cellStyle name="SAPBEXHLevel1X 3 2 7" xfId="25593"/>
    <cellStyle name="SAPBEXHLevel1X 3 3" xfId="8391"/>
    <cellStyle name="SAPBEXHLevel1X 3 3 2" xfId="23080"/>
    <cellStyle name="SAPBEXHLevel1X 3 3 2 2" xfId="43953"/>
    <cellStyle name="SAPBEXHLevel1X 3 3 3" xfId="20982"/>
    <cellStyle name="SAPBEXHLevel1X 3 3 3 2" xfId="41857"/>
    <cellStyle name="SAPBEXHLevel1X 3 3 4" xfId="23430"/>
    <cellStyle name="SAPBEXHLevel1X 3 3 4 2" xfId="44302"/>
    <cellStyle name="SAPBEXHLevel1X 3 3 5" xfId="17396"/>
    <cellStyle name="SAPBEXHLevel1X 3 3 5 2" xfId="38272"/>
    <cellStyle name="SAPBEXHLevel1X 3 3 6" xfId="29534"/>
    <cellStyle name="SAPBEXHLevel1X 3 4" xfId="10277"/>
    <cellStyle name="SAPBEXHLevel1X 3 4 2" xfId="23562"/>
    <cellStyle name="SAPBEXHLevel1X 3 4 2 2" xfId="44434"/>
    <cellStyle name="SAPBEXHLevel1X 3 4 3" xfId="23727"/>
    <cellStyle name="SAPBEXHLevel1X 3 4 3 2" xfId="44599"/>
    <cellStyle name="SAPBEXHLevel1X 3 4 4" xfId="22918"/>
    <cellStyle name="SAPBEXHLevel1X 3 4 4 2" xfId="43792"/>
    <cellStyle name="SAPBEXHLevel1X 3 4 5" xfId="19048"/>
    <cellStyle name="SAPBEXHLevel1X 3 4 5 2" xfId="39924"/>
    <cellStyle name="SAPBEXHLevel1X 3 4 6" xfId="31188"/>
    <cellStyle name="SAPBEXHLevel1X 3 5" xfId="21533"/>
    <cellStyle name="SAPBEXHLevel1X 3 5 2" xfId="42408"/>
    <cellStyle name="SAPBEXHLevel1X 3 6" xfId="24031"/>
    <cellStyle name="SAPBEXHLevel1X 3 6 2" xfId="44903"/>
    <cellStyle name="SAPBEXHLevel1X 3 7" xfId="23328"/>
    <cellStyle name="SAPBEXHLevel1X 3 7 2" xfId="44200"/>
    <cellStyle name="SAPBEXHLevel1X 3 8" xfId="12296"/>
    <cellStyle name="SAPBEXHLevel1X 3 8 2" xfId="33185"/>
    <cellStyle name="SAPBEXHLevel1X 3 9" xfId="24422"/>
    <cellStyle name="SAPBEXHLevel1X 4" xfId="2794"/>
    <cellStyle name="SAPBEXHLevel1X 4 2" xfId="4419"/>
    <cellStyle name="SAPBEXHLevel1X 4 2 2" xfId="6265"/>
    <cellStyle name="SAPBEXHLevel1X 4 2 2 2" xfId="22570"/>
    <cellStyle name="SAPBEXHLevel1X 4 2 2 2 2" xfId="43445"/>
    <cellStyle name="SAPBEXHLevel1X 4 2 2 3" xfId="22872"/>
    <cellStyle name="SAPBEXHLevel1X 4 2 2 3 2" xfId="43746"/>
    <cellStyle name="SAPBEXHLevel1X 4 2 2 4" xfId="20972"/>
    <cellStyle name="SAPBEXHLevel1X 4 2 2 4 2" xfId="41847"/>
    <cellStyle name="SAPBEXHLevel1X 4 2 2 5" xfId="15274"/>
    <cellStyle name="SAPBEXHLevel1X 4 2 2 5 2" xfId="36150"/>
    <cellStyle name="SAPBEXHLevel1X 4 2 2 6" xfId="27412"/>
    <cellStyle name="SAPBEXHLevel1X 4 2 3" xfId="22029"/>
    <cellStyle name="SAPBEXHLevel1X 4 2 3 2" xfId="42904"/>
    <cellStyle name="SAPBEXHLevel1X 4 2 4" xfId="22331"/>
    <cellStyle name="SAPBEXHLevel1X 4 2 4 2" xfId="43206"/>
    <cellStyle name="SAPBEXHLevel1X 4 2 5" xfId="23337"/>
    <cellStyle name="SAPBEXHLevel1X 4 2 5 2" xfId="44209"/>
    <cellStyle name="SAPBEXHLevel1X 4 2 6" xfId="13456"/>
    <cellStyle name="SAPBEXHLevel1X 4 2 6 2" xfId="34332"/>
    <cellStyle name="SAPBEXHLevel1X 4 2 7" xfId="25594"/>
    <cellStyle name="SAPBEXHLevel1X 4 3" xfId="8392"/>
    <cellStyle name="SAPBEXHLevel1X 4 3 2" xfId="23081"/>
    <cellStyle name="SAPBEXHLevel1X 4 3 2 2" xfId="43954"/>
    <cellStyle name="SAPBEXHLevel1X 4 3 3" xfId="21886"/>
    <cellStyle name="SAPBEXHLevel1X 4 3 3 2" xfId="42761"/>
    <cellStyle name="SAPBEXHLevel1X 4 3 4" xfId="21276"/>
    <cellStyle name="SAPBEXHLevel1X 4 3 4 2" xfId="42151"/>
    <cellStyle name="SAPBEXHLevel1X 4 3 5" xfId="17397"/>
    <cellStyle name="SAPBEXHLevel1X 4 3 5 2" xfId="38273"/>
    <cellStyle name="SAPBEXHLevel1X 4 3 6" xfId="29535"/>
    <cellStyle name="SAPBEXHLevel1X 4 4" xfId="10278"/>
    <cellStyle name="SAPBEXHLevel1X 4 4 2" xfId="23563"/>
    <cellStyle name="SAPBEXHLevel1X 4 4 2 2" xfId="44435"/>
    <cellStyle name="SAPBEXHLevel1X 4 4 3" xfId="23885"/>
    <cellStyle name="SAPBEXHLevel1X 4 4 3 2" xfId="44757"/>
    <cellStyle name="SAPBEXHLevel1X 4 4 4" xfId="22634"/>
    <cellStyle name="SAPBEXHLevel1X 4 4 4 2" xfId="43509"/>
    <cellStyle name="SAPBEXHLevel1X 4 4 5" xfId="19049"/>
    <cellStyle name="SAPBEXHLevel1X 4 4 5 2" xfId="39925"/>
    <cellStyle name="SAPBEXHLevel1X 4 4 6" xfId="31189"/>
    <cellStyle name="SAPBEXHLevel1X 4 5" xfId="21534"/>
    <cellStyle name="SAPBEXHLevel1X 4 5 2" xfId="42409"/>
    <cellStyle name="SAPBEXHLevel1X 4 6" xfId="22816"/>
    <cellStyle name="SAPBEXHLevel1X 4 6 2" xfId="43691"/>
    <cellStyle name="SAPBEXHLevel1X 4 7" xfId="22276"/>
    <cellStyle name="SAPBEXHLevel1X 4 7 2" xfId="43151"/>
    <cellStyle name="SAPBEXHLevel1X 4 8" xfId="12297"/>
    <cellStyle name="SAPBEXHLevel1X 4 8 2" xfId="33186"/>
    <cellStyle name="SAPBEXHLevel1X 4 9" xfId="24423"/>
    <cellStyle name="SAPBEXHLevel1X 5" xfId="2795"/>
    <cellStyle name="SAPBEXHLevel1X 5 2" xfId="4420"/>
    <cellStyle name="SAPBEXHLevel1X 5 2 2" xfId="6266"/>
    <cellStyle name="SAPBEXHLevel1X 5 2 2 2" xfId="22571"/>
    <cellStyle name="SAPBEXHLevel1X 5 2 2 2 2" xfId="43446"/>
    <cellStyle name="SAPBEXHLevel1X 5 2 2 3" xfId="21846"/>
    <cellStyle name="SAPBEXHLevel1X 5 2 2 3 2" xfId="42721"/>
    <cellStyle name="SAPBEXHLevel1X 5 2 2 4" xfId="21349"/>
    <cellStyle name="SAPBEXHLevel1X 5 2 2 4 2" xfId="42224"/>
    <cellStyle name="SAPBEXHLevel1X 5 2 2 5" xfId="15275"/>
    <cellStyle name="SAPBEXHLevel1X 5 2 2 5 2" xfId="36151"/>
    <cellStyle name="SAPBEXHLevel1X 5 2 2 6" xfId="27413"/>
    <cellStyle name="SAPBEXHLevel1X 5 2 3" xfId="22030"/>
    <cellStyle name="SAPBEXHLevel1X 5 2 3 2" xfId="42905"/>
    <cellStyle name="SAPBEXHLevel1X 5 2 4" xfId="22144"/>
    <cellStyle name="SAPBEXHLevel1X 5 2 4 2" xfId="43019"/>
    <cellStyle name="SAPBEXHLevel1X 5 2 5" xfId="22697"/>
    <cellStyle name="SAPBEXHLevel1X 5 2 5 2" xfId="43572"/>
    <cellStyle name="SAPBEXHLevel1X 5 2 6" xfId="13457"/>
    <cellStyle name="SAPBEXHLevel1X 5 2 6 2" xfId="34333"/>
    <cellStyle name="SAPBEXHLevel1X 5 2 7" xfId="25595"/>
    <cellStyle name="SAPBEXHLevel1X 5 3" xfId="8393"/>
    <cellStyle name="SAPBEXHLevel1X 5 3 2" xfId="23082"/>
    <cellStyle name="SAPBEXHLevel1X 5 3 2 2" xfId="43955"/>
    <cellStyle name="SAPBEXHLevel1X 5 3 3" xfId="22320"/>
    <cellStyle name="SAPBEXHLevel1X 5 3 3 2" xfId="43195"/>
    <cellStyle name="SAPBEXHLevel1X 5 3 4" xfId="22883"/>
    <cellStyle name="SAPBEXHLevel1X 5 3 4 2" xfId="43757"/>
    <cellStyle name="SAPBEXHLevel1X 5 3 5" xfId="17398"/>
    <cellStyle name="SAPBEXHLevel1X 5 3 5 2" xfId="38274"/>
    <cellStyle name="SAPBEXHLevel1X 5 3 6" xfId="29536"/>
    <cellStyle name="SAPBEXHLevel1X 5 4" xfId="10279"/>
    <cellStyle name="SAPBEXHLevel1X 5 4 2" xfId="23564"/>
    <cellStyle name="SAPBEXHLevel1X 5 4 2 2" xfId="44436"/>
    <cellStyle name="SAPBEXHLevel1X 5 4 3" xfId="22119"/>
    <cellStyle name="SAPBEXHLevel1X 5 4 3 2" xfId="42994"/>
    <cellStyle name="SAPBEXHLevel1X 5 4 4" xfId="21868"/>
    <cellStyle name="SAPBEXHLevel1X 5 4 4 2" xfId="42743"/>
    <cellStyle name="SAPBEXHLevel1X 5 4 5" xfId="19050"/>
    <cellStyle name="SAPBEXHLevel1X 5 4 5 2" xfId="39926"/>
    <cellStyle name="SAPBEXHLevel1X 5 4 6" xfId="31190"/>
    <cellStyle name="SAPBEXHLevel1X 5 5" xfId="21535"/>
    <cellStyle name="SAPBEXHLevel1X 5 5 2" xfId="42410"/>
    <cellStyle name="SAPBEXHLevel1X 5 6" xfId="21329"/>
    <cellStyle name="SAPBEXHLevel1X 5 6 2" xfId="42204"/>
    <cellStyle name="SAPBEXHLevel1X 5 7" xfId="22823"/>
    <cellStyle name="SAPBEXHLevel1X 5 7 2" xfId="43698"/>
    <cellStyle name="SAPBEXHLevel1X 5 8" xfId="12298"/>
    <cellStyle name="SAPBEXHLevel1X 5 8 2" xfId="33187"/>
    <cellStyle name="SAPBEXHLevel1X 5 9" xfId="24424"/>
    <cellStyle name="SAPBEXHLevel1X 6" xfId="3829"/>
    <cellStyle name="SAPBEXHLevel1X 6 2" xfId="6058"/>
    <cellStyle name="SAPBEXHLevel1X 6 2 2" xfId="22417"/>
    <cellStyle name="SAPBEXHLevel1X 6 2 2 2" xfId="43292"/>
    <cellStyle name="SAPBEXHLevel1X 6 2 3" xfId="21024"/>
    <cellStyle name="SAPBEXHLevel1X 6 2 3 2" xfId="41899"/>
    <cellStyle name="SAPBEXHLevel1X 6 2 4" xfId="22115"/>
    <cellStyle name="SAPBEXHLevel1X 6 2 4 2" xfId="42990"/>
    <cellStyle name="SAPBEXHLevel1X 6 2 5" xfId="15067"/>
    <cellStyle name="SAPBEXHLevel1X 6 2 5 2" xfId="35943"/>
    <cellStyle name="SAPBEXHLevel1X 6 2 6" xfId="27205"/>
    <cellStyle name="SAPBEXHLevel1X 6 3" xfId="21803"/>
    <cellStyle name="SAPBEXHLevel1X 6 3 2" xfId="42678"/>
    <cellStyle name="SAPBEXHLevel1X 6 4" xfId="23331"/>
    <cellStyle name="SAPBEXHLevel1X 6 4 2" xfId="44203"/>
    <cellStyle name="SAPBEXHLevel1X 6 5" xfId="23965"/>
    <cellStyle name="SAPBEXHLevel1X 6 5 2" xfId="44837"/>
    <cellStyle name="SAPBEXHLevel1X 6 6" xfId="13249"/>
    <cellStyle name="SAPBEXHLevel1X 6 6 2" xfId="34125"/>
    <cellStyle name="SAPBEXHLevel1X 6 7" xfId="25387"/>
    <cellStyle name="SAPBEXHLevel1X 7" xfId="8389"/>
    <cellStyle name="SAPBEXHLevel1X 7 2" xfId="23078"/>
    <cellStyle name="SAPBEXHLevel1X 7 2 2" xfId="43951"/>
    <cellStyle name="SAPBEXHLevel1X 7 3" xfId="22283"/>
    <cellStyle name="SAPBEXHLevel1X 7 3 2" xfId="43158"/>
    <cellStyle name="SAPBEXHLevel1X 7 4" xfId="22244"/>
    <cellStyle name="SAPBEXHLevel1X 7 4 2" xfId="43119"/>
    <cellStyle name="SAPBEXHLevel1X 7 5" xfId="17394"/>
    <cellStyle name="SAPBEXHLevel1X 7 5 2" xfId="38270"/>
    <cellStyle name="SAPBEXHLevel1X 7 6" xfId="29532"/>
    <cellStyle name="SAPBEXHLevel1X 8" xfId="10275"/>
    <cellStyle name="SAPBEXHLevel1X 8 2" xfId="23560"/>
    <cellStyle name="SAPBEXHLevel1X 8 2 2" xfId="44432"/>
    <cellStyle name="SAPBEXHLevel1X 8 3" xfId="23262"/>
    <cellStyle name="SAPBEXHLevel1X 8 3 2" xfId="44135"/>
    <cellStyle name="SAPBEXHLevel1X 8 4" xfId="23646"/>
    <cellStyle name="SAPBEXHLevel1X 8 4 2" xfId="44518"/>
    <cellStyle name="SAPBEXHLevel1X 8 5" xfId="19046"/>
    <cellStyle name="SAPBEXHLevel1X 8 5 2" xfId="39922"/>
    <cellStyle name="SAPBEXHLevel1X 8 6" xfId="31186"/>
    <cellStyle name="SAPBEXHLevel1X 9" xfId="20918"/>
    <cellStyle name="SAPBEXHLevel1X 9 2" xfId="41793"/>
    <cellStyle name="SAPBEXHLevel2" xfId="1165"/>
    <cellStyle name="SAPBEXHLevel2 10" xfId="23958"/>
    <cellStyle name="SAPBEXHLevel2 10 2" xfId="44830"/>
    <cellStyle name="SAPBEXHLevel2 11" xfId="21668"/>
    <cellStyle name="SAPBEXHLevel2 11 2" xfId="42543"/>
    <cellStyle name="SAPBEXHLevel2 12" xfId="12155"/>
    <cellStyle name="SAPBEXHLevel2 12 2" xfId="33055"/>
    <cellStyle name="SAPBEXHLevel2 13" xfId="24146"/>
    <cellStyle name="SAPBEXHLevel2 13 2" xfId="45016"/>
    <cellStyle name="SAPBEXHLevel2 14" xfId="24271"/>
    <cellStyle name="SAPBEXHLevel2 14 2" xfId="45132"/>
    <cellStyle name="SAPBEXHLevel2 2" xfId="2796"/>
    <cellStyle name="SAPBEXHLevel2 2 10" xfId="24425"/>
    <cellStyle name="SAPBEXHLevel2 2 2" xfId="4422"/>
    <cellStyle name="SAPBEXHLevel2 2 2 2" xfId="6267"/>
    <cellStyle name="SAPBEXHLevel2 2 2 2 2" xfId="22572"/>
    <cellStyle name="SAPBEXHLevel2 2 2 2 2 2" xfId="43447"/>
    <cellStyle name="SAPBEXHLevel2 2 2 2 3" xfId="22673"/>
    <cellStyle name="SAPBEXHLevel2 2 2 2 3 2" xfId="43548"/>
    <cellStyle name="SAPBEXHLevel2 2 2 2 4" xfId="21427"/>
    <cellStyle name="SAPBEXHLevel2 2 2 2 4 2" xfId="42302"/>
    <cellStyle name="SAPBEXHLevel2 2 2 2 5" xfId="15276"/>
    <cellStyle name="SAPBEXHLevel2 2 2 2 5 2" xfId="36152"/>
    <cellStyle name="SAPBEXHLevel2 2 2 2 6" xfId="27414"/>
    <cellStyle name="SAPBEXHLevel2 2 2 3" xfId="22031"/>
    <cellStyle name="SAPBEXHLevel2 2 2 3 2" xfId="42906"/>
    <cellStyle name="SAPBEXHLevel2 2 2 4" xfId="24022"/>
    <cellStyle name="SAPBEXHLevel2 2 2 4 2" xfId="44894"/>
    <cellStyle name="SAPBEXHLevel2 2 2 5" xfId="23888"/>
    <cellStyle name="SAPBEXHLevel2 2 2 5 2" xfId="44760"/>
    <cellStyle name="SAPBEXHLevel2 2 2 6" xfId="13458"/>
    <cellStyle name="SAPBEXHLevel2 2 2 6 2" xfId="34334"/>
    <cellStyle name="SAPBEXHLevel2 2 2 7" xfId="25596"/>
    <cellStyle name="SAPBEXHLevel2 2 3" xfId="8395"/>
    <cellStyle name="SAPBEXHLevel2 2 3 2" xfId="23084"/>
    <cellStyle name="SAPBEXHLevel2 2 3 2 2" xfId="43957"/>
    <cellStyle name="SAPBEXHLevel2 2 3 3" xfId="22159"/>
    <cellStyle name="SAPBEXHLevel2 2 3 3 2" xfId="43034"/>
    <cellStyle name="SAPBEXHLevel2 2 3 4" xfId="23864"/>
    <cellStyle name="SAPBEXHLevel2 2 3 4 2" xfId="44736"/>
    <cellStyle name="SAPBEXHLevel2 2 3 5" xfId="17400"/>
    <cellStyle name="SAPBEXHLevel2 2 3 5 2" xfId="38276"/>
    <cellStyle name="SAPBEXHLevel2 2 3 6" xfId="29538"/>
    <cellStyle name="SAPBEXHLevel2 2 4" xfId="10281"/>
    <cellStyle name="SAPBEXHLevel2 2 4 2" xfId="23566"/>
    <cellStyle name="SAPBEXHLevel2 2 4 2 2" xfId="44438"/>
    <cellStyle name="SAPBEXHLevel2 2 4 3" xfId="23760"/>
    <cellStyle name="SAPBEXHLevel2 2 4 3 2" xfId="44632"/>
    <cellStyle name="SAPBEXHLevel2 2 4 4" xfId="21057"/>
    <cellStyle name="SAPBEXHLevel2 2 4 4 2" xfId="41932"/>
    <cellStyle name="SAPBEXHLevel2 2 4 5" xfId="19052"/>
    <cellStyle name="SAPBEXHLevel2 2 4 5 2" xfId="39928"/>
    <cellStyle name="SAPBEXHLevel2 2 4 6" xfId="31192"/>
    <cellStyle name="SAPBEXHLevel2 2 5" xfId="20921"/>
    <cellStyle name="SAPBEXHLevel2 2 5 2" xfId="41796"/>
    <cellStyle name="SAPBEXHLevel2 2 6" xfId="21103"/>
    <cellStyle name="SAPBEXHLevel2 2 6 2" xfId="41978"/>
    <cellStyle name="SAPBEXHLevel2 2 7" xfId="23706"/>
    <cellStyle name="SAPBEXHLevel2 2 7 2" xfId="44578"/>
    <cellStyle name="SAPBEXHLevel2 2 8" xfId="12156"/>
    <cellStyle name="SAPBEXHLevel2 2 8 2" xfId="33056"/>
    <cellStyle name="SAPBEXHLevel2 2 9" xfId="24206"/>
    <cellStyle name="SAPBEXHLevel2 2 9 2" xfId="45074"/>
    <cellStyle name="SAPBEXHLevel2 3" xfId="2797"/>
    <cellStyle name="SAPBEXHLevel2 3 2" xfId="4423"/>
    <cellStyle name="SAPBEXHLevel2 3 2 2" xfId="6268"/>
    <cellStyle name="SAPBEXHLevel2 3 2 2 2" xfId="22573"/>
    <cellStyle name="SAPBEXHLevel2 3 2 2 2 2" xfId="43448"/>
    <cellStyle name="SAPBEXHLevel2 3 2 2 3" xfId="23873"/>
    <cellStyle name="SAPBEXHLevel2 3 2 2 3 2" xfId="44745"/>
    <cellStyle name="SAPBEXHLevel2 3 2 2 4" xfId="21187"/>
    <cellStyle name="SAPBEXHLevel2 3 2 2 4 2" xfId="42062"/>
    <cellStyle name="SAPBEXHLevel2 3 2 2 5" xfId="15277"/>
    <cellStyle name="SAPBEXHLevel2 3 2 2 5 2" xfId="36153"/>
    <cellStyle name="SAPBEXHLevel2 3 2 2 6" xfId="27415"/>
    <cellStyle name="SAPBEXHLevel2 3 2 3" xfId="22032"/>
    <cellStyle name="SAPBEXHLevel2 3 2 3 2" xfId="42907"/>
    <cellStyle name="SAPBEXHLevel2 3 2 4" xfId="23720"/>
    <cellStyle name="SAPBEXHLevel2 3 2 4 2" xfId="44592"/>
    <cellStyle name="SAPBEXHLevel2 3 2 5" xfId="21018"/>
    <cellStyle name="SAPBEXHLevel2 3 2 5 2" xfId="41893"/>
    <cellStyle name="SAPBEXHLevel2 3 2 6" xfId="13459"/>
    <cellStyle name="SAPBEXHLevel2 3 2 6 2" xfId="34335"/>
    <cellStyle name="SAPBEXHLevel2 3 2 7" xfId="25597"/>
    <cellStyle name="SAPBEXHLevel2 3 3" xfId="8396"/>
    <cellStyle name="SAPBEXHLevel2 3 3 2" xfId="23085"/>
    <cellStyle name="SAPBEXHLevel2 3 3 2 2" xfId="43958"/>
    <cellStyle name="SAPBEXHLevel2 3 3 3" xfId="23288"/>
    <cellStyle name="SAPBEXHLevel2 3 3 3 2" xfId="44161"/>
    <cellStyle name="SAPBEXHLevel2 3 3 4" xfId="21353"/>
    <cellStyle name="SAPBEXHLevel2 3 3 4 2" xfId="42228"/>
    <cellStyle name="SAPBEXHLevel2 3 3 5" xfId="17401"/>
    <cellStyle name="SAPBEXHLevel2 3 3 5 2" xfId="38277"/>
    <cellStyle name="SAPBEXHLevel2 3 3 6" xfId="29539"/>
    <cellStyle name="SAPBEXHLevel2 3 4" xfId="10282"/>
    <cellStyle name="SAPBEXHLevel2 3 4 2" xfId="23567"/>
    <cellStyle name="SAPBEXHLevel2 3 4 2 2" xfId="44439"/>
    <cellStyle name="SAPBEXHLevel2 3 4 3" xfId="22666"/>
    <cellStyle name="SAPBEXHLevel2 3 4 3 2" xfId="43541"/>
    <cellStyle name="SAPBEXHLevel2 3 4 4" xfId="21264"/>
    <cellStyle name="SAPBEXHLevel2 3 4 4 2" xfId="42139"/>
    <cellStyle name="SAPBEXHLevel2 3 4 5" xfId="19053"/>
    <cellStyle name="SAPBEXHLevel2 3 4 5 2" xfId="39929"/>
    <cellStyle name="SAPBEXHLevel2 3 4 6" xfId="31193"/>
    <cellStyle name="SAPBEXHLevel2 3 5" xfId="21536"/>
    <cellStyle name="SAPBEXHLevel2 3 5 2" xfId="42411"/>
    <cellStyle name="SAPBEXHLevel2 3 6" xfId="22668"/>
    <cellStyle name="SAPBEXHLevel2 3 6 2" xfId="43543"/>
    <cellStyle name="SAPBEXHLevel2 3 7" xfId="21430"/>
    <cellStyle name="SAPBEXHLevel2 3 7 2" xfId="42305"/>
    <cellStyle name="SAPBEXHLevel2 3 8" xfId="12299"/>
    <cellStyle name="SAPBEXHLevel2 3 8 2" xfId="33188"/>
    <cellStyle name="SAPBEXHLevel2 3 9" xfId="24426"/>
    <cellStyle name="SAPBEXHLevel2 4" xfId="2798"/>
    <cellStyle name="SAPBEXHLevel2 4 2" xfId="4424"/>
    <cellStyle name="SAPBEXHLevel2 4 2 2" xfId="6269"/>
    <cellStyle name="SAPBEXHLevel2 4 2 2 2" xfId="22574"/>
    <cellStyle name="SAPBEXHLevel2 4 2 2 2 2" xfId="43449"/>
    <cellStyle name="SAPBEXHLevel2 4 2 2 3" xfId="23344"/>
    <cellStyle name="SAPBEXHLevel2 4 2 2 3 2" xfId="44216"/>
    <cellStyle name="SAPBEXHLevel2 4 2 2 4" xfId="22716"/>
    <cellStyle name="SAPBEXHLevel2 4 2 2 4 2" xfId="43591"/>
    <cellStyle name="SAPBEXHLevel2 4 2 2 5" xfId="15278"/>
    <cellStyle name="SAPBEXHLevel2 4 2 2 5 2" xfId="36154"/>
    <cellStyle name="SAPBEXHLevel2 4 2 2 6" xfId="27416"/>
    <cellStyle name="SAPBEXHLevel2 4 2 3" xfId="22033"/>
    <cellStyle name="SAPBEXHLevel2 4 2 3 2" xfId="42908"/>
    <cellStyle name="SAPBEXHLevel2 4 2 4" xfId="23986"/>
    <cellStyle name="SAPBEXHLevel2 4 2 4 2" xfId="44858"/>
    <cellStyle name="SAPBEXHLevel2 4 2 5" xfId="22831"/>
    <cellStyle name="SAPBEXHLevel2 4 2 5 2" xfId="43706"/>
    <cellStyle name="SAPBEXHLevel2 4 2 6" xfId="13460"/>
    <cellStyle name="SAPBEXHLevel2 4 2 6 2" xfId="34336"/>
    <cellStyle name="SAPBEXHLevel2 4 2 7" xfId="25598"/>
    <cellStyle name="SAPBEXHLevel2 4 3" xfId="8397"/>
    <cellStyle name="SAPBEXHLevel2 4 3 2" xfId="23086"/>
    <cellStyle name="SAPBEXHLevel2 4 3 2 2" xfId="43959"/>
    <cellStyle name="SAPBEXHLevel2 4 3 3" xfId="21923"/>
    <cellStyle name="SAPBEXHLevel2 4 3 3 2" xfId="42798"/>
    <cellStyle name="SAPBEXHLevel2 4 3 4" xfId="20950"/>
    <cellStyle name="SAPBEXHLevel2 4 3 4 2" xfId="41825"/>
    <cellStyle name="SAPBEXHLevel2 4 3 5" xfId="17402"/>
    <cellStyle name="SAPBEXHLevel2 4 3 5 2" xfId="38278"/>
    <cellStyle name="SAPBEXHLevel2 4 3 6" xfId="29540"/>
    <cellStyle name="SAPBEXHLevel2 4 4" xfId="10283"/>
    <cellStyle name="SAPBEXHLevel2 4 4 2" xfId="23568"/>
    <cellStyle name="SAPBEXHLevel2 4 4 2 2" xfId="44440"/>
    <cellStyle name="SAPBEXHLevel2 4 4 3" xfId="23766"/>
    <cellStyle name="SAPBEXHLevel2 4 4 3 2" xfId="44638"/>
    <cellStyle name="SAPBEXHLevel2 4 4 4" xfId="21151"/>
    <cellStyle name="SAPBEXHLevel2 4 4 4 2" xfId="42026"/>
    <cellStyle name="SAPBEXHLevel2 4 4 5" xfId="19054"/>
    <cellStyle name="SAPBEXHLevel2 4 4 5 2" xfId="39930"/>
    <cellStyle name="SAPBEXHLevel2 4 4 6" xfId="31194"/>
    <cellStyle name="SAPBEXHLevel2 4 5" xfId="21537"/>
    <cellStyle name="SAPBEXHLevel2 4 5 2" xfId="42412"/>
    <cellStyle name="SAPBEXHLevel2 4 6" xfId="23637"/>
    <cellStyle name="SAPBEXHLevel2 4 6 2" xfId="44509"/>
    <cellStyle name="SAPBEXHLevel2 4 7" xfId="21290"/>
    <cellStyle name="SAPBEXHLevel2 4 7 2" xfId="42165"/>
    <cellStyle name="SAPBEXHLevel2 4 8" xfId="12300"/>
    <cellStyle name="SAPBEXHLevel2 4 8 2" xfId="33189"/>
    <cellStyle name="SAPBEXHLevel2 4 9" xfId="24427"/>
    <cellStyle name="SAPBEXHLevel2 5" xfId="2799"/>
    <cellStyle name="SAPBEXHLevel2 5 2" xfId="4425"/>
    <cellStyle name="SAPBEXHLevel2 5 2 2" xfId="6270"/>
    <cellStyle name="SAPBEXHLevel2 5 2 2 2" xfId="22575"/>
    <cellStyle name="SAPBEXHLevel2 5 2 2 2 2" xfId="43450"/>
    <cellStyle name="SAPBEXHLevel2 5 2 2 3" xfId="22252"/>
    <cellStyle name="SAPBEXHLevel2 5 2 2 3 2" xfId="43127"/>
    <cellStyle name="SAPBEXHLevel2 5 2 2 4" xfId="22356"/>
    <cellStyle name="SAPBEXHLevel2 5 2 2 4 2" xfId="43231"/>
    <cellStyle name="SAPBEXHLevel2 5 2 2 5" xfId="15279"/>
    <cellStyle name="SAPBEXHLevel2 5 2 2 5 2" xfId="36155"/>
    <cellStyle name="SAPBEXHLevel2 5 2 2 6" xfId="27417"/>
    <cellStyle name="SAPBEXHLevel2 5 2 3" xfId="22034"/>
    <cellStyle name="SAPBEXHLevel2 5 2 3 2" xfId="42909"/>
    <cellStyle name="SAPBEXHLevel2 5 2 4" xfId="21211"/>
    <cellStyle name="SAPBEXHLevel2 5 2 4 2" xfId="42086"/>
    <cellStyle name="SAPBEXHLevel2 5 2 5" xfId="22903"/>
    <cellStyle name="SAPBEXHLevel2 5 2 5 2" xfId="43777"/>
    <cellStyle name="SAPBEXHLevel2 5 2 6" xfId="13461"/>
    <cellStyle name="SAPBEXHLevel2 5 2 6 2" xfId="34337"/>
    <cellStyle name="SAPBEXHLevel2 5 2 7" xfId="25599"/>
    <cellStyle name="SAPBEXHLevel2 5 3" xfId="8398"/>
    <cellStyle name="SAPBEXHLevel2 5 3 2" xfId="23087"/>
    <cellStyle name="SAPBEXHLevel2 5 3 2 2" xfId="43960"/>
    <cellStyle name="SAPBEXHLevel2 5 3 3" xfId="21884"/>
    <cellStyle name="SAPBEXHLevel2 5 3 3 2" xfId="42759"/>
    <cellStyle name="SAPBEXHLevel2 5 3 4" xfId="23740"/>
    <cellStyle name="SAPBEXHLevel2 5 3 4 2" xfId="44612"/>
    <cellStyle name="SAPBEXHLevel2 5 3 5" xfId="17403"/>
    <cellStyle name="SAPBEXHLevel2 5 3 5 2" xfId="38279"/>
    <cellStyle name="SAPBEXHLevel2 5 3 6" xfId="29541"/>
    <cellStyle name="SAPBEXHLevel2 5 4" xfId="10284"/>
    <cellStyle name="SAPBEXHLevel2 5 4 2" xfId="23569"/>
    <cellStyle name="SAPBEXHLevel2 5 4 2 2" xfId="44441"/>
    <cellStyle name="SAPBEXHLevel2 5 4 3" xfId="23927"/>
    <cellStyle name="SAPBEXHLevel2 5 4 3 2" xfId="44799"/>
    <cellStyle name="SAPBEXHLevel2 5 4 4" xfId="24088"/>
    <cellStyle name="SAPBEXHLevel2 5 4 4 2" xfId="44960"/>
    <cellStyle name="SAPBEXHLevel2 5 4 5" xfId="19055"/>
    <cellStyle name="SAPBEXHLevel2 5 4 5 2" xfId="39931"/>
    <cellStyle name="SAPBEXHLevel2 5 4 6" xfId="31195"/>
    <cellStyle name="SAPBEXHLevel2 5 5" xfId="21538"/>
    <cellStyle name="SAPBEXHLevel2 5 5 2" xfId="42413"/>
    <cellStyle name="SAPBEXHLevel2 5 6" xfId="23419"/>
    <cellStyle name="SAPBEXHLevel2 5 6 2" xfId="44291"/>
    <cellStyle name="SAPBEXHLevel2 5 7" xfId="20998"/>
    <cellStyle name="SAPBEXHLevel2 5 7 2" xfId="41873"/>
    <cellStyle name="SAPBEXHLevel2 5 8" xfId="12301"/>
    <cellStyle name="SAPBEXHLevel2 5 8 2" xfId="33190"/>
    <cellStyle name="SAPBEXHLevel2 5 9" xfId="24428"/>
    <cellStyle name="SAPBEXHLevel2 6" xfId="3830"/>
    <cellStyle name="SAPBEXHLevel2 6 2" xfId="6059"/>
    <cellStyle name="SAPBEXHLevel2 6 2 2" xfId="22418"/>
    <cellStyle name="SAPBEXHLevel2 6 2 2 2" xfId="43293"/>
    <cellStyle name="SAPBEXHLevel2 6 2 3" xfId="21090"/>
    <cellStyle name="SAPBEXHLevel2 6 2 3 2" xfId="41965"/>
    <cellStyle name="SAPBEXHLevel2 6 2 4" xfId="21730"/>
    <cellStyle name="SAPBEXHLevel2 6 2 4 2" xfId="42605"/>
    <cellStyle name="SAPBEXHLevel2 6 2 5" xfId="15068"/>
    <cellStyle name="SAPBEXHLevel2 6 2 5 2" xfId="35944"/>
    <cellStyle name="SAPBEXHLevel2 6 2 6" xfId="27206"/>
    <cellStyle name="SAPBEXHLevel2 6 3" xfId="21804"/>
    <cellStyle name="SAPBEXHLevel2 6 3 2" xfId="42679"/>
    <cellStyle name="SAPBEXHLevel2 6 4" xfId="22740"/>
    <cellStyle name="SAPBEXHLevel2 6 4 2" xfId="43615"/>
    <cellStyle name="SAPBEXHLevel2 6 5" xfId="21163"/>
    <cellStyle name="SAPBEXHLevel2 6 5 2" xfId="42038"/>
    <cellStyle name="SAPBEXHLevel2 6 6" xfId="13250"/>
    <cellStyle name="SAPBEXHLevel2 6 6 2" xfId="34126"/>
    <cellStyle name="SAPBEXHLevel2 6 7" xfId="25388"/>
    <cellStyle name="SAPBEXHLevel2 7" xfId="8394"/>
    <cellStyle name="SAPBEXHLevel2 7 2" xfId="23083"/>
    <cellStyle name="SAPBEXHLevel2 7 2 2" xfId="43956"/>
    <cellStyle name="SAPBEXHLevel2 7 3" xfId="22775"/>
    <cellStyle name="SAPBEXHLevel2 7 3 2" xfId="43650"/>
    <cellStyle name="SAPBEXHLevel2 7 4" xfId="23380"/>
    <cellStyle name="SAPBEXHLevel2 7 4 2" xfId="44252"/>
    <cellStyle name="SAPBEXHLevel2 7 5" xfId="17399"/>
    <cellStyle name="SAPBEXHLevel2 7 5 2" xfId="38275"/>
    <cellStyle name="SAPBEXHLevel2 7 6" xfId="29537"/>
    <cellStyle name="SAPBEXHLevel2 8" xfId="10280"/>
    <cellStyle name="SAPBEXHLevel2 8 2" xfId="23565"/>
    <cellStyle name="SAPBEXHLevel2 8 2 2" xfId="44437"/>
    <cellStyle name="SAPBEXHLevel2 8 3" xfId="22660"/>
    <cellStyle name="SAPBEXHLevel2 8 3 2" xfId="43535"/>
    <cellStyle name="SAPBEXHLevel2 8 4" xfId="21389"/>
    <cellStyle name="SAPBEXHLevel2 8 4 2" xfId="42264"/>
    <cellStyle name="SAPBEXHLevel2 8 5" xfId="19051"/>
    <cellStyle name="SAPBEXHLevel2 8 5 2" xfId="39927"/>
    <cellStyle name="SAPBEXHLevel2 8 6" xfId="31191"/>
    <cellStyle name="SAPBEXHLevel2 9" xfId="20920"/>
    <cellStyle name="SAPBEXHLevel2 9 2" xfId="41795"/>
    <cellStyle name="SAPBEXHLevel2X" xfId="1166"/>
    <cellStyle name="SAPBEXHLevel2X 10" xfId="23243"/>
    <cellStyle name="SAPBEXHLevel2X 10 2" xfId="44116"/>
    <cellStyle name="SAPBEXHLevel2X 11" xfId="21764"/>
    <cellStyle name="SAPBEXHLevel2X 11 2" xfId="42639"/>
    <cellStyle name="SAPBEXHLevel2X 12" xfId="12157"/>
    <cellStyle name="SAPBEXHLevel2X 12 2" xfId="33057"/>
    <cellStyle name="SAPBEXHLevel2X 13" xfId="24145"/>
    <cellStyle name="SAPBEXHLevel2X 13 2" xfId="45015"/>
    <cellStyle name="SAPBEXHLevel2X 14" xfId="24272"/>
    <cellStyle name="SAPBEXHLevel2X 14 2" xfId="45133"/>
    <cellStyle name="SAPBEXHLevel2X 2" xfId="2800"/>
    <cellStyle name="SAPBEXHLevel2X 2 10" xfId="24429"/>
    <cellStyle name="SAPBEXHLevel2X 2 2" xfId="4427"/>
    <cellStyle name="SAPBEXHLevel2X 2 2 2" xfId="6271"/>
    <cellStyle name="SAPBEXHLevel2X 2 2 2 2" xfId="22576"/>
    <cellStyle name="SAPBEXHLevel2X 2 2 2 2 2" xfId="43451"/>
    <cellStyle name="SAPBEXHLevel2X 2 2 2 3" xfId="24015"/>
    <cellStyle name="SAPBEXHLevel2X 2 2 2 3 2" xfId="44887"/>
    <cellStyle name="SAPBEXHLevel2X 2 2 2 4" xfId="22908"/>
    <cellStyle name="SAPBEXHLevel2X 2 2 2 4 2" xfId="43782"/>
    <cellStyle name="SAPBEXHLevel2X 2 2 2 5" xfId="15280"/>
    <cellStyle name="SAPBEXHLevel2X 2 2 2 5 2" xfId="36156"/>
    <cellStyle name="SAPBEXHLevel2X 2 2 2 6" xfId="27418"/>
    <cellStyle name="SAPBEXHLevel2X 2 2 3" xfId="22035"/>
    <cellStyle name="SAPBEXHLevel2X 2 2 3 2" xfId="42910"/>
    <cellStyle name="SAPBEXHLevel2X 2 2 4" xfId="23985"/>
    <cellStyle name="SAPBEXHLevel2X 2 2 4 2" xfId="44857"/>
    <cellStyle name="SAPBEXHLevel2X 2 2 5" xfId="23323"/>
    <cellStyle name="SAPBEXHLevel2X 2 2 5 2" xfId="44195"/>
    <cellStyle name="SAPBEXHLevel2X 2 2 6" xfId="13462"/>
    <cellStyle name="SAPBEXHLevel2X 2 2 6 2" xfId="34338"/>
    <cellStyle name="SAPBEXHLevel2X 2 2 7" xfId="25600"/>
    <cellStyle name="SAPBEXHLevel2X 2 3" xfId="8400"/>
    <cellStyle name="SAPBEXHLevel2X 2 3 2" xfId="23089"/>
    <cellStyle name="SAPBEXHLevel2X 2 3 2 2" xfId="43962"/>
    <cellStyle name="SAPBEXHLevel2X 2 3 3" xfId="23379"/>
    <cellStyle name="SAPBEXHLevel2X 2 3 3 2" xfId="44251"/>
    <cellStyle name="SAPBEXHLevel2X 2 3 4" xfId="21022"/>
    <cellStyle name="SAPBEXHLevel2X 2 3 4 2" xfId="41897"/>
    <cellStyle name="SAPBEXHLevel2X 2 3 5" xfId="17405"/>
    <cellStyle name="SAPBEXHLevel2X 2 3 5 2" xfId="38281"/>
    <cellStyle name="SAPBEXHLevel2X 2 3 6" xfId="29543"/>
    <cellStyle name="SAPBEXHLevel2X 2 4" xfId="10286"/>
    <cellStyle name="SAPBEXHLevel2X 2 4 2" xfId="23571"/>
    <cellStyle name="SAPBEXHLevel2X 2 4 2 2" xfId="44443"/>
    <cellStyle name="SAPBEXHLevel2X 2 4 3" xfId="22758"/>
    <cellStyle name="SAPBEXHLevel2X 2 4 3 2" xfId="43633"/>
    <cellStyle name="SAPBEXHLevel2X 2 4 4" xfId="22841"/>
    <cellStyle name="SAPBEXHLevel2X 2 4 4 2" xfId="43716"/>
    <cellStyle name="SAPBEXHLevel2X 2 4 5" xfId="19057"/>
    <cellStyle name="SAPBEXHLevel2X 2 4 5 2" xfId="39933"/>
    <cellStyle name="SAPBEXHLevel2X 2 4 6" xfId="31197"/>
    <cellStyle name="SAPBEXHLevel2X 2 5" xfId="20923"/>
    <cellStyle name="SAPBEXHLevel2X 2 5 2" xfId="41798"/>
    <cellStyle name="SAPBEXHLevel2X 2 6" xfId="24112"/>
    <cellStyle name="SAPBEXHLevel2X 2 6 2" xfId="44983"/>
    <cellStyle name="SAPBEXHLevel2X 2 7" xfId="21755"/>
    <cellStyle name="SAPBEXHLevel2X 2 7 2" xfId="42630"/>
    <cellStyle name="SAPBEXHLevel2X 2 8" xfId="12158"/>
    <cellStyle name="SAPBEXHLevel2X 2 8 2" xfId="33058"/>
    <cellStyle name="SAPBEXHLevel2X 2 9" xfId="24207"/>
    <cellStyle name="SAPBEXHLevel2X 2 9 2" xfId="45075"/>
    <cellStyle name="SAPBEXHLevel2X 3" xfId="2801"/>
    <cellStyle name="SAPBEXHLevel2X 3 2" xfId="4428"/>
    <cellStyle name="SAPBEXHLevel2X 3 2 2" xfId="6272"/>
    <cellStyle name="SAPBEXHLevel2X 3 2 2 2" xfId="22577"/>
    <cellStyle name="SAPBEXHLevel2X 3 2 2 2 2" xfId="43452"/>
    <cellStyle name="SAPBEXHLevel2X 3 2 2 3" xfId="22255"/>
    <cellStyle name="SAPBEXHLevel2X 3 2 2 3 2" xfId="43130"/>
    <cellStyle name="SAPBEXHLevel2X 3 2 2 4" xfId="23896"/>
    <cellStyle name="SAPBEXHLevel2X 3 2 2 4 2" xfId="44768"/>
    <cellStyle name="SAPBEXHLevel2X 3 2 2 5" xfId="15281"/>
    <cellStyle name="SAPBEXHLevel2X 3 2 2 5 2" xfId="36157"/>
    <cellStyle name="SAPBEXHLevel2X 3 2 2 6" xfId="27419"/>
    <cellStyle name="SAPBEXHLevel2X 3 2 3" xfId="22036"/>
    <cellStyle name="SAPBEXHLevel2X 3 2 3 2" xfId="42911"/>
    <cellStyle name="SAPBEXHLevel2X 3 2 4" xfId="21212"/>
    <cellStyle name="SAPBEXHLevel2X 3 2 4 2" xfId="42087"/>
    <cellStyle name="SAPBEXHLevel2X 3 2 5" xfId="22785"/>
    <cellStyle name="SAPBEXHLevel2X 3 2 5 2" xfId="43660"/>
    <cellStyle name="SAPBEXHLevel2X 3 2 6" xfId="13463"/>
    <cellStyle name="SAPBEXHLevel2X 3 2 6 2" xfId="34339"/>
    <cellStyle name="SAPBEXHLevel2X 3 2 7" xfId="25601"/>
    <cellStyle name="SAPBEXHLevel2X 3 3" xfId="8401"/>
    <cellStyle name="SAPBEXHLevel2X 3 3 2" xfId="23090"/>
    <cellStyle name="SAPBEXHLevel2X 3 3 2 2" xfId="43963"/>
    <cellStyle name="SAPBEXHLevel2X 3 3 3" xfId="20984"/>
    <cellStyle name="SAPBEXHLevel2X 3 3 3 2" xfId="41859"/>
    <cellStyle name="SAPBEXHLevel2X 3 3 4" xfId="23256"/>
    <cellStyle name="SAPBEXHLevel2X 3 3 4 2" xfId="44129"/>
    <cellStyle name="SAPBEXHLevel2X 3 3 5" xfId="17406"/>
    <cellStyle name="SAPBEXHLevel2X 3 3 5 2" xfId="38282"/>
    <cellStyle name="SAPBEXHLevel2X 3 3 6" xfId="29544"/>
    <cellStyle name="SAPBEXHLevel2X 3 4" xfId="10287"/>
    <cellStyle name="SAPBEXHLevel2X 3 4 2" xfId="23572"/>
    <cellStyle name="SAPBEXHLevel2X 3 4 2 2" xfId="44444"/>
    <cellStyle name="SAPBEXHLevel2X 3 4 3" xfId="22868"/>
    <cellStyle name="SAPBEXHLevel2X 3 4 3 2" xfId="43742"/>
    <cellStyle name="SAPBEXHLevel2X 3 4 4" xfId="23963"/>
    <cellStyle name="SAPBEXHLevel2X 3 4 4 2" xfId="44835"/>
    <cellStyle name="SAPBEXHLevel2X 3 4 5" xfId="19058"/>
    <cellStyle name="SAPBEXHLevel2X 3 4 5 2" xfId="39934"/>
    <cellStyle name="SAPBEXHLevel2X 3 4 6" xfId="31198"/>
    <cellStyle name="SAPBEXHLevel2X 3 5" xfId="21540"/>
    <cellStyle name="SAPBEXHLevel2X 3 5 2" xfId="42415"/>
    <cellStyle name="SAPBEXHLevel2X 3 6" xfId="23948"/>
    <cellStyle name="SAPBEXHLevel2X 3 6 2" xfId="44820"/>
    <cellStyle name="SAPBEXHLevel2X 3 7" xfId="22864"/>
    <cellStyle name="SAPBEXHLevel2X 3 7 2" xfId="43738"/>
    <cellStyle name="SAPBEXHLevel2X 3 8" xfId="12302"/>
    <cellStyle name="SAPBEXHLevel2X 3 8 2" xfId="33191"/>
    <cellStyle name="SAPBEXHLevel2X 3 9" xfId="24430"/>
    <cellStyle name="SAPBEXHLevel2X 4" xfId="2802"/>
    <cellStyle name="SAPBEXHLevel2X 4 2" xfId="4429"/>
    <cellStyle name="SAPBEXHLevel2X 4 2 2" xfId="6273"/>
    <cellStyle name="SAPBEXHLevel2X 4 2 2 2" xfId="22578"/>
    <cellStyle name="SAPBEXHLevel2X 4 2 2 2 2" xfId="43453"/>
    <cellStyle name="SAPBEXHLevel2X 4 2 2 3" xfId="23973"/>
    <cellStyle name="SAPBEXHLevel2X 4 2 2 3 2" xfId="44845"/>
    <cellStyle name="SAPBEXHLevel2X 4 2 2 4" xfId="23359"/>
    <cellStyle name="SAPBEXHLevel2X 4 2 2 4 2" xfId="44231"/>
    <cellStyle name="SAPBEXHLevel2X 4 2 2 5" xfId="15282"/>
    <cellStyle name="SAPBEXHLevel2X 4 2 2 5 2" xfId="36158"/>
    <cellStyle name="SAPBEXHLevel2X 4 2 2 6" xfId="27420"/>
    <cellStyle name="SAPBEXHLevel2X 4 2 3" xfId="22037"/>
    <cellStyle name="SAPBEXHLevel2X 4 2 3 2" xfId="42912"/>
    <cellStyle name="SAPBEXHLevel2X 4 2 4" xfId="21337"/>
    <cellStyle name="SAPBEXHLevel2X 4 2 4 2" xfId="42212"/>
    <cellStyle name="SAPBEXHLevel2X 4 2 5" xfId="22844"/>
    <cellStyle name="SAPBEXHLevel2X 4 2 5 2" xfId="43719"/>
    <cellStyle name="SAPBEXHLevel2X 4 2 6" xfId="13464"/>
    <cellStyle name="SAPBEXHLevel2X 4 2 6 2" xfId="34340"/>
    <cellStyle name="SAPBEXHLevel2X 4 2 7" xfId="25602"/>
    <cellStyle name="SAPBEXHLevel2X 4 3" xfId="8402"/>
    <cellStyle name="SAPBEXHLevel2X 4 3 2" xfId="23091"/>
    <cellStyle name="SAPBEXHLevel2X 4 3 2 2" xfId="43964"/>
    <cellStyle name="SAPBEXHLevel2X 4 3 3" xfId="21772"/>
    <cellStyle name="SAPBEXHLevel2X 4 3 3 2" xfId="42647"/>
    <cellStyle name="SAPBEXHLevel2X 4 3 4" xfId="23205"/>
    <cellStyle name="SAPBEXHLevel2X 4 3 4 2" xfId="44078"/>
    <cellStyle name="SAPBEXHLevel2X 4 3 5" xfId="17407"/>
    <cellStyle name="SAPBEXHLevel2X 4 3 5 2" xfId="38283"/>
    <cellStyle name="SAPBEXHLevel2X 4 3 6" xfId="29545"/>
    <cellStyle name="SAPBEXHLevel2X 4 4" xfId="10288"/>
    <cellStyle name="SAPBEXHLevel2X 4 4 2" xfId="23573"/>
    <cellStyle name="SAPBEXHLevel2X 4 4 2 2" xfId="44445"/>
    <cellStyle name="SAPBEXHLevel2X 4 4 3" xfId="23187"/>
    <cellStyle name="SAPBEXHLevel2X 4 4 3 2" xfId="44060"/>
    <cellStyle name="SAPBEXHLevel2X 4 4 4" xfId="24127"/>
    <cellStyle name="SAPBEXHLevel2X 4 4 4 2" xfId="44998"/>
    <cellStyle name="SAPBEXHLevel2X 4 4 5" xfId="19059"/>
    <cellStyle name="SAPBEXHLevel2X 4 4 5 2" xfId="39935"/>
    <cellStyle name="SAPBEXHLevel2X 4 4 6" xfId="31199"/>
    <cellStyle name="SAPBEXHLevel2X 4 5" xfId="21541"/>
    <cellStyle name="SAPBEXHLevel2X 4 5 2" xfId="42416"/>
    <cellStyle name="SAPBEXHLevel2X 4 6" xfId="22237"/>
    <cellStyle name="SAPBEXHLevel2X 4 6 2" xfId="43112"/>
    <cellStyle name="SAPBEXHLevel2X 4 7" xfId="22357"/>
    <cellStyle name="SAPBEXHLevel2X 4 7 2" xfId="43232"/>
    <cellStyle name="SAPBEXHLevel2X 4 8" xfId="12303"/>
    <cellStyle name="SAPBEXHLevel2X 4 8 2" xfId="33192"/>
    <cellStyle name="SAPBEXHLevel2X 4 9" xfId="24431"/>
    <cellStyle name="SAPBEXHLevel2X 5" xfId="2803"/>
    <cellStyle name="SAPBEXHLevel2X 5 2" xfId="4430"/>
    <cellStyle name="SAPBEXHLevel2X 5 2 2" xfId="6274"/>
    <cellStyle name="SAPBEXHLevel2X 5 2 2 2" xfId="22579"/>
    <cellStyle name="SAPBEXHLevel2X 5 2 2 2 2" xfId="43454"/>
    <cellStyle name="SAPBEXHLevel2X 5 2 2 3" xfId="20967"/>
    <cellStyle name="SAPBEXHLevel2X 5 2 2 3 2" xfId="41842"/>
    <cellStyle name="SAPBEXHLevel2X 5 2 2 4" xfId="21636"/>
    <cellStyle name="SAPBEXHLevel2X 5 2 2 4 2" xfId="42511"/>
    <cellStyle name="SAPBEXHLevel2X 5 2 2 5" xfId="15283"/>
    <cellStyle name="SAPBEXHLevel2X 5 2 2 5 2" xfId="36159"/>
    <cellStyle name="SAPBEXHLevel2X 5 2 2 6" xfId="27421"/>
    <cellStyle name="SAPBEXHLevel2X 5 2 3" xfId="22038"/>
    <cellStyle name="SAPBEXHLevel2X 5 2 3 2" xfId="42913"/>
    <cellStyle name="SAPBEXHLevel2X 5 2 4" xfId="21422"/>
    <cellStyle name="SAPBEXHLevel2X 5 2 4 2" xfId="42297"/>
    <cellStyle name="SAPBEXHLevel2X 5 2 5" xfId="21241"/>
    <cellStyle name="SAPBEXHLevel2X 5 2 5 2" xfId="42116"/>
    <cellStyle name="SAPBEXHLevel2X 5 2 6" xfId="13465"/>
    <cellStyle name="SAPBEXHLevel2X 5 2 6 2" xfId="34341"/>
    <cellStyle name="SAPBEXHLevel2X 5 2 7" xfId="25603"/>
    <cellStyle name="SAPBEXHLevel2X 5 3" xfId="8403"/>
    <cellStyle name="SAPBEXHLevel2X 5 3 2" xfId="23092"/>
    <cellStyle name="SAPBEXHLevel2X 5 3 2 2" xfId="43965"/>
    <cellStyle name="SAPBEXHLevel2X 5 3 3" xfId="22803"/>
    <cellStyle name="SAPBEXHLevel2X 5 3 3 2" xfId="43678"/>
    <cellStyle name="SAPBEXHLevel2X 5 3 4" xfId="21394"/>
    <cellStyle name="SAPBEXHLevel2X 5 3 4 2" xfId="42269"/>
    <cellStyle name="SAPBEXHLevel2X 5 3 5" xfId="17408"/>
    <cellStyle name="SAPBEXHLevel2X 5 3 5 2" xfId="38284"/>
    <cellStyle name="SAPBEXHLevel2X 5 3 6" xfId="29546"/>
    <cellStyle name="SAPBEXHLevel2X 5 4" xfId="10289"/>
    <cellStyle name="SAPBEXHLevel2X 5 4 2" xfId="23574"/>
    <cellStyle name="SAPBEXHLevel2X 5 4 2 2" xfId="44446"/>
    <cellStyle name="SAPBEXHLevel2X 5 4 3" xfId="23291"/>
    <cellStyle name="SAPBEXHLevel2X 5 4 3 2" xfId="44163"/>
    <cellStyle name="SAPBEXHLevel2X 5 4 4" xfId="22444"/>
    <cellStyle name="SAPBEXHLevel2X 5 4 4 2" xfId="43319"/>
    <cellStyle name="SAPBEXHLevel2X 5 4 5" xfId="19060"/>
    <cellStyle name="SAPBEXHLevel2X 5 4 5 2" xfId="39936"/>
    <cellStyle name="SAPBEXHLevel2X 5 4 6" xfId="31200"/>
    <cellStyle name="SAPBEXHLevel2X 5 5" xfId="21542"/>
    <cellStyle name="SAPBEXHLevel2X 5 5 2" xfId="42417"/>
    <cellStyle name="SAPBEXHLevel2X 5 6" xfId="23348"/>
    <cellStyle name="SAPBEXHLevel2X 5 6 2" xfId="44220"/>
    <cellStyle name="SAPBEXHLevel2X 5 7" xfId="22254"/>
    <cellStyle name="SAPBEXHLevel2X 5 7 2" xfId="43129"/>
    <cellStyle name="SAPBEXHLevel2X 5 8" xfId="12304"/>
    <cellStyle name="SAPBEXHLevel2X 5 8 2" xfId="33193"/>
    <cellStyle name="SAPBEXHLevel2X 5 9" xfId="24432"/>
    <cellStyle name="SAPBEXHLevel2X 6" xfId="3831"/>
    <cellStyle name="SAPBEXHLevel2X 6 2" xfId="6060"/>
    <cellStyle name="SAPBEXHLevel2X 6 2 2" xfId="22419"/>
    <cellStyle name="SAPBEXHLevel2X 6 2 2 2" xfId="43294"/>
    <cellStyle name="SAPBEXHLevel2X 6 2 3" xfId="21851"/>
    <cellStyle name="SAPBEXHLevel2X 6 2 3 2" xfId="42726"/>
    <cellStyle name="SAPBEXHLevel2X 6 2 4" xfId="23846"/>
    <cellStyle name="SAPBEXHLevel2X 6 2 4 2" xfId="44718"/>
    <cellStyle name="SAPBEXHLevel2X 6 2 5" xfId="15069"/>
    <cellStyle name="SAPBEXHLevel2X 6 2 5 2" xfId="35945"/>
    <cellStyle name="SAPBEXHLevel2X 6 2 6" xfId="27207"/>
    <cellStyle name="SAPBEXHLevel2X 6 3" xfId="21805"/>
    <cellStyle name="SAPBEXHLevel2X 6 3 2" xfId="42680"/>
    <cellStyle name="SAPBEXHLevel2X 6 4" xfId="22138"/>
    <cellStyle name="SAPBEXHLevel2X 6 4 2" xfId="43013"/>
    <cellStyle name="SAPBEXHLevel2X 6 5" xfId="22871"/>
    <cellStyle name="SAPBEXHLevel2X 6 5 2" xfId="43745"/>
    <cellStyle name="SAPBEXHLevel2X 6 6" xfId="13251"/>
    <cellStyle name="SAPBEXHLevel2X 6 6 2" xfId="34127"/>
    <cellStyle name="SAPBEXHLevel2X 6 7" xfId="25389"/>
    <cellStyle name="SAPBEXHLevel2X 7" xfId="8399"/>
    <cellStyle name="SAPBEXHLevel2X 7 2" xfId="23088"/>
    <cellStyle name="SAPBEXHLevel2X 7 2 2" xfId="43961"/>
    <cellStyle name="SAPBEXHLevel2X 7 3" xfId="22186"/>
    <cellStyle name="SAPBEXHLevel2X 7 3 2" xfId="43061"/>
    <cellStyle name="SAPBEXHLevel2X 7 4" xfId="20994"/>
    <cellStyle name="SAPBEXHLevel2X 7 4 2" xfId="41869"/>
    <cellStyle name="SAPBEXHLevel2X 7 5" xfId="17404"/>
    <cellStyle name="SAPBEXHLevel2X 7 5 2" xfId="38280"/>
    <cellStyle name="SAPBEXHLevel2X 7 6" xfId="29542"/>
    <cellStyle name="SAPBEXHLevel2X 8" xfId="10285"/>
    <cellStyle name="SAPBEXHLevel2X 8 2" xfId="23570"/>
    <cellStyle name="SAPBEXHLevel2X 8 2 2" xfId="44442"/>
    <cellStyle name="SAPBEXHLevel2X 8 3" xfId="22266"/>
    <cellStyle name="SAPBEXHLevel2X 8 3 2" xfId="43141"/>
    <cellStyle name="SAPBEXHLevel2X 8 4" xfId="21697"/>
    <cellStyle name="SAPBEXHLevel2X 8 4 2" xfId="42572"/>
    <cellStyle name="SAPBEXHLevel2X 8 5" xfId="19056"/>
    <cellStyle name="SAPBEXHLevel2X 8 5 2" xfId="39932"/>
    <cellStyle name="SAPBEXHLevel2X 8 6" xfId="31196"/>
    <cellStyle name="SAPBEXHLevel2X 9" xfId="20922"/>
    <cellStyle name="SAPBEXHLevel2X 9 2" xfId="41797"/>
    <cellStyle name="SAPBEXHLevel3" xfId="1167"/>
    <cellStyle name="SAPBEXHLevel3 10" xfId="22677"/>
    <cellStyle name="SAPBEXHLevel3 10 2" xfId="43552"/>
    <cellStyle name="SAPBEXHLevel3 11" xfId="22231"/>
    <cellStyle name="SAPBEXHLevel3 11 2" xfId="43106"/>
    <cellStyle name="SAPBEXHLevel3 12" xfId="12159"/>
    <cellStyle name="SAPBEXHLevel3 12 2" xfId="33059"/>
    <cellStyle name="SAPBEXHLevel3 13" xfId="24144"/>
    <cellStyle name="SAPBEXHLevel3 13 2" xfId="45014"/>
    <cellStyle name="SAPBEXHLevel3 14" xfId="24273"/>
    <cellStyle name="SAPBEXHLevel3 14 2" xfId="45134"/>
    <cellStyle name="SAPBEXHLevel3 2" xfId="2804"/>
    <cellStyle name="SAPBEXHLevel3 2 10" xfId="24433"/>
    <cellStyle name="SAPBEXHLevel3 2 2" xfId="4431"/>
    <cellStyle name="SAPBEXHLevel3 2 2 2" xfId="6275"/>
    <cellStyle name="SAPBEXHLevel3 2 2 2 2" xfId="22580"/>
    <cellStyle name="SAPBEXHLevel3 2 2 2 2 2" xfId="43455"/>
    <cellStyle name="SAPBEXHLevel3 2 2 2 3" xfId="22291"/>
    <cellStyle name="SAPBEXHLevel3 2 2 2 3 2" xfId="43166"/>
    <cellStyle name="SAPBEXHLevel3 2 2 2 4" xfId="21035"/>
    <cellStyle name="SAPBEXHLevel3 2 2 2 4 2" xfId="41910"/>
    <cellStyle name="SAPBEXHLevel3 2 2 2 5" xfId="15284"/>
    <cellStyle name="SAPBEXHLevel3 2 2 2 5 2" xfId="36160"/>
    <cellStyle name="SAPBEXHLevel3 2 2 2 6" xfId="27422"/>
    <cellStyle name="SAPBEXHLevel3 2 2 3" xfId="22039"/>
    <cellStyle name="SAPBEXHLevel3 2 2 3 2" xfId="42914"/>
    <cellStyle name="SAPBEXHLevel3 2 2 4" xfId="23365"/>
    <cellStyle name="SAPBEXHLevel3 2 2 4 2" xfId="44237"/>
    <cellStyle name="SAPBEXHLevel3 2 2 5" xfId="21405"/>
    <cellStyle name="SAPBEXHLevel3 2 2 5 2" xfId="42280"/>
    <cellStyle name="SAPBEXHLevel3 2 2 6" xfId="13466"/>
    <cellStyle name="SAPBEXHLevel3 2 2 6 2" xfId="34342"/>
    <cellStyle name="SAPBEXHLevel3 2 2 7" xfId="25604"/>
    <cellStyle name="SAPBEXHLevel3 2 3" xfId="8405"/>
    <cellStyle name="SAPBEXHLevel3 2 3 2" xfId="23094"/>
    <cellStyle name="SAPBEXHLevel3 2 3 2 2" xfId="43967"/>
    <cellStyle name="SAPBEXHLevel3 2 3 3" xfId="22687"/>
    <cellStyle name="SAPBEXHLevel3 2 3 3 2" xfId="43562"/>
    <cellStyle name="SAPBEXHLevel3 2 3 4" xfId="24008"/>
    <cellStyle name="SAPBEXHLevel3 2 3 4 2" xfId="44880"/>
    <cellStyle name="SAPBEXHLevel3 2 3 5" xfId="17410"/>
    <cellStyle name="SAPBEXHLevel3 2 3 5 2" xfId="38286"/>
    <cellStyle name="SAPBEXHLevel3 2 3 6" xfId="29548"/>
    <cellStyle name="SAPBEXHLevel3 2 4" xfId="10291"/>
    <cellStyle name="SAPBEXHLevel3 2 4 2" xfId="23576"/>
    <cellStyle name="SAPBEXHLevel3 2 4 2 2" xfId="44448"/>
    <cellStyle name="SAPBEXHLevel3 2 4 3" xfId="23920"/>
    <cellStyle name="SAPBEXHLevel3 2 4 3 2" xfId="44792"/>
    <cellStyle name="SAPBEXHLevel3 2 4 4" xfId="23636"/>
    <cellStyle name="SAPBEXHLevel3 2 4 4 2" xfId="44508"/>
    <cellStyle name="SAPBEXHLevel3 2 4 5" xfId="19062"/>
    <cellStyle name="SAPBEXHLevel3 2 4 5 2" xfId="39938"/>
    <cellStyle name="SAPBEXHLevel3 2 4 6" xfId="31202"/>
    <cellStyle name="SAPBEXHLevel3 2 5" xfId="20925"/>
    <cellStyle name="SAPBEXHLevel3 2 5 2" xfId="41800"/>
    <cellStyle name="SAPBEXHLevel3 2 6" xfId="24076"/>
    <cellStyle name="SAPBEXHLevel3 2 6 2" xfId="44948"/>
    <cellStyle name="SAPBEXHLevel3 2 7" xfId="22165"/>
    <cellStyle name="SAPBEXHLevel3 2 7 2" xfId="43040"/>
    <cellStyle name="SAPBEXHLevel3 2 8" xfId="12160"/>
    <cellStyle name="SAPBEXHLevel3 2 8 2" xfId="33060"/>
    <cellStyle name="SAPBEXHLevel3 2 9" xfId="24208"/>
    <cellStyle name="SAPBEXHLevel3 2 9 2" xfId="45076"/>
    <cellStyle name="SAPBEXHLevel3 3" xfId="2805"/>
    <cellStyle name="SAPBEXHLevel3 3 2" xfId="4432"/>
    <cellStyle name="SAPBEXHLevel3 3 2 2" xfId="6276"/>
    <cellStyle name="SAPBEXHLevel3 3 2 2 2" xfId="22581"/>
    <cellStyle name="SAPBEXHLevel3 3 2 2 2 2" xfId="43456"/>
    <cellStyle name="SAPBEXHLevel3 3 2 2 3" xfId="21043"/>
    <cellStyle name="SAPBEXHLevel3 3 2 2 3 2" xfId="41918"/>
    <cellStyle name="SAPBEXHLevel3 3 2 2 4" xfId="23730"/>
    <cellStyle name="SAPBEXHLevel3 3 2 2 4 2" xfId="44602"/>
    <cellStyle name="SAPBEXHLevel3 3 2 2 5" xfId="15285"/>
    <cellStyle name="SAPBEXHLevel3 3 2 2 5 2" xfId="36161"/>
    <cellStyle name="SAPBEXHLevel3 3 2 2 6" xfId="27423"/>
    <cellStyle name="SAPBEXHLevel3 3 2 3" xfId="22040"/>
    <cellStyle name="SAPBEXHLevel3 3 2 3 2" xfId="42915"/>
    <cellStyle name="SAPBEXHLevel3 3 2 4" xfId="23196"/>
    <cellStyle name="SAPBEXHLevel3 3 2 4 2" xfId="44069"/>
    <cellStyle name="SAPBEXHLevel3 3 2 5" xfId="23967"/>
    <cellStyle name="SAPBEXHLevel3 3 2 5 2" xfId="44839"/>
    <cellStyle name="SAPBEXHLevel3 3 2 6" xfId="13467"/>
    <cellStyle name="SAPBEXHLevel3 3 2 6 2" xfId="34343"/>
    <cellStyle name="SAPBEXHLevel3 3 2 7" xfId="25605"/>
    <cellStyle name="SAPBEXHLevel3 3 3" xfId="8406"/>
    <cellStyle name="SAPBEXHLevel3 3 3 2" xfId="23095"/>
    <cellStyle name="SAPBEXHLevel3 3 3 2 2" xfId="43968"/>
    <cellStyle name="SAPBEXHLevel3 3 3 3" xfId="20985"/>
    <cellStyle name="SAPBEXHLevel3 3 3 3 2" xfId="41860"/>
    <cellStyle name="SAPBEXHLevel3 3 3 4" xfId="21175"/>
    <cellStyle name="SAPBEXHLevel3 3 3 4 2" xfId="42050"/>
    <cellStyle name="SAPBEXHLevel3 3 3 5" xfId="17411"/>
    <cellStyle name="SAPBEXHLevel3 3 3 5 2" xfId="38287"/>
    <cellStyle name="SAPBEXHLevel3 3 3 6" xfId="29549"/>
    <cellStyle name="SAPBEXHLevel3 3 4" xfId="10292"/>
    <cellStyle name="SAPBEXHLevel3 3 4 2" xfId="23577"/>
    <cellStyle name="SAPBEXHLevel3 3 4 2 2" xfId="44449"/>
    <cellStyle name="SAPBEXHLevel3 3 4 3" xfId="23327"/>
    <cellStyle name="SAPBEXHLevel3 3 4 3 2" xfId="44199"/>
    <cellStyle name="SAPBEXHLevel3 3 4 4" xfId="21996"/>
    <cellStyle name="SAPBEXHLevel3 3 4 4 2" xfId="42871"/>
    <cellStyle name="SAPBEXHLevel3 3 4 5" xfId="19063"/>
    <cellStyle name="SAPBEXHLevel3 3 4 5 2" xfId="39939"/>
    <cellStyle name="SAPBEXHLevel3 3 4 6" xfId="31203"/>
    <cellStyle name="SAPBEXHLevel3 3 5" xfId="21543"/>
    <cellStyle name="SAPBEXHLevel3 3 5 2" xfId="42418"/>
    <cellStyle name="SAPBEXHLevel3 3 6" xfId="21157"/>
    <cellStyle name="SAPBEXHLevel3 3 6 2" xfId="42032"/>
    <cellStyle name="SAPBEXHLevel3 3 7" xfId="23844"/>
    <cellStyle name="SAPBEXHLevel3 3 7 2" xfId="44716"/>
    <cellStyle name="SAPBEXHLevel3 3 8" xfId="12305"/>
    <cellStyle name="SAPBEXHLevel3 3 8 2" xfId="33194"/>
    <cellStyle name="SAPBEXHLevel3 3 9" xfId="24434"/>
    <cellStyle name="SAPBEXHLevel3 4" xfId="2806"/>
    <cellStyle name="SAPBEXHLevel3 4 2" xfId="4433"/>
    <cellStyle name="SAPBEXHLevel3 4 2 2" xfId="6277"/>
    <cellStyle name="SAPBEXHLevel3 4 2 2 2" xfId="22582"/>
    <cellStyle name="SAPBEXHLevel3 4 2 2 2 2" xfId="43457"/>
    <cellStyle name="SAPBEXHLevel3 4 2 2 3" xfId="21110"/>
    <cellStyle name="SAPBEXHLevel3 4 2 2 3 2" xfId="41985"/>
    <cellStyle name="SAPBEXHLevel3 4 2 2 4" xfId="21239"/>
    <cellStyle name="SAPBEXHLevel3 4 2 2 4 2" xfId="42114"/>
    <cellStyle name="SAPBEXHLevel3 4 2 2 5" xfId="15286"/>
    <cellStyle name="SAPBEXHLevel3 4 2 2 5 2" xfId="36162"/>
    <cellStyle name="SAPBEXHLevel3 4 2 2 6" xfId="27424"/>
    <cellStyle name="SAPBEXHLevel3 4 2 3" xfId="22041"/>
    <cellStyle name="SAPBEXHLevel3 4 2 3 2" xfId="42916"/>
    <cellStyle name="SAPBEXHLevel3 4 2 4" xfId="23423"/>
    <cellStyle name="SAPBEXHLevel3 4 2 4 2" xfId="44295"/>
    <cellStyle name="SAPBEXHLevel3 4 2 5" xfId="21740"/>
    <cellStyle name="SAPBEXHLevel3 4 2 5 2" xfId="42615"/>
    <cellStyle name="SAPBEXHLevel3 4 2 6" xfId="13468"/>
    <cellStyle name="SAPBEXHLevel3 4 2 6 2" xfId="34344"/>
    <cellStyle name="SAPBEXHLevel3 4 2 7" xfId="25606"/>
    <cellStyle name="SAPBEXHLevel3 4 3" xfId="8407"/>
    <cellStyle name="SAPBEXHLevel3 4 3 2" xfId="23096"/>
    <cellStyle name="SAPBEXHLevel3 4 3 2 2" xfId="43969"/>
    <cellStyle name="SAPBEXHLevel3 4 3 3" xfId="21885"/>
    <cellStyle name="SAPBEXHLevel3 4 3 3 2" xfId="42760"/>
    <cellStyle name="SAPBEXHLevel3 4 3 4" xfId="21748"/>
    <cellStyle name="SAPBEXHLevel3 4 3 4 2" xfId="42623"/>
    <cellStyle name="SAPBEXHLevel3 4 3 5" xfId="17412"/>
    <cellStyle name="SAPBEXHLevel3 4 3 5 2" xfId="38288"/>
    <cellStyle name="SAPBEXHLevel3 4 3 6" xfId="29550"/>
    <cellStyle name="SAPBEXHLevel3 4 4" xfId="10293"/>
    <cellStyle name="SAPBEXHLevel3 4 4 2" xfId="23578"/>
    <cellStyle name="SAPBEXHLevel3 4 4 2 2" xfId="44450"/>
    <cellStyle name="SAPBEXHLevel3 4 4 3" xfId="22259"/>
    <cellStyle name="SAPBEXHLevel3 4 4 3 2" xfId="43134"/>
    <cellStyle name="SAPBEXHLevel3 4 4 4" xfId="22201"/>
    <cellStyle name="SAPBEXHLevel3 4 4 4 2" xfId="43076"/>
    <cellStyle name="SAPBEXHLevel3 4 4 5" xfId="19064"/>
    <cellStyle name="SAPBEXHLevel3 4 4 5 2" xfId="39940"/>
    <cellStyle name="SAPBEXHLevel3 4 4 6" xfId="31204"/>
    <cellStyle name="SAPBEXHLevel3 4 5" xfId="21544"/>
    <cellStyle name="SAPBEXHLevel3 4 5 2" xfId="42419"/>
    <cellStyle name="SAPBEXHLevel3 4 6" xfId="21273"/>
    <cellStyle name="SAPBEXHLevel3 4 6 2" xfId="42148"/>
    <cellStyle name="SAPBEXHLevel3 4 7" xfId="22938"/>
    <cellStyle name="SAPBEXHLevel3 4 7 2" xfId="43812"/>
    <cellStyle name="SAPBEXHLevel3 4 8" xfId="12306"/>
    <cellStyle name="SAPBEXHLevel3 4 8 2" xfId="33195"/>
    <cellStyle name="SAPBEXHLevel3 4 9" xfId="24435"/>
    <cellStyle name="SAPBEXHLevel3 5" xfId="2807"/>
    <cellStyle name="SAPBEXHLevel3 5 2" xfId="4434"/>
    <cellStyle name="SAPBEXHLevel3 5 2 2" xfId="6278"/>
    <cellStyle name="SAPBEXHLevel3 5 2 2 2" xfId="22583"/>
    <cellStyle name="SAPBEXHLevel3 5 2 2 2 2" xfId="43458"/>
    <cellStyle name="SAPBEXHLevel3 5 2 2 3" xfId="23895"/>
    <cellStyle name="SAPBEXHLevel3 5 2 2 3 2" xfId="44767"/>
    <cellStyle name="SAPBEXHLevel3 5 2 2 4" xfId="22646"/>
    <cellStyle name="SAPBEXHLevel3 5 2 2 4 2" xfId="43521"/>
    <cellStyle name="SAPBEXHLevel3 5 2 2 5" xfId="15287"/>
    <cellStyle name="SAPBEXHLevel3 5 2 2 5 2" xfId="36163"/>
    <cellStyle name="SAPBEXHLevel3 5 2 2 6" xfId="27425"/>
    <cellStyle name="SAPBEXHLevel3 5 2 3" xfId="22042"/>
    <cellStyle name="SAPBEXHLevel3 5 2 3 2" xfId="42917"/>
    <cellStyle name="SAPBEXHLevel3 5 2 4" xfId="24103"/>
    <cellStyle name="SAPBEXHLevel3 5 2 4 2" xfId="44974"/>
    <cellStyle name="SAPBEXHLevel3 5 2 5" xfId="22392"/>
    <cellStyle name="SAPBEXHLevel3 5 2 5 2" xfId="43267"/>
    <cellStyle name="SAPBEXHLevel3 5 2 6" xfId="13469"/>
    <cellStyle name="SAPBEXHLevel3 5 2 6 2" xfId="34345"/>
    <cellStyle name="SAPBEXHLevel3 5 2 7" xfId="25607"/>
    <cellStyle name="SAPBEXHLevel3 5 3" xfId="8408"/>
    <cellStyle name="SAPBEXHLevel3 5 3 2" xfId="23097"/>
    <cellStyle name="SAPBEXHLevel3 5 3 2 2" xfId="43970"/>
    <cellStyle name="SAPBEXHLevel3 5 3 3" xfId="22914"/>
    <cellStyle name="SAPBEXHLevel3 5 3 3 2" xfId="43788"/>
    <cellStyle name="SAPBEXHLevel3 5 3 4" xfId="23680"/>
    <cellStyle name="SAPBEXHLevel3 5 3 4 2" xfId="44552"/>
    <cellStyle name="SAPBEXHLevel3 5 3 5" xfId="17413"/>
    <cellStyle name="SAPBEXHLevel3 5 3 5 2" xfId="38289"/>
    <cellStyle name="SAPBEXHLevel3 5 3 6" xfId="29551"/>
    <cellStyle name="SAPBEXHLevel3 5 4" xfId="10294"/>
    <cellStyle name="SAPBEXHLevel3 5 4 2" xfId="23579"/>
    <cellStyle name="SAPBEXHLevel3 5 4 2 2" xfId="44451"/>
    <cellStyle name="SAPBEXHLevel3 5 4 3" xfId="22752"/>
    <cellStyle name="SAPBEXHLevel3 5 4 3 2" xfId="43627"/>
    <cellStyle name="SAPBEXHLevel3 5 4 4" xfId="21829"/>
    <cellStyle name="SAPBEXHLevel3 5 4 4 2" xfId="42704"/>
    <cellStyle name="SAPBEXHLevel3 5 4 5" xfId="19065"/>
    <cellStyle name="SAPBEXHLevel3 5 4 5 2" xfId="39941"/>
    <cellStyle name="SAPBEXHLevel3 5 4 6" xfId="31205"/>
    <cellStyle name="SAPBEXHLevel3 5 5" xfId="21545"/>
    <cellStyle name="SAPBEXHLevel3 5 5 2" xfId="42420"/>
    <cellStyle name="SAPBEXHLevel3 5 6" xfId="21062"/>
    <cellStyle name="SAPBEXHLevel3 5 6 2" xfId="41937"/>
    <cellStyle name="SAPBEXHLevel3 5 7" xfId="21445"/>
    <cellStyle name="SAPBEXHLevel3 5 7 2" xfId="42320"/>
    <cellStyle name="SAPBEXHLevel3 5 8" xfId="12307"/>
    <cellStyle name="SAPBEXHLevel3 5 8 2" xfId="33196"/>
    <cellStyle name="SAPBEXHLevel3 5 9" xfId="24436"/>
    <cellStyle name="SAPBEXHLevel3 6" xfId="3832"/>
    <cellStyle name="SAPBEXHLevel3 6 2" xfId="6061"/>
    <cellStyle name="SAPBEXHLevel3 6 2 2" xfId="22420"/>
    <cellStyle name="SAPBEXHLevel3 6 2 2 2" xfId="43295"/>
    <cellStyle name="SAPBEXHLevel3 6 2 3" xfId="21726"/>
    <cellStyle name="SAPBEXHLevel3 6 2 3 2" xfId="42601"/>
    <cellStyle name="SAPBEXHLevel3 6 2 4" xfId="23427"/>
    <cellStyle name="SAPBEXHLevel3 6 2 4 2" xfId="44299"/>
    <cellStyle name="SAPBEXHLevel3 6 2 5" xfId="15070"/>
    <cellStyle name="SAPBEXHLevel3 6 2 5 2" xfId="35946"/>
    <cellStyle name="SAPBEXHLevel3 6 2 6" xfId="27208"/>
    <cellStyle name="SAPBEXHLevel3 6 3" xfId="21806"/>
    <cellStyle name="SAPBEXHLevel3 6 3 2" xfId="42681"/>
    <cellStyle name="SAPBEXHLevel3 6 4" xfId="23298"/>
    <cellStyle name="SAPBEXHLevel3 6 4 2" xfId="44170"/>
    <cellStyle name="SAPBEXHLevel3 6 5" xfId="21049"/>
    <cellStyle name="SAPBEXHLevel3 6 5 2" xfId="41924"/>
    <cellStyle name="SAPBEXHLevel3 6 6" xfId="13252"/>
    <cellStyle name="SAPBEXHLevel3 6 6 2" xfId="34128"/>
    <cellStyle name="SAPBEXHLevel3 6 7" xfId="25390"/>
    <cellStyle name="SAPBEXHLevel3 7" xfId="8404"/>
    <cellStyle name="SAPBEXHLevel3 7 2" xfId="23093"/>
    <cellStyle name="SAPBEXHLevel3 7 2 2" xfId="43966"/>
    <cellStyle name="SAPBEXHLevel3 7 3" xfId="23214"/>
    <cellStyle name="SAPBEXHLevel3 7 3 2" xfId="44087"/>
    <cellStyle name="SAPBEXHLevel3 7 4" xfId="24029"/>
    <cellStyle name="SAPBEXHLevel3 7 4 2" xfId="44901"/>
    <cellStyle name="SAPBEXHLevel3 7 5" xfId="17409"/>
    <cellStyle name="SAPBEXHLevel3 7 5 2" xfId="38285"/>
    <cellStyle name="SAPBEXHLevel3 7 6" xfId="29547"/>
    <cellStyle name="SAPBEXHLevel3 8" xfId="10290"/>
    <cellStyle name="SAPBEXHLevel3 8 2" xfId="23575"/>
    <cellStyle name="SAPBEXHLevel3 8 2 2" xfId="44447"/>
    <cellStyle name="SAPBEXHLevel3 8 3" xfId="21635"/>
    <cellStyle name="SAPBEXHLevel3 8 3 2" xfId="42510"/>
    <cellStyle name="SAPBEXHLevel3 8 4" xfId="21296"/>
    <cellStyle name="SAPBEXHLevel3 8 4 2" xfId="42171"/>
    <cellStyle name="SAPBEXHLevel3 8 5" xfId="19061"/>
    <cellStyle name="SAPBEXHLevel3 8 5 2" xfId="39937"/>
    <cellStyle name="SAPBEXHLevel3 8 6" xfId="31201"/>
    <cellStyle name="SAPBEXHLevel3 9" xfId="20924"/>
    <cellStyle name="SAPBEXHLevel3 9 2" xfId="41799"/>
    <cellStyle name="SAPBEXHLevel3X" xfId="1168"/>
    <cellStyle name="SAPBEXHLevel3X 10" xfId="24083"/>
    <cellStyle name="SAPBEXHLevel3X 10 2" xfId="44955"/>
    <cellStyle name="SAPBEXHLevel3X 11" xfId="23228"/>
    <cellStyle name="SAPBEXHLevel3X 11 2" xfId="44101"/>
    <cellStyle name="SAPBEXHLevel3X 12" xfId="12161"/>
    <cellStyle name="SAPBEXHLevel3X 12 2" xfId="33061"/>
    <cellStyle name="SAPBEXHLevel3X 13" xfId="24143"/>
    <cellStyle name="SAPBEXHLevel3X 13 2" xfId="45013"/>
    <cellStyle name="SAPBEXHLevel3X 14" xfId="24274"/>
    <cellStyle name="SAPBEXHLevel3X 14 2" xfId="45135"/>
    <cellStyle name="SAPBEXHLevel3X 2" xfId="2808"/>
    <cellStyle name="SAPBEXHLevel3X 2 10" xfId="24437"/>
    <cellStyle name="SAPBEXHLevel3X 2 2" xfId="4435"/>
    <cellStyle name="SAPBEXHLevel3X 2 2 2" xfId="6279"/>
    <cellStyle name="SAPBEXHLevel3X 2 2 2 2" xfId="22584"/>
    <cellStyle name="SAPBEXHLevel3X 2 2 2 2 2" xfId="43459"/>
    <cellStyle name="SAPBEXHLevel3X 2 2 2 3" xfId="22317"/>
    <cellStyle name="SAPBEXHLevel3X 2 2 2 3 2" xfId="43192"/>
    <cellStyle name="SAPBEXHLevel3X 2 2 2 4" xfId="22735"/>
    <cellStyle name="SAPBEXHLevel3X 2 2 2 4 2" xfId="43610"/>
    <cellStyle name="SAPBEXHLevel3X 2 2 2 5" xfId="15288"/>
    <cellStyle name="SAPBEXHLevel3X 2 2 2 5 2" xfId="36164"/>
    <cellStyle name="SAPBEXHLevel3X 2 2 2 6" xfId="27426"/>
    <cellStyle name="SAPBEXHLevel3X 2 2 3" xfId="22043"/>
    <cellStyle name="SAPBEXHLevel3X 2 2 3 2" xfId="42918"/>
    <cellStyle name="SAPBEXHLevel3X 2 2 4" xfId="23939"/>
    <cellStyle name="SAPBEXHLevel3X 2 2 4 2" xfId="44811"/>
    <cellStyle name="SAPBEXHLevel3X 2 2 5" xfId="22169"/>
    <cellStyle name="SAPBEXHLevel3X 2 2 5 2" xfId="43044"/>
    <cellStyle name="SAPBEXHLevel3X 2 2 6" xfId="13470"/>
    <cellStyle name="SAPBEXHLevel3X 2 2 6 2" xfId="34346"/>
    <cellStyle name="SAPBEXHLevel3X 2 2 7" xfId="25608"/>
    <cellStyle name="SAPBEXHLevel3X 2 3" xfId="8410"/>
    <cellStyle name="SAPBEXHLevel3X 2 3 2" xfId="23099"/>
    <cellStyle name="SAPBEXHLevel3X 2 3 2 2" xfId="43972"/>
    <cellStyle name="SAPBEXHLevel3X 2 3 3" xfId="22292"/>
    <cellStyle name="SAPBEXHLevel3X 2 3 3 2" xfId="43167"/>
    <cellStyle name="SAPBEXHLevel3X 2 3 4" xfId="20988"/>
    <cellStyle name="SAPBEXHLevel3X 2 3 4 2" xfId="41863"/>
    <cellStyle name="SAPBEXHLevel3X 2 3 5" xfId="17415"/>
    <cellStyle name="SAPBEXHLevel3X 2 3 5 2" xfId="38291"/>
    <cellStyle name="SAPBEXHLevel3X 2 3 6" xfId="29553"/>
    <cellStyle name="SAPBEXHLevel3X 2 4" xfId="10296"/>
    <cellStyle name="SAPBEXHLevel3X 2 4 2" xfId="23581"/>
    <cellStyle name="SAPBEXHLevel3X 2 4 2 2" xfId="44453"/>
    <cellStyle name="SAPBEXHLevel3X 2 4 3" xfId="23182"/>
    <cellStyle name="SAPBEXHLevel3X 2 4 3 2" xfId="44055"/>
    <cellStyle name="SAPBEXHLevel3X 2 4 4" xfId="21606"/>
    <cellStyle name="SAPBEXHLevel3X 2 4 4 2" xfId="42481"/>
    <cellStyle name="SAPBEXHLevel3X 2 4 5" xfId="19067"/>
    <cellStyle name="SAPBEXHLevel3X 2 4 5 2" xfId="39943"/>
    <cellStyle name="SAPBEXHLevel3X 2 4 6" xfId="31207"/>
    <cellStyle name="SAPBEXHLevel3X 2 5" xfId="20927"/>
    <cellStyle name="SAPBEXHLevel3X 2 5 2" xfId="41802"/>
    <cellStyle name="SAPBEXHLevel3X 2 6" xfId="21145"/>
    <cellStyle name="SAPBEXHLevel3X 2 6 2" xfId="42020"/>
    <cellStyle name="SAPBEXHLevel3X 2 7" xfId="23343"/>
    <cellStyle name="SAPBEXHLevel3X 2 7 2" xfId="44215"/>
    <cellStyle name="SAPBEXHLevel3X 2 8" xfId="12162"/>
    <cellStyle name="SAPBEXHLevel3X 2 8 2" xfId="33062"/>
    <cellStyle name="SAPBEXHLevel3X 2 9" xfId="24209"/>
    <cellStyle name="SAPBEXHLevel3X 2 9 2" xfId="45077"/>
    <cellStyle name="SAPBEXHLevel3X 3" xfId="2809"/>
    <cellStyle name="SAPBEXHLevel3X 3 2" xfId="4436"/>
    <cellStyle name="SAPBEXHLevel3X 3 2 2" xfId="6280"/>
    <cellStyle name="SAPBEXHLevel3X 3 2 2 2" xfId="22585"/>
    <cellStyle name="SAPBEXHLevel3X 3 2 2 2 2" xfId="43460"/>
    <cellStyle name="SAPBEXHLevel3X 3 2 2 3" xfId="23297"/>
    <cellStyle name="SAPBEXHLevel3X 3 2 2 3 2" xfId="44169"/>
    <cellStyle name="SAPBEXHLevel3X 3 2 2 4" xfId="21348"/>
    <cellStyle name="SAPBEXHLevel3X 3 2 2 4 2" xfId="42223"/>
    <cellStyle name="SAPBEXHLevel3X 3 2 2 5" xfId="15289"/>
    <cellStyle name="SAPBEXHLevel3X 3 2 2 5 2" xfId="36165"/>
    <cellStyle name="SAPBEXHLevel3X 3 2 2 6" xfId="27427"/>
    <cellStyle name="SAPBEXHLevel3X 3 2 3" xfId="22044"/>
    <cellStyle name="SAPBEXHLevel3X 3 2 3 2" xfId="42919"/>
    <cellStyle name="SAPBEXHLevel3X 3 2 4" xfId="23199"/>
    <cellStyle name="SAPBEXHLevel3X 3 2 4 2" xfId="44072"/>
    <cellStyle name="SAPBEXHLevel3X 3 2 5" xfId="20970"/>
    <cellStyle name="SAPBEXHLevel3X 3 2 5 2" xfId="41845"/>
    <cellStyle name="SAPBEXHLevel3X 3 2 6" xfId="13471"/>
    <cellStyle name="SAPBEXHLevel3X 3 2 6 2" xfId="34347"/>
    <cellStyle name="SAPBEXHLevel3X 3 2 7" xfId="25609"/>
    <cellStyle name="SAPBEXHLevel3X 3 3" xfId="8411"/>
    <cellStyle name="SAPBEXHLevel3X 3 3 2" xfId="23100"/>
    <cellStyle name="SAPBEXHLevel3X 3 3 2 2" xfId="43973"/>
    <cellStyle name="SAPBEXHLevel3X 3 3 3" xfId="20986"/>
    <cellStyle name="SAPBEXHLevel3X 3 3 3 2" xfId="41861"/>
    <cellStyle name="SAPBEXHLevel3X 3 3 4" xfId="21197"/>
    <cellStyle name="SAPBEXHLevel3X 3 3 4 2" xfId="42072"/>
    <cellStyle name="SAPBEXHLevel3X 3 3 5" xfId="17416"/>
    <cellStyle name="SAPBEXHLevel3X 3 3 5 2" xfId="38292"/>
    <cellStyle name="SAPBEXHLevel3X 3 3 6" xfId="29554"/>
    <cellStyle name="SAPBEXHLevel3X 3 4" xfId="10297"/>
    <cellStyle name="SAPBEXHLevel3X 3 4 2" xfId="23582"/>
    <cellStyle name="SAPBEXHLevel3X 3 4 2 2" xfId="44454"/>
    <cellStyle name="SAPBEXHLevel3X 3 4 3" xfId="23320"/>
    <cellStyle name="SAPBEXHLevel3X 3 4 3 2" xfId="44192"/>
    <cellStyle name="SAPBEXHLevel3X 3 4 4" xfId="22174"/>
    <cellStyle name="SAPBEXHLevel3X 3 4 4 2" xfId="43049"/>
    <cellStyle name="SAPBEXHLevel3X 3 4 5" xfId="19068"/>
    <cellStyle name="SAPBEXHLevel3X 3 4 5 2" xfId="39944"/>
    <cellStyle name="SAPBEXHLevel3X 3 4 6" xfId="31208"/>
    <cellStyle name="SAPBEXHLevel3X 3 5" xfId="21546"/>
    <cellStyle name="SAPBEXHLevel3X 3 5 2" xfId="42421"/>
    <cellStyle name="SAPBEXHLevel3X 3 6" xfId="22316"/>
    <cellStyle name="SAPBEXHLevel3X 3 6 2" xfId="43191"/>
    <cellStyle name="SAPBEXHLevel3X 3 7" xfId="23747"/>
    <cellStyle name="SAPBEXHLevel3X 3 7 2" xfId="44619"/>
    <cellStyle name="SAPBEXHLevel3X 3 8" xfId="12308"/>
    <cellStyle name="SAPBEXHLevel3X 3 8 2" xfId="33197"/>
    <cellStyle name="SAPBEXHLevel3X 3 9" xfId="24438"/>
    <cellStyle name="SAPBEXHLevel3X 4" xfId="2810"/>
    <cellStyle name="SAPBEXHLevel3X 4 2" xfId="4437"/>
    <cellStyle name="SAPBEXHLevel3X 4 2 2" xfId="6281"/>
    <cellStyle name="SAPBEXHLevel3X 4 2 2 2" xfId="22586"/>
    <cellStyle name="SAPBEXHLevel3X 4 2 2 2 2" xfId="43461"/>
    <cellStyle name="SAPBEXHLevel3X 4 2 2 3" xfId="24094"/>
    <cellStyle name="SAPBEXHLevel3X 4 2 2 3 2" xfId="44965"/>
    <cellStyle name="SAPBEXHLevel3X 4 2 2 4" xfId="23361"/>
    <cellStyle name="SAPBEXHLevel3X 4 2 2 4 2" xfId="44233"/>
    <cellStyle name="SAPBEXHLevel3X 4 2 2 5" xfId="15290"/>
    <cellStyle name="SAPBEXHLevel3X 4 2 2 5 2" xfId="36166"/>
    <cellStyle name="SAPBEXHLevel3X 4 2 2 6" xfId="27428"/>
    <cellStyle name="SAPBEXHLevel3X 4 2 3" xfId="22045"/>
    <cellStyle name="SAPBEXHLevel3X 4 2 3 2" xfId="42920"/>
    <cellStyle name="SAPBEXHLevel3X 4 2 4" xfId="23748"/>
    <cellStyle name="SAPBEXHLevel3X 4 2 4 2" xfId="44620"/>
    <cellStyle name="SAPBEXHLevel3X 4 2 5" xfId="22234"/>
    <cellStyle name="SAPBEXHLevel3X 4 2 5 2" xfId="43109"/>
    <cellStyle name="SAPBEXHLevel3X 4 2 6" xfId="13472"/>
    <cellStyle name="SAPBEXHLevel3X 4 2 6 2" xfId="34348"/>
    <cellStyle name="SAPBEXHLevel3X 4 2 7" xfId="25610"/>
    <cellStyle name="SAPBEXHLevel3X 4 3" xfId="8412"/>
    <cellStyle name="SAPBEXHLevel3X 4 3 2" xfId="23101"/>
    <cellStyle name="SAPBEXHLevel3X 4 3 2 2" xfId="43974"/>
    <cellStyle name="SAPBEXHLevel3X 4 3 3" xfId="22223"/>
    <cellStyle name="SAPBEXHLevel3X 4 3 3 2" xfId="43098"/>
    <cellStyle name="SAPBEXHLevel3X 4 3 4" xfId="23694"/>
    <cellStyle name="SAPBEXHLevel3X 4 3 4 2" xfId="44566"/>
    <cellStyle name="SAPBEXHLevel3X 4 3 5" xfId="17417"/>
    <cellStyle name="SAPBEXHLevel3X 4 3 5 2" xfId="38293"/>
    <cellStyle name="SAPBEXHLevel3X 4 3 6" xfId="29555"/>
    <cellStyle name="SAPBEXHLevel3X 4 4" xfId="10298"/>
    <cellStyle name="SAPBEXHLevel3X 4 4 2" xfId="23583"/>
    <cellStyle name="SAPBEXHLevel3X 4 4 2 2" xfId="44455"/>
    <cellStyle name="SAPBEXHLevel3X 4 4 3" xfId="21629"/>
    <cellStyle name="SAPBEXHLevel3X 4 4 3 2" xfId="42504"/>
    <cellStyle name="SAPBEXHLevel3X 4 4 4" xfId="21140"/>
    <cellStyle name="SAPBEXHLevel3X 4 4 4 2" xfId="42015"/>
    <cellStyle name="SAPBEXHLevel3X 4 4 5" xfId="19069"/>
    <cellStyle name="SAPBEXHLevel3X 4 4 5 2" xfId="39945"/>
    <cellStyle name="SAPBEXHLevel3X 4 4 6" xfId="31209"/>
    <cellStyle name="SAPBEXHLevel3X 4 5" xfId="21547"/>
    <cellStyle name="SAPBEXHLevel3X 4 5 2" xfId="42422"/>
    <cellStyle name="SAPBEXHLevel3X 4 6" xfId="21607"/>
    <cellStyle name="SAPBEXHLevel3X 4 6 2" xfId="42482"/>
    <cellStyle name="SAPBEXHLevel3X 4 7" xfId="24056"/>
    <cellStyle name="SAPBEXHLevel3X 4 7 2" xfId="44928"/>
    <cellStyle name="SAPBEXHLevel3X 4 8" xfId="12309"/>
    <cellStyle name="SAPBEXHLevel3X 4 8 2" xfId="33198"/>
    <cellStyle name="SAPBEXHLevel3X 4 9" xfId="24439"/>
    <cellStyle name="SAPBEXHLevel3X 5" xfId="2811"/>
    <cellStyle name="SAPBEXHLevel3X 5 2" xfId="4438"/>
    <cellStyle name="SAPBEXHLevel3X 5 2 2" xfId="6282"/>
    <cellStyle name="SAPBEXHLevel3X 5 2 2 2" xfId="22587"/>
    <cellStyle name="SAPBEXHLevel3X 5 2 2 2 2" xfId="43462"/>
    <cellStyle name="SAPBEXHLevel3X 5 2 2 3" xfId="20861"/>
    <cellStyle name="SAPBEXHLevel3X 5 2 2 3 2" xfId="41737"/>
    <cellStyle name="SAPBEXHLevel3X 5 2 2 4" xfId="21667"/>
    <cellStyle name="SAPBEXHLevel3X 5 2 2 4 2" xfId="42542"/>
    <cellStyle name="SAPBEXHLevel3X 5 2 2 5" xfId="15291"/>
    <cellStyle name="SAPBEXHLevel3X 5 2 2 5 2" xfId="36167"/>
    <cellStyle name="SAPBEXHLevel3X 5 2 2 6" xfId="27429"/>
    <cellStyle name="SAPBEXHLevel3X 5 2 3" xfId="22046"/>
    <cellStyle name="SAPBEXHLevel3X 5 2 3 2" xfId="42921"/>
    <cellStyle name="SAPBEXHLevel3X 5 2 4" xfId="23836"/>
    <cellStyle name="SAPBEXHLevel3X 5 2 4 2" xfId="44708"/>
    <cellStyle name="SAPBEXHLevel3X 5 2 5" xfId="24110"/>
    <cellStyle name="SAPBEXHLevel3X 5 2 5 2" xfId="44981"/>
    <cellStyle name="SAPBEXHLevel3X 5 2 6" xfId="13473"/>
    <cellStyle name="SAPBEXHLevel3X 5 2 6 2" xfId="34349"/>
    <cellStyle name="SAPBEXHLevel3X 5 2 7" xfId="25611"/>
    <cellStyle name="SAPBEXHLevel3X 5 3" xfId="8413"/>
    <cellStyle name="SAPBEXHLevel3X 5 3 2" xfId="23102"/>
    <cellStyle name="SAPBEXHLevel3X 5 3 2 2" xfId="43975"/>
    <cellStyle name="SAPBEXHLevel3X 5 3 3" xfId="23244"/>
    <cellStyle name="SAPBEXHLevel3X 5 3 3 2" xfId="44117"/>
    <cellStyle name="SAPBEXHLevel3X 5 3 4" xfId="23346"/>
    <cellStyle name="SAPBEXHLevel3X 5 3 4 2" xfId="44218"/>
    <cellStyle name="SAPBEXHLevel3X 5 3 5" xfId="17418"/>
    <cellStyle name="SAPBEXHLevel3X 5 3 5 2" xfId="38294"/>
    <cellStyle name="SAPBEXHLevel3X 5 3 6" xfId="29556"/>
    <cellStyle name="SAPBEXHLevel3X 5 4" xfId="10299"/>
    <cellStyle name="SAPBEXHLevel3X 5 4 2" xfId="23584"/>
    <cellStyle name="SAPBEXHLevel3X 5 4 2 2" xfId="44456"/>
    <cellStyle name="SAPBEXHLevel3X 5 4 3" xfId="23658"/>
    <cellStyle name="SAPBEXHLevel3X 5 4 3 2" xfId="44530"/>
    <cellStyle name="SAPBEXHLevel3X 5 4 4" xfId="21362"/>
    <cellStyle name="SAPBEXHLevel3X 5 4 4 2" xfId="42237"/>
    <cellStyle name="SAPBEXHLevel3X 5 4 5" xfId="19070"/>
    <cellStyle name="SAPBEXHLevel3X 5 4 5 2" xfId="39946"/>
    <cellStyle name="SAPBEXHLevel3X 5 4 6" xfId="31210"/>
    <cellStyle name="SAPBEXHLevel3X 5 5" xfId="21548"/>
    <cellStyle name="SAPBEXHLevel3X 5 5 2" xfId="42423"/>
    <cellStyle name="SAPBEXHLevel3X 5 6" xfId="21687"/>
    <cellStyle name="SAPBEXHLevel3X 5 6 2" xfId="42562"/>
    <cellStyle name="SAPBEXHLevel3X 5 7" xfId="21216"/>
    <cellStyle name="SAPBEXHLevel3X 5 7 2" xfId="42091"/>
    <cellStyle name="SAPBEXHLevel3X 5 8" xfId="12310"/>
    <cellStyle name="SAPBEXHLevel3X 5 8 2" xfId="33199"/>
    <cellStyle name="SAPBEXHLevel3X 5 9" xfId="24440"/>
    <cellStyle name="SAPBEXHLevel3X 6" xfId="3833"/>
    <cellStyle name="SAPBEXHLevel3X 6 2" xfId="6062"/>
    <cellStyle name="SAPBEXHLevel3X 6 2 2" xfId="22421"/>
    <cellStyle name="SAPBEXHLevel3X 6 2 2 2" xfId="43296"/>
    <cellStyle name="SAPBEXHLevel3X 6 2 3" xfId="22445"/>
    <cellStyle name="SAPBEXHLevel3X 6 2 3 2" xfId="43320"/>
    <cellStyle name="SAPBEXHLevel3X 6 2 4" xfId="21350"/>
    <cellStyle name="SAPBEXHLevel3X 6 2 4 2" xfId="42225"/>
    <cellStyle name="SAPBEXHLevel3X 6 2 5" xfId="15071"/>
    <cellStyle name="SAPBEXHLevel3X 6 2 5 2" xfId="35947"/>
    <cellStyle name="SAPBEXHLevel3X 6 2 6" xfId="27209"/>
    <cellStyle name="SAPBEXHLevel3X 6 3" xfId="21807"/>
    <cellStyle name="SAPBEXHLevel3X 6 3 2" xfId="42682"/>
    <cellStyle name="SAPBEXHLevel3X 6 4" xfId="23218"/>
    <cellStyle name="SAPBEXHLevel3X 6 4 2" xfId="44091"/>
    <cellStyle name="SAPBEXHLevel3X 6 5" xfId="23993"/>
    <cellStyle name="SAPBEXHLevel3X 6 5 2" xfId="44865"/>
    <cellStyle name="SAPBEXHLevel3X 6 6" xfId="13253"/>
    <cellStyle name="SAPBEXHLevel3X 6 6 2" xfId="34129"/>
    <cellStyle name="SAPBEXHLevel3X 6 7" xfId="25391"/>
    <cellStyle name="SAPBEXHLevel3X 7" xfId="8409"/>
    <cellStyle name="SAPBEXHLevel3X 7 2" xfId="23098"/>
    <cellStyle name="SAPBEXHLevel3X 7 2 2" xfId="43971"/>
    <cellStyle name="SAPBEXHLevel3X 7 3" xfId="23350"/>
    <cellStyle name="SAPBEXHLevel3X 7 3 2" xfId="44222"/>
    <cellStyle name="SAPBEXHLevel3X 7 4" xfId="21031"/>
    <cellStyle name="SAPBEXHLevel3X 7 4 2" xfId="41906"/>
    <cellStyle name="SAPBEXHLevel3X 7 5" xfId="17414"/>
    <cellStyle name="SAPBEXHLevel3X 7 5 2" xfId="38290"/>
    <cellStyle name="SAPBEXHLevel3X 7 6" xfId="29552"/>
    <cellStyle name="SAPBEXHLevel3X 8" xfId="10295"/>
    <cellStyle name="SAPBEXHLevel3X 8 2" xfId="23580"/>
    <cellStyle name="SAPBEXHLevel3X 8 2 2" xfId="44452"/>
    <cellStyle name="SAPBEXHLevel3X 8 3" xfId="22862"/>
    <cellStyle name="SAPBEXHLevel3X 8 3 2" xfId="43736"/>
    <cellStyle name="SAPBEXHLevel3X 8 4" xfId="22272"/>
    <cellStyle name="SAPBEXHLevel3X 8 4 2" xfId="43147"/>
    <cellStyle name="SAPBEXHLevel3X 8 5" xfId="19066"/>
    <cellStyle name="SAPBEXHLevel3X 8 5 2" xfId="39942"/>
    <cellStyle name="SAPBEXHLevel3X 8 6" xfId="31206"/>
    <cellStyle name="SAPBEXHLevel3X 9" xfId="20926"/>
    <cellStyle name="SAPBEXHLevel3X 9 2" xfId="41801"/>
    <cellStyle name="SAPBEXinputData" xfId="2812"/>
    <cellStyle name="SAPBEXItemHeader" xfId="2813"/>
    <cellStyle name="SAPBEXItemHeader 10" xfId="22814"/>
    <cellStyle name="SAPBEXItemHeader 10 2" xfId="43689"/>
    <cellStyle name="SAPBEXItemHeader 11" xfId="22185"/>
    <cellStyle name="SAPBEXItemHeader 11 2" xfId="43060"/>
    <cellStyle name="SAPBEXItemHeader 12" xfId="12311"/>
    <cellStyle name="SAPBEXItemHeader 12 2" xfId="33200"/>
    <cellStyle name="SAPBEXItemHeader 13" xfId="24441"/>
    <cellStyle name="SAPBEXItemHeader 2" xfId="2814"/>
    <cellStyle name="SAPBEXItemHeader 2 2" xfId="4440"/>
    <cellStyle name="SAPBEXItemHeader 2 2 2" xfId="6284"/>
    <cellStyle name="SAPBEXItemHeader 2 2 2 2" xfId="22589"/>
    <cellStyle name="SAPBEXItemHeader 2 2 2 2 2" xfId="43464"/>
    <cellStyle name="SAPBEXItemHeader 2 2 2 3" xfId="23312"/>
    <cellStyle name="SAPBEXItemHeader 2 2 2 3 2" xfId="44184"/>
    <cellStyle name="SAPBEXItemHeader 2 2 2 4" xfId="21161"/>
    <cellStyle name="SAPBEXItemHeader 2 2 2 4 2" xfId="42036"/>
    <cellStyle name="SAPBEXItemHeader 2 2 2 5" xfId="15293"/>
    <cellStyle name="SAPBEXItemHeader 2 2 2 5 2" xfId="36169"/>
    <cellStyle name="SAPBEXItemHeader 2 2 2 6" xfId="27431"/>
    <cellStyle name="SAPBEXItemHeader 2 2 3" xfId="22048"/>
    <cellStyle name="SAPBEXItemHeader 2 2 3 2" xfId="42923"/>
    <cellStyle name="SAPBEXItemHeader 2 2 4" xfId="21162"/>
    <cellStyle name="SAPBEXItemHeader 2 2 4 2" xfId="42037"/>
    <cellStyle name="SAPBEXItemHeader 2 2 5" xfId="22904"/>
    <cellStyle name="SAPBEXItemHeader 2 2 5 2" xfId="43778"/>
    <cellStyle name="SAPBEXItemHeader 2 2 6" xfId="13475"/>
    <cellStyle name="SAPBEXItemHeader 2 2 6 2" xfId="34351"/>
    <cellStyle name="SAPBEXItemHeader 2 2 7" xfId="25613"/>
    <cellStyle name="SAPBEXItemHeader 2 3" xfId="8415"/>
    <cellStyle name="SAPBEXItemHeader 2 3 2" xfId="23104"/>
    <cellStyle name="SAPBEXItemHeader 2 3 2 2" xfId="43977"/>
    <cellStyle name="SAPBEXItemHeader 2 3 3" xfId="22781"/>
    <cellStyle name="SAPBEXItemHeader 2 3 3 2" xfId="43656"/>
    <cellStyle name="SAPBEXItemHeader 2 3 4" xfId="22243"/>
    <cellStyle name="SAPBEXItemHeader 2 3 4 2" xfId="43118"/>
    <cellStyle name="SAPBEXItemHeader 2 3 5" xfId="17420"/>
    <cellStyle name="SAPBEXItemHeader 2 3 5 2" xfId="38296"/>
    <cellStyle name="SAPBEXItemHeader 2 3 6" xfId="29558"/>
    <cellStyle name="SAPBEXItemHeader 2 4" xfId="21550"/>
    <cellStyle name="SAPBEXItemHeader 2 4 2" xfId="42425"/>
    <cellStyle name="SAPBEXItemHeader 2 5" xfId="21179"/>
    <cellStyle name="SAPBEXItemHeader 2 5 2" xfId="42054"/>
    <cellStyle name="SAPBEXItemHeader 2 6" xfId="22209"/>
    <cellStyle name="SAPBEXItemHeader 2 6 2" xfId="43084"/>
    <cellStyle name="SAPBEXItemHeader 2 7" xfId="12312"/>
    <cellStyle name="SAPBEXItemHeader 2 7 2" xfId="33201"/>
    <cellStyle name="SAPBEXItemHeader 2 8" xfId="24442"/>
    <cellStyle name="SAPBEXItemHeader 3" xfId="2815"/>
    <cellStyle name="SAPBEXItemHeader 3 2" xfId="4441"/>
    <cellStyle name="SAPBEXItemHeader 3 2 2" xfId="6285"/>
    <cellStyle name="SAPBEXItemHeader 3 2 2 2" xfId="22590"/>
    <cellStyle name="SAPBEXItemHeader 3 2 2 2 2" xfId="43465"/>
    <cellStyle name="SAPBEXItemHeader 3 2 2 3" xfId="24051"/>
    <cellStyle name="SAPBEXItemHeader 3 2 2 3 2" xfId="44923"/>
    <cellStyle name="SAPBEXItemHeader 3 2 2 4" xfId="22829"/>
    <cellStyle name="SAPBEXItemHeader 3 2 2 4 2" xfId="43704"/>
    <cellStyle name="SAPBEXItemHeader 3 2 2 5" xfId="15294"/>
    <cellStyle name="SAPBEXItemHeader 3 2 2 5 2" xfId="36170"/>
    <cellStyle name="SAPBEXItemHeader 3 2 2 6" xfId="27432"/>
    <cellStyle name="SAPBEXItemHeader 3 2 3" xfId="22049"/>
    <cellStyle name="SAPBEXItemHeader 3 2 3 2" xfId="42924"/>
    <cellStyle name="SAPBEXItemHeader 3 2 4" xfId="21280"/>
    <cellStyle name="SAPBEXItemHeader 3 2 4 2" xfId="42155"/>
    <cellStyle name="SAPBEXItemHeader 3 2 5" xfId="22116"/>
    <cellStyle name="SAPBEXItemHeader 3 2 5 2" xfId="42991"/>
    <cellStyle name="SAPBEXItemHeader 3 2 6" xfId="13476"/>
    <cellStyle name="SAPBEXItemHeader 3 2 6 2" xfId="34352"/>
    <cellStyle name="SAPBEXItemHeader 3 2 7" xfId="25614"/>
    <cellStyle name="SAPBEXItemHeader 3 3" xfId="8416"/>
    <cellStyle name="SAPBEXItemHeader 3 3 2" xfId="23105"/>
    <cellStyle name="SAPBEXItemHeader 3 3 2 2" xfId="43978"/>
    <cellStyle name="SAPBEXItemHeader 3 3 3" xfId="21924"/>
    <cellStyle name="SAPBEXItemHeader 3 3 3 2" xfId="42799"/>
    <cellStyle name="SAPBEXItemHeader 3 3 4" xfId="23330"/>
    <cellStyle name="SAPBEXItemHeader 3 3 4 2" xfId="44202"/>
    <cellStyle name="SAPBEXItemHeader 3 3 5" xfId="17421"/>
    <cellStyle name="SAPBEXItemHeader 3 3 5 2" xfId="38297"/>
    <cellStyle name="SAPBEXItemHeader 3 3 6" xfId="29559"/>
    <cellStyle name="SAPBEXItemHeader 3 4" xfId="21551"/>
    <cellStyle name="SAPBEXItemHeader 3 4 2" xfId="42426"/>
    <cellStyle name="SAPBEXItemHeader 3 5" xfId="21302"/>
    <cellStyle name="SAPBEXItemHeader 3 5 2" xfId="42177"/>
    <cellStyle name="SAPBEXItemHeader 3 6" xfId="23800"/>
    <cellStyle name="SAPBEXItemHeader 3 6 2" xfId="44672"/>
    <cellStyle name="SAPBEXItemHeader 3 7" xfId="12313"/>
    <cellStyle name="SAPBEXItemHeader 3 7 2" xfId="33202"/>
    <cellStyle name="SAPBEXItemHeader 3 8" xfId="24443"/>
    <cellStyle name="SAPBEXItemHeader 4" xfId="2816"/>
    <cellStyle name="SAPBEXItemHeader 4 2" xfId="4442"/>
    <cellStyle name="SAPBEXItemHeader 4 2 2" xfId="6286"/>
    <cellStyle name="SAPBEXItemHeader 4 2 2 2" xfId="22591"/>
    <cellStyle name="SAPBEXItemHeader 4 2 2 2 2" xfId="43466"/>
    <cellStyle name="SAPBEXItemHeader 4 2 2 3" xfId="21168"/>
    <cellStyle name="SAPBEXItemHeader 4 2 2 3 2" xfId="42043"/>
    <cellStyle name="SAPBEXItemHeader 4 2 2 4" xfId="22353"/>
    <cellStyle name="SAPBEXItemHeader 4 2 2 4 2" xfId="43228"/>
    <cellStyle name="SAPBEXItemHeader 4 2 2 5" xfId="15295"/>
    <cellStyle name="SAPBEXItemHeader 4 2 2 5 2" xfId="36171"/>
    <cellStyle name="SAPBEXItemHeader 4 2 2 6" xfId="27433"/>
    <cellStyle name="SAPBEXItemHeader 4 2 3" xfId="22050"/>
    <cellStyle name="SAPBEXItemHeader 4 2 3 2" xfId="42925"/>
    <cellStyle name="SAPBEXItemHeader 4 2 4" xfId="21376"/>
    <cellStyle name="SAPBEXItemHeader 4 2 4 2" xfId="42251"/>
    <cellStyle name="SAPBEXItemHeader 4 2 5" xfId="21128"/>
    <cellStyle name="SAPBEXItemHeader 4 2 5 2" xfId="42003"/>
    <cellStyle name="SAPBEXItemHeader 4 2 6" xfId="13477"/>
    <cellStyle name="SAPBEXItemHeader 4 2 6 2" xfId="34353"/>
    <cellStyle name="SAPBEXItemHeader 4 2 7" xfId="25615"/>
    <cellStyle name="SAPBEXItemHeader 4 3" xfId="8417"/>
    <cellStyle name="SAPBEXItemHeader 4 3 2" xfId="23106"/>
    <cellStyle name="SAPBEXItemHeader 4 3 2 2" xfId="43979"/>
    <cellStyle name="SAPBEXItemHeader 4 3 3" xfId="21774"/>
    <cellStyle name="SAPBEXItemHeader 4 3 3 2" xfId="42649"/>
    <cellStyle name="SAPBEXItemHeader 4 3 4" xfId="21141"/>
    <cellStyle name="SAPBEXItemHeader 4 3 4 2" xfId="42016"/>
    <cellStyle name="SAPBEXItemHeader 4 3 5" xfId="17422"/>
    <cellStyle name="SAPBEXItemHeader 4 3 5 2" xfId="38298"/>
    <cellStyle name="SAPBEXItemHeader 4 3 6" xfId="29560"/>
    <cellStyle name="SAPBEXItemHeader 4 4" xfId="21552"/>
    <cellStyle name="SAPBEXItemHeader 4 4 2" xfId="42427"/>
    <cellStyle name="SAPBEXItemHeader 4 5" xfId="21084"/>
    <cellStyle name="SAPBEXItemHeader 4 5 2" xfId="41959"/>
    <cellStyle name="SAPBEXItemHeader 4 6" xfId="23831"/>
    <cellStyle name="SAPBEXItemHeader 4 6 2" xfId="44703"/>
    <cellStyle name="SAPBEXItemHeader 4 7" xfId="12314"/>
    <cellStyle name="SAPBEXItemHeader 4 7 2" xfId="33203"/>
    <cellStyle name="SAPBEXItemHeader 4 8" xfId="24444"/>
    <cellStyle name="SAPBEXItemHeader 5" xfId="2817"/>
    <cellStyle name="SAPBEXItemHeader 5 2" xfId="4443"/>
    <cellStyle name="SAPBEXItemHeader 5 2 2" xfId="6287"/>
    <cellStyle name="SAPBEXItemHeader 5 2 2 2" xfId="22592"/>
    <cellStyle name="SAPBEXItemHeader 5 2 2 2 2" xfId="43467"/>
    <cellStyle name="SAPBEXItemHeader 5 2 2 3" xfId="21010"/>
    <cellStyle name="SAPBEXItemHeader 5 2 2 3 2" xfId="41885"/>
    <cellStyle name="SAPBEXItemHeader 5 2 2 4" xfId="23801"/>
    <cellStyle name="SAPBEXItemHeader 5 2 2 4 2" xfId="44673"/>
    <cellStyle name="SAPBEXItemHeader 5 2 2 5" xfId="15296"/>
    <cellStyle name="SAPBEXItemHeader 5 2 2 5 2" xfId="36172"/>
    <cellStyle name="SAPBEXItemHeader 5 2 2 6" xfId="27434"/>
    <cellStyle name="SAPBEXItemHeader 5 2 3" xfId="22051"/>
    <cellStyle name="SAPBEXItemHeader 5 2 3 2" xfId="42926"/>
    <cellStyle name="SAPBEXItemHeader 5 2 4" xfId="23408"/>
    <cellStyle name="SAPBEXItemHeader 5 2 4 2" xfId="44280"/>
    <cellStyle name="SAPBEXItemHeader 5 2 5" xfId="23253"/>
    <cellStyle name="SAPBEXItemHeader 5 2 5 2" xfId="44126"/>
    <cellStyle name="SAPBEXItemHeader 5 2 6" xfId="13478"/>
    <cellStyle name="SAPBEXItemHeader 5 2 6 2" xfId="34354"/>
    <cellStyle name="SAPBEXItemHeader 5 2 7" xfId="25616"/>
    <cellStyle name="SAPBEXItemHeader 5 3" xfId="8418"/>
    <cellStyle name="SAPBEXItemHeader 5 3 2" xfId="23107"/>
    <cellStyle name="SAPBEXItemHeader 5 3 2 2" xfId="43980"/>
    <cellStyle name="SAPBEXItemHeader 5 3 3" xfId="23372"/>
    <cellStyle name="SAPBEXItemHeader 5 3 3 2" xfId="44244"/>
    <cellStyle name="SAPBEXItemHeader 5 3 4" xfId="21364"/>
    <cellStyle name="SAPBEXItemHeader 5 3 4 2" xfId="42239"/>
    <cellStyle name="SAPBEXItemHeader 5 3 5" xfId="17423"/>
    <cellStyle name="SAPBEXItemHeader 5 3 5 2" xfId="38299"/>
    <cellStyle name="SAPBEXItemHeader 5 3 6" xfId="29561"/>
    <cellStyle name="SAPBEXItemHeader 5 4" xfId="21553"/>
    <cellStyle name="SAPBEXItemHeader 5 4 2" xfId="42428"/>
    <cellStyle name="SAPBEXItemHeader 5 5" xfId="21864"/>
    <cellStyle name="SAPBEXItemHeader 5 5 2" xfId="42739"/>
    <cellStyle name="SAPBEXItemHeader 5 6" xfId="22813"/>
    <cellStyle name="SAPBEXItemHeader 5 6 2" xfId="43688"/>
    <cellStyle name="SAPBEXItemHeader 5 7" xfId="12315"/>
    <cellStyle name="SAPBEXItemHeader 5 7 2" xfId="33204"/>
    <cellStyle name="SAPBEXItemHeader 5 8" xfId="24445"/>
    <cellStyle name="SAPBEXItemHeader 6" xfId="2818"/>
    <cellStyle name="SAPBEXItemHeader 6 2" xfId="4444"/>
    <cellStyle name="SAPBEXItemHeader 6 2 2" xfId="6288"/>
    <cellStyle name="SAPBEXItemHeader 6 2 2 2" xfId="22593"/>
    <cellStyle name="SAPBEXItemHeader 6 2 2 2 2" xfId="43468"/>
    <cellStyle name="SAPBEXItemHeader 6 2 2 3" xfId="21072"/>
    <cellStyle name="SAPBEXItemHeader 6 2 2 3 2" xfId="41947"/>
    <cellStyle name="SAPBEXItemHeader 6 2 2 4" xfId="22285"/>
    <cellStyle name="SAPBEXItemHeader 6 2 2 4 2" xfId="43160"/>
    <cellStyle name="SAPBEXItemHeader 6 2 2 5" xfId="15297"/>
    <cellStyle name="SAPBEXItemHeader 6 2 2 5 2" xfId="36173"/>
    <cellStyle name="SAPBEXItemHeader 6 2 2 6" xfId="27435"/>
    <cellStyle name="SAPBEXItemHeader 6 2 3" xfId="22052"/>
    <cellStyle name="SAPBEXItemHeader 6 2 3 2" xfId="42927"/>
    <cellStyle name="SAPBEXItemHeader 6 2 4" xfId="21639"/>
    <cellStyle name="SAPBEXItemHeader 6 2 4 2" xfId="42514"/>
    <cellStyle name="SAPBEXItemHeader 6 2 5" xfId="21150"/>
    <cellStyle name="SAPBEXItemHeader 6 2 5 2" xfId="42025"/>
    <cellStyle name="SAPBEXItemHeader 6 2 6" xfId="13479"/>
    <cellStyle name="SAPBEXItemHeader 6 2 6 2" xfId="34355"/>
    <cellStyle name="SAPBEXItemHeader 6 2 7" xfId="25617"/>
    <cellStyle name="SAPBEXItemHeader 6 3" xfId="8419"/>
    <cellStyle name="SAPBEXItemHeader 6 3 2" xfId="23108"/>
    <cellStyle name="SAPBEXItemHeader 6 3 2 2" xfId="43981"/>
    <cellStyle name="SAPBEXItemHeader 6 3 3" xfId="21698"/>
    <cellStyle name="SAPBEXItemHeader 6 3 3 2" xfId="42573"/>
    <cellStyle name="SAPBEXItemHeader 6 3 4" xfId="21269"/>
    <cellStyle name="SAPBEXItemHeader 6 3 4 2" xfId="42144"/>
    <cellStyle name="SAPBEXItemHeader 6 3 5" xfId="17424"/>
    <cellStyle name="SAPBEXItemHeader 6 3 5 2" xfId="38300"/>
    <cellStyle name="SAPBEXItemHeader 6 3 6" xfId="29562"/>
    <cellStyle name="SAPBEXItemHeader 6 4" xfId="21554"/>
    <cellStyle name="SAPBEXItemHeader 6 4 2" xfId="42429"/>
    <cellStyle name="SAPBEXItemHeader 6 5" xfId="22635"/>
    <cellStyle name="SAPBEXItemHeader 6 5 2" xfId="43510"/>
    <cellStyle name="SAPBEXItemHeader 6 6" xfId="23438"/>
    <cellStyle name="SAPBEXItemHeader 6 6 2" xfId="44310"/>
    <cellStyle name="SAPBEXItemHeader 6 7" xfId="12316"/>
    <cellStyle name="SAPBEXItemHeader 6 7 2" xfId="33205"/>
    <cellStyle name="SAPBEXItemHeader 6 8" xfId="24446"/>
    <cellStyle name="SAPBEXItemHeader 7" xfId="4439"/>
    <cellStyle name="SAPBEXItemHeader 7 2" xfId="6283"/>
    <cellStyle name="SAPBEXItemHeader 7 2 2" xfId="22588"/>
    <cellStyle name="SAPBEXItemHeader 7 2 2 2" xfId="43463"/>
    <cellStyle name="SAPBEXItemHeader 7 2 3" xfId="23669"/>
    <cellStyle name="SAPBEXItemHeader 7 2 3 2" xfId="44541"/>
    <cellStyle name="SAPBEXItemHeader 7 2 4" xfId="24013"/>
    <cellStyle name="SAPBEXItemHeader 7 2 4 2" xfId="44885"/>
    <cellStyle name="SAPBEXItemHeader 7 2 5" xfId="15292"/>
    <cellStyle name="SAPBEXItemHeader 7 2 5 2" xfId="36168"/>
    <cellStyle name="SAPBEXItemHeader 7 2 6" xfId="27430"/>
    <cellStyle name="SAPBEXItemHeader 7 3" xfId="22047"/>
    <cellStyle name="SAPBEXItemHeader 7 3 2" xfId="42922"/>
    <cellStyle name="SAPBEXItemHeader 7 4" xfId="24060"/>
    <cellStyle name="SAPBEXItemHeader 7 4 2" xfId="44932"/>
    <cellStyle name="SAPBEXItemHeader 7 5" xfId="22786"/>
    <cellStyle name="SAPBEXItemHeader 7 5 2" xfId="43661"/>
    <cellStyle name="SAPBEXItemHeader 7 6" xfId="13474"/>
    <cellStyle name="SAPBEXItemHeader 7 6 2" xfId="34350"/>
    <cellStyle name="SAPBEXItemHeader 7 7" xfId="25612"/>
    <cellStyle name="SAPBEXItemHeader 8" xfId="8414"/>
    <cellStyle name="SAPBEXItemHeader 8 2" xfId="23103"/>
    <cellStyle name="SAPBEXItemHeader 8 2 2" xfId="43976"/>
    <cellStyle name="SAPBEXItemHeader 8 3" xfId="23678"/>
    <cellStyle name="SAPBEXItemHeader 8 3 2" xfId="44550"/>
    <cellStyle name="SAPBEXItemHeader 8 4" xfId="22763"/>
    <cellStyle name="SAPBEXItemHeader 8 4 2" xfId="43638"/>
    <cellStyle name="SAPBEXItemHeader 8 5" xfId="17419"/>
    <cellStyle name="SAPBEXItemHeader 8 5 2" xfId="38295"/>
    <cellStyle name="SAPBEXItemHeader 8 6" xfId="29557"/>
    <cellStyle name="SAPBEXItemHeader 9" xfId="21549"/>
    <cellStyle name="SAPBEXItemHeader 9 2" xfId="42424"/>
    <cellStyle name="SAPBEXresData" xfId="1169"/>
    <cellStyle name="SAPBEXresData 10" xfId="21156"/>
    <cellStyle name="SAPBEXresData 10 2" xfId="42031"/>
    <cellStyle name="SAPBEXresData 11" xfId="23322"/>
    <cellStyle name="SAPBEXresData 11 2" xfId="44194"/>
    <cellStyle name="SAPBEXresData 12" xfId="12163"/>
    <cellStyle name="SAPBEXresData 12 2" xfId="33063"/>
    <cellStyle name="SAPBEXresData 13" xfId="24142"/>
    <cellStyle name="SAPBEXresData 13 2" xfId="45012"/>
    <cellStyle name="SAPBEXresData 14" xfId="24275"/>
    <cellStyle name="SAPBEXresData 14 2" xfId="45136"/>
    <cellStyle name="SAPBEXresData 2" xfId="2819"/>
    <cellStyle name="SAPBEXresData 2 10" xfId="24447"/>
    <cellStyle name="SAPBEXresData 2 2" xfId="4445"/>
    <cellStyle name="SAPBEXresData 2 2 2" xfId="6289"/>
    <cellStyle name="SAPBEXresData 2 2 2 2" xfId="22594"/>
    <cellStyle name="SAPBEXresData 2 2 2 2 2" xfId="43469"/>
    <cellStyle name="SAPBEXresData 2 2 2 3" xfId="23409"/>
    <cellStyle name="SAPBEXresData 2 2 2 3 2" xfId="44281"/>
    <cellStyle name="SAPBEXresData 2 2 2 4" xfId="21051"/>
    <cellStyle name="SAPBEXresData 2 2 2 4 2" xfId="41926"/>
    <cellStyle name="SAPBEXresData 2 2 2 5" xfId="15298"/>
    <cellStyle name="SAPBEXresData 2 2 2 5 2" xfId="36174"/>
    <cellStyle name="SAPBEXresData 2 2 2 6" xfId="27436"/>
    <cellStyle name="SAPBEXresData 2 2 3" xfId="22053"/>
    <cellStyle name="SAPBEXresData 2 2 3 2" xfId="42928"/>
    <cellStyle name="SAPBEXresData 2 2 4" xfId="23868"/>
    <cellStyle name="SAPBEXresData 2 2 4 2" xfId="44740"/>
    <cellStyle name="SAPBEXresData 2 2 5" xfId="21852"/>
    <cellStyle name="SAPBEXresData 2 2 5 2" xfId="42727"/>
    <cellStyle name="SAPBEXresData 2 2 6" xfId="13480"/>
    <cellStyle name="SAPBEXresData 2 2 6 2" xfId="34356"/>
    <cellStyle name="SAPBEXresData 2 2 7" xfId="25618"/>
    <cellStyle name="SAPBEXresData 2 3" xfId="8421"/>
    <cellStyle name="SAPBEXresData 2 3 2" xfId="23110"/>
    <cellStyle name="SAPBEXresData 2 3 2 2" xfId="43983"/>
    <cellStyle name="SAPBEXresData 2 3 3" xfId="21632"/>
    <cellStyle name="SAPBEXresData 2 3 3 2" xfId="42507"/>
    <cellStyle name="SAPBEXresData 2 3 4" xfId="24080"/>
    <cellStyle name="SAPBEXresData 2 3 4 2" xfId="44952"/>
    <cellStyle name="SAPBEXresData 2 3 5" xfId="17426"/>
    <cellStyle name="SAPBEXresData 2 3 5 2" xfId="38302"/>
    <cellStyle name="SAPBEXresData 2 3 6" xfId="29564"/>
    <cellStyle name="SAPBEXresData 2 4" xfId="10301"/>
    <cellStyle name="SAPBEXresData 2 4 2" xfId="23586"/>
    <cellStyle name="SAPBEXresData 2 4 2 2" xfId="44458"/>
    <cellStyle name="SAPBEXresData 2 4 3" xfId="21664"/>
    <cellStyle name="SAPBEXresData 2 4 3 2" xfId="42539"/>
    <cellStyle name="SAPBEXresData 2 4 4" xfId="20858"/>
    <cellStyle name="SAPBEXresData 2 4 4 2" xfId="41734"/>
    <cellStyle name="SAPBEXresData 2 4 5" xfId="19072"/>
    <cellStyle name="SAPBEXresData 2 4 5 2" xfId="39948"/>
    <cellStyle name="SAPBEXresData 2 4 6" xfId="31212"/>
    <cellStyle name="SAPBEXresData 2 5" xfId="20929"/>
    <cellStyle name="SAPBEXresData 2 5 2" xfId="41804"/>
    <cellStyle name="SAPBEXresData 2 6" xfId="23711"/>
    <cellStyle name="SAPBEXresData 2 6 2" xfId="44583"/>
    <cellStyle name="SAPBEXresData 2 7" xfId="21023"/>
    <cellStyle name="SAPBEXresData 2 7 2" xfId="41898"/>
    <cellStyle name="SAPBEXresData 2 8" xfId="12164"/>
    <cellStyle name="SAPBEXresData 2 8 2" xfId="33064"/>
    <cellStyle name="SAPBEXresData 2 9" xfId="24210"/>
    <cellStyle name="SAPBEXresData 2 9 2" xfId="45078"/>
    <cellStyle name="SAPBEXresData 3" xfId="2820"/>
    <cellStyle name="SAPBEXresData 3 2" xfId="4446"/>
    <cellStyle name="SAPBEXresData 3 2 2" xfId="6290"/>
    <cellStyle name="SAPBEXresData 3 2 2 2" xfId="22595"/>
    <cellStyle name="SAPBEXresData 3 2 2 2 2" xfId="43470"/>
    <cellStyle name="SAPBEXresData 3 2 2 3" xfId="23633"/>
    <cellStyle name="SAPBEXresData 3 2 2 3 2" xfId="44505"/>
    <cellStyle name="SAPBEXresData 3 2 2 4" xfId="23313"/>
    <cellStyle name="SAPBEXresData 3 2 2 4 2" xfId="44185"/>
    <cellStyle name="SAPBEXresData 3 2 2 5" xfId="15299"/>
    <cellStyle name="SAPBEXresData 3 2 2 5 2" xfId="36175"/>
    <cellStyle name="SAPBEXresData 3 2 2 6" xfId="27437"/>
    <cellStyle name="SAPBEXresData 3 2 3" xfId="22054"/>
    <cellStyle name="SAPBEXresData 3 2 3 2" xfId="42929"/>
    <cellStyle name="SAPBEXresData 3 2 4" xfId="23158"/>
    <cellStyle name="SAPBEXresData 3 2 4 2" xfId="44031"/>
    <cellStyle name="SAPBEXresData 3 2 5" xfId="21287"/>
    <cellStyle name="SAPBEXresData 3 2 5 2" xfId="42162"/>
    <cellStyle name="SAPBEXresData 3 2 6" xfId="13481"/>
    <cellStyle name="SAPBEXresData 3 2 6 2" xfId="34357"/>
    <cellStyle name="SAPBEXresData 3 2 7" xfId="25619"/>
    <cellStyle name="SAPBEXresData 3 3" xfId="8422"/>
    <cellStyle name="SAPBEXresData 3 3 2" xfId="23111"/>
    <cellStyle name="SAPBEXresData 3 3 2 2" xfId="43984"/>
    <cellStyle name="SAPBEXresData 3 3 3" xfId="21234"/>
    <cellStyle name="SAPBEXresData 3 3 3 2" xfId="42109"/>
    <cellStyle name="SAPBEXresData 3 3 4" xfId="22679"/>
    <cellStyle name="SAPBEXresData 3 3 4 2" xfId="43554"/>
    <cellStyle name="SAPBEXresData 3 3 5" xfId="17427"/>
    <cellStyle name="SAPBEXresData 3 3 5 2" xfId="38303"/>
    <cellStyle name="SAPBEXresData 3 3 6" xfId="29565"/>
    <cellStyle name="SAPBEXresData 3 4" xfId="10302"/>
    <cellStyle name="SAPBEXresData 3 4 2" xfId="23587"/>
    <cellStyle name="SAPBEXresData 3 4 2 2" xfId="44459"/>
    <cellStyle name="SAPBEXresData 3 4 3" xfId="23843"/>
    <cellStyle name="SAPBEXresData 3 4 3 2" xfId="44715"/>
    <cellStyle name="SAPBEXresData 3 4 4" xfId="24082"/>
    <cellStyle name="SAPBEXresData 3 4 4 2" xfId="44954"/>
    <cellStyle name="SAPBEXresData 3 4 5" xfId="19073"/>
    <cellStyle name="SAPBEXresData 3 4 5 2" xfId="39949"/>
    <cellStyle name="SAPBEXresData 3 4 6" xfId="31213"/>
    <cellStyle name="SAPBEXresData 3 5" xfId="21555"/>
    <cellStyle name="SAPBEXresData 3 5 2" xfId="42430"/>
    <cellStyle name="SAPBEXresData 3 6" xfId="23860"/>
    <cellStyle name="SAPBEXresData 3 6 2" xfId="44732"/>
    <cellStyle name="SAPBEXresData 3 7" xfId="21690"/>
    <cellStyle name="SAPBEXresData 3 7 2" xfId="42565"/>
    <cellStyle name="SAPBEXresData 3 8" xfId="12317"/>
    <cellStyle name="SAPBEXresData 3 8 2" xfId="33206"/>
    <cellStyle name="SAPBEXresData 3 9" xfId="24448"/>
    <cellStyle name="SAPBEXresData 4" xfId="2821"/>
    <cellStyle name="SAPBEXresData 4 2" xfId="4447"/>
    <cellStyle name="SAPBEXresData 4 2 2" xfId="6291"/>
    <cellStyle name="SAPBEXresData 4 2 2 2" xfId="22596"/>
    <cellStyle name="SAPBEXresData 4 2 2 2 2" xfId="43471"/>
    <cellStyle name="SAPBEXresData 4 2 2 3" xfId="22916"/>
    <cellStyle name="SAPBEXresData 4 2 2 3 2" xfId="43790"/>
    <cellStyle name="SAPBEXresData 4 2 2 4" xfId="23739"/>
    <cellStyle name="SAPBEXresData 4 2 2 4 2" xfId="44611"/>
    <cellStyle name="SAPBEXresData 4 2 2 5" xfId="15300"/>
    <cellStyle name="SAPBEXresData 4 2 2 5 2" xfId="36176"/>
    <cellStyle name="SAPBEXresData 4 2 2 6" xfId="27438"/>
    <cellStyle name="SAPBEXresData 4 2 3" xfId="22055"/>
    <cellStyle name="SAPBEXresData 4 2 3 2" xfId="42930"/>
    <cellStyle name="SAPBEXresData 4 2 4" xfId="23433"/>
    <cellStyle name="SAPBEXresData 4 2 4 2" xfId="44305"/>
    <cellStyle name="SAPBEXresData 4 2 5" xfId="21345"/>
    <cellStyle name="SAPBEXresData 4 2 5 2" xfId="42220"/>
    <cellStyle name="SAPBEXresData 4 2 6" xfId="13482"/>
    <cellStyle name="SAPBEXresData 4 2 6 2" xfId="34358"/>
    <cellStyle name="SAPBEXresData 4 2 7" xfId="25620"/>
    <cellStyle name="SAPBEXresData 4 3" xfId="8423"/>
    <cellStyle name="SAPBEXresData 4 3 2" xfId="23112"/>
    <cellStyle name="SAPBEXresData 4 3 2 2" xfId="43985"/>
    <cellStyle name="SAPBEXresData 4 3 3" xfId="21778"/>
    <cellStyle name="SAPBEXresData 4 3 3 2" xfId="42653"/>
    <cellStyle name="SAPBEXresData 4 3 4" xfId="23863"/>
    <cellStyle name="SAPBEXresData 4 3 4 2" xfId="44735"/>
    <cellStyle name="SAPBEXresData 4 3 5" xfId="17428"/>
    <cellStyle name="SAPBEXresData 4 3 5 2" xfId="38304"/>
    <cellStyle name="SAPBEXresData 4 3 6" xfId="29566"/>
    <cellStyle name="SAPBEXresData 4 4" xfId="10303"/>
    <cellStyle name="SAPBEXresData 4 4 2" xfId="23588"/>
    <cellStyle name="SAPBEXresData 4 4 2 2" xfId="44460"/>
    <cellStyle name="SAPBEXresData 4 4 3" xfId="21753"/>
    <cellStyle name="SAPBEXresData 4 4 3 2" xfId="42628"/>
    <cellStyle name="SAPBEXresData 4 4 4" xfId="22192"/>
    <cellStyle name="SAPBEXresData 4 4 4 2" xfId="43067"/>
    <cellStyle name="SAPBEXresData 4 4 5" xfId="19074"/>
    <cellStyle name="SAPBEXresData 4 4 5 2" xfId="39950"/>
    <cellStyle name="SAPBEXresData 4 4 6" xfId="31214"/>
    <cellStyle name="SAPBEXresData 4 5" xfId="21556"/>
    <cellStyle name="SAPBEXresData 4 5 2" xfId="42431"/>
    <cellStyle name="SAPBEXresData 4 6" xfId="21737"/>
    <cellStyle name="SAPBEXresData 4 6 2" xfId="42612"/>
    <cellStyle name="SAPBEXresData 4 7" xfId="23418"/>
    <cellStyle name="SAPBEXresData 4 7 2" xfId="44290"/>
    <cellStyle name="SAPBEXresData 4 8" xfId="12318"/>
    <cellStyle name="SAPBEXresData 4 8 2" xfId="33207"/>
    <cellStyle name="SAPBEXresData 4 9" xfId="24449"/>
    <cellStyle name="SAPBEXresData 5" xfId="2822"/>
    <cellStyle name="SAPBEXresData 5 2" xfId="4448"/>
    <cellStyle name="SAPBEXresData 5 2 2" xfId="6292"/>
    <cellStyle name="SAPBEXresData 5 2 2 2" xfId="22597"/>
    <cellStyle name="SAPBEXresData 5 2 2 2 2" xfId="43472"/>
    <cellStyle name="SAPBEXresData 5 2 2 3" xfId="22840"/>
    <cellStyle name="SAPBEXresData 5 2 2 3 2" xfId="43715"/>
    <cellStyle name="SAPBEXresData 5 2 2 4" xfId="21381"/>
    <cellStyle name="SAPBEXresData 5 2 2 4 2" xfId="42256"/>
    <cellStyle name="SAPBEXresData 5 2 2 5" xfId="15301"/>
    <cellStyle name="SAPBEXresData 5 2 2 5 2" xfId="36177"/>
    <cellStyle name="SAPBEXresData 5 2 2 6" xfId="27439"/>
    <cellStyle name="SAPBEXresData 5 2 3" xfId="22056"/>
    <cellStyle name="SAPBEXresData 5 2 3 2" xfId="42931"/>
    <cellStyle name="SAPBEXresData 5 2 4" xfId="21655"/>
    <cellStyle name="SAPBEXresData 5 2 4 2" xfId="42530"/>
    <cellStyle name="SAPBEXresData 5 2 5" xfId="23945"/>
    <cellStyle name="SAPBEXresData 5 2 5 2" xfId="44817"/>
    <cellStyle name="SAPBEXresData 5 2 6" xfId="13483"/>
    <cellStyle name="SAPBEXresData 5 2 6 2" xfId="34359"/>
    <cellStyle name="SAPBEXresData 5 2 7" xfId="25621"/>
    <cellStyle name="SAPBEXresData 5 3" xfId="8424"/>
    <cellStyle name="SAPBEXresData 5 3 2" xfId="23113"/>
    <cellStyle name="SAPBEXresData 5 3 2 2" xfId="43986"/>
    <cellStyle name="SAPBEXresData 5 3 3" xfId="22703"/>
    <cellStyle name="SAPBEXresData 5 3 3 2" xfId="43578"/>
    <cellStyle name="SAPBEXresData 5 3 4" xfId="23953"/>
    <cellStyle name="SAPBEXresData 5 3 4 2" xfId="44825"/>
    <cellStyle name="SAPBEXresData 5 3 5" xfId="17429"/>
    <cellStyle name="SAPBEXresData 5 3 5 2" xfId="38305"/>
    <cellStyle name="SAPBEXresData 5 3 6" xfId="29567"/>
    <cellStyle name="SAPBEXresData 5 4" xfId="10304"/>
    <cellStyle name="SAPBEXresData 5 4 2" xfId="23589"/>
    <cellStyle name="SAPBEXresData 5 4 2 2" xfId="44461"/>
    <cellStyle name="SAPBEXresData 5 4 3" xfId="22382"/>
    <cellStyle name="SAPBEXresData 5 4 3 2" xfId="43257"/>
    <cellStyle name="SAPBEXresData 5 4 4" xfId="22236"/>
    <cellStyle name="SAPBEXresData 5 4 4 2" xfId="43111"/>
    <cellStyle name="SAPBEXresData 5 4 5" xfId="19075"/>
    <cellStyle name="SAPBEXresData 5 4 5 2" xfId="39951"/>
    <cellStyle name="SAPBEXresData 5 4 6" xfId="31215"/>
    <cellStyle name="SAPBEXresData 5 5" xfId="21557"/>
    <cellStyle name="SAPBEXresData 5 5 2" xfId="42432"/>
    <cellStyle name="SAPBEXresData 5 6" xfId="23905"/>
    <cellStyle name="SAPBEXresData 5 6 2" xfId="44777"/>
    <cellStyle name="SAPBEXresData 5 7" xfId="21069"/>
    <cellStyle name="SAPBEXresData 5 7 2" xfId="41944"/>
    <cellStyle name="SAPBEXresData 5 8" xfId="12319"/>
    <cellStyle name="SAPBEXresData 5 8 2" xfId="33208"/>
    <cellStyle name="SAPBEXresData 5 9" xfId="24450"/>
    <cellStyle name="SAPBEXresData 6" xfId="3834"/>
    <cellStyle name="SAPBEXresData 6 2" xfId="6063"/>
    <cellStyle name="SAPBEXresData 6 2 2" xfId="22422"/>
    <cellStyle name="SAPBEXresData 6 2 2 2" xfId="43297"/>
    <cellStyle name="SAPBEXresData 6 2 3" xfId="23779"/>
    <cellStyle name="SAPBEXresData 6 2 3 2" xfId="44651"/>
    <cellStyle name="SAPBEXresData 6 2 4" xfId="23704"/>
    <cellStyle name="SAPBEXresData 6 2 4 2" xfId="44576"/>
    <cellStyle name="SAPBEXresData 6 2 5" xfId="15072"/>
    <cellStyle name="SAPBEXresData 6 2 5 2" xfId="35948"/>
    <cellStyle name="SAPBEXresData 6 2 6" xfId="27210"/>
    <cellStyle name="SAPBEXresData 6 3" xfId="21808"/>
    <cellStyle name="SAPBEXresData 6 3 2" xfId="42683"/>
    <cellStyle name="SAPBEXresData 6 4" xfId="21182"/>
    <cellStyle name="SAPBEXresData 6 4 2" xfId="42057"/>
    <cellStyle name="SAPBEXresData 6 5" xfId="21756"/>
    <cellStyle name="SAPBEXresData 6 5 2" xfId="42631"/>
    <cellStyle name="SAPBEXresData 6 6" xfId="13254"/>
    <cellStyle name="SAPBEXresData 6 6 2" xfId="34130"/>
    <cellStyle name="SAPBEXresData 6 7" xfId="25392"/>
    <cellStyle name="SAPBEXresData 7" xfId="8420"/>
    <cellStyle name="SAPBEXresData 7 2" xfId="23109"/>
    <cellStyle name="SAPBEXresData 7 2 2" xfId="43982"/>
    <cellStyle name="SAPBEXresData 7 3" xfId="22899"/>
    <cellStyle name="SAPBEXresData 7 3 2" xfId="43773"/>
    <cellStyle name="SAPBEXresData 7 4" xfId="20856"/>
    <cellStyle name="SAPBEXresData 7 4 2" xfId="41732"/>
    <cellStyle name="SAPBEXresData 7 5" xfId="17425"/>
    <cellStyle name="SAPBEXresData 7 5 2" xfId="38301"/>
    <cellStyle name="SAPBEXresData 7 6" xfId="29563"/>
    <cellStyle name="SAPBEXresData 8" xfId="10300"/>
    <cellStyle name="SAPBEXresData 8 2" xfId="23585"/>
    <cellStyle name="SAPBEXresData 8 2 2" xfId="44457"/>
    <cellStyle name="SAPBEXresData 8 3" xfId="23805"/>
    <cellStyle name="SAPBEXresData 8 3 2" xfId="44677"/>
    <cellStyle name="SAPBEXresData 8 4" xfId="21001"/>
    <cellStyle name="SAPBEXresData 8 4 2" xfId="41876"/>
    <cellStyle name="SAPBEXresData 8 5" xfId="19071"/>
    <cellStyle name="SAPBEXresData 8 5 2" xfId="39947"/>
    <cellStyle name="SAPBEXresData 8 6" xfId="31211"/>
    <cellStyle name="SAPBEXresData 9" xfId="20928"/>
    <cellStyle name="SAPBEXresData 9 2" xfId="41803"/>
    <cellStyle name="SAPBEXresDataEmph" xfId="1170"/>
    <cellStyle name="SAPBEXresDataEmph 10" xfId="21268"/>
    <cellStyle name="SAPBEXresDataEmph 10 2" xfId="42143"/>
    <cellStyle name="SAPBEXresDataEmph 11" xfId="21706"/>
    <cellStyle name="SAPBEXresDataEmph 11 2" xfId="42581"/>
    <cellStyle name="SAPBEXresDataEmph 12" xfId="12165"/>
    <cellStyle name="SAPBEXresDataEmph 12 2" xfId="33065"/>
    <cellStyle name="SAPBEXresDataEmph 13" xfId="24141"/>
    <cellStyle name="SAPBEXresDataEmph 13 2" xfId="45011"/>
    <cellStyle name="SAPBEXresDataEmph 14" xfId="24276"/>
    <cellStyle name="SAPBEXresDataEmph 14 2" xfId="45137"/>
    <cellStyle name="SAPBEXresDataEmph 2" xfId="2823"/>
    <cellStyle name="SAPBEXresDataEmph 2 10" xfId="24451"/>
    <cellStyle name="SAPBEXresDataEmph 2 2" xfId="4450"/>
    <cellStyle name="SAPBEXresDataEmph 2 2 2" xfId="6293"/>
    <cellStyle name="SAPBEXresDataEmph 2 2 2 2" xfId="22598"/>
    <cellStyle name="SAPBEXresDataEmph 2 2 2 2 2" xfId="43473"/>
    <cellStyle name="SAPBEXresDataEmph 2 2 2 3" xfId="22433"/>
    <cellStyle name="SAPBEXresDataEmph 2 2 2 3 2" xfId="43308"/>
    <cellStyle name="SAPBEXresDataEmph 2 2 2 4" xfId="20992"/>
    <cellStyle name="SAPBEXresDataEmph 2 2 2 4 2" xfId="41867"/>
    <cellStyle name="SAPBEXresDataEmph 2 2 2 5" xfId="15302"/>
    <cellStyle name="SAPBEXresDataEmph 2 2 2 5 2" xfId="36178"/>
    <cellStyle name="SAPBEXresDataEmph 2 2 2 6" xfId="27440"/>
    <cellStyle name="SAPBEXresDataEmph 2 2 3" xfId="22057"/>
    <cellStyle name="SAPBEXresDataEmph 2 2 3 2" xfId="42932"/>
    <cellStyle name="SAPBEXresDataEmph 2 2 4" xfId="21313"/>
    <cellStyle name="SAPBEXresDataEmph 2 2 4 2" xfId="42188"/>
    <cellStyle name="SAPBEXresDataEmph 2 2 5" xfId="22160"/>
    <cellStyle name="SAPBEXresDataEmph 2 2 5 2" xfId="43035"/>
    <cellStyle name="SAPBEXresDataEmph 2 2 6" xfId="13484"/>
    <cellStyle name="SAPBEXresDataEmph 2 2 6 2" xfId="34360"/>
    <cellStyle name="SAPBEXresDataEmph 2 2 7" xfId="25622"/>
    <cellStyle name="SAPBEXresDataEmph 2 3" xfId="8426"/>
    <cellStyle name="SAPBEXresDataEmph 2 3 2" xfId="23115"/>
    <cellStyle name="SAPBEXresDataEmph 2 3 2 2" xfId="43988"/>
    <cellStyle name="SAPBEXresDataEmph 2 3 3" xfId="21922"/>
    <cellStyle name="SAPBEXresDataEmph 2 3 3 2" xfId="42797"/>
    <cellStyle name="SAPBEXresDataEmph 2 3 4" xfId="21841"/>
    <cellStyle name="SAPBEXresDataEmph 2 3 4 2" xfId="42716"/>
    <cellStyle name="SAPBEXresDataEmph 2 3 5" xfId="17431"/>
    <cellStyle name="SAPBEXresDataEmph 2 3 5 2" xfId="38307"/>
    <cellStyle name="SAPBEXresDataEmph 2 3 6" xfId="29569"/>
    <cellStyle name="SAPBEXresDataEmph 2 4" xfId="10306"/>
    <cellStyle name="SAPBEXresDataEmph 2 4 2" xfId="23591"/>
    <cellStyle name="SAPBEXresDataEmph 2 4 2 2" xfId="44463"/>
    <cellStyle name="SAPBEXresDataEmph 2 4 3" xfId="22690"/>
    <cellStyle name="SAPBEXresDataEmph 2 4 3 2" xfId="43565"/>
    <cellStyle name="SAPBEXresDataEmph 2 4 4" xfId="22171"/>
    <cellStyle name="SAPBEXresDataEmph 2 4 4 2" xfId="43046"/>
    <cellStyle name="SAPBEXresDataEmph 2 4 5" xfId="19077"/>
    <cellStyle name="SAPBEXresDataEmph 2 4 5 2" xfId="39953"/>
    <cellStyle name="SAPBEXresDataEmph 2 4 6" xfId="31217"/>
    <cellStyle name="SAPBEXresDataEmph 2 5" xfId="20931"/>
    <cellStyle name="SAPBEXresDataEmph 2 5 2" xfId="41806"/>
    <cellStyle name="SAPBEXresDataEmph 2 6" xfId="22777"/>
    <cellStyle name="SAPBEXresDataEmph 2 6 2" xfId="43652"/>
    <cellStyle name="SAPBEXresDataEmph 2 7" xfId="22340"/>
    <cellStyle name="SAPBEXresDataEmph 2 7 2" xfId="43215"/>
    <cellStyle name="SAPBEXresDataEmph 2 8" xfId="12166"/>
    <cellStyle name="SAPBEXresDataEmph 2 8 2" xfId="33066"/>
    <cellStyle name="SAPBEXresDataEmph 2 9" xfId="24211"/>
    <cellStyle name="SAPBEXresDataEmph 2 9 2" xfId="45079"/>
    <cellStyle name="SAPBEXresDataEmph 3" xfId="2824"/>
    <cellStyle name="SAPBEXresDataEmph 3 2" xfId="4451"/>
    <cellStyle name="SAPBEXresDataEmph 3 2 2" xfId="6294"/>
    <cellStyle name="SAPBEXresDataEmph 3 2 2 2" xfId="22599"/>
    <cellStyle name="SAPBEXresDataEmph 3 2 2 2 2" xfId="43474"/>
    <cellStyle name="SAPBEXresDataEmph 3 2 2 3" xfId="23794"/>
    <cellStyle name="SAPBEXresDataEmph 3 2 2 3 2" xfId="44666"/>
    <cellStyle name="SAPBEXresDataEmph 3 2 2 4" xfId="23201"/>
    <cellStyle name="SAPBEXresDataEmph 3 2 2 4 2" xfId="44074"/>
    <cellStyle name="SAPBEXresDataEmph 3 2 2 5" xfId="15303"/>
    <cellStyle name="SAPBEXresDataEmph 3 2 2 5 2" xfId="36179"/>
    <cellStyle name="SAPBEXresDataEmph 3 2 2 6" xfId="27441"/>
    <cellStyle name="SAPBEXresDataEmph 3 2 3" xfId="22058"/>
    <cellStyle name="SAPBEXresDataEmph 3 2 3 2" xfId="42933"/>
    <cellStyle name="SAPBEXresDataEmph 3 2 4" xfId="21088"/>
    <cellStyle name="SAPBEXresDataEmph 3 2 4 2" xfId="41963"/>
    <cellStyle name="SAPBEXresDataEmph 3 2 5" xfId="22284"/>
    <cellStyle name="SAPBEXresDataEmph 3 2 5 2" xfId="43159"/>
    <cellStyle name="SAPBEXresDataEmph 3 2 6" xfId="13485"/>
    <cellStyle name="SAPBEXresDataEmph 3 2 6 2" xfId="34361"/>
    <cellStyle name="SAPBEXresDataEmph 3 2 7" xfId="25623"/>
    <cellStyle name="SAPBEXresDataEmph 3 3" xfId="8427"/>
    <cellStyle name="SAPBEXresDataEmph 3 3 2" xfId="23116"/>
    <cellStyle name="SAPBEXresDataEmph 3 3 2 2" xfId="43989"/>
    <cellStyle name="SAPBEXresDataEmph 3 3 3" xfId="22225"/>
    <cellStyle name="SAPBEXresDataEmph 3 3 3 2" xfId="43100"/>
    <cellStyle name="SAPBEXresDataEmph 3 3 4" xfId="23156"/>
    <cellStyle name="SAPBEXresDataEmph 3 3 4 2" xfId="44029"/>
    <cellStyle name="SAPBEXresDataEmph 3 3 5" xfId="17432"/>
    <cellStyle name="SAPBEXresDataEmph 3 3 5 2" xfId="38308"/>
    <cellStyle name="SAPBEXresDataEmph 3 3 6" xfId="29570"/>
    <cellStyle name="SAPBEXresDataEmph 3 4" xfId="10307"/>
    <cellStyle name="SAPBEXresDataEmph 3 4 2" xfId="23592"/>
    <cellStyle name="SAPBEXresDataEmph 3 4 2 2" xfId="44464"/>
    <cellStyle name="SAPBEXresDataEmph 3 4 3" xfId="23444"/>
    <cellStyle name="SAPBEXresDataEmph 3 4 3 2" xfId="44316"/>
    <cellStyle name="SAPBEXresDataEmph 3 4 4" xfId="21406"/>
    <cellStyle name="SAPBEXresDataEmph 3 4 4 2" xfId="42281"/>
    <cellStyle name="SAPBEXresDataEmph 3 4 5" xfId="19078"/>
    <cellStyle name="SAPBEXresDataEmph 3 4 5 2" xfId="39954"/>
    <cellStyle name="SAPBEXresDataEmph 3 4 6" xfId="31218"/>
    <cellStyle name="SAPBEXresDataEmph 3 5" xfId="21558"/>
    <cellStyle name="SAPBEXresDataEmph 3 5 2" xfId="42433"/>
    <cellStyle name="SAPBEXresDataEmph 3 6" xfId="24032"/>
    <cellStyle name="SAPBEXresDataEmph 3 6 2" xfId="44904"/>
    <cellStyle name="SAPBEXresDataEmph 3 7" xfId="23360"/>
    <cellStyle name="SAPBEXresDataEmph 3 7 2" xfId="44232"/>
    <cellStyle name="SAPBEXresDataEmph 3 8" xfId="12320"/>
    <cellStyle name="SAPBEXresDataEmph 3 8 2" xfId="33209"/>
    <cellStyle name="SAPBEXresDataEmph 3 9" xfId="24452"/>
    <cellStyle name="SAPBEXresDataEmph 4" xfId="2825"/>
    <cellStyle name="SAPBEXresDataEmph 4 2" xfId="4452"/>
    <cellStyle name="SAPBEXresDataEmph 4 2 2" xfId="6295"/>
    <cellStyle name="SAPBEXresDataEmph 4 2 2 2" xfId="22600"/>
    <cellStyle name="SAPBEXresDataEmph 4 2 2 2 2" xfId="43475"/>
    <cellStyle name="SAPBEXresDataEmph 4 2 2 3" xfId="20954"/>
    <cellStyle name="SAPBEXresDataEmph 4 2 2 3 2" xfId="41829"/>
    <cellStyle name="SAPBEXresDataEmph 4 2 2 4" xfId="22790"/>
    <cellStyle name="SAPBEXresDataEmph 4 2 2 4 2" xfId="43665"/>
    <cellStyle name="SAPBEXresDataEmph 4 2 2 5" xfId="15304"/>
    <cellStyle name="SAPBEXresDataEmph 4 2 2 5 2" xfId="36180"/>
    <cellStyle name="SAPBEXresDataEmph 4 2 2 6" xfId="27442"/>
    <cellStyle name="SAPBEXresDataEmph 4 2 3" xfId="22059"/>
    <cellStyle name="SAPBEXresDataEmph 4 2 3 2" xfId="42934"/>
    <cellStyle name="SAPBEXresDataEmph 4 2 4" xfId="23411"/>
    <cellStyle name="SAPBEXresDataEmph 4 2 4 2" xfId="44283"/>
    <cellStyle name="SAPBEXresDataEmph 4 2 5" xfId="21357"/>
    <cellStyle name="SAPBEXresDataEmph 4 2 5 2" xfId="42232"/>
    <cellStyle name="SAPBEXresDataEmph 4 2 6" xfId="13486"/>
    <cellStyle name="SAPBEXresDataEmph 4 2 6 2" xfId="34362"/>
    <cellStyle name="SAPBEXresDataEmph 4 2 7" xfId="25624"/>
    <cellStyle name="SAPBEXresDataEmph 4 3" xfId="8428"/>
    <cellStyle name="SAPBEXresDataEmph 4 3 2" xfId="23117"/>
    <cellStyle name="SAPBEXresDataEmph 4 3 2 2" xfId="43990"/>
    <cellStyle name="SAPBEXresDataEmph 4 3 3" xfId="23705"/>
    <cellStyle name="SAPBEXresDataEmph 4 3 3 2" xfId="44577"/>
    <cellStyle name="SAPBEXresDataEmph 4 3 4" xfId="22246"/>
    <cellStyle name="SAPBEXresDataEmph 4 3 4 2" xfId="43121"/>
    <cellStyle name="SAPBEXresDataEmph 4 3 5" xfId="17433"/>
    <cellStyle name="SAPBEXresDataEmph 4 3 5 2" xfId="38309"/>
    <cellStyle name="SAPBEXresDataEmph 4 3 6" xfId="29571"/>
    <cellStyle name="SAPBEXresDataEmph 4 4" xfId="10308"/>
    <cellStyle name="SAPBEXresDataEmph 4 4 2" xfId="23593"/>
    <cellStyle name="SAPBEXresDataEmph 4 4 2 2" xfId="44465"/>
    <cellStyle name="SAPBEXresDataEmph 4 4 3" xfId="23662"/>
    <cellStyle name="SAPBEXresDataEmph 4 4 3 2" xfId="44534"/>
    <cellStyle name="SAPBEXresDataEmph 4 4 4" xfId="21030"/>
    <cellStyle name="SAPBEXresDataEmph 4 4 4 2" xfId="41905"/>
    <cellStyle name="SAPBEXresDataEmph 4 4 5" xfId="19079"/>
    <cellStyle name="SAPBEXresDataEmph 4 4 5 2" xfId="39955"/>
    <cellStyle name="SAPBEXresDataEmph 4 4 6" xfId="31219"/>
    <cellStyle name="SAPBEXresDataEmph 4 5" xfId="21559"/>
    <cellStyle name="SAPBEXresDataEmph 4 5 2" xfId="42434"/>
    <cellStyle name="SAPBEXresDataEmph 4 6" xfId="23352"/>
    <cellStyle name="SAPBEXresDataEmph 4 6 2" xfId="44224"/>
    <cellStyle name="SAPBEXresDataEmph 4 7" xfId="21746"/>
    <cellStyle name="SAPBEXresDataEmph 4 7 2" xfId="42621"/>
    <cellStyle name="SAPBEXresDataEmph 4 8" xfId="12321"/>
    <cellStyle name="SAPBEXresDataEmph 4 8 2" xfId="33210"/>
    <cellStyle name="SAPBEXresDataEmph 4 9" xfId="24453"/>
    <cellStyle name="SAPBEXresDataEmph 5" xfId="2826"/>
    <cellStyle name="SAPBEXresDataEmph 5 2" xfId="4453"/>
    <cellStyle name="SAPBEXresDataEmph 5 2 2" xfId="6296"/>
    <cellStyle name="SAPBEXresDataEmph 5 2 2 2" xfId="22601"/>
    <cellStyle name="SAPBEXresDataEmph 5 2 2 2 2" xfId="43476"/>
    <cellStyle name="SAPBEXresDataEmph 5 2 2 3" xfId="21028"/>
    <cellStyle name="SAPBEXresDataEmph 5 2 2 3 2" xfId="41903"/>
    <cellStyle name="SAPBEXresDataEmph 5 2 2 4" xfId="22692"/>
    <cellStyle name="SAPBEXresDataEmph 5 2 2 4 2" xfId="43567"/>
    <cellStyle name="SAPBEXresDataEmph 5 2 2 5" xfId="15305"/>
    <cellStyle name="SAPBEXresDataEmph 5 2 2 5 2" xfId="36181"/>
    <cellStyle name="SAPBEXresDataEmph 5 2 2 6" xfId="27443"/>
    <cellStyle name="SAPBEXresDataEmph 5 2 3" xfId="22060"/>
    <cellStyle name="SAPBEXresDataEmph 5 2 3 2" xfId="42935"/>
    <cellStyle name="SAPBEXresDataEmph 5 2 4" xfId="23333"/>
    <cellStyle name="SAPBEXresDataEmph 5 2 4 2" xfId="44205"/>
    <cellStyle name="SAPBEXresDataEmph 5 2 5" xfId="23880"/>
    <cellStyle name="SAPBEXresDataEmph 5 2 5 2" xfId="44752"/>
    <cellStyle name="SAPBEXresDataEmph 5 2 6" xfId="13487"/>
    <cellStyle name="SAPBEXresDataEmph 5 2 6 2" xfId="34363"/>
    <cellStyle name="SAPBEXresDataEmph 5 2 7" xfId="25625"/>
    <cellStyle name="SAPBEXresDataEmph 5 3" xfId="8429"/>
    <cellStyle name="SAPBEXresDataEmph 5 3 2" xfId="23118"/>
    <cellStyle name="SAPBEXresDataEmph 5 3 2 2" xfId="43991"/>
    <cellStyle name="SAPBEXresDataEmph 5 3 3" xfId="22709"/>
    <cellStyle name="SAPBEXresDataEmph 5 3 3 2" xfId="43584"/>
    <cellStyle name="SAPBEXresDataEmph 5 3 4" xfId="23161"/>
    <cellStyle name="SAPBEXresDataEmph 5 3 4 2" xfId="44034"/>
    <cellStyle name="SAPBEXresDataEmph 5 3 5" xfId="17434"/>
    <cellStyle name="SAPBEXresDataEmph 5 3 5 2" xfId="38310"/>
    <cellStyle name="SAPBEXresDataEmph 5 3 6" xfId="29572"/>
    <cellStyle name="SAPBEXresDataEmph 5 4" xfId="10309"/>
    <cellStyle name="SAPBEXresDataEmph 5 4 2" xfId="23594"/>
    <cellStyle name="SAPBEXresDataEmph 5 4 2 2" xfId="44466"/>
    <cellStyle name="SAPBEXresDataEmph 5 4 3" xfId="23811"/>
    <cellStyle name="SAPBEXresDataEmph 5 4 3 2" xfId="44683"/>
    <cellStyle name="SAPBEXresDataEmph 5 4 4" xfId="22779"/>
    <cellStyle name="SAPBEXresDataEmph 5 4 4 2" xfId="43654"/>
    <cellStyle name="SAPBEXresDataEmph 5 4 5" xfId="19080"/>
    <cellStyle name="SAPBEXresDataEmph 5 4 5 2" xfId="39956"/>
    <cellStyle name="SAPBEXresDataEmph 5 4 6" xfId="31220"/>
    <cellStyle name="SAPBEXresDataEmph 5 5" xfId="21560"/>
    <cellStyle name="SAPBEXresDataEmph 5 5 2" xfId="42435"/>
    <cellStyle name="SAPBEXresDataEmph 5 6" xfId="23994"/>
    <cellStyle name="SAPBEXresDataEmph 5 6 2" xfId="44866"/>
    <cellStyle name="SAPBEXresDataEmph 5 7" xfId="22128"/>
    <cellStyle name="SAPBEXresDataEmph 5 7 2" xfId="43003"/>
    <cellStyle name="SAPBEXresDataEmph 5 8" xfId="12322"/>
    <cellStyle name="SAPBEXresDataEmph 5 8 2" xfId="33211"/>
    <cellStyle name="SAPBEXresDataEmph 5 9" xfId="24454"/>
    <cellStyle name="SAPBEXresDataEmph 6" xfId="3835"/>
    <cellStyle name="SAPBEXresDataEmph 6 2" xfId="6064"/>
    <cellStyle name="SAPBEXresDataEmph 6 2 2" xfId="22423"/>
    <cellStyle name="SAPBEXresDataEmph 6 2 2 2" xfId="43298"/>
    <cellStyle name="SAPBEXresDataEmph 6 2 3" xfId="22332"/>
    <cellStyle name="SAPBEXresDataEmph 6 2 3 2" xfId="43207"/>
    <cellStyle name="SAPBEXresDataEmph 6 2 4" xfId="23200"/>
    <cellStyle name="SAPBEXresDataEmph 6 2 4 2" xfId="44073"/>
    <cellStyle name="SAPBEXresDataEmph 6 2 5" xfId="15073"/>
    <cellStyle name="SAPBEXresDataEmph 6 2 5 2" xfId="35949"/>
    <cellStyle name="SAPBEXresDataEmph 6 2 6" xfId="27211"/>
    <cellStyle name="SAPBEXresDataEmph 6 3" xfId="21809"/>
    <cellStyle name="SAPBEXresDataEmph 6 3 2" xfId="42684"/>
    <cellStyle name="SAPBEXresDataEmph 6 4" xfId="21306"/>
    <cellStyle name="SAPBEXresDataEmph 6 4 2" xfId="42181"/>
    <cellStyle name="SAPBEXresDataEmph 6 5" xfId="22937"/>
    <cellStyle name="SAPBEXresDataEmph 6 5 2" xfId="43811"/>
    <cellStyle name="SAPBEXresDataEmph 6 6" xfId="13255"/>
    <cellStyle name="SAPBEXresDataEmph 6 6 2" xfId="34131"/>
    <cellStyle name="SAPBEXresDataEmph 6 7" xfId="25393"/>
    <cellStyle name="SAPBEXresDataEmph 7" xfId="8425"/>
    <cellStyle name="SAPBEXresDataEmph 7 2" xfId="23114"/>
    <cellStyle name="SAPBEXresDataEmph 7 2 2" xfId="43987"/>
    <cellStyle name="SAPBEXresDataEmph 7 3" xfId="23716"/>
    <cellStyle name="SAPBEXresDataEmph 7 3 2" xfId="44588"/>
    <cellStyle name="SAPBEXresDataEmph 7 4" xfId="24117"/>
    <cellStyle name="SAPBEXresDataEmph 7 4 2" xfId="44988"/>
    <cellStyle name="SAPBEXresDataEmph 7 5" xfId="17430"/>
    <cellStyle name="SAPBEXresDataEmph 7 5 2" xfId="38306"/>
    <cellStyle name="SAPBEXresDataEmph 7 6" xfId="29568"/>
    <cellStyle name="SAPBEXresDataEmph 8" xfId="10305"/>
    <cellStyle name="SAPBEXresDataEmph 8 2" xfId="23590"/>
    <cellStyle name="SAPBEXresDataEmph 8 2 2" xfId="44462"/>
    <cellStyle name="SAPBEXresDataEmph 8 3" xfId="22163"/>
    <cellStyle name="SAPBEXresDataEmph 8 3 2" xfId="43038"/>
    <cellStyle name="SAPBEXresDataEmph 8 4" xfId="23957"/>
    <cellStyle name="SAPBEXresDataEmph 8 4 2" xfId="44829"/>
    <cellStyle name="SAPBEXresDataEmph 8 5" xfId="19076"/>
    <cellStyle name="SAPBEXresDataEmph 8 5 2" xfId="39952"/>
    <cellStyle name="SAPBEXresDataEmph 8 6" xfId="31216"/>
    <cellStyle name="SAPBEXresDataEmph 9" xfId="20930"/>
    <cellStyle name="SAPBEXresDataEmph 9 2" xfId="41805"/>
    <cellStyle name="SAPBEXresItem" xfId="1171"/>
    <cellStyle name="SAPBEXresItem 10" xfId="21059"/>
    <cellStyle name="SAPBEXresItem 10 2" xfId="41934"/>
    <cellStyle name="SAPBEXresItem 11" xfId="21114"/>
    <cellStyle name="SAPBEXresItem 11 2" xfId="41989"/>
    <cellStyle name="SAPBEXresItem 12" xfId="12167"/>
    <cellStyle name="SAPBEXresItem 12 2" xfId="33067"/>
    <cellStyle name="SAPBEXresItem 13" xfId="24140"/>
    <cellStyle name="SAPBEXresItem 13 2" xfId="45010"/>
    <cellStyle name="SAPBEXresItem 14" xfId="24277"/>
    <cellStyle name="SAPBEXresItem 14 2" xfId="45138"/>
    <cellStyle name="SAPBEXresItem 2" xfId="2827"/>
    <cellStyle name="SAPBEXresItem 2 10" xfId="24455"/>
    <cellStyle name="SAPBEXresItem 2 2" xfId="4455"/>
    <cellStyle name="SAPBEXresItem 2 2 2" xfId="6297"/>
    <cellStyle name="SAPBEXresItem 2 2 2 2" xfId="22602"/>
    <cellStyle name="SAPBEXresItem 2 2 2 2 2" xfId="43477"/>
    <cellStyle name="SAPBEXresItem 2 2 2 3" xfId="21401"/>
    <cellStyle name="SAPBEXresItem 2 2 2 3 2" xfId="42276"/>
    <cellStyle name="SAPBEXresItem 2 2 2 4" xfId="22691"/>
    <cellStyle name="SAPBEXresItem 2 2 2 4 2" xfId="43566"/>
    <cellStyle name="SAPBEXresItem 2 2 2 5" xfId="15306"/>
    <cellStyle name="SAPBEXresItem 2 2 2 5 2" xfId="36182"/>
    <cellStyle name="SAPBEXresItem 2 2 2 6" xfId="27444"/>
    <cellStyle name="SAPBEXresItem 2 2 3" xfId="22061"/>
    <cellStyle name="SAPBEXresItem 2 2 3 2" xfId="42936"/>
    <cellStyle name="SAPBEXresItem 2 2 4" xfId="22767"/>
    <cellStyle name="SAPBEXresItem 2 2 4 2" xfId="43642"/>
    <cellStyle name="SAPBEXresItem 2 2 5" xfId="22821"/>
    <cellStyle name="SAPBEXresItem 2 2 5 2" xfId="43696"/>
    <cellStyle name="SAPBEXresItem 2 2 6" xfId="13488"/>
    <cellStyle name="SAPBEXresItem 2 2 6 2" xfId="34364"/>
    <cellStyle name="SAPBEXresItem 2 2 7" xfId="25626"/>
    <cellStyle name="SAPBEXresItem 2 3" xfId="8431"/>
    <cellStyle name="SAPBEXresItem 2 3 2" xfId="23120"/>
    <cellStyle name="SAPBEXresItem 2 3 2 2" xfId="43993"/>
    <cellStyle name="SAPBEXresItem 2 3 3" xfId="21921"/>
    <cellStyle name="SAPBEXresItem 2 3 3 2" xfId="42796"/>
    <cellStyle name="SAPBEXresItem 2 3 4" xfId="21605"/>
    <cellStyle name="SAPBEXresItem 2 3 4 2" xfId="42480"/>
    <cellStyle name="SAPBEXresItem 2 3 5" xfId="17436"/>
    <cellStyle name="SAPBEXresItem 2 3 5 2" xfId="38312"/>
    <cellStyle name="SAPBEXresItem 2 3 6" xfId="29574"/>
    <cellStyle name="SAPBEXresItem 2 4" xfId="10311"/>
    <cellStyle name="SAPBEXresItem 2 4 2" xfId="23596"/>
    <cellStyle name="SAPBEXresItem 2 4 2 2" xfId="44468"/>
    <cellStyle name="SAPBEXresItem 2 4 3" xfId="23691"/>
    <cellStyle name="SAPBEXresItem 2 4 3 2" xfId="44563"/>
    <cellStyle name="SAPBEXresItem 2 4 4" xfId="22894"/>
    <cellStyle name="SAPBEXresItem 2 4 4 2" xfId="43768"/>
    <cellStyle name="SAPBEXresItem 2 4 5" xfId="19082"/>
    <cellStyle name="SAPBEXresItem 2 4 5 2" xfId="39958"/>
    <cellStyle name="SAPBEXresItem 2 4 6" xfId="31222"/>
    <cellStyle name="SAPBEXresItem 2 5" xfId="20933"/>
    <cellStyle name="SAPBEXresItem 2 5 2" xfId="41808"/>
    <cellStyle name="SAPBEXresItem 2 6" xfId="21207"/>
    <cellStyle name="SAPBEXresItem 2 6 2" xfId="42082"/>
    <cellStyle name="SAPBEXresItem 2 7" xfId="23321"/>
    <cellStyle name="SAPBEXresItem 2 7 2" xfId="44193"/>
    <cellStyle name="SAPBEXresItem 2 8" xfId="12168"/>
    <cellStyle name="SAPBEXresItem 2 8 2" xfId="33068"/>
    <cellStyle name="SAPBEXresItem 2 9" xfId="24212"/>
    <cellStyle name="SAPBEXresItem 2 9 2" xfId="45080"/>
    <cellStyle name="SAPBEXresItem 3" xfId="2828"/>
    <cellStyle name="SAPBEXresItem 3 2" xfId="4456"/>
    <cellStyle name="SAPBEXresItem 3 2 2" xfId="6298"/>
    <cellStyle name="SAPBEXresItem 3 2 2 2" xfId="22603"/>
    <cellStyle name="SAPBEXresItem 3 2 2 2 2" xfId="43478"/>
    <cellStyle name="SAPBEXresItem 3 2 2 3" xfId="21762"/>
    <cellStyle name="SAPBEXresItem 3 2 2 3 2" xfId="42637"/>
    <cellStyle name="SAPBEXresItem 3 2 2 4" xfId="22889"/>
    <cellStyle name="SAPBEXresItem 3 2 2 4 2" xfId="43763"/>
    <cellStyle name="SAPBEXresItem 3 2 2 5" xfId="15307"/>
    <cellStyle name="SAPBEXresItem 3 2 2 5 2" xfId="36183"/>
    <cellStyle name="SAPBEXresItem 3 2 2 6" xfId="27445"/>
    <cellStyle name="SAPBEXresItem 3 2 3" xfId="22062"/>
    <cellStyle name="SAPBEXresItem 3 2 3 2" xfId="42937"/>
    <cellStyle name="SAPBEXresItem 3 2 4" xfId="22647"/>
    <cellStyle name="SAPBEXresItem 3 2 4 2" xfId="43522"/>
    <cellStyle name="SAPBEXresItem 3 2 5" xfId="22434"/>
    <cellStyle name="SAPBEXresItem 3 2 5 2" xfId="43309"/>
    <cellStyle name="SAPBEXresItem 3 2 6" xfId="13489"/>
    <cellStyle name="SAPBEXresItem 3 2 6 2" xfId="34365"/>
    <cellStyle name="SAPBEXresItem 3 2 7" xfId="25627"/>
    <cellStyle name="SAPBEXresItem 3 3" xfId="8432"/>
    <cellStyle name="SAPBEXresItem 3 3 2" xfId="23121"/>
    <cellStyle name="SAPBEXresItem 3 3 2 2" xfId="43994"/>
    <cellStyle name="SAPBEXresItem 3 3 3" xfId="21776"/>
    <cellStyle name="SAPBEXresItem 3 3 3 2" xfId="42651"/>
    <cellStyle name="SAPBEXresItem 3 3 4" xfId="23793"/>
    <cellStyle name="SAPBEXresItem 3 3 4 2" xfId="44665"/>
    <cellStyle name="SAPBEXresItem 3 3 5" xfId="17437"/>
    <cellStyle name="SAPBEXresItem 3 3 5 2" xfId="38313"/>
    <cellStyle name="SAPBEXresItem 3 3 6" xfId="29575"/>
    <cellStyle name="SAPBEXresItem 3 4" xfId="10312"/>
    <cellStyle name="SAPBEXresItem 3 4 2" xfId="23597"/>
    <cellStyle name="SAPBEXresItem 3 4 2 2" xfId="44469"/>
    <cellStyle name="SAPBEXresItem 3 4 3" xfId="23851"/>
    <cellStyle name="SAPBEXresItem 3 4 3 2" xfId="44723"/>
    <cellStyle name="SAPBEXresItem 3 4 4" xfId="22239"/>
    <cellStyle name="SAPBEXresItem 3 4 4 2" xfId="43114"/>
    <cellStyle name="SAPBEXresItem 3 4 5" xfId="19083"/>
    <cellStyle name="SAPBEXresItem 3 4 5 2" xfId="39959"/>
    <cellStyle name="SAPBEXresItem 3 4 6" xfId="31223"/>
    <cellStyle name="SAPBEXresItem 3 5" xfId="21561"/>
    <cellStyle name="SAPBEXresItem 3 5 2" xfId="42436"/>
    <cellStyle name="SAPBEXresItem 3 6" xfId="23881"/>
    <cellStyle name="SAPBEXresItem 3 6 2" xfId="44753"/>
    <cellStyle name="SAPBEXresItem 3 7" xfId="23742"/>
    <cellStyle name="SAPBEXresItem 3 7 2" xfId="44614"/>
    <cellStyle name="SAPBEXresItem 3 8" xfId="12323"/>
    <cellStyle name="SAPBEXresItem 3 8 2" xfId="33212"/>
    <cellStyle name="SAPBEXresItem 3 9" xfId="24456"/>
    <cellStyle name="SAPBEXresItem 4" xfId="2829"/>
    <cellStyle name="SAPBEXresItem 4 2" xfId="4457"/>
    <cellStyle name="SAPBEXresItem 4 2 2" xfId="6299"/>
    <cellStyle name="SAPBEXresItem 4 2 2 2" xfId="22604"/>
    <cellStyle name="SAPBEXresItem 4 2 2 2 2" xfId="43479"/>
    <cellStyle name="SAPBEXresItem 4 2 2 3" xfId="23194"/>
    <cellStyle name="SAPBEXresItem 4 2 2 3 2" xfId="44067"/>
    <cellStyle name="SAPBEXresItem 4 2 2 4" xfId="23966"/>
    <cellStyle name="SAPBEXresItem 4 2 2 4 2" xfId="44838"/>
    <cellStyle name="SAPBEXresItem 4 2 2 5" xfId="15308"/>
    <cellStyle name="SAPBEXresItem 4 2 2 5 2" xfId="36184"/>
    <cellStyle name="SAPBEXresItem 4 2 2 6" xfId="27446"/>
    <cellStyle name="SAPBEXresItem 4 2 3" xfId="22063"/>
    <cellStyle name="SAPBEXresItem 4 2 3 2" xfId="42938"/>
    <cellStyle name="SAPBEXresItem 4 2 4" xfId="21696"/>
    <cellStyle name="SAPBEXresItem 4 2 4 2" xfId="42571"/>
    <cellStyle name="SAPBEXresItem 4 2 5" xfId="22336"/>
    <cellStyle name="SAPBEXresItem 4 2 5 2" xfId="43211"/>
    <cellStyle name="SAPBEXresItem 4 2 6" xfId="13490"/>
    <cellStyle name="SAPBEXresItem 4 2 6 2" xfId="34366"/>
    <cellStyle name="SAPBEXresItem 4 2 7" xfId="25628"/>
    <cellStyle name="SAPBEXresItem 4 3" xfId="8433"/>
    <cellStyle name="SAPBEXresItem 4 3 2" xfId="23122"/>
    <cellStyle name="SAPBEXresItem 4 3 2 2" xfId="43995"/>
    <cellStyle name="SAPBEXresItem 4 3 3" xfId="23866"/>
    <cellStyle name="SAPBEXresItem 4 3 3 2" xfId="44738"/>
    <cellStyle name="SAPBEXresItem 4 3 4" xfId="21831"/>
    <cellStyle name="SAPBEXresItem 4 3 4 2" xfId="42706"/>
    <cellStyle name="SAPBEXresItem 4 3 5" xfId="17438"/>
    <cellStyle name="SAPBEXresItem 4 3 5 2" xfId="38314"/>
    <cellStyle name="SAPBEXresItem 4 3 6" xfId="29576"/>
    <cellStyle name="SAPBEXresItem 4 4" xfId="10313"/>
    <cellStyle name="SAPBEXresItem 4 4 2" xfId="23598"/>
    <cellStyle name="SAPBEXresItem 4 4 2 2" xfId="44470"/>
    <cellStyle name="SAPBEXresItem 4 4 3" xfId="21759"/>
    <cellStyle name="SAPBEXresItem 4 4 3 2" xfId="42634"/>
    <cellStyle name="SAPBEXresItem 4 4 4" xfId="21818"/>
    <cellStyle name="SAPBEXresItem 4 4 4 2" xfId="42693"/>
    <cellStyle name="SAPBEXresItem 4 4 5" xfId="19084"/>
    <cellStyle name="SAPBEXresItem 4 4 5 2" xfId="39960"/>
    <cellStyle name="SAPBEXresItem 4 4 6" xfId="31224"/>
    <cellStyle name="SAPBEXresItem 4 5" xfId="21562"/>
    <cellStyle name="SAPBEXresItem 4 5 2" xfId="42437"/>
    <cellStyle name="SAPBEXresItem 4 6" xfId="21330"/>
    <cellStyle name="SAPBEXresItem 4 6 2" xfId="42205"/>
    <cellStyle name="SAPBEXresItem 4 7" xfId="22344"/>
    <cellStyle name="SAPBEXresItem 4 7 2" xfId="43219"/>
    <cellStyle name="SAPBEXresItem 4 8" xfId="12324"/>
    <cellStyle name="SAPBEXresItem 4 8 2" xfId="33213"/>
    <cellStyle name="SAPBEXresItem 4 9" xfId="24457"/>
    <cellStyle name="SAPBEXresItem 5" xfId="2830"/>
    <cellStyle name="SAPBEXresItem 5 2" xfId="4458"/>
    <cellStyle name="SAPBEXresItem 5 2 2" xfId="6300"/>
    <cellStyle name="SAPBEXresItem 5 2 2 2" xfId="22605"/>
    <cellStyle name="SAPBEXresItem 5 2 2 2 2" xfId="43480"/>
    <cellStyle name="SAPBEXresItem 5 2 2 3" xfId="23293"/>
    <cellStyle name="SAPBEXresItem 5 2 2 3 2" xfId="44165"/>
    <cellStyle name="SAPBEXresItem 5 2 2 4" xfId="21259"/>
    <cellStyle name="SAPBEXresItem 5 2 2 4 2" xfId="42134"/>
    <cellStyle name="SAPBEXresItem 5 2 2 5" xfId="15309"/>
    <cellStyle name="SAPBEXresItem 5 2 2 5 2" xfId="36185"/>
    <cellStyle name="SAPBEXresItem 5 2 2 6" xfId="27447"/>
    <cellStyle name="SAPBEXresItem 5 2 3" xfId="22064"/>
    <cellStyle name="SAPBEXresItem 5 2 3 2" xfId="42939"/>
    <cellStyle name="SAPBEXresItem 5 2 4" xfId="22851"/>
    <cellStyle name="SAPBEXresItem 5 2 4 2" xfId="43726"/>
    <cellStyle name="SAPBEXresItem 5 2 5" xfId="21369"/>
    <cellStyle name="SAPBEXresItem 5 2 5 2" xfId="42244"/>
    <cellStyle name="SAPBEXresItem 5 2 6" xfId="13491"/>
    <cellStyle name="SAPBEXresItem 5 2 6 2" xfId="34367"/>
    <cellStyle name="SAPBEXresItem 5 2 7" xfId="25629"/>
    <cellStyle name="SAPBEXresItem 5 3" xfId="8434"/>
    <cellStyle name="SAPBEXresItem 5 3 2" xfId="23123"/>
    <cellStyle name="SAPBEXresItem 5 3 2 2" xfId="43996"/>
    <cellStyle name="SAPBEXresItem 5 3 3" xfId="22334"/>
    <cellStyle name="SAPBEXresItem 5 3 3 2" xfId="43209"/>
    <cellStyle name="SAPBEXresItem 5 3 4" xfId="22095"/>
    <cellStyle name="SAPBEXresItem 5 3 4 2" xfId="42970"/>
    <cellStyle name="SAPBEXresItem 5 3 5" xfId="17439"/>
    <cellStyle name="SAPBEXresItem 5 3 5 2" xfId="38315"/>
    <cellStyle name="SAPBEXresItem 5 3 6" xfId="29577"/>
    <cellStyle name="SAPBEXresItem 5 4" xfId="10314"/>
    <cellStyle name="SAPBEXresItem 5 4 2" xfId="23599"/>
    <cellStyle name="SAPBEXresItem 5 4 2 2" xfId="44471"/>
    <cellStyle name="SAPBEXresItem 5 4 3" xfId="22388"/>
    <cellStyle name="SAPBEXresItem 5 4 3 2" xfId="43263"/>
    <cellStyle name="SAPBEXresItem 5 4 4" xfId="22096"/>
    <cellStyle name="SAPBEXresItem 5 4 4 2" xfId="42971"/>
    <cellStyle name="SAPBEXresItem 5 4 5" xfId="19085"/>
    <cellStyle name="SAPBEXresItem 5 4 5 2" xfId="39961"/>
    <cellStyle name="SAPBEXresItem 5 4 6" xfId="31225"/>
    <cellStyle name="SAPBEXresItem 5 5" xfId="21563"/>
    <cellStyle name="SAPBEXresItem 5 5 2" xfId="42438"/>
    <cellStyle name="SAPBEXresItem 5 6" xfId="21104"/>
    <cellStyle name="SAPBEXresItem 5 6 2" xfId="41979"/>
    <cellStyle name="SAPBEXresItem 5 7" xfId="21435"/>
    <cellStyle name="SAPBEXresItem 5 7 2" xfId="42310"/>
    <cellStyle name="SAPBEXresItem 5 8" xfId="12325"/>
    <cellStyle name="SAPBEXresItem 5 8 2" xfId="33214"/>
    <cellStyle name="SAPBEXresItem 5 9" xfId="24458"/>
    <cellStyle name="SAPBEXresItem 6" xfId="3836"/>
    <cellStyle name="SAPBEXresItem 6 2" xfId="6065"/>
    <cellStyle name="SAPBEXresItem 6 2 2" xfId="22424"/>
    <cellStyle name="SAPBEXresItem 6 2 2 2" xfId="43299"/>
    <cellStyle name="SAPBEXresItem 6 2 3" xfId="22145"/>
    <cellStyle name="SAPBEXresItem 6 2 3 2" xfId="43020"/>
    <cellStyle name="SAPBEXresItem 6 2 4" xfId="22173"/>
    <cellStyle name="SAPBEXresItem 6 2 4 2" xfId="43048"/>
    <cellStyle name="SAPBEXresItem 6 2 5" xfId="15074"/>
    <cellStyle name="SAPBEXresItem 6 2 5 2" xfId="35950"/>
    <cellStyle name="SAPBEXresItem 6 2 6" xfId="27212"/>
    <cellStyle name="SAPBEXresItem 6 3" xfId="21810"/>
    <cellStyle name="SAPBEXresItem 6 3 2" xfId="42685"/>
    <cellStyle name="SAPBEXresItem 6 4" xfId="21086"/>
    <cellStyle name="SAPBEXresItem 6 4 2" xfId="41961"/>
    <cellStyle name="SAPBEXresItem 6 5" xfId="22376"/>
    <cellStyle name="SAPBEXresItem 6 5 2" xfId="43251"/>
    <cellStyle name="SAPBEXresItem 6 6" xfId="13256"/>
    <cellStyle name="SAPBEXresItem 6 6 2" xfId="34132"/>
    <cellStyle name="SAPBEXresItem 6 7" xfId="25394"/>
    <cellStyle name="SAPBEXresItem 7" xfId="8430"/>
    <cellStyle name="SAPBEXresItem 7 2" xfId="23119"/>
    <cellStyle name="SAPBEXresItem 7 2 2" xfId="43992"/>
    <cellStyle name="SAPBEXresItem 7 3" xfId="23221"/>
    <cellStyle name="SAPBEXresItem 7 3 2" xfId="44094"/>
    <cellStyle name="SAPBEXresItem 7 4" xfId="22887"/>
    <cellStyle name="SAPBEXresItem 7 4 2" xfId="43761"/>
    <cellStyle name="SAPBEXresItem 7 5" xfId="17435"/>
    <cellStyle name="SAPBEXresItem 7 5 2" xfId="38311"/>
    <cellStyle name="SAPBEXresItem 7 6" xfId="29573"/>
    <cellStyle name="SAPBEXresItem 8" xfId="10310"/>
    <cellStyle name="SAPBEXresItem 8 2" xfId="23595"/>
    <cellStyle name="SAPBEXresItem 8 2 2" xfId="44467"/>
    <cellStyle name="SAPBEXresItem 8 3" xfId="21672"/>
    <cellStyle name="SAPBEXresItem 8 3 2" xfId="42547"/>
    <cellStyle name="SAPBEXresItem 8 4" xfId="24045"/>
    <cellStyle name="SAPBEXresItem 8 4 2" xfId="44917"/>
    <cellStyle name="SAPBEXresItem 8 5" xfId="19081"/>
    <cellStyle name="SAPBEXresItem 8 5 2" xfId="39957"/>
    <cellStyle name="SAPBEXresItem 8 6" xfId="31221"/>
    <cellStyle name="SAPBEXresItem 9" xfId="20932"/>
    <cellStyle name="SAPBEXresItem 9 2" xfId="41807"/>
    <cellStyle name="SAPBEXresItemX" xfId="1172"/>
    <cellStyle name="SAPBEXresItemX 10" xfId="21139"/>
    <cellStyle name="SAPBEXresItemX 10 2" xfId="42014"/>
    <cellStyle name="SAPBEXresItemX 11" xfId="21000"/>
    <cellStyle name="SAPBEXresItemX 11 2" xfId="41875"/>
    <cellStyle name="SAPBEXresItemX 12" xfId="12169"/>
    <cellStyle name="SAPBEXresItemX 12 2" xfId="33069"/>
    <cellStyle name="SAPBEXresItemX 13" xfId="24139"/>
    <cellStyle name="SAPBEXresItemX 13 2" xfId="45009"/>
    <cellStyle name="SAPBEXresItemX 14" xfId="24278"/>
    <cellStyle name="SAPBEXresItemX 14 2" xfId="45139"/>
    <cellStyle name="SAPBEXresItemX 2" xfId="2831"/>
    <cellStyle name="SAPBEXresItemX 2 10" xfId="24459"/>
    <cellStyle name="SAPBEXresItemX 2 2" xfId="4460"/>
    <cellStyle name="SAPBEXresItemX 2 2 2" xfId="6301"/>
    <cellStyle name="SAPBEXresItemX 2 2 2 2" xfId="22606"/>
    <cellStyle name="SAPBEXresItemX 2 2 2 2 2" xfId="43481"/>
    <cellStyle name="SAPBEXresItemX 2 2 2 3" xfId="22274"/>
    <cellStyle name="SAPBEXresItemX 2 2 2 3 2" xfId="43149"/>
    <cellStyle name="SAPBEXresItemX 2 2 2 4" xfId="21341"/>
    <cellStyle name="SAPBEXresItemX 2 2 2 4 2" xfId="42216"/>
    <cellStyle name="SAPBEXresItemX 2 2 2 5" xfId="15310"/>
    <cellStyle name="SAPBEXresItemX 2 2 2 5 2" xfId="36186"/>
    <cellStyle name="SAPBEXresItemX 2 2 2 6" xfId="27448"/>
    <cellStyle name="SAPBEXresItemX 2 2 3" xfId="22065"/>
    <cellStyle name="SAPBEXresItemX 2 2 3 2" xfId="42940"/>
    <cellStyle name="SAPBEXresItemX 2 2 4" xfId="22856"/>
    <cellStyle name="SAPBEXresItemX 2 2 4 2" xfId="43731"/>
    <cellStyle name="SAPBEXresItemX 2 2 5" xfId="21897"/>
    <cellStyle name="SAPBEXresItemX 2 2 5 2" xfId="42772"/>
    <cellStyle name="SAPBEXresItemX 2 2 6" xfId="13492"/>
    <cellStyle name="SAPBEXresItemX 2 2 6 2" xfId="34368"/>
    <cellStyle name="SAPBEXresItemX 2 2 7" xfId="25630"/>
    <cellStyle name="SAPBEXresItemX 2 3" xfId="8436"/>
    <cellStyle name="SAPBEXresItemX 2 3 2" xfId="23125"/>
    <cellStyle name="SAPBEXresItemX 2 3 2 2" xfId="43998"/>
    <cellStyle name="SAPBEXresItemX 2 3 3" xfId="21920"/>
    <cellStyle name="SAPBEXresItemX 2 3 3 2" xfId="42795"/>
    <cellStyle name="SAPBEXresItemX 2 3 4" xfId="23772"/>
    <cellStyle name="SAPBEXresItemX 2 3 4 2" xfId="44644"/>
    <cellStyle name="SAPBEXresItemX 2 3 5" xfId="17441"/>
    <cellStyle name="SAPBEXresItemX 2 3 5 2" xfId="38317"/>
    <cellStyle name="SAPBEXresItemX 2 3 6" xfId="29579"/>
    <cellStyle name="SAPBEXresItemX 2 4" xfId="10316"/>
    <cellStyle name="SAPBEXresItemX 2 4 2" xfId="23601"/>
    <cellStyle name="SAPBEXresItemX 2 4 2 2" xfId="44473"/>
    <cellStyle name="SAPBEXresItemX 2 4 3" xfId="22297"/>
    <cellStyle name="SAPBEXresItemX 2 4 3 2" xfId="43172"/>
    <cellStyle name="SAPBEXresItemX 2 4 4" xfId="23870"/>
    <cellStyle name="SAPBEXresItemX 2 4 4 2" xfId="44742"/>
    <cellStyle name="SAPBEXresItemX 2 4 5" xfId="19087"/>
    <cellStyle name="SAPBEXresItemX 2 4 5 2" xfId="39963"/>
    <cellStyle name="SAPBEXresItemX 2 4 6" xfId="31227"/>
    <cellStyle name="SAPBEXresItemX 2 5" xfId="20935"/>
    <cellStyle name="SAPBEXresItemX 2 5 2" xfId="41810"/>
    <cellStyle name="SAPBEXresItemX 2 6" xfId="22270"/>
    <cellStyle name="SAPBEXresItemX 2 6 2" xfId="43145"/>
    <cellStyle name="SAPBEXresItemX 2 7" xfId="21356"/>
    <cellStyle name="SAPBEXresItemX 2 7 2" xfId="42231"/>
    <cellStyle name="SAPBEXresItemX 2 8" xfId="12170"/>
    <cellStyle name="SAPBEXresItemX 2 8 2" xfId="33070"/>
    <cellStyle name="SAPBEXresItemX 2 9" xfId="24213"/>
    <cellStyle name="SAPBEXresItemX 2 9 2" xfId="45081"/>
    <cellStyle name="SAPBEXresItemX 3" xfId="2832"/>
    <cellStyle name="SAPBEXresItemX 3 2" xfId="4461"/>
    <cellStyle name="SAPBEXresItemX 3 2 2" xfId="6302"/>
    <cellStyle name="SAPBEXresItemX 3 2 2 2" xfId="22607"/>
    <cellStyle name="SAPBEXresItemX 3 2 2 2 2" xfId="43482"/>
    <cellStyle name="SAPBEXresItemX 3 2 2 3" xfId="22105"/>
    <cellStyle name="SAPBEXresItemX 3 2 2 3 2" xfId="42980"/>
    <cellStyle name="SAPBEXresItemX 3 2 2 4" xfId="21744"/>
    <cellStyle name="SAPBEXresItemX 3 2 2 4 2" xfId="42619"/>
    <cellStyle name="SAPBEXresItemX 3 2 2 5" xfId="15311"/>
    <cellStyle name="SAPBEXresItemX 3 2 2 5 2" xfId="36187"/>
    <cellStyle name="SAPBEXresItemX 3 2 2 6" xfId="27449"/>
    <cellStyle name="SAPBEXresItemX 3 2 3" xfId="22066"/>
    <cellStyle name="SAPBEXresItemX 3 2 3 2" xfId="42941"/>
    <cellStyle name="SAPBEXresItemX 3 2 4" xfId="21338"/>
    <cellStyle name="SAPBEXresItemX 3 2 4 2" xfId="42213"/>
    <cellStyle name="SAPBEXresItemX 3 2 5" xfId="21466"/>
    <cellStyle name="SAPBEXresItemX 3 2 5 2" xfId="42341"/>
    <cellStyle name="SAPBEXresItemX 3 2 6" xfId="13493"/>
    <cellStyle name="SAPBEXresItemX 3 2 6 2" xfId="34369"/>
    <cellStyle name="SAPBEXresItemX 3 2 7" xfId="25631"/>
    <cellStyle name="SAPBEXresItemX 3 3" xfId="8437"/>
    <cellStyle name="SAPBEXresItemX 3 3 2" xfId="23126"/>
    <cellStyle name="SAPBEXresItemX 3 3 2 2" xfId="43999"/>
    <cellStyle name="SAPBEXresItemX 3 3 3" xfId="21883"/>
    <cellStyle name="SAPBEXresItemX 3 3 3 2" xfId="42758"/>
    <cellStyle name="SAPBEXresItemX 3 3 4" xfId="21138"/>
    <cellStyle name="SAPBEXresItemX 3 3 4 2" xfId="42013"/>
    <cellStyle name="SAPBEXresItemX 3 3 5" xfId="17442"/>
    <cellStyle name="SAPBEXresItemX 3 3 5 2" xfId="38318"/>
    <cellStyle name="SAPBEXresItemX 3 3 6" xfId="29580"/>
    <cellStyle name="SAPBEXresItemX 3 4" xfId="10317"/>
    <cellStyle name="SAPBEXresItemX 3 4 2" xfId="23602"/>
    <cellStyle name="SAPBEXresItemX 3 4 2 2" xfId="44474"/>
    <cellStyle name="SAPBEXresItemX 3 4 3" xfId="22694"/>
    <cellStyle name="SAPBEXresItemX 3 4 3 2" xfId="43569"/>
    <cellStyle name="SAPBEXresItemX 3 4 4" xfId="21844"/>
    <cellStyle name="SAPBEXresItemX 3 4 4 2" xfId="42719"/>
    <cellStyle name="SAPBEXresItemX 3 4 5" xfId="19088"/>
    <cellStyle name="SAPBEXresItemX 3 4 5 2" xfId="39964"/>
    <cellStyle name="SAPBEXresItemX 3 4 6" xfId="31228"/>
    <cellStyle name="SAPBEXresItemX 3 5" xfId="21564"/>
    <cellStyle name="SAPBEXresItemX 3 5 2" xfId="42439"/>
    <cellStyle name="SAPBEXresItemX 3 6" xfId="23774"/>
    <cellStyle name="SAPBEXresItemX 3 6 2" xfId="44646"/>
    <cellStyle name="SAPBEXresItemX 3 7" xfId="21171"/>
    <cellStyle name="SAPBEXresItemX 3 7 2" xfId="42046"/>
    <cellStyle name="SAPBEXresItemX 3 8" xfId="12326"/>
    <cellStyle name="SAPBEXresItemX 3 8 2" xfId="33215"/>
    <cellStyle name="SAPBEXresItemX 3 9" xfId="24460"/>
    <cellStyle name="SAPBEXresItemX 4" xfId="2833"/>
    <cellStyle name="SAPBEXresItemX 4 2" xfId="4462"/>
    <cellStyle name="SAPBEXresItemX 4 2 2" xfId="6303"/>
    <cellStyle name="SAPBEXresItemX 4 2 2 2" xfId="22608"/>
    <cellStyle name="SAPBEXresItemX 4 2 2 2 2" xfId="43483"/>
    <cellStyle name="SAPBEXresItemX 4 2 2 3" xfId="23674"/>
    <cellStyle name="SAPBEXresItemX 4 2 2 3 2" xfId="44546"/>
    <cellStyle name="SAPBEXresItemX 4 2 2 4" xfId="24019"/>
    <cellStyle name="SAPBEXresItemX 4 2 2 4 2" xfId="44891"/>
    <cellStyle name="SAPBEXresItemX 4 2 2 5" xfId="15312"/>
    <cellStyle name="SAPBEXresItemX 4 2 2 5 2" xfId="36188"/>
    <cellStyle name="SAPBEXresItemX 4 2 2 6" xfId="27450"/>
    <cellStyle name="SAPBEXresItemX 4 2 3" xfId="22067"/>
    <cellStyle name="SAPBEXresItemX 4 2 3 2" xfId="42942"/>
    <cellStyle name="SAPBEXresItemX 4 2 4" xfId="21423"/>
    <cellStyle name="SAPBEXresItemX 4 2 4 2" xfId="42298"/>
    <cellStyle name="SAPBEXresItemX 4 2 5" xfId="23751"/>
    <cellStyle name="SAPBEXresItemX 4 2 5 2" xfId="44623"/>
    <cellStyle name="SAPBEXresItemX 4 2 6" xfId="13494"/>
    <cellStyle name="SAPBEXresItemX 4 2 6 2" xfId="34370"/>
    <cellStyle name="SAPBEXresItemX 4 2 7" xfId="25632"/>
    <cellStyle name="SAPBEXresItemX 4 3" xfId="8438"/>
    <cellStyle name="SAPBEXresItemX 4 3 2" xfId="23127"/>
    <cellStyle name="SAPBEXresItemX 4 3 2 2" xfId="44000"/>
    <cellStyle name="SAPBEXresItemX 4 3 3" xfId="22100"/>
    <cellStyle name="SAPBEXresItemX 4 3 3 2" xfId="42975"/>
    <cellStyle name="SAPBEXresItemX 4 3 4" xfId="21360"/>
    <cellStyle name="SAPBEXresItemX 4 3 4 2" xfId="42235"/>
    <cellStyle name="SAPBEXresItemX 4 3 5" xfId="17443"/>
    <cellStyle name="SAPBEXresItemX 4 3 5 2" xfId="38319"/>
    <cellStyle name="SAPBEXresItemX 4 3 6" xfId="29581"/>
    <cellStyle name="SAPBEXresItemX 4 4" xfId="10318"/>
    <cellStyle name="SAPBEXresItemX 4 4 2" xfId="23603"/>
    <cellStyle name="SAPBEXresItemX 4 4 2 2" xfId="44475"/>
    <cellStyle name="SAPBEXresItemX 4 4 3" xfId="22784"/>
    <cellStyle name="SAPBEXresItemX 4 4 3 2" xfId="43659"/>
    <cellStyle name="SAPBEXresItemX 4 4 4" xfId="23305"/>
    <cellStyle name="SAPBEXresItemX 4 4 4 2" xfId="44177"/>
    <cellStyle name="SAPBEXresItemX 4 4 5" xfId="19089"/>
    <cellStyle name="SAPBEXresItemX 4 4 5 2" xfId="39965"/>
    <cellStyle name="SAPBEXresItemX 4 4 6" xfId="31229"/>
    <cellStyle name="SAPBEXresItemX 4 5" xfId="21565"/>
    <cellStyle name="SAPBEXresItemX 4 5 2" xfId="42440"/>
    <cellStyle name="SAPBEXresItemX 4 6" xfId="21840"/>
    <cellStyle name="SAPBEXresItemX 4 6 2" xfId="42715"/>
    <cellStyle name="SAPBEXresItemX 4 7" xfId="21354"/>
    <cellStyle name="SAPBEXresItemX 4 7 2" xfId="42229"/>
    <cellStyle name="SAPBEXresItemX 4 8" xfId="12327"/>
    <cellStyle name="SAPBEXresItemX 4 8 2" xfId="33216"/>
    <cellStyle name="SAPBEXresItemX 4 9" xfId="24461"/>
    <cellStyle name="SAPBEXresItemX 5" xfId="2834"/>
    <cellStyle name="SAPBEXresItemX 5 2" xfId="4463"/>
    <cellStyle name="SAPBEXresItemX 5 2 2" xfId="6304"/>
    <cellStyle name="SAPBEXresItemX 5 2 2 2" xfId="22609"/>
    <cellStyle name="SAPBEXresItemX 5 2 2 2 2" xfId="43484"/>
    <cellStyle name="SAPBEXresItemX 5 2 2 3" xfId="22745"/>
    <cellStyle name="SAPBEXresItemX 5 2 2 3 2" xfId="43620"/>
    <cellStyle name="SAPBEXresItemX 5 2 2 4" xfId="21879"/>
    <cellStyle name="SAPBEXresItemX 5 2 2 4 2" xfId="42754"/>
    <cellStyle name="SAPBEXresItemX 5 2 2 5" xfId="15313"/>
    <cellStyle name="SAPBEXresItemX 5 2 2 5 2" xfId="36189"/>
    <cellStyle name="SAPBEXresItemX 5 2 2 6" xfId="27451"/>
    <cellStyle name="SAPBEXresItemX 5 2 3" xfId="22068"/>
    <cellStyle name="SAPBEXresItemX 5 2 3 2" xfId="42943"/>
    <cellStyle name="SAPBEXresItemX 5 2 4" xfId="23695"/>
    <cellStyle name="SAPBEXresItemX 5 2 4 2" xfId="44567"/>
    <cellStyle name="SAPBEXresItemX 5 2 5" xfId="21318"/>
    <cellStyle name="SAPBEXresItemX 5 2 5 2" xfId="42193"/>
    <cellStyle name="SAPBEXresItemX 5 2 6" xfId="13495"/>
    <cellStyle name="SAPBEXresItemX 5 2 6 2" xfId="34371"/>
    <cellStyle name="SAPBEXresItemX 5 2 7" xfId="25633"/>
    <cellStyle name="SAPBEXresItemX 5 3" xfId="8439"/>
    <cellStyle name="SAPBEXresItemX 5 3 2" xfId="23128"/>
    <cellStyle name="SAPBEXresItemX 5 3 2 2" xfId="44001"/>
    <cellStyle name="SAPBEXresItemX 5 3 3" xfId="22808"/>
    <cellStyle name="SAPBEXresItemX 5 3 3 2" xfId="43683"/>
    <cellStyle name="SAPBEXresItemX 5 3 4" xfId="21265"/>
    <cellStyle name="SAPBEXresItemX 5 3 4 2" xfId="42140"/>
    <cellStyle name="SAPBEXresItemX 5 3 5" xfId="17444"/>
    <cellStyle name="SAPBEXresItemX 5 3 5 2" xfId="38320"/>
    <cellStyle name="SAPBEXresItemX 5 3 6" xfId="29582"/>
    <cellStyle name="SAPBEXresItemX 5 4" xfId="10319"/>
    <cellStyle name="SAPBEXresItemX 5 4 2" xfId="23604"/>
    <cellStyle name="SAPBEXresItemX 5 4 2 2" xfId="44476"/>
    <cellStyle name="SAPBEXresItemX 5 4 3" xfId="22902"/>
    <cellStyle name="SAPBEXresItemX 5 4 3 2" xfId="43776"/>
    <cellStyle name="SAPBEXresItemX 5 4 4" xfId="22870"/>
    <cellStyle name="SAPBEXresItemX 5 4 4 2" xfId="43744"/>
    <cellStyle name="SAPBEXresItemX 5 4 5" xfId="19090"/>
    <cellStyle name="SAPBEXresItemX 5 4 5 2" xfId="39966"/>
    <cellStyle name="SAPBEXresItemX 5 4 6" xfId="31230"/>
    <cellStyle name="SAPBEXresItemX 5 5" xfId="21566"/>
    <cellStyle name="SAPBEXresItemX 5 5 2" xfId="42441"/>
    <cellStyle name="SAPBEXresItemX 5 6" xfId="24111"/>
    <cellStyle name="SAPBEXresItemX 5 6 2" xfId="44982"/>
    <cellStyle name="SAPBEXresItemX 5 7" xfId="23847"/>
    <cellStyle name="SAPBEXresItemX 5 7 2" xfId="44719"/>
    <cellStyle name="SAPBEXresItemX 5 8" xfId="12328"/>
    <cellStyle name="SAPBEXresItemX 5 8 2" xfId="33217"/>
    <cellStyle name="SAPBEXresItemX 5 9" xfId="24462"/>
    <cellStyle name="SAPBEXresItemX 6" xfId="3837"/>
    <cellStyle name="SAPBEXresItemX 6 2" xfId="6066"/>
    <cellStyle name="SAPBEXresItemX 6 2 2" xfId="22425"/>
    <cellStyle name="SAPBEXresItemX 6 2 2 2" xfId="43300"/>
    <cellStyle name="SAPBEXresItemX 6 2 3" xfId="23719"/>
    <cellStyle name="SAPBEXresItemX 6 2 3 2" xfId="44591"/>
    <cellStyle name="SAPBEXresItemX 6 2 4" xfId="21305"/>
    <cellStyle name="SAPBEXresItemX 6 2 4 2" xfId="42180"/>
    <cellStyle name="SAPBEXresItemX 6 2 5" xfId="15075"/>
    <cellStyle name="SAPBEXresItemX 6 2 5 2" xfId="35951"/>
    <cellStyle name="SAPBEXresItemX 6 2 6" xfId="27213"/>
    <cellStyle name="SAPBEXresItemX 6 3" xfId="21811"/>
    <cellStyle name="SAPBEXresItemX 6 3 2" xfId="42686"/>
    <cellStyle name="SAPBEXresItemX 6 4" xfId="23190"/>
    <cellStyle name="SAPBEXresItemX 6 4 2" xfId="44063"/>
    <cellStyle name="SAPBEXresItemX 6 5" xfId="22151"/>
    <cellStyle name="SAPBEXresItemX 6 5 2" xfId="43026"/>
    <cellStyle name="SAPBEXresItemX 6 6" xfId="13257"/>
    <cellStyle name="SAPBEXresItemX 6 6 2" xfId="34133"/>
    <cellStyle name="SAPBEXresItemX 6 7" xfId="25395"/>
    <cellStyle name="SAPBEXresItemX 7" xfId="8435"/>
    <cellStyle name="SAPBEXresItemX 7 2" xfId="23124"/>
    <cellStyle name="SAPBEXresItemX 7 2 2" xfId="43997"/>
    <cellStyle name="SAPBEXresItemX 7 3" xfId="23353"/>
    <cellStyle name="SAPBEXresItemX 7 3 2" xfId="44225"/>
    <cellStyle name="SAPBEXresItemX 7 4" xfId="22915"/>
    <cellStyle name="SAPBEXresItemX 7 4 2" xfId="43789"/>
    <cellStyle name="SAPBEXresItemX 7 5" xfId="17440"/>
    <cellStyle name="SAPBEXresItemX 7 5 2" xfId="38316"/>
    <cellStyle name="SAPBEXresItemX 7 6" xfId="29578"/>
    <cellStyle name="SAPBEXresItemX 8" xfId="10315"/>
    <cellStyle name="SAPBEXresItemX 8 2" xfId="23600"/>
    <cellStyle name="SAPBEXresItemX 8 2 2" xfId="44472"/>
    <cellStyle name="SAPBEXresItemX 8 3" xfId="22168"/>
    <cellStyle name="SAPBEXresItemX 8 3 2" xfId="43043"/>
    <cellStyle name="SAPBEXresItemX 8 4" xfId="24121"/>
    <cellStyle name="SAPBEXresItemX 8 4 2" xfId="44992"/>
    <cellStyle name="SAPBEXresItemX 8 5" xfId="19086"/>
    <cellStyle name="SAPBEXresItemX 8 5 2" xfId="39962"/>
    <cellStyle name="SAPBEXresItemX 8 6" xfId="31226"/>
    <cellStyle name="SAPBEXresItemX 9" xfId="20934"/>
    <cellStyle name="SAPBEXresItemX 9 2" xfId="41809"/>
    <cellStyle name="SAPBEXstdData" xfId="1173"/>
    <cellStyle name="SAPBEXstdData 10" xfId="23817"/>
    <cellStyle name="SAPBEXstdData 10 2" xfId="44689"/>
    <cellStyle name="SAPBEXstdData 11" xfId="24090"/>
    <cellStyle name="SAPBEXstdData 11 2" xfId="44962"/>
    <cellStyle name="SAPBEXstdData 12" xfId="12171"/>
    <cellStyle name="SAPBEXstdData 12 2" xfId="33071"/>
    <cellStyle name="SAPBEXstdData 13" xfId="24138"/>
    <cellStyle name="SAPBEXstdData 13 2" xfId="45008"/>
    <cellStyle name="SAPBEXstdData 14" xfId="24279"/>
    <cellStyle name="SAPBEXstdData 14 2" xfId="45140"/>
    <cellStyle name="SAPBEXstdData 2" xfId="2835"/>
    <cellStyle name="SAPBEXstdData 2 10" xfId="24463"/>
    <cellStyle name="SAPBEXstdData 2 2" xfId="4465"/>
    <cellStyle name="SAPBEXstdData 2 2 2" xfId="6305"/>
    <cellStyle name="SAPBEXstdData 2 2 2 2" xfId="22610"/>
    <cellStyle name="SAPBEXstdData 2 2 2 2 2" xfId="43485"/>
    <cellStyle name="SAPBEXstdData 2 2 2 3" xfId="24014"/>
    <cellStyle name="SAPBEXstdData 2 2 2 3 2" xfId="44886"/>
    <cellStyle name="SAPBEXstdData 2 2 2 4" xfId="22791"/>
    <cellStyle name="SAPBEXstdData 2 2 2 4 2" xfId="43666"/>
    <cellStyle name="SAPBEXstdData 2 2 2 5" xfId="15314"/>
    <cellStyle name="SAPBEXstdData 2 2 2 5 2" xfId="36190"/>
    <cellStyle name="SAPBEXstdData 2 2 2 6" xfId="27452"/>
    <cellStyle name="SAPBEXstdData 2 2 3" xfId="22069"/>
    <cellStyle name="SAPBEXstdData 2 2 3 2" xfId="42944"/>
    <cellStyle name="SAPBEXstdData 2 2 4" xfId="23278"/>
    <cellStyle name="SAPBEXstdData 2 2 4 2" xfId="44151"/>
    <cellStyle name="SAPBEXstdData 2 2 5" xfId="21604"/>
    <cellStyle name="SAPBEXstdData 2 2 5 2" xfId="42479"/>
    <cellStyle name="SAPBEXstdData 2 2 6" xfId="13496"/>
    <cellStyle name="SAPBEXstdData 2 2 6 2" xfId="34372"/>
    <cellStyle name="SAPBEXstdData 2 2 7" xfId="25634"/>
    <cellStyle name="SAPBEXstdData 2 3" xfId="8441"/>
    <cellStyle name="SAPBEXstdData 2 3 2" xfId="23130"/>
    <cellStyle name="SAPBEXstdData 2 3 2 2" xfId="44003"/>
    <cellStyle name="SAPBEXstdData 2 3 3" xfId="21233"/>
    <cellStyle name="SAPBEXstdData 2 3 3 2" xfId="42108"/>
    <cellStyle name="SAPBEXstdData 2 3 4" xfId="22731"/>
    <cellStyle name="SAPBEXstdData 2 3 4 2" xfId="43606"/>
    <cellStyle name="SAPBEXstdData 2 3 5" xfId="17446"/>
    <cellStyle name="SAPBEXstdData 2 3 5 2" xfId="38322"/>
    <cellStyle name="SAPBEXstdData 2 3 6" xfId="29584"/>
    <cellStyle name="SAPBEXstdData 2 4" xfId="10321"/>
    <cellStyle name="SAPBEXstdData 2 4 2" xfId="23606"/>
    <cellStyle name="SAPBEXstdData 2 4 2 2" xfId="44478"/>
    <cellStyle name="SAPBEXstdData 2 4 3" xfId="23357"/>
    <cellStyle name="SAPBEXstdData 2 4 3 2" xfId="44229"/>
    <cellStyle name="SAPBEXstdData 2 4 4" xfId="21320"/>
    <cellStyle name="SAPBEXstdData 2 4 4 2" xfId="42195"/>
    <cellStyle name="SAPBEXstdData 2 4 5" xfId="19092"/>
    <cellStyle name="SAPBEXstdData 2 4 5 2" xfId="39968"/>
    <cellStyle name="SAPBEXstdData 2 4 6" xfId="31232"/>
    <cellStyle name="SAPBEXstdData 2 5" xfId="20937"/>
    <cellStyle name="SAPBEXstdData 2 5 2" xfId="41812"/>
    <cellStyle name="SAPBEXstdData 2 6" xfId="23947"/>
    <cellStyle name="SAPBEXstdData 2 6 2" xfId="44819"/>
    <cellStyle name="SAPBEXstdData 2 7" xfId="22754"/>
    <cellStyle name="SAPBEXstdData 2 7 2" xfId="43629"/>
    <cellStyle name="SAPBEXstdData 2 8" xfId="12172"/>
    <cellStyle name="SAPBEXstdData 2 8 2" xfId="33072"/>
    <cellStyle name="SAPBEXstdData 2 9" xfId="24214"/>
    <cellStyle name="SAPBEXstdData 2 9 2" xfId="45082"/>
    <cellStyle name="SAPBEXstdData 3" xfId="2836"/>
    <cellStyle name="SAPBEXstdData 3 2" xfId="4466"/>
    <cellStyle name="SAPBEXstdData 3 2 2" xfId="6306"/>
    <cellStyle name="SAPBEXstdData 3 2 2 2" xfId="22611"/>
    <cellStyle name="SAPBEXstdData 3 2 2 2 2" xfId="43486"/>
    <cellStyle name="SAPBEXstdData 3 2 2 3" xfId="22746"/>
    <cellStyle name="SAPBEXstdData 3 2 2 3 2" xfId="43621"/>
    <cellStyle name="SAPBEXstdData 3 2 2 4" xfId="21880"/>
    <cellStyle name="SAPBEXstdData 3 2 2 4 2" xfId="42755"/>
    <cellStyle name="SAPBEXstdData 3 2 2 5" xfId="15315"/>
    <cellStyle name="SAPBEXstdData 3 2 2 5 2" xfId="36191"/>
    <cellStyle name="SAPBEXstdData 3 2 2 6" xfId="27453"/>
    <cellStyle name="SAPBEXstdData 3 2 3" xfId="22070"/>
    <cellStyle name="SAPBEXstdData 3 2 3 2" xfId="42945"/>
    <cellStyle name="SAPBEXstdData 3 2 4" xfId="24102"/>
    <cellStyle name="SAPBEXstdData 3 2 4 2" xfId="44973"/>
    <cellStyle name="SAPBEXstdData 3 2 5" xfId="21760"/>
    <cellStyle name="SAPBEXstdData 3 2 5 2" xfId="42635"/>
    <cellStyle name="SAPBEXstdData 3 2 6" xfId="13497"/>
    <cellStyle name="SAPBEXstdData 3 2 6 2" xfId="34373"/>
    <cellStyle name="SAPBEXstdData 3 2 7" xfId="25635"/>
    <cellStyle name="SAPBEXstdData 3 3" xfId="8442"/>
    <cellStyle name="SAPBEXstdData 3 3 2" xfId="23131"/>
    <cellStyle name="SAPBEXstdData 3 3 2 2" xfId="44004"/>
    <cellStyle name="SAPBEXstdData 3 3 3" xfId="22227"/>
    <cellStyle name="SAPBEXstdData 3 3 3 2" xfId="43102"/>
    <cellStyle name="SAPBEXstdData 3 3 4" xfId="23665"/>
    <cellStyle name="SAPBEXstdData 3 3 4 2" xfId="44537"/>
    <cellStyle name="SAPBEXstdData 3 3 5" xfId="17447"/>
    <cellStyle name="SAPBEXstdData 3 3 5 2" xfId="38323"/>
    <cellStyle name="SAPBEXstdData 3 3 6" xfId="29585"/>
    <cellStyle name="SAPBEXstdData 3 4" xfId="10322"/>
    <cellStyle name="SAPBEXstdData 3 4 2" xfId="23607"/>
    <cellStyle name="SAPBEXstdData 3 4 2 2" xfId="44479"/>
    <cellStyle name="SAPBEXstdData 3 4 3" xfId="23686"/>
    <cellStyle name="SAPBEXstdData 3 4 3 2" xfId="44558"/>
    <cellStyle name="SAPBEXstdData 3 4 4" xfId="22341"/>
    <cellStyle name="SAPBEXstdData 3 4 4 2" xfId="43216"/>
    <cellStyle name="SAPBEXstdData 3 4 5" xfId="19093"/>
    <cellStyle name="SAPBEXstdData 3 4 5 2" xfId="39969"/>
    <cellStyle name="SAPBEXstdData 3 4 6" xfId="31233"/>
    <cellStyle name="SAPBEXstdData 3 5" xfId="21567"/>
    <cellStyle name="SAPBEXstdData 3 5 2" xfId="42442"/>
    <cellStyle name="SAPBEXstdData 3 6" xfId="22737"/>
    <cellStyle name="SAPBEXstdData 3 6 2" xfId="43612"/>
    <cellStyle name="SAPBEXstdData 3 7" xfId="21589"/>
    <cellStyle name="SAPBEXstdData 3 7 2" xfId="42464"/>
    <cellStyle name="SAPBEXstdData 3 8" xfId="12329"/>
    <cellStyle name="SAPBEXstdData 3 8 2" xfId="33218"/>
    <cellStyle name="SAPBEXstdData 3 9" xfId="24464"/>
    <cellStyle name="SAPBEXstdData 4" xfId="2837"/>
    <cellStyle name="SAPBEXstdData 4 2" xfId="4467"/>
    <cellStyle name="SAPBEXstdData 4 2 2" xfId="6307"/>
    <cellStyle name="SAPBEXstdData 4 2 2 2" xfId="22612"/>
    <cellStyle name="SAPBEXstdData 4 2 2 2 2" xfId="43487"/>
    <cellStyle name="SAPBEXstdData 4 2 2 3" xfId="23972"/>
    <cellStyle name="SAPBEXstdData 4 2 2 3 2" xfId="44844"/>
    <cellStyle name="SAPBEXstdData 4 2 2 4" xfId="23227"/>
    <cellStyle name="SAPBEXstdData 4 2 2 4 2" xfId="44100"/>
    <cellStyle name="SAPBEXstdData 4 2 2 5" xfId="15316"/>
    <cellStyle name="SAPBEXstdData 4 2 2 5 2" xfId="36192"/>
    <cellStyle name="SAPBEXstdData 4 2 2 6" xfId="27454"/>
    <cellStyle name="SAPBEXstdData 4 2 3" xfId="22071"/>
    <cellStyle name="SAPBEXstdData 4 2 3 2" xfId="42946"/>
    <cellStyle name="SAPBEXstdData 4 2 4" xfId="23938"/>
    <cellStyle name="SAPBEXstdData 4 2 4 2" xfId="44810"/>
    <cellStyle name="SAPBEXstdData 4 2 5" xfId="22390"/>
    <cellStyle name="SAPBEXstdData 4 2 5 2" xfId="43265"/>
    <cellStyle name="SAPBEXstdData 4 2 6" xfId="13498"/>
    <cellStyle name="SAPBEXstdData 4 2 6 2" xfId="34374"/>
    <cellStyle name="SAPBEXstdData 4 2 7" xfId="25636"/>
    <cellStyle name="SAPBEXstdData 4 3" xfId="8443"/>
    <cellStyle name="SAPBEXstdData 4 3 2" xfId="23132"/>
    <cellStyle name="SAPBEXstdData 4 3 2 2" xfId="44005"/>
    <cellStyle name="SAPBEXstdData 4 3 3" xfId="22639"/>
    <cellStyle name="SAPBEXstdData 4 3 3 2" xfId="43514"/>
    <cellStyle name="SAPBEXstdData 4 3 4" xfId="21411"/>
    <cellStyle name="SAPBEXstdData 4 3 4 2" xfId="42286"/>
    <cellStyle name="SAPBEXstdData 4 3 5" xfId="17448"/>
    <cellStyle name="SAPBEXstdData 4 3 5 2" xfId="38324"/>
    <cellStyle name="SAPBEXstdData 4 3 6" xfId="29586"/>
    <cellStyle name="SAPBEXstdData 4 4" xfId="10323"/>
    <cellStyle name="SAPBEXstdData 4 4 2" xfId="23608"/>
    <cellStyle name="SAPBEXstdData 4 4 2 2" xfId="44480"/>
    <cellStyle name="SAPBEXstdData 4 4 3" xfId="21709"/>
    <cellStyle name="SAPBEXstdData 4 4 3 2" xfId="42584"/>
    <cellStyle name="SAPBEXstdData 4 4 4" xfId="20959"/>
    <cellStyle name="SAPBEXstdData 4 4 4 2" xfId="41834"/>
    <cellStyle name="SAPBEXstdData 4 4 5" xfId="19094"/>
    <cellStyle name="SAPBEXstdData 4 4 5 2" xfId="39970"/>
    <cellStyle name="SAPBEXstdData 4 4 6" xfId="31234"/>
    <cellStyle name="SAPBEXstdData 4 5" xfId="21568"/>
    <cellStyle name="SAPBEXstdData 4 5 2" xfId="42443"/>
    <cellStyle name="SAPBEXstdData 4 6" xfId="23676"/>
    <cellStyle name="SAPBEXstdData 4 6 2" xfId="44548"/>
    <cellStyle name="SAPBEXstdData 4 7" xfId="24021"/>
    <cellStyle name="SAPBEXstdData 4 7 2" xfId="44893"/>
    <cellStyle name="SAPBEXstdData 4 8" xfId="12330"/>
    <cellStyle name="SAPBEXstdData 4 8 2" xfId="33219"/>
    <cellStyle name="SAPBEXstdData 4 9" xfId="24465"/>
    <cellStyle name="SAPBEXstdData 5" xfId="2838"/>
    <cellStyle name="SAPBEXstdData 5 2" xfId="4468"/>
    <cellStyle name="SAPBEXstdData 5 2 2" xfId="6308"/>
    <cellStyle name="SAPBEXstdData 5 2 2 2" xfId="22613"/>
    <cellStyle name="SAPBEXstdData 5 2 2 2 2" xfId="43488"/>
    <cellStyle name="SAPBEXstdData 5 2 2 3" xfId="20968"/>
    <cellStyle name="SAPBEXstdData 5 2 2 3 2" xfId="41843"/>
    <cellStyle name="SAPBEXstdData 5 2 2 4" xfId="23292"/>
    <cellStyle name="SAPBEXstdData 5 2 2 4 2" xfId="44164"/>
    <cellStyle name="SAPBEXstdData 5 2 2 5" xfId="15317"/>
    <cellStyle name="SAPBEXstdData 5 2 2 5 2" xfId="36193"/>
    <cellStyle name="SAPBEXstdData 5 2 2 6" xfId="27455"/>
    <cellStyle name="SAPBEXstdData 5 2 3" xfId="22072"/>
    <cellStyle name="SAPBEXstdData 5 2 3 2" xfId="42947"/>
    <cellStyle name="SAPBEXstdData 5 2 4" xfId="23336"/>
    <cellStyle name="SAPBEXstdData 5 2 4 2" xfId="44208"/>
    <cellStyle name="SAPBEXstdData 5 2 5" xfId="23970"/>
    <cellStyle name="SAPBEXstdData 5 2 5 2" xfId="44842"/>
    <cellStyle name="SAPBEXstdData 5 2 6" xfId="13499"/>
    <cellStyle name="SAPBEXstdData 5 2 6 2" xfId="34375"/>
    <cellStyle name="SAPBEXstdData 5 2 7" xfId="25637"/>
    <cellStyle name="SAPBEXstdData 5 3" xfId="8444"/>
    <cellStyle name="SAPBEXstdData 5 3 2" xfId="23133"/>
    <cellStyle name="SAPBEXstdData 5 3 2 2" xfId="44006"/>
    <cellStyle name="SAPBEXstdData 5 3 3" xfId="22923"/>
    <cellStyle name="SAPBEXstdData 5 3 3 2" xfId="43797"/>
    <cellStyle name="SAPBEXstdData 5 3 4" xfId="21324"/>
    <cellStyle name="SAPBEXstdData 5 3 4 2" xfId="42199"/>
    <cellStyle name="SAPBEXstdData 5 3 5" xfId="17449"/>
    <cellStyle name="SAPBEXstdData 5 3 5 2" xfId="38325"/>
    <cellStyle name="SAPBEXstdData 5 3 6" xfId="29587"/>
    <cellStyle name="SAPBEXstdData 5 4" xfId="10324"/>
    <cellStyle name="SAPBEXstdData 5 4 2" xfId="23609"/>
    <cellStyle name="SAPBEXstdData 5 4 2 2" xfId="44481"/>
    <cellStyle name="SAPBEXstdData 5 4 3" xfId="22208"/>
    <cellStyle name="SAPBEXstdData 5 4 3 2" xfId="43083"/>
    <cellStyle name="SAPBEXstdData 5 4 4" xfId="24005"/>
    <cellStyle name="SAPBEXstdData 5 4 4 2" xfId="44877"/>
    <cellStyle name="SAPBEXstdData 5 4 5" xfId="19095"/>
    <cellStyle name="SAPBEXstdData 5 4 5 2" xfId="39971"/>
    <cellStyle name="SAPBEXstdData 5 4 6" xfId="31235"/>
    <cellStyle name="SAPBEXstdData 5 5" xfId="21569"/>
    <cellStyle name="SAPBEXstdData 5 5 2" xfId="42444"/>
    <cellStyle name="SAPBEXstdData 5 6" xfId="24075"/>
    <cellStyle name="SAPBEXstdData 5 6 2" xfId="44947"/>
    <cellStyle name="SAPBEXstdData 5 7" xfId="23889"/>
    <cellStyle name="SAPBEXstdData 5 7 2" xfId="44761"/>
    <cellStyle name="SAPBEXstdData 5 8" xfId="12331"/>
    <cellStyle name="SAPBEXstdData 5 8 2" xfId="33220"/>
    <cellStyle name="SAPBEXstdData 5 9" xfId="24466"/>
    <cellStyle name="SAPBEXstdData 6" xfId="3838"/>
    <cellStyle name="SAPBEXstdData 6 2" xfId="6067"/>
    <cellStyle name="SAPBEXstdData 6 2 2" xfId="22426"/>
    <cellStyle name="SAPBEXstdData 6 2 2 2" xfId="43301"/>
    <cellStyle name="SAPBEXstdData 6 2 3" xfId="24018"/>
    <cellStyle name="SAPBEXstdData 6 2 3 2" xfId="44890"/>
    <cellStyle name="SAPBEXstdData 6 2 4" xfId="23808"/>
    <cellStyle name="SAPBEXstdData 6 2 4 2" xfId="44680"/>
    <cellStyle name="SAPBEXstdData 6 2 5" xfId="15076"/>
    <cellStyle name="SAPBEXstdData 6 2 5 2" xfId="35952"/>
    <cellStyle name="SAPBEXstdData 6 2 6" xfId="27214"/>
    <cellStyle name="SAPBEXstdData 6 3" xfId="21812"/>
    <cellStyle name="SAPBEXstdData 6 3 2" xfId="42687"/>
    <cellStyle name="SAPBEXstdData 6 4" xfId="23366"/>
    <cellStyle name="SAPBEXstdData 6 4 2" xfId="44238"/>
    <cellStyle name="SAPBEXstdData 6 5" xfId="21403"/>
    <cellStyle name="SAPBEXstdData 6 5 2" xfId="42278"/>
    <cellStyle name="SAPBEXstdData 6 6" xfId="13258"/>
    <cellStyle name="SAPBEXstdData 6 6 2" xfId="34134"/>
    <cellStyle name="SAPBEXstdData 6 7" xfId="25396"/>
    <cellStyle name="SAPBEXstdData 7" xfId="8440"/>
    <cellStyle name="SAPBEXstdData 7 2" xfId="23129"/>
    <cellStyle name="SAPBEXstdData 7 2 2" xfId="44002"/>
    <cellStyle name="SAPBEXstdData 7 3" xfId="23682"/>
    <cellStyle name="SAPBEXstdData 7 3 2" xfId="44554"/>
    <cellStyle name="SAPBEXstdData 7 4" xfId="21152"/>
    <cellStyle name="SAPBEXstdData 7 4 2" xfId="42027"/>
    <cellStyle name="SAPBEXstdData 7 5" xfId="17445"/>
    <cellStyle name="SAPBEXstdData 7 5 2" xfId="38321"/>
    <cellStyle name="SAPBEXstdData 7 6" xfId="29583"/>
    <cellStyle name="SAPBEXstdData 8" xfId="10320"/>
    <cellStyle name="SAPBEXstdData 8 2" xfId="23605"/>
    <cellStyle name="SAPBEXstdData 8 2 2" xfId="44477"/>
    <cellStyle name="SAPBEXstdData 8 3" xfId="23224"/>
    <cellStyle name="SAPBEXstdData 8 3 2" xfId="44097"/>
    <cellStyle name="SAPBEXstdData 8 4" xfId="21407"/>
    <cellStyle name="SAPBEXstdData 8 4 2" xfId="42282"/>
    <cellStyle name="SAPBEXstdData 8 5" xfId="19091"/>
    <cellStyle name="SAPBEXstdData 8 5 2" xfId="39967"/>
    <cellStyle name="SAPBEXstdData 8 6" xfId="31231"/>
    <cellStyle name="SAPBEXstdData 9" xfId="20936"/>
    <cellStyle name="SAPBEXstdData 9 2" xfId="41811"/>
    <cellStyle name="SAPBEXstdData_원재료입고" xfId="2839"/>
    <cellStyle name="SAPBEXstdDataEmph" xfId="1174"/>
    <cellStyle name="SAPBEXstdDataEmph 10" xfId="22645"/>
    <cellStyle name="SAPBEXstdDataEmph 10 2" xfId="43520"/>
    <cellStyle name="SAPBEXstdDataEmph 11" xfId="23299"/>
    <cellStyle name="SAPBEXstdDataEmph 11 2" xfId="44171"/>
    <cellStyle name="SAPBEXstdDataEmph 12" xfId="12173"/>
    <cellStyle name="SAPBEXstdDataEmph 12 2" xfId="33073"/>
    <cellStyle name="SAPBEXstdDataEmph 13" xfId="24137"/>
    <cellStyle name="SAPBEXstdDataEmph 13 2" xfId="45007"/>
    <cellStyle name="SAPBEXstdDataEmph 14" xfId="24280"/>
    <cellStyle name="SAPBEXstdDataEmph 14 2" xfId="45141"/>
    <cellStyle name="SAPBEXstdDataEmph 2" xfId="2840"/>
    <cellStyle name="SAPBEXstdDataEmph 2 10" xfId="24467"/>
    <cellStyle name="SAPBEXstdDataEmph 2 2" xfId="4470"/>
    <cellStyle name="SAPBEXstdDataEmph 2 2 2" xfId="6309"/>
    <cellStyle name="SAPBEXstdDataEmph 2 2 2 2" xfId="22614"/>
    <cellStyle name="SAPBEXstdDataEmph 2 2 2 2 2" xfId="43489"/>
    <cellStyle name="SAPBEXstdDataEmph 2 2 2 3" xfId="22780"/>
    <cellStyle name="SAPBEXstdDataEmph 2 2 2 3 2" xfId="43655"/>
    <cellStyle name="SAPBEXstdDataEmph 2 2 2 4" xfId="23756"/>
    <cellStyle name="SAPBEXstdDataEmph 2 2 2 4 2" xfId="44628"/>
    <cellStyle name="SAPBEXstdDataEmph 2 2 2 5" xfId="15318"/>
    <cellStyle name="SAPBEXstdDataEmph 2 2 2 5 2" xfId="36194"/>
    <cellStyle name="SAPBEXstdDataEmph 2 2 2 6" xfId="27456"/>
    <cellStyle name="SAPBEXstdDataEmph 2 2 3" xfId="22073"/>
    <cellStyle name="SAPBEXstdDataEmph 2 2 3 2" xfId="42948"/>
    <cellStyle name="SAPBEXstdDataEmph 2 2 4" xfId="24062"/>
    <cellStyle name="SAPBEXstdDataEmph 2 2 4 2" xfId="44934"/>
    <cellStyle name="SAPBEXstdDataEmph 2 2 5" xfId="22212"/>
    <cellStyle name="SAPBEXstdDataEmph 2 2 5 2" xfId="43087"/>
    <cellStyle name="SAPBEXstdDataEmph 2 2 6" xfId="13500"/>
    <cellStyle name="SAPBEXstdDataEmph 2 2 6 2" xfId="34376"/>
    <cellStyle name="SAPBEXstdDataEmph 2 2 7" xfId="25638"/>
    <cellStyle name="SAPBEXstdDataEmph 2 3" xfId="8446"/>
    <cellStyle name="SAPBEXstdDataEmph 2 3 2" xfId="23135"/>
    <cellStyle name="SAPBEXstdDataEmph 2 3 2 2" xfId="44008"/>
    <cellStyle name="SAPBEXstdDataEmph 2 3 3" xfId="23324"/>
    <cellStyle name="SAPBEXstdDataEmph 2 3 3 2" xfId="44196"/>
    <cellStyle name="SAPBEXstdDataEmph 2 3 4" xfId="21201"/>
    <cellStyle name="SAPBEXstdDataEmph 2 3 4 2" xfId="42076"/>
    <cellStyle name="SAPBEXstdDataEmph 2 3 5" xfId="17451"/>
    <cellStyle name="SAPBEXstdDataEmph 2 3 5 2" xfId="38327"/>
    <cellStyle name="SAPBEXstdDataEmph 2 3 6" xfId="29589"/>
    <cellStyle name="SAPBEXstdDataEmph 2 4" xfId="10326"/>
    <cellStyle name="SAPBEXstdDataEmph 2 4 2" xfId="23611"/>
    <cellStyle name="SAPBEXstdDataEmph 2 4 2 2" xfId="44483"/>
    <cellStyle name="SAPBEXstdDataEmph 2 4 3" xfId="22347"/>
    <cellStyle name="SAPBEXstdDataEmph 2 4 3 2" xfId="43222"/>
    <cellStyle name="SAPBEXstdDataEmph 2 4 4" xfId="24040"/>
    <cellStyle name="SAPBEXstdDataEmph 2 4 4 2" xfId="44912"/>
    <cellStyle name="SAPBEXstdDataEmph 2 4 5" xfId="19097"/>
    <cellStyle name="SAPBEXstdDataEmph 2 4 5 2" xfId="39973"/>
    <cellStyle name="SAPBEXstdDataEmph 2 4 6" xfId="31237"/>
    <cellStyle name="SAPBEXstdDataEmph 2 5" xfId="20939"/>
    <cellStyle name="SAPBEXstdDataEmph 2 5 2" xfId="41814"/>
    <cellStyle name="SAPBEXstdDataEmph 2 6" xfId="21274"/>
    <cellStyle name="SAPBEXstdDataEmph 2 6 2" xfId="42149"/>
    <cellStyle name="SAPBEXstdDataEmph 2 7" xfId="22824"/>
    <cellStyle name="SAPBEXstdDataEmph 2 7 2" xfId="43699"/>
    <cellStyle name="SAPBEXstdDataEmph 2 8" xfId="12174"/>
    <cellStyle name="SAPBEXstdDataEmph 2 8 2" xfId="33074"/>
    <cellStyle name="SAPBEXstdDataEmph 2 9" xfId="24215"/>
    <cellStyle name="SAPBEXstdDataEmph 2 9 2" xfId="45083"/>
    <cellStyle name="SAPBEXstdDataEmph 3" xfId="2841"/>
    <cellStyle name="SAPBEXstdDataEmph 3 2" xfId="4471"/>
    <cellStyle name="SAPBEXstdDataEmph 3 2 2" xfId="6310"/>
    <cellStyle name="SAPBEXstdDataEmph 3 2 2 2" xfId="22615"/>
    <cellStyle name="SAPBEXstdDataEmph 3 2 2 2 2" xfId="43490"/>
    <cellStyle name="SAPBEXstdDataEmph 3 2 2 3" xfId="21044"/>
    <cellStyle name="SAPBEXstdDataEmph 3 2 2 3 2" xfId="41919"/>
    <cellStyle name="SAPBEXstdDataEmph 3 2 2 4" xfId="23400"/>
    <cellStyle name="SAPBEXstdDataEmph 3 2 2 4 2" xfId="44272"/>
    <cellStyle name="SAPBEXstdDataEmph 3 2 2 5" xfId="15319"/>
    <cellStyle name="SAPBEXstdDataEmph 3 2 2 5 2" xfId="36195"/>
    <cellStyle name="SAPBEXstdDataEmph 3 2 2 6" xfId="27457"/>
    <cellStyle name="SAPBEXstdDataEmph 3 2 3" xfId="22074"/>
    <cellStyle name="SAPBEXstdDataEmph 3 2 3 2" xfId="42949"/>
    <cellStyle name="SAPBEXstdDataEmph 3 2 4" xfId="20848"/>
    <cellStyle name="SAPBEXstdDataEmph 3 2 4 2" xfId="41724"/>
    <cellStyle name="SAPBEXstdDataEmph 3 2 5" xfId="22722"/>
    <cellStyle name="SAPBEXstdDataEmph 3 2 5 2" xfId="43597"/>
    <cellStyle name="SAPBEXstdDataEmph 3 2 6" xfId="13501"/>
    <cellStyle name="SAPBEXstdDataEmph 3 2 6 2" xfId="34377"/>
    <cellStyle name="SAPBEXstdDataEmph 3 2 7" xfId="25639"/>
    <cellStyle name="SAPBEXstdDataEmph 3 3" xfId="8447"/>
    <cellStyle name="SAPBEXstdDataEmph 3 3 2" xfId="23136"/>
    <cellStyle name="SAPBEXstdDataEmph 3 3 2 2" xfId="44009"/>
    <cellStyle name="SAPBEXstdDataEmph 3 3 3" xfId="21238"/>
    <cellStyle name="SAPBEXstdDataEmph 3 3 3 2" xfId="42113"/>
    <cellStyle name="SAPBEXstdDataEmph 3 3 4" xfId="24000"/>
    <cellStyle name="SAPBEXstdDataEmph 3 3 4 2" xfId="44872"/>
    <cellStyle name="SAPBEXstdDataEmph 3 3 5" xfId="17452"/>
    <cellStyle name="SAPBEXstdDataEmph 3 3 5 2" xfId="38328"/>
    <cellStyle name="SAPBEXstdDataEmph 3 3 6" xfId="29590"/>
    <cellStyle name="SAPBEXstdDataEmph 3 4" xfId="10327"/>
    <cellStyle name="SAPBEXstdDataEmph 3 4 2" xfId="23612"/>
    <cellStyle name="SAPBEXstdDataEmph 3 4 2 2" xfId="44484"/>
    <cellStyle name="SAPBEXstdDataEmph 3 4 3" xfId="22827"/>
    <cellStyle name="SAPBEXstdDataEmph 3 4 3 2" xfId="43702"/>
    <cellStyle name="SAPBEXstdDataEmph 3 4 4" xfId="22286"/>
    <cellStyle name="SAPBEXstdDataEmph 3 4 4 2" xfId="43161"/>
    <cellStyle name="SAPBEXstdDataEmph 3 4 5" xfId="19098"/>
    <cellStyle name="SAPBEXstdDataEmph 3 4 5 2" xfId="39974"/>
    <cellStyle name="SAPBEXstdDataEmph 3 4 6" xfId="31238"/>
    <cellStyle name="SAPBEXstdDataEmph 3 5" xfId="21570"/>
    <cellStyle name="SAPBEXstdDataEmph 3 5 2" xfId="42445"/>
    <cellStyle name="SAPBEXstdDataEmph 3 6" xfId="21063"/>
    <cellStyle name="SAPBEXstdDataEmph 3 6 2" xfId="41938"/>
    <cellStyle name="SAPBEXstdDataEmph 3 7" xfId="21247"/>
    <cellStyle name="SAPBEXstdDataEmph 3 7 2" xfId="42122"/>
    <cellStyle name="SAPBEXstdDataEmph 3 8" xfId="12332"/>
    <cellStyle name="SAPBEXstdDataEmph 3 8 2" xfId="33221"/>
    <cellStyle name="SAPBEXstdDataEmph 3 9" xfId="24468"/>
    <cellStyle name="SAPBEXstdDataEmph 4" xfId="2842"/>
    <cellStyle name="SAPBEXstdDataEmph 4 2" xfId="4472"/>
    <cellStyle name="SAPBEXstdDataEmph 4 2 2" xfId="6311"/>
    <cellStyle name="SAPBEXstdDataEmph 4 2 2 2" xfId="22616"/>
    <cellStyle name="SAPBEXstdDataEmph 4 2 2 2 2" xfId="43491"/>
    <cellStyle name="SAPBEXstdDataEmph 4 2 2 3" xfId="21111"/>
    <cellStyle name="SAPBEXstdDataEmph 4 2 2 3 2" xfId="41986"/>
    <cellStyle name="SAPBEXstdDataEmph 4 2 2 4" xfId="23916"/>
    <cellStyle name="SAPBEXstdDataEmph 4 2 2 4 2" xfId="44788"/>
    <cellStyle name="SAPBEXstdDataEmph 4 2 2 5" xfId="15320"/>
    <cellStyle name="SAPBEXstdDataEmph 4 2 2 5 2" xfId="36196"/>
    <cellStyle name="SAPBEXstdDataEmph 4 2 2 6" xfId="27458"/>
    <cellStyle name="SAPBEXstdDataEmph 4 2 3" xfId="22075"/>
    <cellStyle name="SAPBEXstdDataEmph 4 2 3 2" xfId="42950"/>
    <cellStyle name="SAPBEXstdDataEmph 4 2 4" xfId="21278"/>
    <cellStyle name="SAPBEXstdDataEmph 4 2 4 2" xfId="42153"/>
    <cellStyle name="SAPBEXstdDataEmph 4 2 5" xfId="22756"/>
    <cellStyle name="SAPBEXstdDataEmph 4 2 5 2" xfId="43631"/>
    <cellStyle name="SAPBEXstdDataEmph 4 2 6" xfId="13502"/>
    <cellStyle name="SAPBEXstdDataEmph 4 2 6 2" xfId="34378"/>
    <cellStyle name="SAPBEXstdDataEmph 4 2 7" xfId="25640"/>
    <cellStyle name="SAPBEXstdDataEmph 4 3" xfId="8448"/>
    <cellStyle name="SAPBEXstdDataEmph 4 3 2" xfId="23137"/>
    <cellStyle name="SAPBEXstdDataEmph 4 3 2 2" xfId="44010"/>
    <cellStyle name="SAPBEXstdDataEmph 4 3 3" xfId="21770"/>
    <cellStyle name="SAPBEXstdDataEmph 4 3 3 2" xfId="42645"/>
    <cellStyle name="SAPBEXstdDataEmph 4 3 4" xfId="22153"/>
    <cellStyle name="SAPBEXstdDataEmph 4 3 4 2" xfId="43028"/>
    <cellStyle name="SAPBEXstdDataEmph 4 3 5" xfId="17453"/>
    <cellStyle name="SAPBEXstdDataEmph 4 3 5 2" xfId="38329"/>
    <cellStyle name="SAPBEXstdDataEmph 4 3 6" xfId="29591"/>
    <cellStyle name="SAPBEXstdDataEmph 4 4" xfId="10328"/>
    <cellStyle name="SAPBEXstdDataEmph 4 4 2" xfId="23613"/>
    <cellStyle name="SAPBEXstdDataEmph 4 4 2 2" xfId="44485"/>
    <cellStyle name="SAPBEXstdDataEmph 4 4 3" xfId="22941"/>
    <cellStyle name="SAPBEXstdDataEmph 4 4 3 2" xfId="43815"/>
    <cellStyle name="SAPBEXstdDataEmph 4 4 4" xfId="23867"/>
    <cellStyle name="SAPBEXstdDataEmph 4 4 4 2" xfId="44739"/>
    <cellStyle name="SAPBEXstdDataEmph 4 4 5" xfId="19099"/>
    <cellStyle name="SAPBEXstdDataEmph 4 4 5 2" xfId="39975"/>
    <cellStyle name="SAPBEXstdDataEmph 4 4 6" xfId="31239"/>
    <cellStyle name="SAPBEXstdDataEmph 4 5" xfId="21571"/>
    <cellStyle name="SAPBEXstdDataEmph 4 5 2" xfId="42446"/>
    <cellStyle name="SAPBEXstdDataEmph 4 6" xfId="21146"/>
    <cellStyle name="SAPBEXstdDataEmph 4 6 2" xfId="42021"/>
    <cellStyle name="SAPBEXstdDataEmph 4 7" xfId="21358"/>
    <cellStyle name="SAPBEXstdDataEmph 4 7 2" xfId="42233"/>
    <cellStyle name="SAPBEXstdDataEmph 4 8" xfId="12333"/>
    <cellStyle name="SAPBEXstdDataEmph 4 8 2" xfId="33222"/>
    <cellStyle name="SAPBEXstdDataEmph 4 9" xfId="24469"/>
    <cellStyle name="SAPBEXstdDataEmph 5" xfId="2843"/>
    <cellStyle name="SAPBEXstdDataEmph 5 2" xfId="4473"/>
    <cellStyle name="SAPBEXstdDataEmph 5 2 2" xfId="6312"/>
    <cellStyle name="SAPBEXstdDataEmph 5 2 2 2" xfId="22617"/>
    <cellStyle name="SAPBEXstdDataEmph 5 2 2 2 2" xfId="43492"/>
    <cellStyle name="SAPBEXstdDataEmph 5 2 2 3" xfId="22232"/>
    <cellStyle name="SAPBEXstdDataEmph 5 2 2 3 2" xfId="43107"/>
    <cellStyle name="SAPBEXstdDataEmph 5 2 2 4" xfId="22358"/>
    <cellStyle name="SAPBEXstdDataEmph 5 2 2 4 2" xfId="43233"/>
    <cellStyle name="SAPBEXstdDataEmph 5 2 2 5" xfId="15321"/>
    <cellStyle name="SAPBEXstdDataEmph 5 2 2 5 2" xfId="36197"/>
    <cellStyle name="SAPBEXstdDataEmph 5 2 2 6" xfId="27459"/>
    <cellStyle name="SAPBEXstdDataEmph 5 2 3" xfId="22076"/>
    <cellStyle name="SAPBEXstdDataEmph 5 2 3 2" xfId="42951"/>
    <cellStyle name="SAPBEXstdDataEmph 5 2 4" xfId="21374"/>
    <cellStyle name="SAPBEXstdDataEmph 5 2 4 2" xfId="42249"/>
    <cellStyle name="SAPBEXstdDataEmph 5 2 5" xfId="22882"/>
    <cellStyle name="SAPBEXstdDataEmph 5 2 5 2" xfId="43756"/>
    <cellStyle name="SAPBEXstdDataEmph 5 2 6" xfId="13503"/>
    <cellStyle name="SAPBEXstdDataEmph 5 2 6 2" xfId="34379"/>
    <cellStyle name="SAPBEXstdDataEmph 5 2 7" xfId="25641"/>
    <cellStyle name="SAPBEXstdDataEmph 5 3" xfId="8449"/>
    <cellStyle name="SAPBEXstdDataEmph 5 3 2" xfId="23138"/>
    <cellStyle name="SAPBEXstdDataEmph 5 3 2 2" xfId="44011"/>
    <cellStyle name="SAPBEXstdDataEmph 5 3 3" xfId="22323"/>
    <cellStyle name="SAPBEXstdDataEmph 5 3 3 2" xfId="43198"/>
    <cellStyle name="SAPBEXstdDataEmph 5 3 4" xfId="24037"/>
    <cellStyle name="SAPBEXstdDataEmph 5 3 4 2" xfId="44909"/>
    <cellStyle name="SAPBEXstdDataEmph 5 3 5" xfId="17454"/>
    <cellStyle name="SAPBEXstdDataEmph 5 3 5 2" xfId="38330"/>
    <cellStyle name="SAPBEXstdDataEmph 5 3 6" xfId="29592"/>
    <cellStyle name="SAPBEXstdDataEmph 5 4" xfId="10329"/>
    <cellStyle name="SAPBEXstdDataEmph 5 4 2" xfId="23614"/>
    <cellStyle name="SAPBEXstdDataEmph 5 4 2 2" xfId="44486"/>
    <cellStyle name="SAPBEXstdDataEmph 5 4 3" xfId="23263"/>
    <cellStyle name="SAPBEXstdDataEmph 5 4 3 2" xfId="44136"/>
    <cellStyle name="SAPBEXstdDataEmph 5 4 4" xfId="21611"/>
    <cellStyle name="SAPBEXstdDataEmph 5 4 4 2" xfId="42486"/>
    <cellStyle name="SAPBEXstdDataEmph 5 4 5" xfId="19100"/>
    <cellStyle name="SAPBEXstdDataEmph 5 4 5 2" xfId="39976"/>
    <cellStyle name="SAPBEXstdDataEmph 5 4 6" xfId="31240"/>
    <cellStyle name="SAPBEXstdDataEmph 5 5" xfId="21572"/>
    <cellStyle name="SAPBEXstdDataEmph 5 5 2" xfId="42447"/>
    <cellStyle name="SAPBEXstdDataEmph 5 6" xfId="22796"/>
    <cellStyle name="SAPBEXstdDataEmph 5 6 2" xfId="43671"/>
    <cellStyle name="SAPBEXstdDataEmph 5 7" xfId="22877"/>
    <cellStyle name="SAPBEXstdDataEmph 5 7 2" xfId="43751"/>
    <cellStyle name="SAPBEXstdDataEmph 5 8" xfId="12334"/>
    <cellStyle name="SAPBEXstdDataEmph 5 8 2" xfId="33223"/>
    <cellStyle name="SAPBEXstdDataEmph 5 9" xfId="24470"/>
    <cellStyle name="SAPBEXstdDataEmph 6" xfId="3839"/>
    <cellStyle name="SAPBEXstdDataEmph 6 2" xfId="6068"/>
    <cellStyle name="SAPBEXstdDataEmph 6 2 2" xfId="22427"/>
    <cellStyle name="SAPBEXstdDataEmph 6 2 2 2" xfId="43302"/>
    <cellStyle name="SAPBEXstdDataEmph 6 2 3" xfId="23721"/>
    <cellStyle name="SAPBEXstdDataEmph 6 2 3 2" xfId="44593"/>
    <cellStyle name="SAPBEXstdDataEmph 6 2 4" xfId="21017"/>
    <cellStyle name="SAPBEXstdDataEmph 6 2 4 2" xfId="41892"/>
    <cellStyle name="SAPBEXstdDataEmph 6 2 5" xfId="15077"/>
    <cellStyle name="SAPBEXstdDataEmph 6 2 5 2" xfId="35953"/>
    <cellStyle name="SAPBEXstdDataEmph 6 2 6" xfId="27215"/>
    <cellStyle name="SAPBEXstdDataEmph 6 3" xfId="21813"/>
    <cellStyle name="SAPBEXstdDataEmph 6 3 2" xfId="42688"/>
    <cellStyle name="SAPBEXstdDataEmph 6 4" xfId="22806"/>
    <cellStyle name="SAPBEXstdDataEmph 6 4 2" xfId="43681"/>
    <cellStyle name="SAPBEXstdDataEmph 6 5" xfId="21400"/>
    <cellStyle name="SAPBEXstdDataEmph 6 5 2" xfId="42275"/>
    <cellStyle name="SAPBEXstdDataEmph 6 6" xfId="13259"/>
    <cellStyle name="SAPBEXstdDataEmph 6 6 2" xfId="34135"/>
    <cellStyle name="SAPBEXstdDataEmph 6 7" xfId="25397"/>
    <cellStyle name="SAPBEXstdDataEmph 7" xfId="8445"/>
    <cellStyle name="SAPBEXstdDataEmph 7 2" xfId="23134"/>
    <cellStyle name="SAPBEXstdDataEmph 7 2 2" xfId="44007"/>
    <cellStyle name="SAPBEXstdDataEmph 7 3" xfId="21704"/>
    <cellStyle name="SAPBEXstdDataEmph 7 3 2" xfId="42579"/>
    <cellStyle name="SAPBEXstdDataEmph 7 4" xfId="22342"/>
    <cellStyle name="SAPBEXstdDataEmph 7 4 2" xfId="43217"/>
    <cellStyle name="SAPBEXstdDataEmph 7 5" xfId="17450"/>
    <cellStyle name="SAPBEXstdDataEmph 7 5 2" xfId="38326"/>
    <cellStyle name="SAPBEXstdDataEmph 7 6" xfId="29588"/>
    <cellStyle name="SAPBEXstdDataEmph 8" xfId="10325"/>
    <cellStyle name="SAPBEXstdDataEmph 8 2" xfId="23610"/>
    <cellStyle name="SAPBEXstdDataEmph 8 2 2" xfId="44482"/>
    <cellStyle name="SAPBEXstdDataEmph 8 3" xfId="22721"/>
    <cellStyle name="SAPBEXstdDataEmph 8 3 2" xfId="43596"/>
    <cellStyle name="SAPBEXstdDataEmph 8 4" xfId="21745"/>
    <cellStyle name="SAPBEXstdDataEmph 8 4 2" xfId="42620"/>
    <cellStyle name="SAPBEXstdDataEmph 8 5" xfId="19096"/>
    <cellStyle name="SAPBEXstdDataEmph 8 5 2" xfId="39972"/>
    <cellStyle name="SAPBEXstdDataEmph 8 6" xfId="31236"/>
    <cellStyle name="SAPBEXstdDataEmph 9" xfId="20938"/>
    <cellStyle name="SAPBEXstdDataEmph 9 2" xfId="41813"/>
    <cellStyle name="SAPBEXstdItem" xfId="1175"/>
    <cellStyle name="SAPBEXstdItem 10" xfId="22839"/>
    <cellStyle name="SAPBEXstdItem 10 2" xfId="43714"/>
    <cellStyle name="SAPBEXstdItem 11" xfId="21382"/>
    <cellStyle name="SAPBEXstdItem 11 2" xfId="42257"/>
    <cellStyle name="SAPBEXstdItem 12" xfId="12175"/>
    <cellStyle name="SAPBEXstdItem 12 2" xfId="33075"/>
    <cellStyle name="SAPBEXstdItem 13" xfId="24136"/>
    <cellStyle name="SAPBEXstdItem 13 2" xfId="45006"/>
    <cellStyle name="SAPBEXstdItem 14" xfId="24281"/>
    <cellStyle name="SAPBEXstdItem 14 2" xfId="45142"/>
    <cellStyle name="SAPBEXstdItem 2" xfId="2844"/>
    <cellStyle name="SAPBEXstdItem 2 10" xfId="24471"/>
    <cellStyle name="SAPBEXstdItem 2 2" xfId="4474"/>
    <cellStyle name="SAPBEXstdItem 2 2 2" xfId="6313"/>
    <cellStyle name="SAPBEXstdItem 2 2 2 2" xfId="22618"/>
    <cellStyle name="SAPBEXstdItem 2 2 2 2 2" xfId="43493"/>
    <cellStyle name="SAPBEXstdItem 2 2 2 3" xfId="22799"/>
    <cellStyle name="SAPBEXstdItem 2 2 2 3 2" xfId="43674"/>
    <cellStyle name="SAPBEXstdItem 2 2 2 4" xfId="23415"/>
    <cellStyle name="SAPBEXstdItem 2 2 2 4 2" xfId="44287"/>
    <cellStyle name="SAPBEXstdItem 2 2 2 5" xfId="15322"/>
    <cellStyle name="SAPBEXstdItem 2 2 2 5 2" xfId="36198"/>
    <cellStyle name="SAPBEXstdItem 2 2 2 6" xfId="27460"/>
    <cellStyle name="SAPBEXstdItem 2 2 3" xfId="22077"/>
    <cellStyle name="SAPBEXstdItem 2 2 3 2" xfId="42952"/>
    <cellStyle name="SAPBEXstdItem 2 2 4" xfId="23406"/>
    <cellStyle name="SAPBEXstdItem 2 2 4 2" xfId="44278"/>
    <cellStyle name="SAPBEXstdItem 2 2 5" xfId="23964"/>
    <cellStyle name="SAPBEXstdItem 2 2 5 2" xfId="44836"/>
    <cellStyle name="SAPBEXstdItem 2 2 6" xfId="13504"/>
    <cellStyle name="SAPBEXstdItem 2 2 6 2" xfId="34380"/>
    <cellStyle name="SAPBEXstdItem 2 2 7" xfId="25642"/>
    <cellStyle name="SAPBEXstdItem 2 3" xfId="8451"/>
    <cellStyle name="SAPBEXstdItem 2 3 2" xfId="23140"/>
    <cellStyle name="SAPBEXstdItem 2 3 2 2" xfId="44013"/>
    <cellStyle name="SAPBEXstdItem 2 3 3" xfId="21235"/>
    <cellStyle name="SAPBEXstdItem 2 3 3 2" xfId="42110"/>
    <cellStyle name="SAPBEXstdItem 2 3 4" xfId="23374"/>
    <cellStyle name="SAPBEXstdItem 2 3 4 2" xfId="44246"/>
    <cellStyle name="SAPBEXstdItem 2 3 5" xfId="17456"/>
    <cellStyle name="SAPBEXstdItem 2 3 5 2" xfId="38332"/>
    <cellStyle name="SAPBEXstdItem 2 3 6" xfId="29594"/>
    <cellStyle name="SAPBEXstdItem 2 4" xfId="10331"/>
    <cellStyle name="SAPBEXstdItem 2 4 2" xfId="23616"/>
    <cellStyle name="SAPBEXstdItem 2 4 2 2" xfId="44488"/>
    <cellStyle name="SAPBEXstdItem 2 4 3" xfId="23728"/>
    <cellStyle name="SAPBEXstdItem 2 4 3 2" xfId="44600"/>
    <cellStyle name="SAPBEXstdItem 2 4 4" xfId="22805"/>
    <cellStyle name="SAPBEXstdItem 2 4 4 2" xfId="43680"/>
    <cellStyle name="SAPBEXstdItem 2 4 5" xfId="19102"/>
    <cellStyle name="SAPBEXstdItem 2 4 5 2" xfId="39978"/>
    <cellStyle name="SAPBEXstdItem 2 4 6" xfId="31242"/>
    <cellStyle name="SAPBEXstdItem 2 5" xfId="20941"/>
    <cellStyle name="SAPBEXstdItem 2 5 2" xfId="41816"/>
    <cellStyle name="SAPBEXstdItem 2 6" xfId="23644"/>
    <cellStyle name="SAPBEXstdItem 2 6 2" xfId="44516"/>
    <cellStyle name="SAPBEXstdItem 2 7" xfId="22708"/>
    <cellStyle name="SAPBEXstdItem 2 7 2" xfId="43583"/>
    <cellStyle name="SAPBEXstdItem 2 8" xfId="12176"/>
    <cellStyle name="SAPBEXstdItem 2 8 2" xfId="33076"/>
    <cellStyle name="SAPBEXstdItem 2 9" xfId="24216"/>
    <cellStyle name="SAPBEXstdItem 2 9 2" xfId="45084"/>
    <cellStyle name="SAPBEXstdItem 3" xfId="2845"/>
    <cellStyle name="SAPBEXstdItem 3 2" xfId="4475"/>
    <cellStyle name="SAPBEXstdItem 3 2 2" xfId="6314"/>
    <cellStyle name="SAPBEXstdItem 3 2 2 2" xfId="22619"/>
    <cellStyle name="SAPBEXstdItem 3 2 2 2 2" xfId="43494"/>
    <cellStyle name="SAPBEXstdItem 3 2 2 3" xfId="23425"/>
    <cellStyle name="SAPBEXstdItem 3 2 2 3 2" xfId="44297"/>
    <cellStyle name="SAPBEXstdItem 3 2 2 4" xfId="20997"/>
    <cellStyle name="SAPBEXstdItem 3 2 2 4 2" xfId="41872"/>
    <cellStyle name="SAPBEXstdItem 3 2 2 5" xfId="15323"/>
    <cellStyle name="SAPBEXstdItem 3 2 2 5 2" xfId="36199"/>
    <cellStyle name="SAPBEXstdItem 3 2 2 6" xfId="27461"/>
    <cellStyle name="SAPBEXstdItem 3 2 3" xfId="22078"/>
    <cellStyle name="SAPBEXstdItem 3 2 3 2" xfId="42953"/>
    <cellStyle name="SAPBEXstdItem 3 2 4" xfId="22836"/>
    <cellStyle name="SAPBEXstdItem 3 2 4 2" xfId="43711"/>
    <cellStyle name="SAPBEXstdItem 3 2 5" xfId="21384"/>
    <cellStyle name="SAPBEXstdItem 3 2 5 2" xfId="42259"/>
    <cellStyle name="SAPBEXstdItem 3 2 6" xfId="13505"/>
    <cellStyle name="SAPBEXstdItem 3 2 6 2" xfId="34381"/>
    <cellStyle name="SAPBEXstdItem 3 2 7" xfId="25643"/>
    <cellStyle name="SAPBEXstdItem 3 3" xfId="8452"/>
    <cellStyle name="SAPBEXstdItem 3 3 2" xfId="23141"/>
    <cellStyle name="SAPBEXstdItem 3 3 2 2" xfId="44014"/>
    <cellStyle name="SAPBEXstdItem 3 3 3" xfId="21882"/>
    <cellStyle name="SAPBEXstdItem 3 3 3 2" xfId="42757"/>
    <cellStyle name="SAPBEXstdItem 3 3 4" xfId="23310"/>
    <cellStyle name="SAPBEXstdItem 3 3 4 2" xfId="44182"/>
    <cellStyle name="SAPBEXstdItem 3 3 5" xfId="17457"/>
    <cellStyle name="SAPBEXstdItem 3 3 5 2" xfId="38333"/>
    <cellStyle name="SAPBEXstdItem 3 3 6" xfId="29595"/>
    <cellStyle name="SAPBEXstdItem 3 4" xfId="10332"/>
    <cellStyle name="SAPBEXstdItem 3 4 2" xfId="23617"/>
    <cellStyle name="SAPBEXstdItem 3 4 2 2" xfId="44489"/>
    <cellStyle name="SAPBEXstdItem 3 4 3" xfId="23886"/>
    <cellStyle name="SAPBEXstdItem 3 4 3 2" xfId="44758"/>
    <cellStyle name="SAPBEXstdItem 3 4 4" xfId="23898"/>
    <cellStyle name="SAPBEXstdItem 3 4 4 2" xfId="44770"/>
    <cellStyle name="SAPBEXstdItem 3 4 5" xfId="19103"/>
    <cellStyle name="SAPBEXstdItem 3 4 5 2" xfId="39979"/>
    <cellStyle name="SAPBEXstdItem 3 4 6" xfId="31243"/>
    <cellStyle name="SAPBEXstdItem 3 5" xfId="21573"/>
    <cellStyle name="SAPBEXstdItem 3 5 2" xfId="42448"/>
    <cellStyle name="SAPBEXstdItem 3 6" xfId="22180"/>
    <cellStyle name="SAPBEXstdItem 3 6 2" xfId="43055"/>
    <cellStyle name="SAPBEXstdItem 3 7" xfId="23969"/>
    <cellStyle name="SAPBEXstdItem 3 7 2" xfId="44841"/>
    <cellStyle name="SAPBEXstdItem 3 8" xfId="12335"/>
    <cellStyle name="SAPBEXstdItem 3 8 2" xfId="33224"/>
    <cellStyle name="SAPBEXstdItem 3 9" xfId="24472"/>
    <cellStyle name="SAPBEXstdItem 4" xfId="2846"/>
    <cellStyle name="SAPBEXstdItem 4 2" xfId="4476"/>
    <cellStyle name="SAPBEXstdItem 4 2 2" xfId="6315"/>
    <cellStyle name="SAPBEXstdItem 4 2 2 2" xfId="22620"/>
    <cellStyle name="SAPBEXstdItem 4 2 2 2 2" xfId="43495"/>
    <cellStyle name="SAPBEXstdItem 4 2 2 3" xfId="24093"/>
    <cellStyle name="SAPBEXstdItem 4 2 2 3 2" xfId="44964"/>
    <cellStyle name="SAPBEXstdItem 4 2 2 4" xfId="23229"/>
    <cellStyle name="SAPBEXstdItem 4 2 2 4 2" xfId="44102"/>
    <cellStyle name="SAPBEXstdItem 4 2 2 5" xfId="15324"/>
    <cellStyle name="SAPBEXstdItem 4 2 2 5 2" xfId="36200"/>
    <cellStyle name="SAPBEXstdItem 4 2 2 6" xfId="27462"/>
    <cellStyle name="SAPBEXstdItem 4 2 3" xfId="22079"/>
    <cellStyle name="SAPBEXstdItem 4 2 3 2" xfId="42954"/>
    <cellStyle name="SAPBEXstdItem 4 2 4" xfId="22324"/>
    <cellStyle name="SAPBEXstdItem 4 2 4 2" xfId="43199"/>
    <cellStyle name="SAPBEXstdItem 4 2 5" xfId="23217"/>
    <cellStyle name="SAPBEXstdItem 4 2 5 2" xfId="44090"/>
    <cellStyle name="SAPBEXstdItem 4 2 6" xfId="13506"/>
    <cellStyle name="SAPBEXstdItem 4 2 6 2" xfId="34382"/>
    <cellStyle name="SAPBEXstdItem 4 2 7" xfId="25644"/>
    <cellStyle name="SAPBEXstdItem 4 3" xfId="8453"/>
    <cellStyle name="SAPBEXstdItem 4 3 2" xfId="23142"/>
    <cellStyle name="SAPBEXstdItem 4 3 2 2" xfId="44015"/>
    <cellStyle name="SAPBEXstdItem 4 3 3" xfId="23745"/>
    <cellStyle name="SAPBEXstdItem 4 3 3 2" xfId="44617"/>
    <cellStyle name="SAPBEXstdItem 4 3 4" xfId="22318"/>
    <cellStyle name="SAPBEXstdItem 4 3 4 2" xfId="43193"/>
    <cellStyle name="SAPBEXstdItem 4 3 5" xfId="17458"/>
    <cellStyle name="SAPBEXstdItem 4 3 5 2" xfId="38334"/>
    <cellStyle name="SAPBEXstdItem 4 3 6" xfId="29596"/>
    <cellStyle name="SAPBEXstdItem 4 4" xfId="10333"/>
    <cellStyle name="SAPBEXstdItem 4 4 2" xfId="23618"/>
    <cellStyle name="SAPBEXstdItem 4 4 2 2" xfId="44490"/>
    <cellStyle name="SAPBEXstdItem 4 4 3" xfId="22300"/>
    <cellStyle name="SAPBEXstdItem 4 4 3 2" xfId="43175"/>
    <cellStyle name="SAPBEXstdItem 4 4 4" xfId="21873"/>
    <cellStyle name="SAPBEXstdItem 4 4 4 2" xfId="42748"/>
    <cellStyle name="SAPBEXstdItem 4 4 5" xfId="19104"/>
    <cellStyle name="SAPBEXstdItem 4 4 5 2" xfId="39980"/>
    <cellStyle name="SAPBEXstdItem 4 4 6" xfId="31244"/>
    <cellStyle name="SAPBEXstdItem 4 5" xfId="21574"/>
    <cellStyle name="SAPBEXstdItem 4 5 2" xfId="42449"/>
    <cellStyle name="SAPBEXstdItem 4 6" xfId="21826"/>
    <cellStyle name="SAPBEXstdItem 4 6 2" xfId="42701"/>
    <cellStyle name="SAPBEXstdItem 4 7" xfId="21907"/>
    <cellStyle name="SAPBEXstdItem 4 7 2" xfId="42782"/>
    <cellStyle name="SAPBEXstdItem 4 8" xfId="12336"/>
    <cellStyle name="SAPBEXstdItem 4 8 2" xfId="33225"/>
    <cellStyle name="SAPBEXstdItem 4 9" xfId="24473"/>
    <cellStyle name="SAPBEXstdItem 5" xfId="2847"/>
    <cellStyle name="SAPBEXstdItem 5 2" xfId="4477"/>
    <cellStyle name="SAPBEXstdItem 5 2 2" xfId="6316"/>
    <cellStyle name="SAPBEXstdItem 5 2 2 2" xfId="22621"/>
    <cellStyle name="SAPBEXstdItem 5 2 2 2 2" xfId="43496"/>
    <cellStyle name="SAPBEXstdItem 5 2 2 3" xfId="20860"/>
    <cellStyle name="SAPBEXstdItem 5 2 2 3 2" xfId="41736"/>
    <cellStyle name="SAPBEXstdItem 5 2 2 4" xfId="23922"/>
    <cellStyle name="SAPBEXstdItem 5 2 2 4 2" xfId="44794"/>
    <cellStyle name="SAPBEXstdItem 5 2 2 5" xfId="15325"/>
    <cellStyle name="SAPBEXstdItem 5 2 2 5 2" xfId="36201"/>
    <cellStyle name="SAPBEXstdItem 5 2 2 6" xfId="27463"/>
    <cellStyle name="SAPBEXstdItem 5 2 3" xfId="22080"/>
    <cellStyle name="SAPBEXstdItem 5 2 3 2" xfId="42955"/>
    <cellStyle name="SAPBEXstdItem 5 2 4" xfId="22636"/>
    <cellStyle name="SAPBEXstdItem 5 2 4 2" xfId="43511"/>
    <cellStyle name="SAPBEXstdItem 5 2 5" xfId="23437"/>
    <cellStyle name="SAPBEXstdItem 5 2 5 2" xfId="44309"/>
    <cellStyle name="SAPBEXstdItem 5 2 6" xfId="13507"/>
    <cellStyle name="SAPBEXstdItem 5 2 6 2" xfId="34383"/>
    <cellStyle name="SAPBEXstdItem 5 2 7" xfId="25645"/>
    <cellStyle name="SAPBEXstdItem 5 3" xfId="8454"/>
    <cellStyle name="SAPBEXstdItem 5 3 2" xfId="23143"/>
    <cellStyle name="SAPBEXstdItem 5 3 2 2" xfId="44016"/>
    <cellStyle name="SAPBEXstdItem 5 3 3" xfId="23377"/>
    <cellStyle name="SAPBEXstdItem 5 3 3 2" xfId="44249"/>
    <cellStyle name="SAPBEXstdItem 5 3 4" xfId="22705"/>
    <cellStyle name="SAPBEXstdItem 5 3 4 2" xfId="43580"/>
    <cellStyle name="SAPBEXstdItem 5 3 5" xfId="17459"/>
    <cellStyle name="SAPBEXstdItem 5 3 5 2" xfId="38335"/>
    <cellStyle name="SAPBEXstdItem 5 3 6" xfId="29597"/>
    <cellStyle name="SAPBEXstdItem 5 4" xfId="10334"/>
    <cellStyle name="SAPBEXstdItem 5 4 2" xfId="23619"/>
    <cellStyle name="SAPBEXstdItem 5 4 2 2" xfId="44491"/>
    <cellStyle name="SAPBEXstdItem 5 4 3" xfId="22789"/>
    <cellStyle name="SAPBEXstdItem 5 4 3 2" xfId="43664"/>
    <cellStyle name="SAPBEXstdItem 5 4 4" xfId="21386"/>
    <cellStyle name="SAPBEXstdItem 5 4 4 2" xfId="42261"/>
    <cellStyle name="SAPBEXstdItem 5 4 5" xfId="19105"/>
    <cellStyle name="SAPBEXstdItem 5 4 5 2" xfId="39981"/>
    <cellStyle name="SAPBEXstdItem 5 4 6" xfId="31245"/>
    <cellStyle name="SAPBEXstdItem 5 5" xfId="21575"/>
    <cellStyle name="SAPBEXstdItem 5 5 2" xfId="42450"/>
    <cellStyle name="SAPBEXstdItem 5 6" xfId="22927"/>
    <cellStyle name="SAPBEXstdItem 5 6 2" xfId="43801"/>
    <cellStyle name="SAPBEXstdItem 5 7" xfId="23872"/>
    <cellStyle name="SAPBEXstdItem 5 7 2" xfId="44744"/>
    <cellStyle name="SAPBEXstdItem 5 8" xfId="12337"/>
    <cellStyle name="SAPBEXstdItem 5 8 2" xfId="33226"/>
    <cellStyle name="SAPBEXstdItem 5 9" xfId="24474"/>
    <cellStyle name="SAPBEXstdItem 6" xfId="3840"/>
    <cellStyle name="SAPBEXstdItem 6 2" xfId="6069"/>
    <cellStyle name="SAPBEXstdItem 6 2 2" xfId="22428"/>
    <cellStyle name="SAPBEXstdItem 6 2 2 2" xfId="43303"/>
    <cellStyle name="SAPBEXstdItem 6 2 3" xfId="23977"/>
    <cellStyle name="SAPBEXstdItem 6 2 3 2" xfId="44849"/>
    <cellStyle name="SAPBEXstdItem 6 2 4" xfId="21669"/>
    <cellStyle name="SAPBEXstdItem 6 2 4 2" xfId="42544"/>
    <cellStyle name="SAPBEXstdItem 6 2 5" xfId="15078"/>
    <cellStyle name="SAPBEXstdItem 6 2 5 2" xfId="35954"/>
    <cellStyle name="SAPBEXstdItem 6 2 6" xfId="27216"/>
    <cellStyle name="SAPBEXstdItem 6 3" xfId="21814"/>
    <cellStyle name="SAPBEXstdItem 6 3 2" xfId="42689"/>
    <cellStyle name="SAPBEXstdItem 6 4" xfId="23702"/>
    <cellStyle name="SAPBEXstdItem 6 4 2" xfId="44574"/>
    <cellStyle name="SAPBEXstdItem 6 5" xfId="23275"/>
    <cellStyle name="SAPBEXstdItem 6 5 2" xfId="44148"/>
    <cellStyle name="SAPBEXstdItem 6 6" xfId="13260"/>
    <cellStyle name="SAPBEXstdItem 6 6 2" xfId="34136"/>
    <cellStyle name="SAPBEXstdItem 6 7" xfId="25398"/>
    <cellStyle name="SAPBEXstdItem 7" xfId="8450"/>
    <cellStyle name="SAPBEXstdItem 7 2" xfId="23139"/>
    <cellStyle name="SAPBEXstdItem 7 2 2" xfId="44012"/>
    <cellStyle name="SAPBEXstdItem 7 3" xfId="23878"/>
    <cellStyle name="SAPBEXstdItem 7 3 2" xfId="44750"/>
    <cellStyle name="SAPBEXstdItem 7 4" xfId="23832"/>
    <cellStyle name="SAPBEXstdItem 7 4 2" xfId="44704"/>
    <cellStyle name="SAPBEXstdItem 7 5" xfId="17455"/>
    <cellStyle name="SAPBEXstdItem 7 5 2" xfId="38331"/>
    <cellStyle name="SAPBEXstdItem 7 6" xfId="29593"/>
    <cellStyle name="SAPBEXstdItem 8" xfId="10330"/>
    <cellStyle name="SAPBEXstdItem 8 2" xfId="23615"/>
    <cellStyle name="SAPBEXstdItem 8 2 2" xfId="44487"/>
    <cellStyle name="SAPBEXstdItem 8 3" xfId="23393"/>
    <cellStyle name="SAPBEXstdItem 8 3 2" xfId="44265"/>
    <cellStyle name="SAPBEXstdItem 8 4" xfId="22913"/>
    <cellStyle name="SAPBEXstdItem 8 4 2" xfId="43787"/>
    <cellStyle name="SAPBEXstdItem 8 5" xfId="19101"/>
    <cellStyle name="SAPBEXstdItem 8 5 2" xfId="39977"/>
    <cellStyle name="SAPBEXstdItem 8 6" xfId="31241"/>
    <cellStyle name="SAPBEXstdItem 9" xfId="20940"/>
    <cellStyle name="SAPBEXstdItem 9 2" xfId="41815"/>
    <cellStyle name="SAPBEXstdItemX" xfId="1176"/>
    <cellStyle name="SAPBEXstdItemX 10" xfId="21830"/>
    <cellStyle name="SAPBEXstdItemX 10 2" xfId="42705"/>
    <cellStyle name="SAPBEXstdItemX 11" xfId="21736"/>
    <cellStyle name="SAPBEXstdItemX 11 2" xfId="42611"/>
    <cellStyle name="SAPBEXstdItemX 12" xfId="12177"/>
    <cellStyle name="SAPBEXstdItemX 12 2" xfId="33077"/>
    <cellStyle name="SAPBEXstdItemX 13" xfId="24135"/>
    <cellStyle name="SAPBEXstdItemX 13 2" xfId="45005"/>
    <cellStyle name="SAPBEXstdItemX 14" xfId="24282"/>
    <cellStyle name="SAPBEXstdItemX 14 2" xfId="45143"/>
    <cellStyle name="SAPBEXstdItemX 2" xfId="2848"/>
    <cellStyle name="SAPBEXstdItemX 2 10" xfId="24475"/>
    <cellStyle name="SAPBEXstdItemX 2 2" xfId="4478"/>
    <cellStyle name="SAPBEXstdItemX 2 2 2" xfId="6317"/>
    <cellStyle name="SAPBEXstdItemX 2 2 2 2" xfId="22622"/>
    <cellStyle name="SAPBEXstdItemX 2 2 2 2 2" xfId="43497"/>
    <cellStyle name="SAPBEXstdItemX 2 2 2 3" xfId="21692"/>
    <cellStyle name="SAPBEXstdItemX 2 2 2 3 2" xfId="42567"/>
    <cellStyle name="SAPBEXstdItemX 2 2 2 4" xfId="23171"/>
    <cellStyle name="SAPBEXstdItemX 2 2 2 4 2" xfId="44044"/>
    <cellStyle name="SAPBEXstdItemX 2 2 2 5" xfId="15326"/>
    <cellStyle name="SAPBEXstdItemX 2 2 2 5 2" xfId="36202"/>
    <cellStyle name="SAPBEXstdItemX 2 2 2 6" xfId="27464"/>
    <cellStyle name="SAPBEXstdItemX 2 2 3" xfId="22081"/>
    <cellStyle name="SAPBEXstdItemX 2 2 3 2" xfId="42956"/>
    <cellStyle name="SAPBEXstdItemX 2 2 4" xfId="23431"/>
    <cellStyle name="SAPBEXstdItemX 2 2 4 2" xfId="44303"/>
    <cellStyle name="SAPBEXstdItemX 2 2 5" xfId="21048"/>
    <cellStyle name="SAPBEXstdItemX 2 2 5 2" xfId="41923"/>
    <cellStyle name="SAPBEXstdItemX 2 2 6" xfId="13508"/>
    <cellStyle name="SAPBEXstdItemX 2 2 6 2" xfId="34384"/>
    <cellStyle name="SAPBEXstdItemX 2 2 7" xfId="25646"/>
    <cellStyle name="SAPBEXstdItemX 2 3" xfId="8456"/>
    <cellStyle name="SAPBEXstdItemX 2 3 2" xfId="23145"/>
    <cellStyle name="SAPBEXstdItemX 2 3 2 2" xfId="44018"/>
    <cellStyle name="SAPBEXstdItemX 2 3 3" xfId="21236"/>
    <cellStyle name="SAPBEXstdItemX 2 3 3 2" xfId="42111"/>
    <cellStyle name="SAPBEXstdItemX 2 3 4" xfId="23311"/>
    <cellStyle name="SAPBEXstdItemX 2 3 4 2" xfId="44183"/>
    <cellStyle name="SAPBEXstdItemX 2 3 5" xfId="17461"/>
    <cellStyle name="SAPBEXstdItemX 2 3 5 2" xfId="38337"/>
    <cellStyle name="SAPBEXstdItemX 2 3 6" xfId="29599"/>
    <cellStyle name="SAPBEXstdItemX 2 4" xfId="10336"/>
    <cellStyle name="SAPBEXstdItemX 2 4 2" xfId="23621"/>
    <cellStyle name="SAPBEXstdItemX 2 4 2 2" xfId="44493"/>
    <cellStyle name="SAPBEXstdItemX 2 4 3" xfId="23232"/>
    <cellStyle name="SAPBEXstdItemX 2 4 3 2" xfId="44105"/>
    <cellStyle name="SAPBEXstdItemX 2 4 4" xfId="20843"/>
    <cellStyle name="SAPBEXstdItemX 2 4 4 2" xfId="41719"/>
    <cellStyle name="SAPBEXstdItemX 2 4 5" xfId="19107"/>
    <cellStyle name="SAPBEXstdItemX 2 4 5 2" xfId="39983"/>
    <cellStyle name="SAPBEXstdItemX 2 4 6" xfId="31247"/>
    <cellStyle name="SAPBEXstdItemX 2 5" xfId="20943"/>
    <cellStyle name="SAPBEXstdItemX 2 5 2" xfId="41818"/>
    <cellStyle name="SAPBEXstdItemX 2 6" xfId="21180"/>
    <cellStyle name="SAPBEXstdItemX 2 6 2" xfId="42055"/>
    <cellStyle name="SAPBEXstdItemX 2 7" xfId="21715"/>
    <cellStyle name="SAPBEXstdItemX 2 7 2" xfId="42590"/>
    <cellStyle name="SAPBEXstdItemX 2 8" xfId="12178"/>
    <cellStyle name="SAPBEXstdItemX 2 8 2" xfId="33078"/>
    <cellStyle name="SAPBEXstdItemX 2 9" xfId="24217"/>
    <cellStyle name="SAPBEXstdItemX 2 9 2" xfId="45085"/>
    <cellStyle name="SAPBEXstdItemX 3" xfId="2849"/>
    <cellStyle name="SAPBEXstdItemX 3 2" xfId="4479"/>
    <cellStyle name="SAPBEXstdItemX 3 2 2" xfId="6318"/>
    <cellStyle name="SAPBEXstdItemX 3 2 2 2" xfId="22623"/>
    <cellStyle name="SAPBEXstdItemX 3 2 2 2 2" xfId="43498"/>
    <cellStyle name="SAPBEXstdItemX 3 2 2 3" xfId="21614"/>
    <cellStyle name="SAPBEXstdItemX 3 2 2 3 2" xfId="42489"/>
    <cellStyle name="SAPBEXstdItemX 3 2 2 4" xfId="24061"/>
    <cellStyle name="SAPBEXstdItemX 3 2 2 4 2" xfId="44933"/>
    <cellStyle name="SAPBEXstdItemX 3 2 2 5" xfId="15327"/>
    <cellStyle name="SAPBEXstdItemX 3 2 2 5 2" xfId="36203"/>
    <cellStyle name="SAPBEXstdItemX 3 2 2 6" xfId="27465"/>
    <cellStyle name="SAPBEXstdItemX 3 2 3" xfId="22082"/>
    <cellStyle name="SAPBEXstdItemX 3 2 3 2" xfId="42957"/>
    <cellStyle name="SAPBEXstdItemX 3 2 4" xfId="22853"/>
    <cellStyle name="SAPBEXstdItemX 3 2 4 2" xfId="43728"/>
    <cellStyle name="SAPBEXstdItemX 3 2 5" xfId="21367"/>
    <cellStyle name="SAPBEXstdItemX 3 2 5 2" xfId="42242"/>
    <cellStyle name="SAPBEXstdItemX 3 2 6" xfId="13509"/>
    <cellStyle name="SAPBEXstdItemX 3 2 6 2" xfId="34385"/>
    <cellStyle name="SAPBEXstdItemX 3 2 7" xfId="25647"/>
    <cellStyle name="SAPBEXstdItemX 3 3" xfId="8457"/>
    <cellStyle name="SAPBEXstdItemX 3 3 2" xfId="23146"/>
    <cellStyle name="SAPBEXstdItemX 3 3 2 2" xfId="44019"/>
    <cellStyle name="SAPBEXstdItemX 3 3 3" xfId="22229"/>
    <cellStyle name="SAPBEXstdItemX 3 3 3 2" xfId="43104"/>
    <cellStyle name="SAPBEXstdItemX 3 3 4" xfId="21691"/>
    <cellStyle name="SAPBEXstdItemX 3 3 4 2" xfId="42566"/>
    <cellStyle name="SAPBEXstdItemX 3 3 5" xfId="17462"/>
    <cellStyle name="SAPBEXstdItemX 3 3 5 2" xfId="38338"/>
    <cellStyle name="SAPBEXstdItemX 3 3 6" xfId="29600"/>
    <cellStyle name="SAPBEXstdItemX 3 4" xfId="10337"/>
    <cellStyle name="SAPBEXstdItemX 3 4 2" xfId="23622"/>
    <cellStyle name="SAPBEXstdItemX 3 4 2 2" xfId="44494"/>
    <cellStyle name="SAPBEXstdItemX 3 4 3" xfId="23363"/>
    <cellStyle name="SAPBEXstdItemX 3 4 3 2" xfId="44235"/>
    <cellStyle name="SAPBEXstdItemX 3 4 4" xfId="23879"/>
    <cellStyle name="SAPBEXstdItemX 3 4 4 2" xfId="44751"/>
    <cellStyle name="SAPBEXstdItemX 3 4 5" xfId="19108"/>
    <cellStyle name="SAPBEXstdItemX 3 4 5 2" xfId="39984"/>
    <cellStyle name="SAPBEXstdItemX 3 4 6" xfId="31248"/>
    <cellStyle name="SAPBEXstdItemX 3 5" xfId="21576"/>
    <cellStyle name="SAPBEXstdItemX 3 5 2" xfId="42451"/>
    <cellStyle name="SAPBEXstdItemX 3 6" xfId="21303"/>
    <cellStyle name="SAPBEXstdItemX 3 6 2" xfId="42178"/>
    <cellStyle name="SAPBEXstdItemX 3 7" xfId="23653"/>
    <cellStyle name="SAPBEXstdItemX 3 7 2" xfId="44525"/>
    <cellStyle name="SAPBEXstdItemX 3 8" xfId="12338"/>
    <cellStyle name="SAPBEXstdItemX 3 8 2" xfId="33227"/>
    <cellStyle name="SAPBEXstdItemX 3 9" xfId="24476"/>
    <cellStyle name="SAPBEXstdItemX 4" xfId="2850"/>
    <cellStyle name="SAPBEXstdItemX 4 2" xfId="4480"/>
    <cellStyle name="SAPBEXstdItemX 4 2 2" xfId="6319"/>
    <cellStyle name="SAPBEXstdItemX 4 2 2 2" xfId="22624"/>
    <cellStyle name="SAPBEXstdItemX 4 2 2 2 2" xfId="43499"/>
    <cellStyle name="SAPBEXstdItemX 4 2 2 3" xfId="24050"/>
    <cellStyle name="SAPBEXstdItemX 4 2 2 3 2" xfId="44922"/>
    <cellStyle name="SAPBEXstdItemX 4 2 2 4" xfId="21720"/>
    <cellStyle name="SAPBEXstdItemX 4 2 2 4 2" xfId="42595"/>
    <cellStyle name="SAPBEXstdItemX 4 2 2 5" xfId="15328"/>
    <cellStyle name="SAPBEXstdItemX 4 2 2 5 2" xfId="36204"/>
    <cellStyle name="SAPBEXstdItemX 4 2 2 6" xfId="27466"/>
    <cellStyle name="SAPBEXstdItemX 4 2 3" xfId="22083"/>
    <cellStyle name="SAPBEXstdItemX 4 2 3 2" xfId="42958"/>
    <cellStyle name="SAPBEXstdItemX 4 2 4" xfId="21186"/>
    <cellStyle name="SAPBEXstdItemX 4 2 4 2" xfId="42061"/>
    <cellStyle name="SAPBEXstdItemX 4 2 5" xfId="22661"/>
    <cellStyle name="SAPBEXstdItemX 4 2 5 2" xfId="43536"/>
    <cellStyle name="SAPBEXstdItemX 4 2 6" xfId="13510"/>
    <cellStyle name="SAPBEXstdItemX 4 2 6 2" xfId="34386"/>
    <cellStyle name="SAPBEXstdItemX 4 2 7" xfId="25648"/>
    <cellStyle name="SAPBEXstdItemX 4 3" xfId="8458"/>
    <cellStyle name="SAPBEXstdItemX 4 3 2" xfId="23147"/>
    <cellStyle name="SAPBEXstdItemX 4 3 2 2" xfId="44020"/>
    <cellStyle name="SAPBEXstdItemX 4 3 3" xfId="23903"/>
    <cellStyle name="SAPBEXstdItemX 4 3 3 2" xfId="44775"/>
    <cellStyle name="SAPBEXstdItemX 4 3 4" xfId="23962"/>
    <cellStyle name="SAPBEXstdItemX 4 3 4 2" xfId="44834"/>
    <cellStyle name="SAPBEXstdItemX 4 3 5" xfId="17463"/>
    <cellStyle name="SAPBEXstdItemX 4 3 5 2" xfId="38339"/>
    <cellStyle name="SAPBEXstdItemX 4 3 6" xfId="29601"/>
    <cellStyle name="SAPBEXstdItemX 4 4" xfId="10338"/>
    <cellStyle name="SAPBEXstdItemX 4 4 2" xfId="23623"/>
    <cellStyle name="SAPBEXstdItemX 4 4 2 2" xfId="44495"/>
    <cellStyle name="SAPBEXstdItemX 4 4 3" xfId="23445"/>
    <cellStyle name="SAPBEXstdItemX 4 4 3 2" xfId="44317"/>
    <cellStyle name="SAPBEXstdItemX 4 4 4" xfId="21832"/>
    <cellStyle name="SAPBEXstdItemX 4 4 4 2" xfId="42707"/>
    <cellStyle name="SAPBEXstdItemX 4 4 5" xfId="19109"/>
    <cellStyle name="SAPBEXstdItemX 4 4 5 2" xfId="39985"/>
    <cellStyle name="SAPBEXstdItemX 4 4 6" xfId="31249"/>
    <cellStyle name="SAPBEXstdItemX 4 5" xfId="21577"/>
    <cellStyle name="SAPBEXstdItemX 4 5 2" xfId="42452"/>
    <cellStyle name="SAPBEXstdItemX 4 6" xfId="21085"/>
    <cellStyle name="SAPBEXstdItemX 4 6 2" xfId="41960"/>
    <cellStyle name="SAPBEXstdItemX 4 7" xfId="23165"/>
    <cellStyle name="SAPBEXstdItemX 4 7 2" xfId="44038"/>
    <cellStyle name="SAPBEXstdItemX 4 8" xfId="12339"/>
    <cellStyle name="SAPBEXstdItemX 4 8 2" xfId="33228"/>
    <cellStyle name="SAPBEXstdItemX 4 9" xfId="24477"/>
    <cellStyle name="SAPBEXstdItemX 5" xfId="2851"/>
    <cellStyle name="SAPBEXstdItemX 5 2" xfId="4481"/>
    <cellStyle name="SAPBEXstdItemX 5 2 2" xfId="6320"/>
    <cellStyle name="SAPBEXstdItemX 5 2 2 2" xfId="22625"/>
    <cellStyle name="SAPBEXstdItemX 5 2 2 2 2" xfId="43500"/>
    <cellStyle name="SAPBEXstdItemX 5 2 2 3" xfId="21169"/>
    <cellStyle name="SAPBEXstdItemX 5 2 2 3 2" xfId="42044"/>
    <cellStyle name="SAPBEXstdItemX 5 2 2 4" xfId="23395"/>
    <cellStyle name="SAPBEXstdItemX 5 2 2 4 2" xfId="44267"/>
    <cellStyle name="SAPBEXstdItemX 5 2 2 5" xfId="15329"/>
    <cellStyle name="SAPBEXstdItemX 5 2 2 5 2" xfId="36205"/>
    <cellStyle name="SAPBEXstdItemX 5 2 2 6" xfId="27467"/>
    <cellStyle name="SAPBEXstdItemX 5 2 3" xfId="22084"/>
    <cellStyle name="SAPBEXstdItemX 5 2 3 2" xfId="42959"/>
    <cellStyle name="SAPBEXstdItemX 5 2 4" xfId="21312"/>
    <cellStyle name="SAPBEXstdItemX 5 2 4 2" xfId="42187"/>
    <cellStyle name="SAPBEXstdItemX 5 2 5" xfId="23354"/>
    <cellStyle name="SAPBEXstdItemX 5 2 5 2" xfId="44226"/>
    <cellStyle name="SAPBEXstdItemX 5 2 6" xfId="13511"/>
    <cellStyle name="SAPBEXstdItemX 5 2 6 2" xfId="34387"/>
    <cellStyle name="SAPBEXstdItemX 5 2 7" xfId="25649"/>
    <cellStyle name="SAPBEXstdItemX 5 3" xfId="8459"/>
    <cellStyle name="SAPBEXstdItemX 5 3 2" xfId="23148"/>
    <cellStyle name="SAPBEXstdItemX 5 3 2 2" xfId="44021"/>
    <cellStyle name="SAPBEXstdItemX 5 3 3" xfId="23714"/>
    <cellStyle name="SAPBEXstdItemX 5 3 3 2" xfId="44586"/>
    <cellStyle name="SAPBEXstdItemX 5 3 4" xfId="24126"/>
    <cellStyle name="SAPBEXstdItemX 5 3 4 2" xfId="44997"/>
    <cellStyle name="SAPBEXstdItemX 5 3 5" xfId="17464"/>
    <cellStyle name="SAPBEXstdItemX 5 3 5 2" xfId="38340"/>
    <cellStyle name="SAPBEXstdItemX 5 3 6" xfId="29602"/>
    <cellStyle name="SAPBEXstdItemX 5 4" xfId="10339"/>
    <cellStyle name="SAPBEXstdItemX 5 4 2" xfId="23624"/>
    <cellStyle name="SAPBEXstdItemX 5 4 2 2" xfId="44496"/>
    <cellStyle name="SAPBEXstdItemX 5 4 3" xfId="21717"/>
    <cellStyle name="SAPBEXstdItemX 5 4 3 2" xfId="42592"/>
    <cellStyle name="SAPBEXstdItemX 5 4 4" xfId="23335"/>
    <cellStyle name="SAPBEXstdItemX 5 4 4 2" xfId="44207"/>
    <cellStyle name="SAPBEXstdItemX 5 4 5" xfId="19110"/>
    <cellStyle name="SAPBEXstdItemX 5 4 5 2" xfId="39986"/>
    <cellStyle name="SAPBEXstdItemX 5 4 6" xfId="31250"/>
    <cellStyle name="SAPBEXstdItemX 5 5" xfId="21578"/>
    <cellStyle name="SAPBEXstdItemX 5 5 2" xfId="42453"/>
    <cellStyle name="SAPBEXstdItemX 5 6" xfId="21592"/>
    <cellStyle name="SAPBEXstdItemX 5 6 2" xfId="42467"/>
    <cellStyle name="SAPBEXstdItemX 5 7" xfId="22432"/>
    <cellStyle name="SAPBEXstdItemX 5 7 2" xfId="43307"/>
    <cellStyle name="SAPBEXstdItemX 5 8" xfId="12340"/>
    <cellStyle name="SAPBEXstdItemX 5 8 2" xfId="33229"/>
    <cellStyle name="SAPBEXstdItemX 5 9" xfId="24478"/>
    <cellStyle name="SAPBEXstdItemX 6" xfId="3841"/>
    <cellStyle name="SAPBEXstdItemX 6 2" xfId="6070"/>
    <cellStyle name="SAPBEXstdItemX 6 2 2" xfId="22429"/>
    <cellStyle name="SAPBEXstdItemX 6 2 2 2" xfId="43304"/>
    <cellStyle name="SAPBEXstdItemX 6 2 3" xfId="21925"/>
    <cellStyle name="SAPBEXstdItemX 6 2 3 2" xfId="42800"/>
    <cellStyle name="SAPBEXstdItemX 6 2 4" xfId="23264"/>
    <cellStyle name="SAPBEXstdItemX 6 2 4 2" xfId="44137"/>
    <cellStyle name="SAPBEXstdItemX 6 2 5" xfId="15079"/>
    <cellStyle name="SAPBEXstdItemX 6 2 5 2" xfId="35955"/>
    <cellStyle name="SAPBEXstdItemX 6 2 6" xfId="27217"/>
    <cellStyle name="SAPBEXstdItemX 6 3" xfId="21815"/>
    <cellStyle name="SAPBEXstdItemX 6 3 2" xfId="42690"/>
    <cellStyle name="SAPBEXstdItemX 6 4" xfId="23648"/>
    <cellStyle name="SAPBEXstdItemX 6 4 2" xfId="44520"/>
    <cellStyle name="SAPBEXstdItemX 6 5" xfId="23828"/>
    <cellStyle name="SAPBEXstdItemX 6 5 2" xfId="44700"/>
    <cellStyle name="SAPBEXstdItemX 6 6" xfId="13261"/>
    <cellStyle name="SAPBEXstdItemX 6 6 2" xfId="34137"/>
    <cellStyle name="SAPBEXstdItemX 6 7" xfId="25399"/>
    <cellStyle name="SAPBEXstdItemX 7" xfId="8455"/>
    <cellStyle name="SAPBEXstdItemX 7 2" xfId="23144"/>
    <cellStyle name="SAPBEXstdItemX 7 2 2" xfId="44017"/>
    <cellStyle name="SAPBEXstdItemX 7 3" xfId="22203"/>
    <cellStyle name="SAPBEXstdItemX 7 3 2" xfId="43078"/>
    <cellStyle name="SAPBEXstdItemX 7 4" xfId="24087"/>
    <cellStyle name="SAPBEXstdItemX 7 4 2" xfId="44959"/>
    <cellStyle name="SAPBEXstdItemX 7 5" xfId="17460"/>
    <cellStyle name="SAPBEXstdItemX 7 5 2" xfId="38336"/>
    <cellStyle name="SAPBEXstdItemX 7 6" xfId="29598"/>
    <cellStyle name="SAPBEXstdItemX 8" xfId="10335"/>
    <cellStyle name="SAPBEXstdItemX 8 2" xfId="23620"/>
    <cellStyle name="SAPBEXstdItemX 8 2 2" xfId="44492"/>
    <cellStyle name="SAPBEXstdItemX 8 3" xfId="22906"/>
    <cellStyle name="SAPBEXstdItemX 8 3 2" xfId="43780"/>
    <cellStyle name="SAPBEXstdItemX 8 4" xfId="21013"/>
    <cellStyle name="SAPBEXstdItemX 8 4 2" xfId="41888"/>
    <cellStyle name="SAPBEXstdItemX 8 5" xfId="19106"/>
    <cellStyle name="SAPBEXstdItemX 8 5 2" xfId="39982"/>
    <cellStyle name="SAPBEXstdItemX 8 6" xfId="31246"/>
    <cellStyle name="SAPBEXstdItemX 9" xfId="20942"/>
    <cellStyle name="SAPBEXstdItemX 9 2" xfId="41817"/>
    <cellStyle name="SAPBEXtitle" xfId="1177"/>
    <cellStyle name="SAPBEXunassignedItem" xfId="2852"/>
    <cellStyle name="SAPBEXunassignedItem 2" xfId="2853"/>
    <cellStyle name="SAPBEXunassignedItem 2 2" xfId="3333"/>
    <cellStyle name="SAPBEXunassignedItem 2 2 2" xfId="5606"/>
    <cellStyle name="SAPBEXunassignedItem 2 2 2 2" xfId="22314"/>
    <cellStyle name="SAPBEXunassignedItem 2 2 2 2 2" xfId="43189"/>
    <cellStyle name="SAPBEXunassignedItem 2 2 2 3" xfId="20847"/>
    <cellStyle name="SAPBEXunassignedItem 2 2 2 3 2" xfId="41723"/>
    <cellStyle name="SAPBEXunassignedItem 2 2 2 4" xfId="23893"/>
    <cellStyle name="SAPBEXunassignedItem 2 2 2 4 2" xfId="44765"/>
    <cellStyle name="SAPBEXunassignedItem 2 2 2 5" xfId="14615"/>
    <cellStyle name="SAPBEXunassignedItem 2 2 2 5 2" xfId="35491"/>
    <cellStyle name="SAPBEXunassignedItem 2 2 2 6" xfId="26753"/>
    <cellStyle name="SAPBEXunassignedItem 2 2 3" xfId="21685"/>
    <cellStyle name="SAPBEXunassignedItem 2 2 3 2" xfId="42560"/>
    <cellStyle name="SAPBEXunassignedItem 2 2 4" xfId="22111"/>
    <cellStyle name="SAPBEXunassignedItem 2 2 4 2" xfId="42986"/>
    <cellStyle name="SAPBEXunassignedItem 2 2 5" xfId="22154"/>
    <cellStyle name="SAPBEXunassignedItem 2 2 5 2" xfId="43029"/>
    <cellStyle name="SAPBEXunassignedItem 2 2 6" xfId="12796"/>
    <cellStyle name="SAPBEXunassignedItem 2 2 6 2" xfId="33673"/>
    <cellStyle name="SAPBEXunassignedItem 2 2 7" xfId="24923"/>
    <cellStyle name="SAPBEXunassignedItem 2 3" xfId="9288"/>
    <cellStyle name="SAPBEXunassignedItem 2 3 2" xfId="22664"/>
    <cellStyle name="SAPBEXunassignedItem 2 3 2 2" xfId="43539"/>
    <cellStyle name="SAPBEXunassignedItem 2 3 3" xfId="22182"/>
    <cellStyle name="SAPBEXunassignedItem 2 3 3 2" xfId="43057"/>
    <cellStyle name="SAPBEXunassignedItem 2 3 4" xfId="18287"/>
    <cellStyle name="SAPBEXunassignedItem 2 3 4 2" xfId="39163"/>
    <cellStyle name="SAPBEXunassignedItem 2 3 5" xfId="30425"/>
    <cellStyle name="SAPBEXunassignedItem 2 4" xfId="21580"/>
    <cellStyle name="SAPBEXunassignedItem 2 4 2" xfId="42455"/>
    <cellStyle name="SAPBEXunassignedItem 2 5" xfId="12342"/>
    <cellStyle name="SAPBEXunassignedItem 2 5 2" xfId="33231"/>
    <cellStyle name="SAPBEXunassignedItem 2 6" xfId="24480"/>
    <cellStyle name="SAPBEXunassignedItem 3" xfId="3332"/>
    <cellStyle name="SAPBEXunassignedItem 3 2" xfId="5605"/>
    <cellStyle name="SAPBEXunassignedItem 3 2 2" xfId="22313"/>
    <cellStyle name="SAPBEXunassignedItem 3 2 2 2" xfId="43188"/>
    <cellStyle name="SAPBEXunassignedItem 3 2 3" xfId="24058"/>
    <cellStyle name="SAPBEXunassignedItem 3 2 3 2" xfId="44930"/>
    <cellStyle name="SAPBEXunassignedItem 3 2 4" xfId="23268"/>
    <cellStyle name="SAPBEXunassignedItem 3 2 4 2" xfId="44141"/>
    <cellStyle name="SAPBEXunassignedItem 3 2 5" xfId="14614"/>
    <cellStyle name="SAPBEXunassignedItem 3 2 5 2" xfId="35490"/>
    <cellStyle name="SAPBEXunassignedItem 3 2 6" xfId="26752"/>
    <cellStyle name="SAPBEXunassignedItem 3 3" xfId="21684"/>
    <cellStyle name="SAPBEXunassignedItem 3 3 2" xfId="42559"/>
    <cellStyle name="SAPBEXunassignedItem 3 4" xfId="23204"/>
    <cellStyle name="SAPBEXunassignedItem 3 4 2" xfId="44077"/>
    <cellStyle name="SAPBEXunassignedItem 3 5" xfId="23980"/>
    <cellStyle name="SAPBEXunassignedItem 3 5 2" xfId="44852"/>
    <cellStyle name="SAPBEXunassignedItem 3 6" xfId="12795"/>
    <cellStyle name="SAPBEXunassignedItem 3 6 2" xfId="33672"/>
    <cellStyle name="SAPBEXunassignedItem 3 7" xfId="24922"/>
    <cellStyle name="SAPBEXunassignedItem 4" xfId="9287"/>
    <cellStyle name="SAPBEXunassignedItem 4 2" xfId="22125"/>
    <cellStyle name="SAPBEXunassignedItem 4 2 2" xfId="43000"/>
    <cellStyle name="SAPBEXunassignedItem 4 3" xfId="23281"/>
    <cellStyle name="SAPBEXunassignedItem 4 3 2" xfId="44154"/>
    <cellStyle name="SAPBEXunassignedItem 4 4" xfId="18286"/>
    <cellStyle name="SAPBEXunassignedItem 4 4 2" xfId="39162"/>
    <cellStyle name="SAPBEXunassignedItem 4 5" xfId="30424"/>
    <cellStyle name="SAPBEXunassignedItem 5" xfId="21579"/>
    <cellStyle name="SAPBEXunassignedItem 5 2" xfId="42454"/>
    <cellStyle name="SAPBEXunassignedItem 6" xfId="12341"/>
    <cellStyle name="SAPBEXunassignedItem 6 2" xfId="33230"/>
    <cellStyle name="SAPBEXunassignedItem 7" xfId="24479"/>
    <cellStyle name="SAPBEXundefined" xfId="1178"/>
    <cellStyle name="SAPBEXundefined 10" xfId="20991"/>
    <cellStyle name="SAPBEXundefined 10 2" xfId="41866"/>
    <cellStyle name="SAPBEXundefined 11" xfId="23849"/>
    <cellStyle name="SAPBEXundefined 11 2" xfId="44721"/>
    <cellStyle name="SAPBEXundefined 12" xfId="12179"/>
    <cellStyle name="SAPBEXundefined 12 2" xfId="33079"/>
    <cellStyle name="SAPBEXundefined 13" xfId="24134"/>
    <cellStyle name="SAPBEXundefined 13 2" xfId="45004"/>
    <cellStyle name="SAPBEXundefined 14" xfId="24283"/>
    <cellStyle name="SAPBEXundefined 14 2" xfId="45144"/>
    <cellStyle name="SAPBEXundefined 2" xfId="2854"/>
    <cellStyle name="SAPBEXundefined 2 10" xfId="24481"/>
    <cellStyle name="SAPBEXundefined 2 2" xfId="4482"/>
    <cellStyle name="SAPBEXundefined 2 2 2" xfId="6321"/>
    <cellStyle name="SAPBEXundefined 2 2 2 2" xfId="22626"/>
    <cellStyle name="SAPBEXundefined 2 2 2 2 2" xfId="43501"/>
    <cellStyle name="SAPBEXundefined 2 2 2 3" xfId="21011"/>
    <cellStyle name="SAPBEXundefined 2 2 2 3 2" xfId="41886"/>
    <cellStyle name="SAPBEXundefined 2 2 2 4" xfId="23654"/>
    <cellStyle name="SAPBEXundefined 2 2 2 4 2" xfId="44526"/>
    <cellStyle name="SAPBEXundefined 2 2 2 5" xfId="15330"/>
    <cellStyle name="SAPBEXundefined 2 2 2 5 2" xfId="36206"/>
    <cellStyle name="SAPBEXundefined 2 2 2 6" xfId="27468"/>
    <cellStyle name="SAPBEXundefined 2 2 3" xfId="22085"/>
    <cellStyle name="SAPBEXundefined 2 2 3 2" xfId="42960"/>
    <cellStyle name="SAPBEXundefined 2 2 4" xfId="21399"/>
    <cellStyle name="SAPBEXundefined 2 2 4 2" xfId="42274"/>
    <cellStyle name="SAPBEXundefined 2 2 5" xfId="21657"/>
    <cellStyle name="SAPBEXundefined 2 2 5 2" xfId="42532"/>
    <cellStyle name="SAPBEXundefined 2 2 6" xfId="13512"/>
    <cellStyle name="SAPBEXundefined 2 2 6 2" xfId="34388"/>
    <cellStyle name="SAPBEXundefined 2 2 7" xfId="25650"/>
    <cellStyle name="SAPBEXundefined 2 3" xfId="8461"/>
    <cellStyle name="SAPBEXundefined 2 3 2" xfId="23150"/>
    <cellStyle name="SAPBEXundefined 2 3 2 2" xfId="44023"/>
    <cellStyle name="SAPBEXundefined 2 3 3" xfId="21237"/>
    <cellStyle name="SAPBEXundefined 2 3 3 2" xfId="42112"/>
    <cellStyle name="SAPBEXundefined 2 3 4" xfId="22798"/>
    <cellStyle name="SAPBEXundefined 2 3 4 2" xfId="43673"/>
    <cellStyle name="SAPBEXundefined 2 3 5" xfId="17466"/>
    <cellStyle name="SAPBEXundefined 2 3 5 2" xfId="38342"/>
    <cellStyle name="SAPBEXundefined 2 3 6" xfId="29604"/>
    <cellStyle name="SAPBEXundefined 2 4" xfId="10341"/>
    <cellStyle name="SAPBEXundefined 2 4 2" xfId="23626"/>
    <cellStyle name="SAPBEXundefined 2 4 2 2" xfId="44498"/>
    <cellStyle name="SAPBEXundefined 2 4 3" xfId="22727"/>
    <cellStyle name="SAPBEXundefined 2 4 3 2" xfId="43602"/>
    <cellStyle name="SAPBEXundefined 2 4 4" xfId="22092"/>
    <cellStyle name="SAPBEXundefined 2 4 4 2" xfId="42967"/>
    <cellStyle name="SAPBEXundefined 2 4 5" xfId="19112"/>
    <cellStyle name="SAPBEXundefined 2 4 5 2" xfId="39988"/>
    <cellStyle name="SAPBEXundefined 2 4 6" xfId="31252"/>
    <cellStyle name="SAPBEXundefined 2 5" xfId="20945"/>
    <cellStyle name="SAPBEXundefined 2 5 2" xfId="41820"/>
    <cellStyle name="SAPBEXundefined 2 6" xfId="22097"/>
    <cellStyle name="SAPBEXundefined 2 6 2" xfId="42972"/>
    <cellStyle name="SAPBEXundefined 2 7" xfId="23825"/>
    <cellStyle name="SAPBEXundefined 2 7 2" xfId="44697"/>
    <cellStyle name="SAPBEXundefined 2 8" xfId="12180"/>
    <cellStyle name="SAPBEXundefined 2 8 2" xfId="33080"/>
    <cellStyle name="SAPBEXundefined 2 9" xfId="24218"/>
    <cellStyle name="SAPBEXundefined 2 9 2" xfId="45086"/>
    <cellStyle name="SAPBEXundefined 3" xfId="2855"/>
    <cellStyle name="SAPBEXundefined 3 2" xfId="4483"/>
    <cellStyle name="SAPBEXundefined 3 2 2" xfId="6322"/>
    <cellStyle name="SAPBEXundefined 3 2 2 2" xfId="22627"/>
    <cellStyle name="SAPBEXundefined 3 2 2 2 2" xfId="43502"/>
    <cellStyle name="SAPBEXundefined 3 2 2 3" xfId="21073"/>
    <cellStyle name="SAPBEXundefined 3 2 2 3 2" xfId="41948"/>
    <cellStyle name="SAPBEXundefined 3 2 2 4" xfId="23823"/>
    <cellStyle name="SAPBEXundefined 3 2 2 4 2" xfId="44695"/>
    <cellStyle name="SAPBEXundefined 3 2 2 5" xfId="15331"/>
    <cellStyle name="SAPBEXundefined 3 2 2 5 2" xfId="36207"/>
    <cellStyle name="SAPBEXundefined 3 2 2 6" xfId="27469"/>
    <cellStyle name="SAPBEXundefined 3 2 3" xfId="22086"/>
    <cellStyle name="SAPBEXundefined 3 2 3 2" xfId="42961"/>
    <cellStyle name="SAPBEXundefined 3 2 4" xfId="21856"/>
    <cellStyle name="SAPBEXundefined 3 2 4 2" xfId="42731"/>
    <cellStyle name="SAPBEXundefined 3 2 5" xfId="23781"/>
    <cellStyle name="SAPBEXundefined 3 2 5 2" xfId="44653"/>
    <cellStyle name="SAPBEXundefined 3 2 6" xfId="13513"/>
    <cellStyle name="SAPBEXundefined 3 2 6 2" xfId="34389"/>
    <cellStyle name="SAPBEXundefined 3 2 7" xfId="25651"/>
    <cellStyle name="SAPBEXundefined 3 3" xfId="8462"/>
    <cellStyle name="SAPBEXundefined 3 3 2" xfId="23151"/>
    <cellStyle name="SAPBEXundefined 3 3 2 2" xfId="44024"/>
    <cellStyle name="SAPBEXundefined 3 3 3" xfId="21767"/>
    <cellStyle name="SAPBEXundefined 3 3 3 2" xfId="42642"/>
    <cellStyle name="SAPBEXundefined 3 3 4" xfId="21594"/>
    <cellStyle name="SAPBEXundefined 3 3 4 2" xfId="42469"/>
    <cellStyle name="SAPBEXundefined 3 3 5" xfId="17467"/>
    <cellStyle name="SAPBEXundefined 3 3 5 2" xfId="38343"/>
    <cellStyle name="SAPBEXundefined 3 3 6" xfId="29605"/>
    <cellStyle name="SAPBEXundefined 3 4" xfId="10342"/>
    <cellStyle name="SAPBEXundefined 3 4 2" xfId="23627"/>
    <cellStyle name="SAPBEXundefined 3 4 2 2" xfId="44499"/>
    <cellStyle name="SAPBEXundefined 3 4 3" xfId="22120"/>
    <cellStyle name="SAPBEXundefined 3 4 3 2" xfId="42995"/>
    <cellStyle name="SAPBEXundefined 3 4 4" xfId="21596"/>
    <cellStyle name="SAPBEXundefined 3 4 4 2" xfId="42471"/>
    <cellStyle name="SAPBEXundefined 3 4 5" xfId="19113"/>
    <cellStyle name="SAPBEXundefined 3 4 5 2" xfId="39989"/>
    <cellStyle name="SAPBEXundefined 3 4 6" xfId="31253"/>
    <cellStyle name="SAPBEXundefined 3 5" xfId="21581"/>
    <cellStyle name="SAPBEXundefined 3 5 2" xfId="42456"/>
    <cellStyle name="SAPBEXundefined 3 6" xfId="22367"/>
    <cellStyle name="SAPBEXundefined 3 6 2" xfId="43242"/>
    <cellStyle name="SAPBEXundefined 3 7" xfId="23857"/>
    <cellStyle name="SAPBEXundefined 3 7 2" xfId="44729"/>
    <cellStyle name="SAPBEXundefined 3 8" xfId="12343"/>
    <cellStyle name="SAPBEXundefined 3 8 2" xfId="33232"/>
    <cellStyle name="SAPBEXundefined 3 9" xfId="24482"/>
    <cellStyle name="SAPBEXundefined 4" xfId="2856"/>
    <cellStyle name="SAPBEXundefined 4 2" xfId="4484"/>
    <cellStyle name="SAPBEXundefined 4 2 2" xfId="6323"/>
    <cellStyle name="SAPBEXundefined 4 2 2 2" xfId="22628"/>
    <cellStyle name="SAPBEXundefined 4 2 2 2 2" xfId="43503"/>
    <cellStyle name="SAPBEXundefined 4 2 2 3" xfId="21588"/>
    <cellStyle name="SAPBEXundefined 4 2 2 3 2" xfId="42463"/>
    <cellStyle name="SAPBEXundefined 4 2 2 4" xfId="21262"/>
    <cellStyle name="SAPBEXundefined 4 2 2 4 2" xfId="42137"/>
    <cellStyle name="SAPBEXundefined 4 2 2 5" xfId="15332"/>
    <cellStyle name="SAPBEXundefined 4 2 2 5 2" xfId="36208"/>
    <cellStyle name="SAPBEXundefined 4 2 2 6" xfId="27470"/>
    <cellStyle name="SAPBEXundefined 4 2 3" xfId="22087"/>
    <cellStyle name="SAPBEXundefined 4 2 3 2" xfId="42962"/>
    <cellStyle name="SAPBEXundefined 4 2 4" xfId="22135"/>
    <cellStyle name="SAPBEXundefined 4 2 4 2" xfId="43010"/>
    <cellStyle name="SAPBEXundefined 4 2 5" xfId="23696"/>
    <cellStyle name="SAPBEXundefined 4 2 5 2" xfId="44568"/>
    <cellStyle name="SAPBEXundefined 4 2 6" xfId="13514"/>
    <cellStyle name="SAPBEXundefined 4 2 6 2" xfId="34390"/>
    <cellStyle name="SAPBEXundefined 4 2 7" xfId="25652"/>
    <cellStyle name="SAPBEXundefined 4 3" xfId="8463"/>
    <cellStyle name="SAPBEXundefined 4 3 2" xfId="23152"/>
    <cellStyle name="SAPBEXundefined 4 3 2 2" xfId="44025"/>
    <cellStyle name="SAPBEXundefined 4 3 3" xfId="22238"/>
    <cellStyle name="SAPBEXundefined 4 3 3 2" xfId="43113"/>
    <cellStyle name="SAPBEXundefined 4 3 4" xfId="21096"/>
    <cellStyle name="SAPBEXundefined 4 3 4 2" xfId="41971"/>
    <cellStyle name="SAPBEXundefined 4 3 5" xfId="17468"/>
    <cellStyle name="SAPBEXundefined 4 3 5 2" xfId="38344"/>
    <cellStyle name="SAPBEXundefined 4 3 6" xfId="29606"/>
    <cellStyle name="SAPBEXundefined 4 4" xfId="10343"/>
    <cellStyle name="SAPBEXundefined 4 4 2" xfId="23628"/>
    <cellStyle name="SAPBEXundefined 4 4 2 2" xfId="44500"/>
    <cellStyle name="SAPBEXundefined 4 4 3" xfId="22352"/>
    <cellStyle name="SAPBEXundefined 4 4 3 2" xfId="43227"/>
    <cellStyle name="SAPBEXundefined 4 4 4" xfId="21137"/>
    <cellStyle name="SAPBEXundefined 4 4 4 2" xfId="42012"/>
    <cellStyle name="SAPBEXundefined 4 4 5" xfId="19114"/>
    <cellStyle name="SAPBEXundefined 4 4 5 2" xfId="39990"/>
    <cellStyle name="SAPBEXundefined 4 4 6" xfId="31254"/>
    <cellStyle name="SAPBEXundefined 4 5" xfId="21582"/>
    <cellStyle name="SAPBEXundefined 4 5 2" xfId="42457"/>
    <cellStyle name="SAPBEXundefined 4 6" xfId="22240"/>
    <cellStyle name="SAPBEXundefined 4 6 2" xfId="43115"/>
    <cellStyle name="SAPBEXundefined 4 7" xfId="21283"/>
    <cellStyle name="SAPBEXundefined 4 7 2" xfId="42158"/>
    <cellStyle name="SAPBEXundefined 4 8" xfId="12344"/>
    <cellStyle name="SAPBEXundefined 4 8 2" xfId="33233"/>
    <cellStyle name="SAPBEXundefined 4 9" xfId="24483"/>
    <cellStyle name="SAPBEXundefined 5" xfId="2857"/>
    <cellStyle name="SAPBEXundefined 5 2" xfId="4485"/>
    <cellStyle name="SAPBEXundefined 5 2 2" xfId="6324"/>
    <cellStyle name="SAPBEXundefined 5 2 2 2" xfId="22629"/>
    <cellStyle name="SAPBEXundefined 5 2 2 2 2" xfId="43504"/>
    <cellStyle name="SAPBEXundefined 5 2 2 3" xfId="23773"/>
    <cellStyle name="SAPBEXundefined 5 2 2 3 2" xfId="44645"/>
    <cellStyle name="SAPBEXundefined 5 2 2 4" xfId="23670"/>
    <cellStyle name="SAPBEXundefined 5 2 2 4 2" xfId="44542"/>
    <cellStyle name="SAPBEXundefined 5 2 2 5" xfId="15333"/>
    <cellStyle name="SAPBEXundefined 5 2 2 5 2" xfId="36209"/>
    <cellStyle name="SAPBEXundefined 5 2 2 6" xfId="27471"/>
    <cellStyle name="SAPBEXundefined 5 2 3" xfId="22088"/>
    <cellStyle name="SAPBEXundefined 5 2 3 2" xfId="42963"/>
    <cellStyle name="SAPBEXundefined 5 2 4" xfId="22147"/>
    <cellStyle name="SAPBEXundefined 5 2 4 2" xfId="43022"/>
    <cellStyle name="SAPBEXundefined 5 2 5" xfId="21261"/>
    <cellStyle name="SAPBEXundefined 5 2 5 2" xfId="42136"/>
    <cellStyle name="SAPBEXundefined 5 2 6" xfId="13515"/>
    <cellStyle name="SAPBEXundefined 5 2 6 2" xfId="34391"/>
    <cellStyle name="SAPBEXundefined 5 2 7" xfId="25653"/>
    <cellStyle name="SAPBEXundefined 5 3" xfId="8464"/>
    <cellStyle name="SAPBEXundefined 5 3 2" xfId="23153"/>
    <cellStyle name="SAPBEXundefined 5 3 2 2" xfId="44026"/>
    <cellStyle name="SAPBEXundefined 5 3 3" xfId="23875"/>
    <cellStyle name="SAPBEXundefined 5 3 3 2" xfId="44747"/>
    <cellStyle name="SAPBEXundefined 5 3 4" xfId="22910"/>
    <cellStyle name="SAPBEXundefined 5 3 4 2" xfId="43784"/>
    <cellStyle name="SAPBEXundefined 5 3 5" xfId="17469"/>
    <cellStyle name="SAPBEXundefined 5 3 5 2" xfId="38345"/>
    <cellStyle name="SAPBEXundefined 5 3 6" xfId="29607"/>
    <cellStyle name="SAPBEXundefined 5 4" xfId="10344"/>
    <cellStyle name="SAPBEXundefined 5 4 2" xfId="23629"/>
    <cellStyle name="SAPBEXundefined 5 4 2 2" xfId="44501"/>
    <cellStyle name="SAPBEXundefined 5 4 3" xfId="22833"/>
    <cellStyle name="SAPBEXundefined 5 4 3 2" xfId="43708"/>
    <cellStyle name="SAPBEXundefined 5 4 4" xfId="23795"/>
    <cellStyle name="SAPBEXundefined 5 4 4 2" xfId="44667"/>
    <cellStyle name="SAPBEXundefined 5 4 5" xfId="19115"/>
    <cellStyle name="SAPBEXundefined 5 4 5 2" xfId="39991"/>
    <cellStyle name="SAPBEXundefined 5 4 6" xfId="31255"/>
    <cellStyle name="SAPBEXundefined 5 5" xfId="21583"/>
    <cellStyle name="SAPBEXundefined 5 5 2" xfId="42458"/>
    <cellStyle name="SAPBEXundefined 5 6" xfId="22895"/>
    <cellStyle name="SAPBEXundefined 5 6 2" xfId="43769"/>
    <cellStyle name="SAPBEXundefined 5 7" xfId="21209"/>
    <cellStyle name="SAPBEXundefined 5 7 2" xfId="42084"/>
    <cellStyle name="SAPBEXundefined 5 8" xfId="12345"/>
    <cellStyle name="SAPBEXundefined 5 8 2" xfId="33234"/>
    <cellStyle name="SAPBEXundefined 5 9" xfId="24484"/>
    <cellStyle name="SAPBEXundefined 6" xfId="3842"/>
    <cellStyle name="SAPBEXundefined 6 2" xfId="6071"/>
    <cellStyle name="SAPBEXundefined 6 2 2" xfId="22430"/>
    <cellStyle name="SAPBEXundefined 6 2 2 2" xfId="43305"/>
    <cellStyle name="SAPBEXundefined 6 2 3" xfId="21658"/>
    <cellStyle name="SAPBEXundefined 6 2 3 2" xfId="42533"/>
    <cellStyle name="SAPBEXundefined 6 2 4" xfId="23946"/>
    <cellStyle name="SAPBEXundefined 6 2 4 2" xfId="44818"/>
    <cellStyle name="SAPBEXundefined 6 2 5" xfId="15080"/>
    <cellStyle name="SAPBEXundefined 6 2 5 2" xfId="35956"/>
    <cellStyle name="SAPBEXundefined 6 2 6" xfId="27218"/>
    <cellStyle name="SAPBEXundefined 6 3" xfId="21816"/>
    <cellStyle name="SAPBEXundefined 6 3 2" xfId="42691"/>
    <cellStyle name="SAPBEXundefined 6 4" xfId="22644"/>
    <cellStyle name="SAPBEXundefined 6 4 2" xfId="43519"/>
    <cellStyle name="SAPBEXundefined 6 5" xfId="21188"/>
    <cellStyle name="SAPBEXundefined 6 5 2" xfId="42063"/>
    <cellStyle name="SAPBEXundefined 6 6" xfId="13262"/>
    <cellStyle name="SAPBEXundefined 6 6 2" xfId="34138"/>
    <cellStyle name="SAPBEXundefined 6 7" xfId="25400"/>
    <cellStyle name="SAPBEXundefined 7" xfId="8460"/>
    <cellStyle name="SAPBEXundefined 7 2" xfId="23149"/>
    <cellStyle name="SAPBEXundefined 7 2 2" xfId="44022"/>
    <cellStyle name="SAPBEXundefined 7 3" xfId="22717"/>
    <cellStyle name="SAPBEXundefined 7 3 2" xfId="43592"/>
    <cellStyle name="SAPBEXundefined 7 4" xfId="22443"/>
    <cellStyle name="SAPBEXundefined 7 4 2" xfId="43318"/>
    <cellStyle name="SAPBEXundefined 7 5" xfId="17465"/>
    <cellStyle name="SAPBEXundefined 7 5 2" xfId="38341"/>
    <cellStyle name="SAPBEXundefined 7 6" xfId="29603"/>
    <cellStyle name="SAPBEXundefined 8" xfId="10340"/>
    <cellStyle name="SAPBEXundefined 8 2" xfId="23625"/>
    <cellStyle name="SAPBEXundefined 8 2 2" xfId="44497"/>
    <cellStyle name="SAPBEXundefined 8 3" xfId="22215"/>
    <cellStyle name="SAPBEXundefined 8 3 2" xfId="43090"/>
    <cellStyle name="SAPBEXundefined 8 4" xfId="22676"/>
    <cellStyle name="SAPBEXundefined 8 4 2" xfId="43551"/>
    <cellStyle name="SAPBEXundefined 8 5" xfId="19111"/>
    <cellStyle name="SAPBEXundefined 8 5 2" xfId="39987"/>
    <cellStyle name="SAPBEXundefined 8 6" xfId="31251"/>
    <cellStyle name="SAPBEXundefined 9" xfId="20944"/>
    <cellStyle name="SAPBEXundefined 9 2" xfId="41819"/>
    <cellStyle name="SHADEDSTORES" xfId="1179"/>
    <cellStyle name="SHADEDSTORES 10" xfId="24304"/>
    <cellStyle name="SHADEDSTORES 2" xfId="2858"/>
    <cellStyle name="SHADEDSTORES 2 2" xfId="4486"/>
    <cellStyle name="SHADEDSTORES 2 2 2" xfId="6325"/>
    <cellStyle name="SHADEDSTORES 2 2 2 2" xfId="22630"/>
    <cellStyle name="SHADEDSTORES 2 2 2 2 2" xfId="43505"/>
    <cellStyle name="SHADEDSTORES 2 2 2 3" xfId="23246"/>
    <cellStyle name="SHADEDSTORES 2 2 2 3 2" xfId="44119"/>
    <cellStyle name="SHADEDSTORES 2 2 2 4" xfId="21853"/>
    <cellStyle name="SHADEDSTORES 2 2 2 4 2" xfId="42728"/>
    <cellStyle name="SHADEDSTORES 2 2 2 5" xfId="15334"/>
    <cellStyle name="SHADEDSTORES 2 2 2 5 2" xfId="36210"/>
    <cellStyle name="SHADEDSTORES 2 2 2 6" xfId="27472"/>
    <cellStyle name="SHADEDSTORES 2 2 3" xfId="22089"/>
    <cellStyle name="SHADEDSTORES 2 2 3 2" xfId="42964"/>
    <cellStyle name="SHADEDSTORES 2 2 4" xfId="23820"/>
    <cellStyle name="SHADEDSTORES 2 2 4 2" xfId="44692"/>
    <cellStyle name="SHADEDSTORES 2 2 5" xfId="24092"/>
    <cellStyle name="SHADEDSTORES 2 2 5 2" xfId="44963"/>
    <cellStyle name="SHADEDSTORES 2 2 6" xfId="13516"/>
    <cellStyle name="SHADEDSTORES 2 2 6 2" xfId="34392"/>
    <cellStyle name="SHADEDSTORES 2 2 7" xfId="25654"/>
    <cellStyle name="SHADEDSTORES 2 3" xfId="21584"/>
    <cellStyle name="SHADEDSTORES 2 3 2" xfId="42459"/>
    <cellStyle name="SHADEDSTORES 2 4" xfId="21673"/>
    <cellStyle name="SHADEDSTORES 2 4 2" xfId="42548"/>
    <cellStyle name="SHADEDSTORES 2 5" xfId="12346"/>
    <cellStyle name="SHADEDSTORES 2 5 2" xfId="33235"/>
    <cellStyle name="SHADEDSTORES 2 6" xfId="24485"/>
    <cellStyle name="SHADEDSTORES 3" xfId="2859"/>
    <cellStyle name="SHADEDSTORES 3 2" xfId="4487"/>
    <cellStyle name="SHADEDSTORES 3 2 2" xfId="6326"/>
    <cellStyle name="SHADEDSTORES 3 2 2 2" xfId="22631"/>
    <cellStyle name="SHADEDSTORES 3 2 2 2 2" xfId="43506"/>
    <cellStyle name="SHADEDSTORES 3 2 2 3" xfId="23159"/>
    <cellStyle name="SHADEDSTORES 3 2 2 3 2" xfId="44032"/>
    <cellStyle name="SHADEDSTORES 3 2 2 4" xfId="21286"/>
    <cellStyle name="SHADEDSTORES 3 2 2 4 2" xfId="42161"/>
    <cellStyle name="SHADEDSTORES 3 2 2 5" xfId="15335"/>
    <cellStyle name="SHADEDSTORES 3 2 2 5 2" xfId="36211"/>
    <cellStyle name="SHADEDSTORES 3 2 2 6" xfId="27473"/>
    <cellStyle name="SHADEDSTORES 3 2 3" xfId="22090"/>
    <cellStyle name="SHADEDSTORES 3 2 3 2" xfId="42965"/>
    <cellStyle name="SHADEDSTORES 3 2 4" xfId="22922"/>
    <cellStyle name="SHADEDSTORES 3 2 4 2" xfId="43796"/>
    <cellStyle name="SHADEDSTORES 3 2 5" xfId="22178"/>
    <cellStyle name="SHADEDSTORES 3 2 5 2" xfId="43053"/>
    <cellStyle name="SHADEDSTORES 3 2 6" xfId="13517"/>
    <cellStyle name="SHADEDSTORES 3 2 6 2" xfId="34393"/>
    <cellStyle name="SHADEDSTORES 3 2 7" xfId="25655"/>
    <cellStyle name="SHADEDSTORES 3 3" xfId="21585"/>
    <cellStyle name="SHADEDSTORES 3 3 2" xfId="42460"/>
    <cellStyle name="SHADEDSTORES 3 4" xfId="21208"/>
    <cellStyle name="SHADEDSTORES 3 4 2" xfId="42083"/>
    <cellStyle name="SHADEDSTORES 3 5" xfId="12347"/>
    <cellStyle name="SHADEDSTORES 3 5 2" xfId="33236"/>
    <cellStyle name="SHADEDSTORES 3 6" xfId="24486"/>
    <cellStyle name="SHADEDSTORES 4" xfId="3843"/>
    <cellStyle name="SHADEDSTORES 4 2" xfId="6072"/>
    <cellStyle name="SHADEDSTORES 4 2 2" xfId="22431"/>
    <cellStyle name="SHADEDSTORES 4 2 2 2" xfId="43306"/>
    <cellStyle name="SHADEDSTORES 4 2 3" xfId="21039"/>
    <cellStyle name="SHADEDSTORES 4 2 3 2" xfId="41914"/>
    <cellStyle name="SHADEDSTORES 4 2 4" xfId="22817"/>
    <cellStyle name="SHADEDSTORES 4 2 4 2" xfId="43692"/>
    <cellStyle name="SHADEDSTORES 4 2 5" xfId="15081"/>
    <cellStyle name="SHADEDSTORES 4 2 5 2" xfId="35957"/>
    <cellStyle name="SHADEDSTORES 4 2 6" xfId="27219"/>
    <cellStyle name="SHADEDSTORES 4 3" xfId="21817"/>
    <cellStyle name="SHADEDSTORES 4 3 2" xfId="42692"/>
    <cellStyle name="SHADEDSTORES 4 4" xfId="22372"/>
    <cellStyle name="SHADEDSTORES 4 4 2" xfId="43247"/>
    <cellStyle name="SHADEDSTORES 4 5" xfId="23701"/>
    <cellStyle name="SHADEDSTORES 4 5 2" xfId="44573"/>
    <cellStyle name="SHADEDSTORES 4 6" xfId="13263"/>
    <cellStyle name="SHADEDSTORES 4 6 2" xfId="34139"/>
    <cellStyle name="SHADEDSTORES 4 7" xfId="25401"/>
    <cellStyle name="SHADEDSTORES 5" xfId="9938"/>
    <cellStyle name="SHADEDSTORES 5 2" xfId="22744"/>
    <cellStyle name="SHADEDSTORES 5 2 2" xfId="43619"/>
    <cellStyle name="SHADEDSTORES 5 3" xfId="31072"/>
    <cellStyle name="SHADEDSTORES 6" xfId="12191"/>
    <cellStyle name="SHADEDSTORES 6 2" xfId="33089"/>
    <cellStyle name="SHADEDSTORES 7" xfId="20946"/>
    <cellStyle name="SHADEDSTORES 7 2" xfId="41821"/>
    <cellStyle name="SHADEDSTORES 8" xfId="12181"/>
    <cellStyle name="SHADEDSTORES 8 2" xfId="33081"/>
    <cellStyle name="SHADEDSTORES 9" xfId="24133"/>
    <cellStyle name="SHADEDSTORES 9 2" xfId="45003"/>
    <cellStyle name="Sheet Title" xfId="2860"/>
    <cellStyle name="specstores" xfId="1180"/>
    <cellStyle name="Standard_Division-List (A)" xfId="1181"/>
    <cellStyle name="subhead" xfId="1182"/>
    <cellStyle name="Subtotal" xfId="1183"/>
    <cellStyle name="Text Indent A" xfId="1184"/>
    <cellStyle name="Text Indent B" xfId="1185"/>
    <cellStyle name="Text Indent C" xfId="1186"/>
    <cellStyle name="title [1]" xfId="1187"/>
    <cellStyle name="title [2]" xfId="1188"/>
    <cellStyle name="Total" xfId="1189"/>
    <cellStyle name="UM" xfId="1190"/>
    <cellStyle name="Warning Text" xfId="2861"/>
    <cellStyle name="|?ドE" xfId="1033"/>
    <cellStyle name="강조색1" xfId="3775" builtinId="29" customBuiltin="1"/>
    <cellStyle name="강조색1 2" xfId="4158"/>
    <cellStyle name="강조색2" xfId="3779" builtinId="33" customBuiltin="1"/>
    <cellStyle name="강조색2 2" xfId="4157"/>
    <cellStyle name="강조색3" xfId="3783" builtinId="37" customBuiltin="1"/>
    <cellStyle name="강조색3 2" xfId="4156"/>
    <cellStyle name="강조색4" xfId="3787" builtinId="41" customBuiltin="1"/>
    <cellStyle name="강조색4 2" xfId="4155"/>
    <cellStyle name="강조색5" xfId="3791" builtinId="45" customBuiltin="1"/>
    <cellStyle name="강조색5 2" xfId="4154"/>
    <cellStyle name="강조색6" xfId="3795" builtinId="49" customBuiltin="1"/>
    <cellStyle name="강조색6 2" xfId="4153"/>
    <cellStyle name="경고문" xfId="3772" builtinId="11" customBuiltin="1"/>
    <cellStyle name="경고문 2" xfId="4152"/>
    <cellStyle name="계산" xfId="3769" builtinId="22" customBuiltin="1"/>
    <cellStyle name="계산 2" xfId="4151"/>
    <cellStyle name="계산 2 10" xfId="24284"/>
    <cellStyle name="계산 2 10 2" xfId="45145"/>
    <cellStyle name="계산 2 11" xfId="25480"/>
    <cellStyle name="계산 2 2" xfId="6151"/>
    <cellStyle name="계산 2 2 2" xfId="22456"/>
    <cellStyle name="계산 2 2 2 2" xfId="43331"/>
    <cellStyle name="계산 2 2 3" xfId="21282"/>
    <cellStyle name="계산 2 2 3 2" xfId="42157"/>
    <cellStyle name="계산 2 2 4" xfId="22379"/>
    <cellStyle name="계산 2 2 4 2" xfId="43254"/>
    <cellStyle name="계산 2 2 5" xfId="15160"/>
    <cellStyle name="계산 2 2 5 2" xfId="36036"/>
    <cellStyle name="계산 2 2 6" xfId="27298"/>
    <cellStyle name="계산 2 3" xfId="9109"/>
    <cellStyle name="계산 2 3 2" xfId="23269"/>
    <cellStyle name="계산 2 3 2 2" xfId="44142"/>
    <cellStyle name="계산 2 3 3" xfId="21248"/>
    <cellStyle name="계산 2 3 3 2" xfId="42123"/>
    <cellStyle name="계산 2 3 4" xfId="21101"/>
    <cellStyle name="계산 2 3 4 2" xfId="41976"/>
    <cellStyle name="계산 2 3 5" xfId="18113"/>
    <cellStyle name="계산 2 3 5 2" xfId="38989"/>
    <cellStyle name="계산 2 3 6" xfId="30251"/>
    <cellStyle name="계산 2 4" xfId="13342"/>
    <cellStyle name="계산 2 4 2" xfId="34218"/>
    <cellStyle name="계산 2 5" xfId="20863"/>
    <cellStyle name="계산 2 5 2" xfId="41739"/>
    <cellStyle name="계산 2 6" xfId="21703"/>
    <cellStyle name="계산 2 6 2" xfId="42578"/>
    <cellStyle name="계산 2 7" xfId="23254"/>
    <cellStyle name="계산 2 7 2" xfId="44127"/>
    <cellStyle name="계산 2 8" xfId="12092"/>
    <cellStyle name="계산 2 8 2" xfId="32997"/>
    <cellStyle name="계산 2 9" xfId="24219"/>
    <cellStyle name="계산 2 9 2" xfId="45087"/>
    <cellStyle name="계산 3" xfId="4150"/>
    <cellStyle name="계산 3 10" xfId="25479"/>
    <cellStyle name="계산 3 2" xfId="6150"/>
    <cellStyle name="계산 3 2 2" xfId="22455"/>
    <cellStyle name="계산 3 2 2 2" xfId="43330"/>
    <cellStyle name="계산 3 2 3" xfId="21165"/>
    <cellStyle name="계산 3 2 3 2" xfId="42040"/>
    <cellStyle name="계산 3 2 4" xfId="22662"/>
    <cellStyle name="계산 3 2 4 2" xfId="43537"/>
    <cellStyle name="계산 3 2 5" xfId="15159"/>
    <cellStyle name="계산 3 2 5 2" xfId="36035"/>
    <cellStyle name="계산 3 2 6" xfId="27297"/>
    <cellStyle name="계산 3 3" xfId="9110"/>
    <cellStyle name="계산 3 3 2" xfId="23270"/>
    <cellStyle name="계산 3 3 2 2" xfId="44143"/>
    <cellStyle name="계산 3 3 3" xfId="21133"/>
    <cellStyle name="계산 3 3 3 2" xfId="42008"/>
    <cellStyle name="계산 3 3 4" xfId="21034"/>
    <cellStyle name="계산 3 3 4 2" xfId="41909"/>
    <cellStyle name="계산 3 3 5" xfId="18114"/>
    <cellStyle name="계산 3 3 5 2" xfId="38990"/>
    <cellStyle name="계산 3 3 6" xfId="30252"/>
    <cellStyle name="계산 3 4" xfId="13341"/>
    <cellStyle name="계산 3 4 2" xfId="34217"/>
    <cellStyle name="계산 3 5" xfId="20864"/>
    <cellStyle name="계산 3 5 2" xfId="41740"/>
    <cellStyle name="계산 3 6" xfId="24027"/>
    <cellStyle name="계산 3 6 2" xfId="44899"/>
    <cellStyle name="계산 3 7" xfId="22924"/>
    <cellStyle name="계산 3 7 2" xfId="43798"/>
    <cellStyle name="계산 3 8" xfId="12093"/>
    <cellStyle name="계산 3 8 2" xfId="32998"/>
    <cellStyle name="계산 3 9" xfId="24220"/>
    <cellStyle name="계산 3 9 2" xfId="45088"/>
    <cellStyle name="고정소숫점" xfId="1007"/>
    <cellStyle name="고정출력1" xfId="1008"/>
    <cellStyle name="고정출력2" xfId="1009"/>
    <cellStyle name="나쁨" xfId="3765" builtinId="27" customBuiltin="1"/>
    <cellStyle name="나쁨 2" xfId="4149"/>
    <cellStyle name="날짜" xfId="1010"/>
    <cellStyle name="달러" xfId="1011"/>
    <cellStyle name="뒤에 오는 하이퍼링크" xfId="1012"/>
    <cellStyle name="똿뗦먛귟 [0.00]_PRODUCT DETAIL Q1" xfId="1013"/>
    <cellStyle name="똿뗦먛귟_PRODUCT DETAIL Q1" xfId="1014"/>
    <cellStyle name="메모 2" xfId="3801"/>
    <cellStyle name="메모 2 10" xfId="25363"/>
    <cellStyle name="메모 2 2" xfId="4148"/>
    <cellStyle name="메모 2 2 2" xfId="6149"/>
    <cellStyle name="메모 2 2 2 2" xfId="22454"/>
    <cellStyle name="메모 2 2 2 2 2" xfId="43329"/>
    <cellStyle name="메모 2 2 2 3" xfId="24054"/>
    <cellStyle name="메모 2 2 2 3 2" xfId="44926"/>
    <cellStyle name="메모 2 2 2 4" xfId="23398"/>
    <cellStyle name="메모 2 2 2 4 2" xfId="44270"/>
    <cellStyle name="메모 2 2 2 5" xfId="15158"/>
    <cellStyle name="메모 2 2 2 5 2" xfId="36034"/>
    <cellStyle name="메모 2 2 2 6" xfId="27296"/>
    <cellStyle name="메모 2 2 3" xfId="21878"/>
    <cellStyle name="메모 2 2 3 2" xfId="42753"/>
    <cellStyle name="메모 2 2 4" xfId="23782"/>
    <cellStyle name="메모 2 2 4 2" xfId="44654"/>
    <cellStyle name="메모 2 2 5" xfId="22018"/>
    <cellStyle name="메모 2 2 5 2" xfId="42893"/>
    <cellStyle name="메모 2 2 6" xfId="13340"/>
    <cellStyle name="메모 2 2 6 2" xfId="34216"/>
    <cellStyle name="메모 2 2 7" xfId="25478"/>
    <cellStyle name="메모 2 3" xfId="6034"/>
    <cellStyle name="메모 2 3 2" xfId="15043"/>
    <cellStyle name="메모 2 3 2 2" xfId="35919"/>
    <cellStyle name="메모 2 3 3" xfId="27181"/>
    <cellStyle name="메모 2 4" xfId="9111"/>
    <cellStyle name="메모 2 4 2" xfId="23271"/>
    <cellStyle name="메모 2 4 2 2" xfId="44144"/>
    <cellStyle name="메모 2 4 3" xfId="23163"/>
    <cellStyle name="메모 2 4 3 2" xfId="44036"/>
    <cellStyle name="메모 2 4 4" xfId="22375"/>
    <cellStyle name="메모 2 4 4 2" xfId="43250"/>
    <cellStyle name="메모 2 4 5" xfId="18115"/>
    <cellStyle name="메모 2 4 5 2" xfId="38991"/>
    <cellStyle name="메모 2 4 6" xfId="30253"/>
    <cellStyle name="메모 2 5" xfId="13224"/>
    <cellStyle name="메모 2 5 2" xfId="34101"/>
    <cellStyle name="메모 2 6" xfId="20865"/>
    <cellStyle name="메모 2 6 2" xfId="41741"/>
    <cellStyle name="메모 2 7" xfId="12094"/>
    <cellStyle name="메모 2 7 2" xfId="32999"/>
    <cellStyle name="메모 2 8" xfId="24221"/>
    <cellStyle name="메모 2 8 2" xfId="45089"/>
    <cellStyle name="메모 2 9" xfId="24285"/>
    <cellStyle name="메모 2 9 2" xfId="45146"/>
    <cellStyle name="메모 3" xfId="4147"/>
    <cellStyle name="메모 3 10" xfId="25477"/>
    <cellStyle name="메모 3 2" xfId="6148"/>
    <cellStyle name="메모 3 2 2" xfId="22453"/>
    <cellStyle name="메모 3 2 2 2" xfId="43328"/>
    <cellStyle name="메모 3 2 3" xfId="22249"/>
    <cellStyle name="메모 3 2 3 2" xfId="43124"/>
    <cellStyle name="메모 3 2 4" xfId="21597"/>
    <cellStyle name="메모 3 2 4 2" xfId="42472"/>
    <cellStyle name="메모 3 2 5" xfId="15157"/>
    <cellStyle name="메모 3 2 5 2" xfId="36033"/>
    <cellStyle name="메모 3 2 6" xfId="27295"/>
    <cellStyle name="메모 3 3" xfId="9112"/>
    <cellStyle name="메모 3 3 2" xfId="23272"/>
    <cellStyle name="메모 3 3 2 2" xfId="44145"/>
    <cellStyle name="메모 3 3 3" xfId="22150"/>
    <cellStyle name="메모 3 3 3 2" xfId="43025"/>
    <cellStyle name="메모 3 3 4" xfId="20960"/>
    <cellStyle name="메모 3 3 4 2" xfId="41835"/>
    <cellStyle name="메모 3 3 5" xfId="18116"/>
    <cellStyle name="메모 3 3 5 2" xfId="38992"/>
    <cellStyle name="메모 3 3 6" xfId="30254"/>
    <cellStyle name="메모 3 4" xfId="13339"/>
    <cellStyle name="메모 3 4 2" xfId="34215"/>
    <cellStyle name="메모 3 5" xfId="20866"/>
    <cellStyle name="메모 3 5 2" xfId="41742"/>
    <cellStyle name="메모 3 6" xfId="22773"/>
    <cellStyle name="메모 3 6 2" xfId="43648"/>
    <cellStyle name="메모 3 7" xfId="23681"/>
    <cellStyle name="메모 3 7 2" xfId="44553"/>
    <cellStyle name="메모 3 8" xfId="12095"/>
    <cellStyle name="메모 3 8 2" xfId="33000"/>
    <cellStyle name="메모 3 9" xfId="24222"/>
    <cellStyle name="메모 3 9 2" xfId="45090"/>
    <cellStyle name="믅됞 [0.00]_PRODUCT DETAIL Q1" xfId="1015"/>
    <cellStyle name="믅됞_PRODUCT DETAIL Q1" xfId="1016"/>
    <cellStyle name="백분율" xfId="1" builtinId="5"/>
    <cellStyle name="백분율 [0]" xfId="1017"/>
    <cellStyle name="백분율 [2]" xfId="1018"/>
    <cellStyle name="백분율 10" xfId="2862"/>
    <cellStyle name="백분율 10 2" xfId="9939"/>
    <cellStyle name="백분율 11" xfId="2863"/>
    <cellStyle name="백분율 11 2" xfId="9940"/>
    <cellStyle name="백분율 12" xfId="3100"/>
    <cellStyle name="백분율 12 2" xfId="9941"/>
    <cellStyle name="백분율 13" xfId="3318"/>
    <cellStyle name="백분율 13 2" xfId="9942"/>
    <cellStyle name="백분율 14" xfId="3320"/>
    <cellStyle name="백분율 14 2" xfId="9943"/>
    <cellStyle name="백분율 15" xfId="3270"/>
    <cellStyle name="백분율 15 2" xfId="9944"/>
    <cellStyle name="백분율 16" xfId="3319"/>
    <cellStyle name="백분율 16 2" xfId="9945"/>
    <cellStyle name="백분율 17" xfId="4925"/>
    <cellStyle name="백분율 17 2" xfId="9946"/>
    <cellStyle name="백분율 18" xfId="5144"/>
    <cellStyle name="백분율 18 2" xfId="9947"/>
    <cellStyle name="백분율 19" xfId="5146"/>
    <cellStyle name="백분율 19 2" xfId="9948"/>
    <cellStyle name="백분율 2" xfId="1193"/>
    <cellStyle name="백분율 2 10" xfId="4145"/>
    <cellStyle name="백분율 2 11" xfId="4144"/>
    <cellStyle name="백분율 2 12" xfId="4146"/>
    <cellStyle name="백분율 2 13" xfId="12194"/>
    <cellStyle name="백분율 2 14" xfId="24286"/>
    <cellStyle name="백분율 2 2" xfId="1194"/>
    <cellStyle name="백분율 2 2 2" xfId="4143"/>
    <cellStyle name="백분율 2 2 3" xfId="12195"/>
    <cellStyle name="백분율 2 3" xfId="2864"/>
    <cellStyle name="백분율 2 3 2" xfId="4142"/>
    <cellStyle name="백분율 2 3 3" xfId="12348"/>
    <cellStyle name="백분율 2 4" xfId="4141"/>
    <cellStyle name="백분율 2 5" xfId="4140"/>
    <cellStyle name="백분율 2 6" xfId="4139"/>
    <cellStyle name="백분율 2 7" xfId="4138"/>
    <cellStyle name="백분율 2 8" xfId="4137"/>
    <cellStyle name="백분율 2 9" xfId="4136"/>
    <cellStyle name="백분율 20" xfId="5096"/>
    <cellStyle name="백분율 20 2" xfId="24223"/>
    <cellStyle name="백분율 21" xfId="5145"/>
    <cellStyle name="백분율 21 2" xfId="24224"/>
    <cellStyle name="백분율 22" xfId="5069"/>
    <cellStyle name="백분율 23" xfId="5166"/>
    <cellStyle name="백분율 23 2" xfId="10988"/>
    <cellStyle name="백분율 24" xfId="11208"/>
    <cellStyle name="백분율 25" xfId="11209"/>
    <cellStyle name="백분율 26" xfId="11158"/>
    <cellStyle name="백분율 27" xfId="12096"/>
    <cellStyle name="백분율 28" xfId="24240"/>
    <cellStyle name="백분율 28 2" xfId="45103"/>
    <cellStyle name="백분율 29" xfId="24241"/>
    <cellStyle name="백분율 29 2" xfId="45104"/>
    <cellStyle name="백분율 3" xfId="1195"/>
    <cellStyle name="백분율 3 2" xfId="2865"/>
    <cellStyle name="백분율 3 3" xfId="24287"/>
    <cellStyle name="백분율 30" xfId="24246"/>
    <cellStyle name="백분율 30 2" xfId="45108"/>
    <cellStyle name="백분율 31" xfId="24292"/>
    <cellStyle name="백분율 31 2" xfId="45149"/>
    <cellStyle name="백분율 4" xfId="2866"/>
    <cellStyle name="백분율 4 2" xfId="3803"/>
    <cellStyle name="백분율 4 3" xfId="9949"/>
    <cellStyle name="백분율 5" xfId="2867"/>
    <cellStyle name="백분율 5 2" xfId="9950"/>
    <cellStyle name="백분율 6" xfId="2868"/>
    <cellStyle name="백분율 6 2" xfId="9951"/>
    <cellStyle name="백분율 7" xfId="2869"/>
    <cellStyle name="백분율 7 2" xfId="9952"/>
    <cellStyle name="백분율 8" xfId="2870"/>
    <cellStyle name="백분율 8 2" xfId="9953"/>
    <cellStyle name="백분율 9" xfId="2871"/>
    <cellStyle name="백분율 9 2" xfId="9954"/>
    <cellStyle name="보통" xfId="3766" builtinId="28" customBuiltin="1"/>
    <cellStyle name="보통 2" xfId="4135"/>
    <cellStyle name="뷭?_1234@PC" xfId="1019"/>
    <cellStyle name="설명 텍스트" xfId="3773" builtinId="53" customBuiltin="1"/>
    <cellStyle name="설명 텍스트 2" xfId="4134"/>
    <cellStyle name="셀 확인" xfId="3771" builtinId="23" customBuiltin="1"/>
    <cellStyle name="셀 확인 2" xfId="4133"/>
    <cellStyle name="숫자(R)" xfId="1020"/>
    <cellStyle name="쉼표 [0]" xfId="2" builtinId="6"/>
    <cellStyle name="쉼표 [0] 10" xfId="4132"/>
    <cellStyle name="쉼표 [0] 10 2" xfId="4131"/>
    <cellStyle name="쉼표 [0] 10 3" xfId="4130"/>
    <cellStyle name="쉼표 [0] 10 4" xfId="4129"/>
    <cellStyle name="쉼표 [0] 11" xfId="4128"/>
    <cellStyle name="쉼표 [0] 11 2" xfId="4127"/>
    <cellStyle name="쉼표 [0] 11 3" xfId="4126"/>
    <cellStyle name="쉼표 [0] 11 4" xfId="4125"/>
    <cellStyle name="쉼표 [0] 12" xfId="4124"/>
    <cellStyle name="쉼표 [0] 13" xfId="3847"/>
    <cellStyle name="쉼표 [0] 13 2" xfId="6074"/>
    <cellStyle name="쉼표 [0] 13 2 2" xfId="9956"/>
    <cellStyle name="쉼표 [0] 13 2 3" xfId="15083"/>
    <cellStyle name="쉼표 [0] 13 2 3 2" xfId="35959"/>
    <cellStyle name="쉼표 [0] 13 2 4" xfId="27221"/>
    <cellStyle name="쉼표 [0] 13 3" xfId="9203"/>
    <cellStyle name="쉼표 [0] 13 3 2" xfId="9957"/>
    <cellStyle name="쉼표 [0] 13 3 3" xfId="18207"/>
    <cellStyle name="쉼표 [0] 13 3 3 2" xfId="39083"/>
    <cellStyle name="쉼표 [0] 13 3 4" xfId="30345"/>
    <cellStyle name="쉼표 [0] 13 4" xfId="9276"/>
    <cellStyle name="쉼표 [0] 13 4 2" xfId="18275"/>
    <cellStyle name="쉼표 [0] 13 4 2 2" xfId="39151"/>
    <cellStyle name="쉼표 [0] 13 4 3" xfId="30413"/>
    <cellStyle name="쉼표 [0] 13 5" xfId="9955"/>
    <cellStyle name="쉼표 [0] 13 6" xfId="13265"/>
    <cellStyle name="쉼표 [0] 13 6 2" xfId="34141"/>
    <cellStyle name="쉼표 [0] 13 7" xfId="12099"/>
    <cellStyle name="쉼표 [0] 13 8" xfId="25403"/>
    <cellStyle name="쉼표 [0] 14" xfId="5148"/>
    <cellStyle name="쉼표 [0] 14 2" xfId="9958"/>
    <cellStyle name="쉼표 [0] 14 3" xfId="14161"/>
    <cellStyle name="쉼표 [0] 14 3 2" xfId="35037"/>
    <cellStyle name="쉼표 [0] 14 4" xfId="26299"/>
    <cellStyle name="쉼표 [0] 15" xfId="5167"/>
    <cellStyle name="쉼표 [0] 15 2" xfId="24225"/>
    <cellStyle name="쉼표 [0] 16" xfId="10160"/>
    <cellStyle name="쉼표 [0] 17" xfId="12073"/>
    <cellStyle name="쉼표 [0] 17 2" xfId="20839"/>
    <cellStyle name="쉼표 [0] 17 2 2" xfId="41715"/>
    <cellStyle name="쉼표 [0] 17 3" xfId="32979"/>
    <cellStyle name="쉼표 [0] 18" xfId="12098"/>
    <cellStyle name="쉼표 [0] 18 2" xfId="24247"/>
    <cellStyle name="쉼표 [0] 19" xfId="24235"/>
    <cellStyle name="쉼표 [0] 19 2" xfId="45098"/>
    <cellStyle name="쉼표 [0] 2" xfId="6"/>
    <cellStyle name="쉼표 [0] 2 10" xfId="2873"/>
    <cellStyle name="쉼표 [0] 2 10 2" xfId="4123"/>
    <cellStyle name="쉼표 [0] 2 10 3" xfId="12350"/>
    <cellStyle name="쉼표 [0] 2 11" xfId="2872"/>
    <cellStyle name="쉼표 [0] 2 11 2" xfId="4122"/>
    <cellStyle name="쉼표 [0] 2 11 3" xfId="12349"/>
    <cellStyle name="쉼표 [0] 2 12" xfId="4922"/>
    <cellStyle name="쉼표 [0] 2 13" xfId="9959"/>
    <cellStyle name="쉼표 [0] 2 14" xfId="12182"/>
    <cellStyle name="쉼표 [0] 2 15" xfId="24288"/>
    <cellStyle name="쉼표 [0] 2 2" xfId="1192"/>
    <cellStyle name="쉼표 [0] 2 2 10" xfId="4120"/>
    <cellStyle name="쉼표 [0] 2 2 11" xfId="4119"/>
    <cellStyle name="쉼표 [0] 2 2 12" xfId="4118"/>
    <cellStyle name="쉼표 [0] 2 2 13" xfId="4117"/>
    <cellStyle name="쉼표 [0] 2 2 14" xfId="4116"/>
    <cellStyle name="쉼표 [0] 2 2 15" xfId="4115"/>
    <cellStyle name="쉼표 [0] 2 2 15 2" xfId="4114"/>
    <cellStyle name="쉼표 [0] 2 2 15 3" xfId="4113"/>
    <cellStyle name="쉼표 [0] 2 2 15 4" xfId="4112"/>
    <cellStyle name="쉼표 [0] 2 2 15 5" xfId="4111"/>
    <cellStyle name="쉼표 [0] 2 2 15 6" xfId="4110"/>
    <cellStyle name="쉼표 [0] 2 2 15 7" xfId="4109"/>
    <cellStyle name="쉼표 [0] 2 2 16" xfId="4108"/>
    <cellStyle name="쉼표 [0] 2 2 17" xfId="4107"/>
    <cellStyle name="쉼표 [0] 2 2 18" xfId="4106"/>
    <cellStyle name="쉼표 [0] 2 2 19" xfId="4105"/>
    <cellStyle name="쉼표 [0] 2 2 2" xfId="2874"/>
    <cellStyle name="쉼표 [0] 2 2 2 10" xfId="4103"/>
    <cellStyle name="쉼표 [0] 2 2 2 11" xfId="4102"/>
    <cellStyle name="쉼표 [0] 2 2 2 12" xfId="4101"/>
    <cellStyle name="쉼표 [0] 2 2 2 13" xfId="4100"/>
    <cellStyle name="쉼표 [0] 2 2 2 14" xfId="4099"/>
    <cellStyle name="쉼표 [0] 2 2 2 15" xfId="4098"/>
    <cellStyle name="쉼표 [0] 2 2 2 16" xfId="4104"/>
    <cellStyle name="쉼표 [0] 2 2 2 17" xfId="12351"/>
    <cellStyle name="쉼표 [0] 2 2 2 2" xfId="4097"/>
    <cellStyle name="쉼표 [0] 2 2 2 2 2" xfId="4096"/>
    <cellStyle name="쉼표 [0] 2 2 2 2 2 2" xfId="4095"/>
    <cellStyle name="쉼표 [0] 2 2 2 2 2 3" xfId="4094"/>
    <cellStyle name="쉼표 [0] 2 2 2 2 2 4" xfId="4093"/>
    <cellStyle name="쉼표 [0] 2 2 2 2 2 5" xfId="4092"/>
    <cellStyle name="쉼표 [0] 2 2 2 2 2 6" xfId="4091"/>
    <cellStyle name="쉼표 [0] 2 2 2 2 2 7" xfId="4090"/>
    <cellStyle name="쉼표 [0] 2 2 2 2 3" xfId="4089"/>
    <cellStyle name="쉼표 [0] 2 2 2 2 4" xfId="4088"/>
    <cellStyle name="쉼표 [0] 2 2 2 2 5" xfId="4087"/>
    <cellStyle name="쉼표 [0] 2 2 2 2 6" xfId="4086"/>
    <cellStyle name="쉼표 [0] 2 2 2 2 7" xfId="4085"/>
    <cellStyle name="쉼표 [0] 2 2 2 2 8" xfId="4084"/>
    <cellStyle name="쉼표 [0] 2 2 2 2 9" xfId="4083"/>
    <cellStyle name="쉼표 [0] 2 2 2 3" xfId="4082"/>
    <cellStyle name="쉼표 [0] 2 2 2 4" xfId="4081"/>
    <cellStyle name="쉼표 [0] 2 2 2 5" xfId="4080"/>
    <cellStyle name="쉼표 [0] 2 2 2 6" xfId="4079"/>
    <cellStyle name="쉼표 [0] 2 2 2 7" xfId="4078"/>
    <cellStyle name="쉼표 [0] 2 2 2 8" xfId="4077"/>
    <cellStyle name="쉼표 [0] 2 2 2 9" xfId="4076"/>
    <cellStyle name="쉼표 [0] 2 2 2 9 2" xfId="4075"/>
    <cellStyle name="쉼표 [0] 2 2 2 9 3" xfId="4074"/>
    <cellStyle name="쉼표 [0] 2 2 2 9 4" xfId="4073"/>
    <cellStyle name="쉼표 [0] 2 2 2 9 5" xfId="4072"/>
    <cellStyle name="쉼표 [0] 2 2 2 9 6" xfId="4071"/>
    <cellStyle name="쉼표 [0] 2 2 2 9 7" xfId="4070"/>
    <cellStyle name="쉼표 [0] 2 2 20" xfId="4069"/>
    <cellStyle name="쉼표 [0] 2 2 21" xfId="4068"/>
    <cellStyle name="쉼표 [0] 2 2 22" xfId="4121"/>
    <cellStyle name="쉼표 [0] 2 2 23" xfId="12193"/>
    <cellStyle name="쉼표 [0] 2 2 3" xfId="4067"/>
    <cellStyle name="쉼표 [0] 2 2 4" xfId="4066"/>
    <cellStyle name="쉼표 [0] 2 2 5" xfId="4065"/>
    <cellStyle name="쉼표 [0] 2 2 6" xfId="4064"/>
    <cellStyle name="쉼표 [0] 2 2 7" xfId="4063"/>
    <cellStyle name="쉼표 [0] 2 2 8" xfId="4062"/>
    <cellStyle name="쉼표 [0] 2 2 9" xfId="4061"/>
    <cellStyle name="쉼표 [0] 2 2 9 2" xfId="4060"/>
    <cellStyle name="쉼표 [0] 2 2 9 2 2" xfId="4059"/>
    <cellStyle name="쉼표 [0] 2 2 9 2 3" xfId="4058"/>
    <cellStyle name="쉼표 [0] 2 2 9 2 4" xfId="4057"/>
    <cellStyle name="쉼표 [0] 2 2 9 2 5" xfId="4056"/>
    <cellStyle name="쉼표 [0] 2 2 9 2 6" xfId="4055"/>
    <cellStyle name="쉼표 [0] 2 2 9 2 7" xfId="4054"/>
    <cellStyle name="쉼표 [0] 2 2 9 3" xfId="4053"/>
    <cellStyle name="쉼표 [0] 2 2 9 4" xfId="4052"/>
    <cellStyle name="쉼표 [0] 2 2 9 5" xfId="4051"/>
    <cellStyle name="쉼표 [0] 2 2 9 6" xfId="4050"/>
    <cellStyle name="쉼표 [0] 2 2 9 7" xfId="4049"/>
    <cellStyle name="쉼표 [0] 2 2 9 8" xfId="4048"/>
    <cellStyle name="쉼표 [0] 2 2 9 9" xfId="4047"/>
    <cellStyle name="쉼표 [0] 2 3" xfId="1196"/>
    <cellStyle name="쉼표 [0] 2 3 2" xfId="2875"/>
    <cellStyle name="쉼표 [0] 2 3 3" xfId="4046"/>
    <cellStyle name="쉼표 [0] 2 3 4" xfId="12196"/>
    <cellStyle name="쉼표 [0] 2 4" xfId="2876"/>
    <cellStyle name="쉼표 [0] 2 4 2" xfId="4045"/>
    <cellStyle name="쉼표 [0] 2 4 3" xfId="12352"/>
    <cellStyle name="쉼표 [0] 2 5" xfId="2877"/>
    <cellStyle name="쉼표 [0] 2 5 2" xfId="4044"/>
    <cellStyle name="쉼표 [0] 2 5 3" xfId="12353"/>
    <cellStyle name="쉼표 [0] 2 6" xfId="2878"/>
    <cellStyle name="쉼표 [0] 2 6 2" xfId="4043"/>
    <cellStyle name="쉼표 [0] 2 6 3" xfId="12354"/>
    <cellStyle name="쉼표 [0] 2 7" xfId="2879"/>
    <cellStyle name="쉼표 [0] 2 7 2" xfId="4042"/>
    <cellStyle name="쉼표 [0] 2 7 3" xfId="12355"/>
    <cellStyle name="쉼표 [0] 2 8" xfId="2880"/>
    <cellStyle name="쉼표 [0] 2 8 2" xfId="4041"/>
    <cellStyle name="쉼표 [0] 2 8 3" xfId="12356"/>
    <cellStyle name="쉼표 [0] 2 9" xfId="2881"/>
    <cellStyle name="쉼표 [0] 2 9 2" xfId="4040"/>
    <cellStyle name="쉼표 [0] 2 9 3" xfId="12357"/>
    <cellStyle name="쉼표 [0] 20" xfId="24238"/>
    <cellStyle name="쉼표 [0] 20 2" xfId="45101"/>
    <cellStyle name="쉼표 [0] 21" xfId="24244"/>
    <cellStyle name="쉼표 [0] 21 2" xfId="45106"/>
    <cellStyle name="쉼표 [0] 3" xfId="2882"/>
    <cellStyle name="쉼표 [0] 3 10" xfId="4039"/>
    <cellStyle name="쉼표 [0] 3 11" xfId="4038"/>
    <cellStyle name="쉼표 [0] 3 12" xfId="4037"/>
    <cellStyle name="쉼표 [0] 3 13" xfId="4036"/>
    <cellStyle name="쉼표 [0] 3 14" xfId="4035"/>
    <cellStyle name="쉼표 [0] 3 15" xfId="4491"/>
    <cellStyle name="쉼표 [0] 3 15 2" xfId="9960"/>
    <cellStyle name="쉼표 [0] 3 16" xfId="12358"/>
    <cellStyle name="쉼표 [0] 3 17" xfId="24179"/>
    <cellStyle name="쉼표 [0] 3 18" xfId="24289"/>
    <cellStyle name="쉼표 [0] 3 2" xfId="3101"/>
    <cellStyle name="쉼표 [0] 3 2 10" xfId="10554"/>
    <cellStyle name="쉼표 [0] 3 2 10 2" xfId="19325"/>
    <cellStyle name="쉼표 [0] 3 2 10 2 2" xfId="40201"/>
    <cellStyle name="쉼표 [0] 3 2 10 3" xfId="31465"/>
    <cellStyle name="쉼표 [0] 3 2 11" xfId="11420"/>
    <cellStyle name="쉼표 [0] 3 2 11 2" xfId="20186"/>
    <cellStyle name="쉼표 [0] 3 2 11 2 2" xfId="41062"/>
    <cellStyle name="쉼표 [0] 3 2 11 3" xfId="32326"/>
    <cellStyle name="쉼표 [0] 3 2 12" xfId="12569"/>
    <cellStyle name="쉼표 [0] 3 2 12 2" xfId="33446"/>
    <cellStyle name="쉼표 [0] 3 2 13" xfId="24696"/>
    <cellStyle name="쉼표 [0] 3 2 2" xfId="3543"/>
    <cellStyle name="쉼표 [0] 3 2 2 2" xfId="5816"/>
    <cellStyle name="쉼표 [0] 3 2 2 2 2" xfId="14825"/>
    <cellStyle name="쉼표 [0] 3 2 2 2 2 2" xfId="35701"/>
    <cellStyle name="쉼표 [0] 3 2 2 2 3" xfId="26963"/>
    <cellStyle name="쉼표 [0] 3 2 2 3" xfId="13006"/>
    <cellStyle name="쉼표 [0] 3 2 2 3 2" xfId="33883"/>
    <cellStyle name="쉼표 [0] 3 2 2 4" xfId="25133"/>
    <cellStyle name="쉼표 [0] 3 2 3" xfId="4704"/>
    <cellStyle name="쉼표 [0] 3 2 3 2" xfId="6536"/>
    <cellStyle name="쉼표 [0] 3 2 3 2 2" xfId="15545"/>
    <cellStyle name="쉼표 [0] 3 2 3 2 2 2" xfId="36421"/>
    <cellStyle name="쉼표 [0] 3 2 3 2 3" xfId="27683"/>
    <cellStyle name="쉼표 [0] 3 2 3 3" xfId="13727"/>
    <cellStyle name="쉼표 [0] 3 2 3 3 2" xfId="34603"/>
    <cellStyle name="쉼표 [0] 3 2 3 4" xfId="25865"/>
    <cellStyle name="쉼표 [0] 3 2 4" xfId="4034"/>
    <cellStyle name="쉼표 [0] 3 2 5" xfId="5379"/>
    <cellStyle name="쉼표 [0] 3 2 5 2" xfId="14388"/>
    <cellStyle name="쉼표 [0] 3 2 5 2 2" xfId="35264"/>
    <cellStyle name="쉼표 [0] 3 2 5 3" xfId="26526"/>
    <cellStyle name="쉼표 [0] 3 2 6" xfId="7182"/>
    <cellStyle name="쉼표 [0] 3 2 6 2" xfId="16189"/>
    <cellStyle name="쉼표 [0] 3 2 6 2 2" xfId="37065"/>
    <cellStyle name="쉼표 [0] 3 2 6 3" xfId="28327"/>
    <cellStyle name="쉼표 [0] 3 2 7" xfId="7826"/>
    <cellStyle name="쉼표 [0] 3 2 7 2" xfId="16832"/>
    <cellStyle name="쉼표 [0] 3 2 7 2 2" xfId="37708"/>
    <cellStyle name="쉼표 [0] 3 2 7 3" xfId="28970"/>
    <cellStyle name="쉼표 [0] 3 2 8" xfId="8674"/>
    <cellStyle name="쉼표 [0] 3 2 8 2" xfId="17679"/>
    <cellStyle name="쉼표 [0] 3 2 8 2 2" xfId="38555"/>
    <cellStyle name="쉼표 [0] 3 2 8 3" xfId="29817"/>
    <cellStyle name="쉼표 [0] 3 2 9" xfId="9499"/>
    <cellStyle name="쉼표 [0] 3 2 9 2" xfId="18497"/>
    <cellStyle name="쉼표 [0] 3 2 9 2 2" xfId="39373"/>
    <cellStyle name="쉼표 [0] 3 2 9 3" xfId="30635"/>
    <cellStyle name="쉼표 [0] 3 3" xfId="3805"/>
    <cellStyle name="쉼표 [0] 3 3 10" xfId="13225"/>
    <cellStyle name="쉼표 [0] 3 3 2" xfId="4926"/>
    <cellStyle name="쉼표 [0] 3 3 2 2" xfId="6753"/>
    <cellStyle name="쉼표 [0] 3 3 2 2 2" xfId="15762"/>
    <cellStyle name="쉼표 [0] 3 3 2 2 2 2" xfId="36638"/>
    <cellStyle name="쉼표 [0] 3 3 2 2 3" xfId="27900"/>
    <cellStyle name="쉼표 [0] 3 3 2 3" xfId="13944"/>
    <cellStyle name="쉼표 [0] 3 3 2 3 2" xfId="34820"/>
    <cellStyle name="쉼표 [0] 3 3 2 4" xfId="26082"/>
    <cellStyle name="쉼표 [0] 3 3 3" xfId="4033"/>
    <cellStyle name="쉼표 [0] 3 3 4" xfId="7399"/>
    <cellStyle name="쉼표 [0] 3 3 4 2" xfId="16406"/>
    <cellStyle name="쉼표 [0] 3 3 4 2 2" xfId="37282"/>
    <cellStyle name="쉼표 [0] 3 3 4 3" xfId="28544"/>
    <cellStyle name="쉼표 [0] 3 3 5" xfId="8043"/>
    <cellStyle name="쉼표 [0] 3 3 5 2" xfId="17049"/>
    <cellStyle name="쉼표 [0] 3 3 5 2 2" xfId="37925"/>
    <cellStyle name="쉼표 [0] 3 3 5 3" xfId="29187"/>
    <cellStyle name="쉼표 [0] 3 3 6" xfId="8891"/>
    <cellStyle name="쉼표 [0] 3 3 6 2" xfId="17896"/>
    <cellStyle name="쉼표 [0] 3 3 6 2 2" xfId="38772"/>
    <cellStyle name="쉼표 [0] 3 3 6 3" xfId="30034"/>
    <cellStyle name="쉼표 [0] 3 3 7" xfId="9716"/>
    <cellStyle name="쉼표 [0] 3 3 7 2" xfId="18714"/>
    <cellStyle name="쉼표 [0] 3 3 7 2 2" xfId="39590"/>
    <cellStyle name="쉼표 [0] 3 3 7 3" xfId="30852"/>
    <cellStyle name="쉼표 [0] 3 3 8" xfId="10771"/>
    <cellStyle name="쉼표 [0] 3 3 8 2" xfId="19542"/>
    <cellStyle name="쉼표 [0] 3 3 8 2 2" xfId="40418"/>
    <cellStyle name="쉼표 [0] 3 3 8 3" xfId="31682"/>
    <cellStyle name="쉼표 [0] 3 3 9" xfId="11637"/>
    <cellStyle name="쉼표 [0] 3 3 9 2" xfId="20403"/>
    <cellStyle name="쉼표 [0] 3 3 9 2 2" xfId="41279"/>
    <cellStyle name="쉼표 [0] 3 3 9 3" xfId="32543"/>
    <cellStyle name="쉼표 [0] 3 4" xfId="4032"/>
    <cellStyle name="쉼표 [0] 3 4 2" xfId="10989"/>
    <cellStyle name="쉼표 [0] 3 4 2 2" xfId="19759"/>
    <cellStyle name="쉼표 [0] 3 4 2 2 2" xfId="40635"/>
    <cellStyle name="쉼표 [0] 3 4 2 3" xfId="31899"/>
    <cellStyle name="쉼표 [0] 3 4 3" xfId="11854"/>
    <cellStyle name="쉼표 [0] 3 4 3 2" xfId="20620"/>
    <cellStyle name="쉼표 [0] 3 4 3 2 2" xfId="41496"/>
    <cellStyle name="쉼표 [0] 3 4 3 3" xfId="32760"/>
    <cellStyle name="쉼표 [0] 3 5" xfId="4031"/>
    <cellStyle name="쉼표 [0] 3 6" xfId="4030"/>
    <cellStyle name="쉼표 [0] 3 7" xfId="4029"/>
    <cellStyle name="쉼표 [0] 3 8" xfId="4028"/>
    <cellStyle name="쉼표 [0] 3 9" xfId="4027"/>
    <cellStyle name="쉼표 [0] 4" xfId="1201"/>
    <cellStyle name="쉼표 [0] 4 2" xfId="4488"/>
    <cellStyle name="쉼표 [0] 4 2 2" xfId="9961"/>
    <cellStyle name="쉼표 [0] 4 3" xfId="12200"/>
    <cellStyle name="쉼표 [0] 5" xfId="3800"/>
    <cellStyle name="쉼표 [0] 5 2" xfId="4026"/>
    <cellStyle name="쉼표 [0] 5 2 2" xfId="9962"/>
    <cellStyle name="쉼표 [0] 5 3" xfId="6033"/>
    <cellStyle name="쉼표 [0] 5 3 2" xfId="15042"/>
    <cellStyle name="쉼표 [0] 5 3 2 2" xfId="35918"/>
    <cellStyle name="쉼표 [0] 5 3 3" xfId="27180"/>
    <cellStyle name="쉼표 [0] 5 4" xfId="13223"/>
    <cellStyle name="쉼표 [0] 5 4 2" xfId="34100"/>
    <cellStyle name="쉼표 [0] 5 5" xfId="25362"/>
    <cellStyle name="쉼표 [0] 6" xfId="4025"/>
    <cellStyle name="쉼표 [0] 6 2" xfId="9963"/>
    <cellStyle name="쉼표 [0] 7" xfId="4024"/>
    <cellStyle name="쉼표 [0] 7 2" xfId="4023"/>
    <cellStyle name="쉼표 [0] 7 3" xfId="4022"/>
    <cellStyle name="쉼표 [0] 7 4" xfId="4021"/>
    <cellStyle name="쉼표 [0] 7 5" xfId="9964"/>
    <cellStyle name="쉼표 [0] 8" xfId="4020"/>
    <cellStyle name="쉼표 [0] 8 2" xfId="4019"/>
    <cellStyle name="쉼표 [0] 8 3" xfId="4018"/>
    <cellStyle name="쉼표 [0] 8 4" xfId="4017"/>
    <cellStyle name="쉼표 [0] 9" xfId="4016"/>
    <cellStyle name="쉼표 [0] 9 2" xfId="4015"/>
    <cellStyle name="쉼표 [0] 9 3" xfId="4014"/>
    <cellStyle name="쉼표 [0] 9 4" xfId="4013"/>
    <cellStyle name="쉼표 2" xfId="22859"/>
    <cellStyle name="쉼표 3" xfId="22948"/>
    <cellStyle name="쉼표 4" xfId="12097"/>
    <cellStyle name="스타일 1" xfId="1021"/>
    <cellStyle name="스타일 1 2" xfId="2883"/>
    <cellStyle name="스타일 1 3" xfId="4012"/>
    <cellStyle name="스타일 1 4" xfId="4011"/>
    <cellStyle name="스타일 1 5" xfId="4010"/>
    <cellStyle name="연결된 셀" xfId="3770" builtinId="24" customBuiltin="1"/>
    <cellStyle name="연결된 셀 2" xfId="4009"/>
    <cellStyle name="요약" xfId="3774" builtinId="25" customBuiltin="1"/>
    <cellStyle name="요약 2" xfId="4008"/>
    <cellStyle name="요약 2 10" xfId="25476"/>
    <cellStyle name="요약 2 2" xfId="6147"/>
    <cellStyle name="요약 2 2 2" xfId="22452"/>
    <cellStyle name="요약 2 2 2 2" xfId="43327"/>
    <cellStyle name="요약 2 2 3" xfId="22768"/>
    <cellStyle name="요약 2 2 3 2" xfId="43643"/>
    <cellStyle name="요약 2 2 4" xfId="23220"/>
    <cellStyle name="요약 2 2 4 2" xfId="44093"/>
    <cellStyle name="요약 2 2 5" xfId="15156"/>
    <cellStyle name="요약 2 2 5 2" xfId="36032"/>
    <cellStyle name="요약 2 2 6" xfId="27294"/>
    <cellStyle name="요약 2 3" xfId="13338"/>
    <cellStyle name="요약 2 3 2" xfId="34214"/>
    <cellStyle name="요약 2 4" xfId="20867"/>
    <cellStyle name="요약 2 4 2" xfId="41743"/>
    <cellStyle name="요약 2 5" xfId="23738"/>
    <cellStyle name="요약 2 5 2" xfId="44610"/>
    <cellStyle name="요약 2 6" xfId="22637"/>
    <cellStyle name="요약 2 6 2" xfId="43512"/>
    <cellStyle name="요약 2 7" xfId="12100"/>
    <cellStyle name="요약 2 7 2" xfId="33001"/>
    <cellStyle name="요약 2 8" xfId="24226"/>
    <cellStyle name="요약 2 8 2" xfId="45091"/>
    <cellStyle name="요약 2 9" xfId="24290"/>
    <cellStyle name="요약 2 9 2" xfId="45147"/>
    <cellStyle name="요약 3" xfId="4007"/>
    <cellStyle name="요약 3 2" xfId="6146"/>
    <cellStyle name="요약 3 2 2" xfId="22451"/>
    <cellStyle name="요약 3 2 2 2" xfId="43326"/>
    <cellStyle name="요약 3 2 3" xfId="23933"/>
    <cellStyle name="요약 3 2 3 2" xfId="44805"/>
    <cellStyle name="요약 3 2 4" xfId="22723"/>
    <cellStyle name="요약 3 2 4 2" xfId="43598"/>
    <cellStyle name="요약 3 2 5" xfId="15155"/>
    <cellStyle name="요약 3 2 5 2" xfId="36031"/>
    <cellStyle name="요약 3 2 6" xfId="27293"/>
    <cellStyle name="요약 3 3" xfId="13337"/>
    <cellStyle name="요약 3 3 2" xfId="34213"/>
    <cellStyle name="요약 3 4" xfId="20868"/>
    <cellStyle name="요약 3 4 2" xfId="41744"/>
    <cellStyle name="요약 3 5" xfId="21861"/>
    <cellStyle name="요약 3 5 2" xfId="42736"/>
    <cellStyle name="요약 3 6" xfId="22891"/>
    <cellStyle name="요약 3 6 2" xfId="43765"/>
    <cellStyle name="요약 3 7" xfId="12101"/>
    <cellStyle name="요약 3 7 2" xfId="33002"/>
    <cellStyle name="요약 3 8" xfId="24227"/>
    <cellStyle name="요약 3 8 2" xfId="45092"/>
    <cellStyle name="요약 3 9" xfId="25475"/>
    <cellStyle name="입력" xfId="3767" builtinId="20" customBuiltin="1"/>
    <cellStyle name="입력 2" xfId="4006"/>
    <cellStyle name="입력 2 10" xfId="24291"/>
    <cellStyle name="입력 2 10 2" xfId="45148"/>
    <cellStyle name="입력 2 11" xfId="25474"/>
    <cellStyle name="입력 2 2" xfId="6145"/>
    <cellStyle name="입력 2 2 2" xfId="22450"/>
    <cellStyle name="입력 2 2 2 2" xfId="43325"/>
    <cellStyle name="입력 2 2 3" xfId="24098"/>
    <cellStyle name="입력 2 2 3 2" xfId="44969"/>
    <cellStyle name="입력 2 2 4" xfId="21721"/>
    <cellStyle name="입력 2 2 4 2" xfId="42596"/>
    <cellStyle name="입력 2 2 5" xfId="15154"/>
    <cellStyle name="입력 2 2 5 2" xfId="36030"/>
    <cellStyle name="입력 2 2 6" xfId="27292"/>
    <cellStyle name="입력 2 3" xfId="9113"/>
    <cellStyle name="입력 2 3 2" xfId="23273"/>
    <cellStyle name="입력 2 3 2 2" xfId="44146"/>
    <cellStyle name="입력 2 3 3" xfId="23387"/>
    <cellStyle name="입력 2 3 3 2" xfId="44259"/>
    <cellStyle name="입력 2 3 4" xfId="24001"/>
    <cellStyle name="입력 2 3 4 2" xfId="44873"/>
    <cellStyle name="입력 2 3 5" xfId="18117"/>
    <cellStyle name="입력 2 3 5 2" xfId="38993"/>
    <cellStyle name="입력 2 3 6" xfId="30255"/>
    <cellStyle name="입력 2 4" xfId="13336"/>
    <cellStyle name="입력 2 4 2" xfId="34212"/>
    <cellStyle name="입력 2 5" xfId="20869"/>
    <cellStyle name="입력 2 5 2" xfId="41745"/>
    <cellStyle name="입력 2 6" xfId="21087"/>
    <cellStyle name="입력 2 6 2" xfId="41962"/>
    <cellStyle name="입력 2 7" xfId="22738"/>
    <cellStyle name="입력 2 7 2" xfId="43613"/>
    <cellStyle name="입력 2 8" xfId="12102"/>
    <cellStyle name="입력 2 8 2" xfId="33003"/>
    <cellStyle name="입력 2 9" xfId="24228"/>
    <cellStyle name="입력 2 9 2" xfId="45093"/>
    <cellStyle name="입력 3" xfId="4005"/>
    <cellStyle name="입력 3 10" xfId="25473"/>
    <cellStyle name="입력 3 2" xfId="6144"/>
    <cellStyle name="입력 3 2 2" xfId="22449"/>
    <cellStyle name="입력 3 2 2 2" xfId="43324"/>
    <cellStyle name="입력 3 2 3" xfId="21835"/>
    <cellStyle name="입력 3 2 3 2" xfId="42710"/>
    <cellStyle name="입력 3 2 4" xfId="22893"/>
    <cellStyle name="입력 3 2 4 2" xfId="43767"/>
    <cellStyle name="입력 3 2 5" xfId="15153"/>
    <cellStyle name="입력 3 2 5 2" xfId="36029"/>
    <cellStyle name="입력 3 2 6" xfId="27291"/>
    <cellStyle name="입력 3 3" xfId="9114"/>
    <cellStyle name="입력 3 3 2" xfId="23274"/>
    <cellStyle name="입력 3 3 2 2" xfId="44147"/>
    <cellStyle name="입력 3 3 3" xfId="21249"/>
    <cellStyle name="입력 3 3 3 2" xfId="42124"/>
    <cellStyle name="입력 3 3 4" xfId="23754"/>
    <cellStyle name="입력 3 3 4 2" xfId="44626"/>
    <cellStyle name="입력 3 3 5" xfId="18118"/>
    <cellStyle name="입력 3 3 5 2" xfId="38994"/>
    <cellStyle name="입력 3 3 6" xfId="30256"/>
    <cellStyle name="입력 3 4" xfId="13335"/>
    <cellStyle name="입력 3 4 2" xfId="34211"/>
    <cellStyle name="입력 3 5" xfId="20870"/>
    <cellStyle name="입력 3 5 2" xfId="41746"/>
    <cellStyle name="입력 3 6" xfId="21021"/>
    <cellStyle name="입력 3 6 2" xfId="41896"/>
    <cellStyle name="입력 3 7" xfId="22264"/>
    <cellStyle name="입력 3 7 2" xfId="43139"/>
    <cellStyle name="입력 3 8" xfId="12103"/>
    <cellStyle name="입력 3 8 2" xfId="33004"/>
    <cellStyle name="입력 3 9" xfId="24229"/>
    <cellStyle name="입력 3 9 2" xfId="45094"/>
    <cellStyle name="자리수" xfId="1022"/>
    <cellStyle name="자리수0" xfId="1023"/>
    <cellStyle name="제목" xfId="3759" builtinId="15" customBuiltin="1"/>
    <cellStyle name="제목 1" xfId="3760" builtinId="16" customBuiltin="1"/>
    <cellStyle name="제목 1 2" xfId="4004"/>
    <cellStyle name="제목 2" xfId="3761" builtinId="17" customBuiltin="1"/>
    <cellStyle name="제목 2 2" xfId="4003"/>
    <cellStyle name="제목 3" xfId="3762" builtinId="18" customBuiltin="1"/>
    <cellStyle name="제목 3 2" xfId="4002"/>
    <cellStyle name="제목 4" xfId="3763" builtinId="19" customBuiltin="1"/>
    <cellStyle name="제목 4 2" xfId="4001"/>
    <cellStyle name="제목 5" xfId="4000"/>
    <cellStyle name="좋음" xfId="3764" builtinId="26" customBuiltin="1"/>
    <cellStyle name="좋음 2" xfId="3999"/>
    <cellStyle name="지정되지 않음" xfId="1024"/>
    <cellStyle name="출력" xfId="3768" builtinId="21" customBuiltin="1"/>
    <cellStyle name="출력 2" xfId="3998"/>
    <cellStyle name="출력 2 10" xfId="25472"/>
    <cellStyle name="출력 2 2" xfId="6143"/>
    <cellStyle name="출력 2 2 2" xfId="22448"/>
    <cellStyle name="출력 2 2 2 2" xfId="43323"/>
    <cellStyle name="출력 2 2 3" xfId="23668"/>
    <cellStyle name="출력 2 2 3 2" xfId="44540"/>
    <cellStyle name="출력 2 2 4" xfId="24011"/>
    <cellStyle name="출력 2 2 4 2" xfId="44883"/>
    <cellStyle name="출력 2 2 5" xfId="15152"/>
    <cellStyle name="출력 2 2 5 2" xfId="36028"/>
    <cellStyle name="출력 2 2 6" xfId="27290"/>
    <cellStyle name="출력 2 3" xfId="13334"/>
    <cellStyle name="출력 2 3 2" xfId="34210"/>
    <cellStyle name="출력 2 4" xfId="20871"/>
    <cellStyle name="출력 2 4 2" xfId="41747"/>
    <cellStyle name="출력 2 5" xfId="22393"/>
    <cellStyle name="출력 2 5 2" xfId="43268"/>
    <cellStyle name="출력 2 6" xfId="23251"/>
    <cellStyle name="출력 2 6 2" xfId="44124"/>
    <cellStyle name="출력 2 7" xfId="12104"/>
    <cellStyle name="출력 2 7 2" xfId="33005"/>
    <cellStyle name="출력 2 8" xfId="24230"/>
    <cellStyle name="출력 2 8 2" xfId="45095"/>
    <cellStyle name="출력 2 9" xfId="24293"/>
    <cellStyle name="출력 2 9 2" xfId="45150"/>
    <cellStyle name="출력 3" xfId="3997"/>
    <cellStyle name="출력 3 2" xfId="6142"/>
    <cellStyle name="출력 3 2 2" xfId="22447"/>
    <cellStyle name="출력 3 2 2 2" xfId="43322"/>
    <cellStyle name="출력 3 2 3" xfId="23852"/>
    <cellStyle name="출력 3 2 3 2" xfId="44724"/>
    <cellStyle name="출력 3 2 4" xfId="21195"/>
    <cellStyle name="출력 3 2 4 2" xfId="42070"/>
    <cellStyle name="출력 3 2 5" xfId="15151"/>
    <cellStyle name="출력 3 2 5 2" xfId="36027"/>
    <cellStyle name="출력 3 2 6" xfId="27289"/>
    <cellStyle name="출력 3 3" xfId="13333"/>
    <cellStyle name="출력 3 3 2" xfId="34209"/>
    <cellStyle name="출력 3 4" xfId="20872"/>
    <cellStyle name="출력 3 4 2" xfId="41748"/>
    <cellStyle name="출력 3 5" xfId="21067"/>
    <cellStyle name="출력 3 5 2" xfId="41942"/>
    <cellStyle name="출력 3 6" xfId="21129"/>
    <cellStyle name="출력 3 6 2" xfId="42004"/>
    <cellStyle name="출력 3 7" xfId="12105"/>
    <cellStyle name="출력 3 7 2" xfId="33006"/>
    <cellStyle name="출력 3 8" xfId="24231"/>
    <cellStyle name="출력 3 8 2" xfId="45096"/>
    <cellStyle name="출력 3 9" xfId="25471"/>
    <cellStyle name="콤마 [0]_  종  합  " xfId="1025"/>
    <cellStyle name="콤마 [2]" xfId="1026"/>
    <cellStyle name="콤마_  종  합  " xfId="1027"/>
    <cellStyle name="통화 [0]" xfId="3" builtinId="7"/>
    <cellStyle name="통화 [0] 2" xfId="3804"/>
    <cellStyle name="통화 [0] 3" xfId="5168"/>
    <cellStyle name="퍼센트" xfId="1028"/>
    <cellStyle name="표준" xfId="0" builtinId="0"/>
    <cellStyle name="표준 10" xfId="2884"/>
    <cellStyle name="표준 10 10" xfId="4493"/>
    <cellStyle name="표준 10 10 2" xfId="6327"/>
    <cellStyle name="표준 10 10 2 2" xfId="15336"/>
    <cellStyle name="표준 10 10 2 2 2" xfId="36212"/>
    <cellStyle name="표준 10 10 2 3" xfId="27474"/>
    <cellStyle name="표준 10 10 3" xfId="10990"/>
    <cellStyle name="표준 10 10 3 2" xfId="19760"/>
    <cellStyle name="표준 10 10 3 2 2" xfId="40636"/>
    <cellStyle name="표준 10 10 3 3" xfId="31900"/>
    <cellStyle name="표준 10 10 4" xfId="11855"/>
    <cellStyle name="표준 10 10 4 2" xfId="20621"/>
    <cellStyle name="표준 10 10 4 2 2" xfId="41497"/>
    <cellStyle name="표준 10 10 4 3" xfId="32761"/>
    <cellStyle name="표준 10 10 5" xfId="13518"/>
    <cellStyle name="표준 10 10 5 2" xfId="34394"/>
    <cellStyle name="표준 10 10 6" xfId="25656"/>
    <cellStyle name="표준 10 11" xfId="5170"/>
    <cellStyle name="표준 10 11 2" xfId="14179"/>
    <cellStyle name="표준 10 11 2 2" xfId="35055"/>
    <cellStyle name="표준 10 11 3" xfId="26317"/>
    <cellStyle name="표준 10 12" xfId="6972"/>
    <cellStyle name="표준 10 12 2" xfId="15980"/>
    <cellStyle name="표준 10 12 2 2" xfId="36856"/>
    <cellStyle name="표준 10 12 3" xfId="28118"/>
    <cellStyle name="표준 10 13" xfId="7617"/>
    <cellStyle name="표준 10 13 2" xfId="16623"/>
    <cellStyle name="표준 10 13 2 2" xfId="37499"/>
    <cellStyle name="표준 10 13 3" xfId="28761"/>
    <cellStyle name="표준 10 14" xfId="8465"/>
    <cellStyle name="표준 10 14 2" xfId="17470"/>
    <cellStyle name="표준 10 14 2 2" xfId="38346"/>
    <cellStyle name="표준 10 14 3" xfId="29608"/>
    <cellStyle name="표준 10 15" xfId="9289"/>
    <cellStyle name="표준 10 15 2" xfId="18288"/>
    <cellStyle name="표준 10 15 2 2" xfId="39164"/>
    <cellStyle name="표준 10 15 3" xfId="30426"/>
    <cellStyle name="표준 10 16" xfId="9965"/>
    <cellStyle name="표준 10 17" xfId="10345"/>
    <cellStyle name="표준 10 17 2" xfId="19116"/>
    <cellStyle name="표준 10 17 2 2" xfId="39992"/>
    <cellStyle name="표준 10 17 3" xfId="31256"/>
    <cellStyle name="표준 10 18" xfId="11211"/>
    <cellStyle name="표준 10 18 2" xfId="19977"/>
    <cellStyle name="표준 10 18 2 2" xfId="40853"/>
    <cellStyle name="표준 10 18 3" xfId="32117"/>
    <cellStyle name="표준 10 19" xfId="12074"/>
    <cellStyle name="표준 10 19 2" xfId="20840"/>
    <cellStyle name="표준 10 19 2 2" xfId="41716"/>
    <cellStyle name="표준 10 19 3" xfId="32980"/>
    <cellStyle name="표준 10 2" xfId="2885"/>
    <cellStyle name="표준 10 2 10" xfId="9290"/>
    <cellStyle name="표준 10 2 10 2" xfId="18289"/>
    <cellStyle name="표준 10 2 10 2 2" xfId="39165"/>
    <cellStyle name="표준 10 2 10 3" xfId="30427"/>
    <cellStyle name="표준 10 2 11" xfId="9966"/>
    <cellStyle name="표준 10 2 12" xfId="10346"/>
    <cellStyle name="표준 10 2 12 2" xfId="19117"/>
    <cellStyle name="표준 10 2 12 2 2" xfId="39993"/>
    <cellStyle name="표준 10 2 12 3" xfId="31257"/>
    <cellStyle name="표준 10 2 13" xfId="11212"/>
    <cellStyle name="표준 10 2 13 2" xfId="19978"/>
    <cellStyle name="표준 10 2 13 2 2" xfId="40854"/>
    <cellStyle name="표준 10 2 13 3" xfId="32118"/>
    <cellStyle name="표준 10 2 14" xfId="12360"/>
    <cellStyle name="표준 10 2 14 2" xfId="33238"/>
    <cellStyle name="표준 10 2 15" xfId="24488"/>
    <cellStyle name="표준 10 2 2" xfId="3103"/>
    <cellStyle name="표준 10 2 2 10" xfId="10556"/>
    <cellStyle name="표준 10 2 2 10 2" xfId="19327"/>
    <cellStyle name="표준 10 2 2 10 2 2" xfId="40203"/>
    <cellStyle name="표준 10 2 2 10 3" xfId="31467"/>
    <cellStyle name="표준 10 2 2 11" xfId="11422"/>
    <cellStyle name="표준 10 2 2 11 2" xfId="20188"/>
    <cellStyle name="표준 10 2 2 11 2 2" xfId="41064"/>
    <cellStyle name="표준 10 2 2 11 3" xfId="32328"/>
    <cellStyle name="표준 10 2 2 12" xfId="12571"/>
    <cellStyle name="표준 10 2 2 12 2" xfId="33448"/>
    <cellStyle name="표준 10 2 2 13" xfId="24698"/>
    <cellStyle name="표준 10 2 2 2" xfId="3545"/>
    <cellStyle name="표준 10 2 2 2 2" xfId="5818"/>
    <cellStyle name="표준 10 2 2 2 2 2" xfId="14827"/>
    <cellStyle name="표준 10 2 2 2 2 2 2" xfId="35703"/>
    <cellStyle name="표준 10 2 2 2 2 3" xfId="26965"/>
    <cellStyle name="표준 10 2 2 2 3" xfId="13008"/>
    <cellStyle name="표준 10 2 2 2 3 2" xfId="33885"/>
    <cellStyle name="표준 10 2 2 2 4" xfId="25135"/>
    <cellStyle name="표준 10 2 2 3" xfId="4706"/>
    <cellStyle name="표준 10 2 2 3 2" xfId="6538"/>
    <cellStyle name="표준 10 2 2 3 2 2" xfId="15547"/>
    <cellStyle name="표준 10 2 2 3 2 2 2" xfId="36423"/>
    <cellStyle name="표준 10 2 2 3 2 3" xfId="27685"/>
    <cellStyle name="표준 10 2 2 3 3" xfId="13729"/>
    <cellStyle name="표준 10 2 2 3 3 2" xfId="34605"/>
    <cellStyle name="표준 10 2 2 3 4" xfId="25867"/>
    <cellStyle name="표준 10 2 2 4" xfId="5381"/>
    <cellStyle name="표준 10 2 2 4 2" xfId="14390"/>
    <cellStyle name="표준 10 2 2 4 2 2" xfId="35266"/>
    <cellStyle name="표준 10 2 2 4 3" xfId="26528"/>
    <cellStyle name="표준 10 2 2 5" xfId="7184"/>
    <cellStyle name="표준 10 2 2 5 2" xfId="16191"/>
    <cellStyle name="표준 10 2 2 5 2 2" xfId="37067"/>
    <cellStyle name="표준 10 2 2 5 3" xfId="28329"/>
    <cellStyle name="표준 10 2 2 6" xfId="7828"/>
    <cellStyle name="표준 10 2 2 6 2" xfId="16834"/>
    <cellStyle name="표준 10 2 2 6 2 2" xfId="37710"/>
    <cellStyle name="표준 10 2 2 6 3" xfId="28972"/>
    <cellStyle name="표준 10 2 2 7" xfId="8676"/>
    <cellStyle name="표준 10 2 2 7 2" xfId="17681"/>
    <cellStyle name="표준 10 2 2 7 2 2" xfId="38557"/>
    <cellStyle name="표준 10 2 2 7 3" xfId="29819"/>
    <cellStyle name="표준 10 2 2 8" xfId="9501"/>
    <cellStyle name="표준 10 2 2 8 2" xfId="18499"/>
    <cellStyle name="표준 10 2 2 8 2 2" xfId="39375"/>
    <cellStyle name="표준 10 2 2 8 3" xfId="30637"/>
    <cellStyle name="표준 10 2 2 9" xfId="9967"/>
    <cellStyle name="표준 10 2 3" xfId="3335"/>
    <cellStyle name="표준 10 2 3 10" xfId="12798"/>
    <cellStyle name="표준 10 2 3 10 2" xfId="33675"/>
    <cellStyle name="표준 10 2 3 11" xfId="24925"/>
    <cellStyle name="표준 10 2 3 2" xfId="4928"/>
    <cellStyle name="표준 10 2 3 2 2" xfId="6755"/>
    <cellStyle name="표준 10 2 3 2 2 2" xfId="15764"/>
    <cellStyle name="표준 10 2 3 2 2 2 2" xfId="36640"/>
    <cellStyle name="표준 10 2 3 2 2 3" xfId="27902"/>
    <cellStyle name="표준 10 2 3 2 3" xfId="13946"/>
    <cellStyle name="표준 10 2 3 2 3 2" xfId="34822"/>
    <cellStyle name="표준 10 2 3 2 4" xfId="26084"/>
    <cellStyle name="표준 10 2 3 3" xfId="5608"/>
    <cellStyle name="표준 10 2 3 3 2" xfId="14617"/>
    <cellStyle name="표준 10 2 3 3 2 2" xfId="35493"/>
    <cellStyle name="표준 10 2 3 3 3" xfId="26755"/>
    <cellStyle name="표준 10 2 3 4" xfId="7401"/>
    <cellStyle name="표준 10 2 3 4 2" xfId="16408"/>
    <cellStyle name="표준 10 2 3 4 2 2" xfId="37284"/>
    <cellStyle name="표준 10 2 3 4 3" xfId="28546"/>
    <cellStyle name="표준 10 2 3 5" xfId="8045"/>
    <cellStyle name="표준 10 2 3 5 2" xfId="17051"/>
    <cellStyle name="표준 10 2 3 5 2 2" xfId="37927"/>
    <cellStyle name="표준 10 2 3 5 3" xfId="29189"/>
    <cellStyle name="표준 10 2 3 6" xfId="8893"/>
    <cellStyle name="표준 10 2 3 6 2" xfId="17898"/>
    <cellStyle name="표준 10 2 3 6 2 2" xfId="38774"/>
    <cellStyle name="표준 10 2 3 6 3" xfId="30036"/>
    <cellStyle name="표준 10 2 3 7" xfId="9718"/>
    <cellStyle name="표준 10 2 3 7 2" xfId="18716"/>
    <cellStyle name="표준 10 2 3 7 2 2" xfId="39592"/>
    <cellStyle name="표준 10 2 3 7 3" xfId="30854"/>
    <cellStyle name="표준 10 2 3 8" xfId="10773"/>
    <cellStyle name="표준 10 2 3 8 2" xfId="19544"/>
    <cellStyle name="표준 10 2 3 8 2 2" xfId="40420"/>
    <cellStyle name="표준 10 2 3 8 3" xfId="31684"/>
    <cellStyle name="표준 10 2 3 9" xfId="11639"/>
    <cellStyle name="표준 10 2 3 9 2" xfId="20405"/>
    <cellStyle name="표준 10 2 3 9 2 2" xfId="41281"/>
    <cellStyle name="표준 10 2 3 9 3" xfId="32545"/>
    <cellStyle name="표준 10 2 4" xfId="4494"/>
    <cellStyle name="표준 10 2 4 2" xfId="6328"/>
    <cellStyle name="표준 10 2 4 2 2" xfId="15337"/>
    <cellStyle name="표준 10 2 4 2 2 2" xfId="36213"/>
    <cellStyle name="표준 10 2 4 2 3" xfId="27475"/>
    <cellStyle name="표준 10 2 4 3" xfId="10991"/>
    <cellStyle name="표준 10 2 4 3 2" xfId="19761"/>
    <cellStyle name="표준 10 2 4 3 2 2" xfId="40637"/>
    <cellStyle name="표준 10 2 4 3 3" xfId="31901"/>
    <cellStyle name="표준 10 2 4 4" xfId="11856"/>
    <cellStyle name="표준 10 2 4 4 2" xfId="20622"/>
    <cellStyle name="표준 10 2 4 4 2 2" xfId="41498"/>
    <cellStyle name="표준 10 2 4 4 3" xfId="32762"/>
    <cellStyle name="표준 10 2 4 5" xfId="13519"/>
    <cellStyle name="표준 10 2 4 5 2" xfId="34395"/>
    <cellStyle name="표준 10 2 4 6" xfId="25657"/>
    <cellStyle name="표준 10 2 5" xfId="5171"/>
    <cellStyle name="표준 10 2 5 2" xfId="14180"/>
    <cellStyle name="표준 10 2 5 2 2" xfId="35056"/>
    <cellStyle name="표준 10 2 5 3" xfId="26318"/>
    <cellStyle name="표준 10 2 6" xfId="6973"/>
    <cellStyle name="표준 10 2 6 2" xfId="15981"/>
    <cellStyle name="표준 10 2 6 2 2" xfId="36857"/>
    <cellStyle name="표준 10 2 6 3" xfId="28119"/>
    <cellStyle name="표준 10 2 7" xfId="7618"/>
    <cellStyle name="표준 10 2 7 2" xfId="16624"/>
    <cellStyle name="표준 10 2 7 2 2" xfId="37500"/>
    <cellStyle name="표준 10 2 7 3" xfId="28762"/>
    <cellStyle name="표준 10 2 8" xfId="8466"/>
    <cellStyle name="표준 10 2 8 2" xfId="17471"/>
    <cellStyle name="표준 10 2 8 2 2" xfId="38347"/>
    <cellStyle name="표준 10 2 8 3" xfId="29609"/>
    <cellStyle name="표준 10 2 9" xfId="9115"/>
    <cellStyle name="표준 10 2 9 2" xfId="18119"/>
    <cellStyle name="표준 10 2 9 2 2" xfId="38995"/>
    <cellStyle name="표준 10 2 9 3" xfId="30257"/>
    <cellStyle name="표준 10 20" xfId="12359"/>
    <cellStyle name="표준 10 20 2" xfId="33237"/>
    <cellStyle name="표준 10 21" xfId="24236"/>
    <cellStyle name="표준 10 21 2" xfId="45099"/>
    <cellStyle name="표준 10 22" xfId="24245"/>
    <cellStyle name="표준 10 22 2" xfId="45107"/>
    <cellStyle name="표준 10 23" xfId="24487"/>
    <cellStyle name="표준 10 3" xfId="2886"/>
    <cellStyle name="표준 10 3 10" xfId="9291"/>
    <cellStyle name="표준 10 3 10 2" xfId="18290"/>
    <cellStyle name="표준 10 3 10 2 2" xfId="39166"/>
    <cellStyle name="표준 10 3 10 3" xfId="30428"/>
    <cellStyle name="표준 10 3 11" xfId="9968"/>
    <cellStyle name="표준 10 3 12" xfId="10347"/>
    <cellStyle name="표준 10 3 12 2" xfId="19118"/>
    <cellStyle name="표준 10 3 12 2 2" xfId="39994"/>
    <cellStyle name="표준 10 3 12 3" xfId="31258"/>
    <cellStyle name="표준 10 3 13" xfId="11213"/>
    <cellStyle name="표준 10 3 13 2" xfId="19979"/>
    <cellStyle name="표준 10 3 13 2 2" xfId="40855"/>
    <cellStyle name="표준 10 3 13 3" xfId="32119"/>
    <cellStyle name="표준 10 3 14" xfId="12361"/>
    <cellStyle name="표준 10 3 14 2" xfId="33239"/>
    <cellStyle name="표준 10 3 15" xfId="24489"/>
    <cellStyle name="표준 10 3 2" xfId="3104"/>
    <cellStyle name="표준 10 3 2 10" xfId="10557"/>
    <cellStyle name="표준 10 3 2 10 2" xfId="19328"/>
    <cellStyle name="표준 10 3 2 10 2 2" xfId="40204"/>
    <cellStyle name="표준 10 3 2 10 3" xfId="31468"/>
    <cellStyle name="표준 10 3 2 11" xfId="11423"/>
    <cellStyle name="표준 10 3 2 11 2" xfId="20189"/>
    <cellStyle name="표준 10 3 2 11 2 2" xfId="41065"/>
    <cellStyle name="표준 10 3 2 11 3" xfId="32329"/>
    <cellStyle name="표준 10 3 2 12" xfId="12572"/>
    <cellStyle name="표준 10 3 2 12 2" xfId="33449"/>
    <cellStyle name="표준 10 3 2 13" xfId="24699"/>
    <cellStyle name="표준 10 3 2 2" xfId="3546"/>
    <cellStyle name="표준 10 3 2 2 2" xfId="5819"/>
    <cellStyle name="표준 10 3 2 2 2 2" xfId="14828"/>
    <cellStyle name="표준 10 3 2 2 2 2 2" xfId="35704"/>
    <cellStyle name="표준 10 3 2 2 2 3" xfId="26966"/>
    <cellStyle name="표준 10 3 2 2 3" xfId="13009"/>
    <cellStyle name="표준 10 3 2 2 3 2" xfId="33886"/>
    <cellStyle name="표준 10 3 2 2 4" xfId="25136"/>
    <cellStyle name="표준 10 3 2 3" xfId="4707"/>
    <cellStyle name="표준 10 3 2 3 2" xfId="6539"/>
    <cellStyle name="표준 10 3 2 3 2 2" xfId="15548"/>
    <cellStyle name="표준 10 3 2 3 2 2 2" xfId="36424"/>
    <cellStyle name="표준 10 3 2 3 2 3" xfId="27686"/>
    <cellStyle name="표준 10 3 2 3 3" xfId="13730"/>
    <cellStyle name="표준 10 3 2 3 3 2" xfId="34606"/>
    <cellStyle name="표준 10 3 2 3 4" xfId="25868"/>
    <cellStyle name="표준 10 3 2 4" xfId="5382"/>
    <cellStyle name="표준 10 3 2 4 2" xfId="14391"/>
    <cellStyle name="표준 10 3 2 4 2 2" xfId="35267"/>
    <cellStyle name="표준 10 3 2 4 3" xfId="26529"/>
    <cellStyle name="표준 10 3 2 5" xfId="7185"/>
    <cellStyle name="표준 10 3 2 5 2" xfId="16192"/>
    <cellStyle name="표준 10 3 2 5 2 2" xfId="37068"/>
    <cellStyle name="표준 10 3 2 5 3" xfId="28330"/>
    <cellStyle name="표준 10 3 2 6" xfId="7829"/>
    <cellStyle name="표준 10 3 2 6 2" xfId="16835"/>
    <cellStyle name="표준 10 3 2 6 2 2" xfId="37711"/>
    <cellStyle name="표준 10 3 2 6 3" xfId="28973"/>
    <cellStyle name="표준 10 3 2 7" xfId="8677"/>
    <cellStyle name="표준 10 3 2 7 2" xfId="17682"/>
    <cellStyle name="표준 10 3 2 7 2 2" xfId="38558"/>
    <cellStyle name="표준 10 3 2 7 3" xfId="29820"/>
    <cellStyle name="표준 10 3 2 8" xfId="9502"/>
    <cellStyle name="표준 10 3 2 8 2" xfId="18500"/>
    <cellStyle name="표준 10 3 2 8 2 2" xfId="39376"/>
    <cellStyle name="표준 10 3 2 8 3" xfId="30638"/>
    <cellStyle name="표준 10 3 2 9" xfId="9969"/>
    <cellStyle name="표준 10 3 3" xfId="3336"/>
    <cellStyle name="표준 10 3 3 10" xfId="12799"/>
    <cellStyle name="표준 10 3 3 10 2" xfId="33676"/>
    <cellStyle name="표준 10 3 3 11" xfId="24926"/>
    <cellStyle name="표준 10 3 3 2" xfId="4929"/>
    <cellStyle name="표준 10 3 3 2 2" xfId="6756"/>
    <cellStyle name="표준 10 3 3 2 2 2" xfId="15765"/>
    <cellStyle name="표준 10 3 3 2 2 2 2" xfId="36641"/>
    <cellStyle name="표준 10 3 3 2 2 3" xfId="27903"/>
    <cellStyle name="표준 10 3 3 2 3" xfId="13947"/>
    <cellStyle name="표준 10 3 3 2 3 2" xfId="34823"/>
    <cellStyle name="표준 10 3 3 2 4" xfId="26085"/>
    <cellStyle name="표준 10 3 3 3" xfId="5609"/>
    <cellStyle name="표준 10 3 3 3 2" xfId="14618"/>
    <cellStyle name="표준 10 3 3 3 2 2" xfId="35494"/>
    <cellStyle name="표준 10 3 3 3 3" xfId="26756"/>
    <cellStyle name="표준 10 3 3 4" xfId="7402"/>
    <cellStyle name="표준 10 3 3 4 2" xfId="16409"/>
    <cellStyle name="표준 10 3 3 4 2 2" xfId="37285"/>
    <cellStyle name="표준 10 3 3 4 3" xfId="28547"/>
    <cellStyle name="표준 10 3 3 5" xfId="8046"/>
    <cellStyle name="표준 10 3 3 5 2" xfId="17052"/>
    <cellStyle name="표준 10 3 3 5 2 2" xfId="37928"/>
    <cellStyle name="표준 10 3 3 5 3" xfId="29190"/>
    <cellStyle name="표준 10 3 3 6" xfId="8894"/>
    <cellStyle name="표준 10 3 3 6 2" xfId="17899"/>
    <cellStyle name="표준 10 3 3 6 2 2" xfId="38775"/>
    <cellStyle name="표준 10 3 3 6 3" xfId="30037"/>
    <cellStyle name="표준 10 3 3 7" xfId="9719"/>
    <cellStyle name="표준 10 3 3 7 2" xfId="18717"/>
    <cellStyle name="표준 10 3 3 7 2 2" xfId="39593"/>
    <cellStyle name="표준 10 3 3 7 3" xfId="30855"/>
    <cellStyle name="표준 10 3 3 8" xfId="10774"/>
    <cellStyle name="표준 10 3 3 8 2" xfId="19545"/>
    <cellStyle name="표준 10 3 3 8 2 2" xfId="40421"/>
    <cellStyle name="표준 10 3 3 8 3" xfId="31685"/>
    <cellStyle name="표준 10 3 3 9" xfId="11640"/>
    <cellStyle name="표준 10 3 3 9 2" xfId="20406"/>
    <cellStyle name="표준 10 3 3 9 2 2" xfId="41282"/>
    <cellStyle name="표준 10 3 3 9 3" xfId="32546"/>
    <cellStyle name="표준 10 3 4" xfId="4495"/>
    <cellStyle name="표준 10 3 4 2" xfId="6329"/>
    <cellStyle name="표준 10 3 4 2 2" xfId="15338"/>
    <cellStyle name="표준 10 3 4 2 2 2" xfId="36214"/>
    <cellStyle name="표준 10 3 4 2 3" xfId="27476"/>
    <cellStyle name="표준 10 3 4 3" xfId="10992"/>
    <cellStyle name="표준 10 3 4 3 2" xfId="19762"/>
    <cellStyle name="표준 10 3 4 3 2 2" xfId="40638"/>
    <cellStyle name="표준 10 3 4 3 3" xfId="31902"/>
    <cellStyle name="표준 10 3 4 4" xfId="11857"/>
    <cellStyle name="표준 10 3 4 4 2" xfId="20623"/>
    <cellStyle name="표준 10 3 4 4 2 2" xfId="41499"/>
    <cellStyle name="표준 10 3 4 4 3" xfId="32763"/>
    <cellStyle name="표준 10 3 4 5" xfId="13520"/>
    <cellStyle name="표준 10 3 4 5 2" xfId="34396"/>
    <cellStyle name="표준 10 3 4 6" xfId="25658"/>
    <cellStyle name="표준 10 3 5" xfId="5172"/>
    <cellStyle name="표준 10 3 5 2" xfId="14181"/>
    <cellStyle name="표준 10 3 5 2 2" xfId="35057"/>
    <cellStyle name="표준 10 3 5 3" xfId="26319"/>
    <cellStyle name="표준 10 3 6" xfId="6974"/>
    <cellStyle name="표준 10 3 6 2" xfId="15982"/>
    <cellStyle name="표준 10 3 6 2 2" xfId="36858"/>
    <cellStyle name="표준 10 3 6 3" xfId="28120"/>
    <cellStyle name="표준 10 3 7" xfId="7619"/>
    <cellStyle name="표준 10 3 7 2" xfId="16625"/>
    <cellStyle name="표준 10 3 7 2 2" xfId="37501"/>
    <cellStyle name="표준 10 3 7 3" xfId="28763"/>
    <cellStyle name="표준 10 3 8" xfId="8467"/>
    <cellStyle name="표준 10 3 8 2" xfId="17472"/>
    <cellStyle name="표준 10 3 8 2 2" xfId="38348"/>
    <cellStyle name="표준 10 3 8 3" xfId="29610"/>
    <cellStyle name="표준 10 3 9" xfId="9116"/>
    <cellStyle name="표준 10 3 9 2" xfId="18120"/>
    <cellStyle name="표준 10 3 9 2 2" xfId="38996"/>
    <cellStyle name="표준 10 3 9 3" xfId="30258"/>
    <cellStyle name="표준 10 4" xfId="2887"/>
    <cellStyle name="표준 10 4 10" xfId="9292"/>
    <cellStyle name="표준 10 4 10 2" xfId="18291"/>
    <cellStyle name="표준 10 4 10 2 2" xfId="39167"/>
    <cellStyle name="표준 10 4 10 3" xfId="30429"/>
    <cellStyle name="표준 10 4 11" xfId="9970"/>
    <cellStyle name="표준 10 4 12" xfId="10348"/>
    <cellStyle name="표준 10 4 12 2" xfId="19119"/>
    <cellStyle name="표준 10 4 12 2 2" xfId="39995"/>
    <cellStyle name="표준 10 4 12 3" xfId="31259"/>
    <cellStyle name="표준 10 4 13" xfId="11214"/>
    <cellStyle name="표준 10 4 13 2" xfId="19980"/>
    <cellStyle name="표준 10 4 13 2 2" xfId="40856"/>
    <cellStyle name="표준 10 4 13 3" xfId="32120"/>
    <cellStyle name="표준 10 4 14" xfId="12362"/>
    <cellStyle name="표준 10 4 14 2" xfId="33240"/>
    <cellStyle name="표준 10 4 15" xfId="24490"/>
    <cellStyle name="표준 10 4 2" xfId="3105"/>
    <cellStyle name="표준 10 4 2 10" xfId="10558"/>
    <cellStyle name="표준 10 4 2 10 2" xfId="19329"/>
    <cellStyle name="표준 10 4 2 10 2 2" xfId="40205"/>
    <cellStyle name="표준 10 4 2 10 3" xfId="31469"/>
    <cellStyle name="표준 10 4 2 11" xfId="11424"/>
    <cellStyle name="표준 10 4 2 11 2" xfId="20190"/>
    <cellStyle name="표준 10 4 2 11 2 2" xfId="41066"/>
    <cellStyle name="표준 10 4 2 11 3" xfId="32330"/>
    <cellStyle name="표준 10 4 2 12" xfId="12573"/>
    <cellStyle name="표준 10 4 2 12 2" xfId="33450"/>
    <cellStyle name="표준 10 4 2 13" xfId="24700"/>
    <cellStyle name="표준 10 4 2 2" xfId="3547"/>
    <cellStyle name="표준 10 4 2 2 2" xfId="5820"/>
    <cellStyle name="표준 10 4 2 2 2 2" xfId="14829"/>
    <cellStyle name="표준 10 4 2 2 2 2 2" xfId="35705"/>
    <cellStyle name="표준 10 4 2 2 2 3" xfId="26967"/>
    <cellStyle name="표준 10 4 2 2 3" xfId="13010"/>
    <cellStyle name="표준 10 4 2 2 3 2" xfId="33887"/>
    <cellStyle name="표준 10 4 2 2 4" xfId="25137"/>
    <cellStyle name="표준 10 4 2 3" xfId="4708"/>
    <cellStyle name="표준 10 4 2 3 2" xfId="6540"/>
    <cellStyle name="표준 10 4 2 3 2 2" xfId="15549"/>
    <cellStyle name="표준 10 4 2 3 2 2 2" xfId="36425"/>
    <cellStyle name="표준 10 4 2 3 2 3" xfId="27687"/>
    <cellStyle name="표준 10 4 2 3 3" xfId="13731"/>
    <cellStyle name="표준 10 4 2 3 3 2" xfId="34607"/>
    <cellStyle name="표준 10 4 2 3 4" xfId="25869"/>
    <cellStyle name="표준 10 4 2 4" xfId="5383"/>
    <cellStyle name="표준 10 4 2 4 2" xfId="14392"/>
    <cellStyle name="표준 10 4 2 4 2 2" xfId="35268"/>
    <cellStyle name="표준 10 4 2 4 3" xfId="26530"/>
    <cellStyle name="표준 10 4 2 5" xfId="7186"/>
    <cellStyle name="표준 10 4 2 5 2" xfId="16193"/>
    <cellStyle name="표준 10 4 2 5 2 2" xfId="37069"/>
    <cellStyle name="표준 10 4 2 5 3" xfId="28331"/>
    <cellStyle name="표준 10 4 2 6" xfId="7830"/>
    <cellStyle name="표준 10 4 2 6 2" xfId="16836"/>
    <cellStyle name="표준 10 4 2 6 2 2" xfId="37712"/>
    <cellStyle name="표준 10 4 2 6 3" xfId="28974"/>
    <cellStyle name="표준 10 4 2 7" xfId="8678"/>
    <cellStyle name="표준 10 4 2 7 2" xfId="17683"/>
    <cellStyle name="표준 10 4 2 7 2 2" xfId="38559"/>
    <cellStyle name="표준 10 4 2 7 3" xfId="29821"/>
    <cellStyle name="표준 10 4 2 8" xfId="9503"/>
    <cellStyle name="표준 10 4 2 8 2" xfId="18501"/>
    <cellStyle name="표준 10 4 2 8 2 2" xfId="39377"/>
    <cellStyle name="표준 10 4 2 8 3" xfId="30639"/>
    <cellStyle name="표준 10 4 2 9" xfId="9971"/>
    <cellStyle name="표준 10 4 3" xfId="3337"/>
    <cellStyle name="표준 10 4 3 10" xfId="12800"/>
    <cellStyle name="표준 10 4 3 10 2" xfId="33677"/>
    <cellStyle name="표준 10 4 3 11" xfId="24927"/>
    <cellStyle name="표준 10 4 3 2" xfId="4930"/>
    <cellStyle name="표준 10 4 3 2 2" xfId="6757"/>
    <cellStyle name="표준 10 4 3 2 2 2" xfId="15766"/>
    <cellStyle name="표준 10 4 3 2 2 2 2" xfId="36642"/>
    <cellStyle name="표준 10 4 3 2 2 3" xfId="27904"/>
    <cellStyle name="표준 10 4 3 2 3" xfId="13948"/>
    <cellStyle name="표준 10 4 3 2 3 2" xfId="34824"/>
    <cellStyle name="표준 10 4 3 2 4" xfId="26086"/>
    <cellStyle name="표준 10 4 3 3" xfId="5610"/>
    <cellStyle name="표준 10 4 3 3 2" xfId="14619"/>
    <cellStyle name="표준 10 4 3 3 2 2" xfId="35495"/>
    <cellStyle name="표준 10 4 3 3 3" xfId="26757"/>
    <cellStyle name="표준 10 4 3 4" xfId="7403"/>
    <cellStyle name="표준 10 4 3 4 2" xfId="16410"/>
    <cellStyle name="표준 10 4 3 4 2 2" xfId="37286"/>
    <cellStyle name="표준 10 4 3 4 3" xfId="28548"/>
    <cellStyle name="표준 10 4 3 5" xfId="8047"/>
    <cellStyle name="표준 10 4 3 5 2" xfId="17053"/>
    <cellStyle name="표준 10 4 3 5 2 2" xfId="37929"/>
    <cellStyle name="표준 10 4 3 5 3" xfId="29191"/>
    <cellStyle name="표준 10 4 3 6" xfId="8895"/>
    <cellStyle name="표준 10 4 3 6 2" xfId="17900"/>
    <cellStyle name="표준 10 4 3 6 2 2" xfId="38776"/>
    <cellStyle name="표준 10 4 3 6 3" xfId="30038"/>
    <cellStyle name="표준 10 4 3 7" xfId="9720"/>
    <cellStyle name="표준 10 4 3 7 2" xfId="18718"/>
    <cellStyle name="표준 10 4 3 7 2 2" xfId="39594"/>
    <cellStyle name="표준 10 4 3 7 3" xfId="30856"/>
    <cellStyle name="표준 10 4 3 8" xfId="10775"/>
    <cellStyle name="표준 10 4 3 8 2" xfId="19546"/>
    <cellStyle name="표준 10 4 3 8 2 2" xfId="40422"/>
    <cellStyle name="표준 10 4 3 8 3" xfId="31686"/>
    <cellStyle name="표준 10 4 3 9" xfId="11641"/>
    <cellStyle name="표준 10 4 3 9 2" xfId="20407"/>
    <cellStyle name="표준 10 4 3 9 2 2" xfId="41283"/>
    <cellStyle name="표준 10 4 3 9 3" xfId="32547"/>
    <cellStyle name="표준 10 4 4" xfId="4496"/>
    <cellStyle name="표준 10 4 4 2" xfId="6330"/>
    <cellStyle name="표준 10 4 4 2 2" xfId="15339"/>
    <cellStyle name="표준 10 4 4 2 2 2" xfId="36215"/>
    <cellStyle name="표준 10 4 4 2 3" xfId="27477"/>
    <cellStyle name="표준 10 4 4 3" xfId="10993"/>
    <cellStyle name="표준 10 4 4 3 2" xfId="19763"/>
    <cellStyle name="표준 10 4 4 3 2 2" xfId="40639"/>
    <cellStyle name="표준 10 4 4 3 3" xfId="31903"/>
    <cellStyle name="표준 10 4 4 4" xfId="11858"/>
    <cellStyle name="표준 10 4 4 4 2" xfId="20624"/>
    <cellStyle name="표준 10 4 4 4 2 2" xfId="41500"/>
    <cellStyle name="표준 10 4 4 4 3" xfId="32764"/>
    <cellStyle name="표준 10 4 4 5" xfId="13521"/>
    <cellStyle name="표준 10 4 4 5 2" xfId="34397"/>
    <cellStyle name="표준 10 4 4 6" xfId="25659"/>
    <cellStyle name="표준 10 4 5" xfId="5173"/>
    <cellStyle name="표준 10 4 5 2" xfId="14182"/>
    <cellStyle name="표준 10 4 5 2 2" xfId="35058"/>
    <cellStyle name="표준 10 4 5 3" xfId="26320"/>
    <cellStyle name="표준 10 4 6" xfId="6975"/>
    <cellStyle name="표준 10 4 6 2" xfId="15983"/>
    <cellStyle name="표준 10 4 6 2 2" xfId="36859"/>
    <cellStyle name="표준 10 4 6 3" xfId="28121"/>
    <cellStyle name="표준 10 4 7" xfId="7620"/>
    <cellStyle name="표준 10 4 7 2" xfId="16626"/>
    <cellStyle name="표준 10 4 7 2 2" xfId="37502"/>
    <cellStyle name="표준 10 4 7 3" xfId="28764"/>
    <cellStyle name="표준 10 4 8" xfId="8468"/>
    <cellStyle name="표준 10 4 8 2" xfId="17473"/>
    <cellStyle name="표준 10 4 8 2 2" xfId="38349"/>
    <cellStyle name="표준 10 4 8 3" xfId="29611"/>
    <cellStyle name="표준 10 4 9" xfId="9117"/>
    <cellStyle name="표준 10 4 9 2" xfId="18121"/>
    <cellStyle name="표준 10 4 9 2 2" xfId="38997"/>
    <cellStyle name="표준 10 4 9 3" xfId="30259"/>
    <cellStyle name="표준 10 5" xfId="2888"/>
    <cellStyle name="표준 10 5 10" xfId="10349"/>
    <cellStyle name="표준 10 5 10 2" xfId="19120"/>
    <cellStyle name="표준 10 5 10 2 2" xfId="39996"/>
    <cellStyle name="표준 10 5 10 3" xfId="31260"/>
    <cellStyle name="표준 10 5 11" xfId="11215"/>
    <cellStyle name="표준 10 5 11 2" xfId="19981"/>
    <cellStyle name="표준 10 5 11 2 2" xfId="40857"/>
    <cellStyle name="표준 10 5 11 3" xfId="32121"/>
    <cellStyle name="표준 10 5 12" xfId="12363"/>
    <cellStyle name="표준 10 5 12 2" xfId="33241"/>
    <cellStyle name="표준 10 5 13" xfId="24491"/>
    <cellStyle name="표준 10 5 2" xfId="3106"/>
    <cellStyle name="표준 10 5 2 10" xfId="11425"/>
    <cellStyle name="표준 10 5 2 10 2" xfId="20191"/>
    <cellStyle name="표준 10 5 2 10 2 2" xfId="41067"/>
    <cellStyle name="표준 10 5 2 10 3" xfId="32331"/>
    <cellStyle name="표준 10 5 2 11" xfId="12574"/>
    <cellStyle name="표준 10 5 2 11 2" xfId="33451"/>
    <cellStyle name="표준 10 5 2 12" xfId="24701"/>
    <cellStyle name="표준 10 5 2 2" xfId="3548"/>
    <cellStyle name="표준 10 5 2 2 2" xfId="5821"/>
    <cellStyle name="표준 10 5 2 2 2 2" xfId="14830"/>
    <cellStyle name="표준 10 5 2 2 2 2 2" xfId="35706"/>
    <cellStyle name="표준 10 5 2 2 2 3" xfId="26968"/>
    <cellStyle name="표준 10 5 2 2 3" xfId="13011"/>
    <cellStyle name="표준 10 5 2 2 3 2" xfId="33888"/>
    <cellStyle name="표준 10 5 2 2 4" xfId="25138"/>
    <cellStyle name="표준 10 5 2 3" xfId="4709"/>
    <cellStyle name="표준 10 5 2 3 2" xfId="6541"/>
    <cellStyle name="표준 10 5 2 3 2 2" xfId="15550"/>
    <cellStyle name="표준 10 5 2 3 2 2 2" xfId="36426"/>
    <cellStyle name="표준 10 5 2 3 2 3" xfId="27688"/>
    <cellStyle name="표준 10 5 2 3 3" xfId="13732"/>
    <cellStyle name="표준 10 5 2 3 3 2" xfId="34608"/>
    <cellStyle name="표준 10 5 2 3 4" xfId="25870"/>
    <cellStyle name="표준 10 5 2 4" xfId="5384"/>
    <cellStyle name="표준 10 5 2 4 2" xfId="14393"/>
    <cellStyle name="표준 10 5 2 4 2 2" xfId="35269"/>
    <cellStyle name="표준 10 5 2 4 3" xfId="26531"/>
    <cellStyle name="표준 10 5 2 5" xfId="7187"/>
    <cellStyle name="표준 10 5 2 5 2" xfId="16194"/>
    <cellStyle name="표준 10 5 2 5 2 2" xfId="37070"/>
    <cellStyle name="표준 10 5 2 5 3" xfId="28332"/>
    <cellStyle name="표준 10 5 2 6" xfId="7831"/>
    <cellStyle name="표준 10 5 2 6 2" xfId="16837"/>
    <cellStyle name="표준 10 5 2 6 2 2" xfId="37713"/>
    <cellStyle name="표준 10 5 2 6 3" xfId="28975"/>
    <cellStyle name="표준 10 5 2 7" xfId="8679"/>
    <cellStyle name="표준 10 5 2 7 2" xfId="17684"/>
    <cellStyle name="표준 10 5 2 7 2 2" xfId="38560"/>
    <cellStyle name="표준 10 5 2 7 3" xfId="29822"/>
    <cellStyle name="표준 10 5 2 8" xfId="9504"/>
    <cellStyle name="표준 10 5 2 8 2" xfId="18502"/>
    <cellStyle name="표준 10 5 2 8 2 2" xfId="39378"/>
    <cellStyle name="표준 10 5 2 8 3" xfId="30640"/>
    <cellStyle name="표준 10 5 2 9" xfId="10559"/>
    <cellStyle name="표준 10 5 2 9 2" xfId="19330"/>
    <cellStyle name="표준 10 5 2 9 2 2" xfId="40206"/>
    <cellStyle name="표준 10 5 2 9 3" xfId="31470"/>
    <cellStyle name="표준 10 5 3" xfId="3338"/>
    <cellStyle name="표준 10 5 3 10" xfId="12801"/>
    <cellStyle name="표준 10 5 3 10 2" xfId="33678"/>
    <cellStyle name="표준 10 5 3 11" xfId="24928"/>
    <cellStyle name="표준 10 5 3 2" xfId="4931"/>
    <cellStyle name="표준 10 5 3 2 2" xfId="6758"/>
    <cellStyle name="표준 10 5 3 2 2 2" xfId="15767"/>
    <cellStyle name="표준 10 5 3 2 2 2 2" xfId="36643"/>
    <cellStyle name="표준 10 5 3 2 2 3" xfId="27905"/>
    <cellStyle name="표준 10 5 3 2 3" xfId="13949"/>
    <cellStyle name="표준 10 5 3 2 3 2" xfId="34825"/>
    <cellStyle name="표준 10 5 3 2 4" xfId="26087"/>
    <cellStyle name="표준 10 5 3 3" xfId="5611"/>
    <cellStyle name="표준 10 5 3 3 2" xfId="14620"/>
    <cellStyle name="표준 10 5 3 3 2 2" xfId="35496"/>
    <cellStyle name="표준 10 5 3 3 3" xfId="26758"/>
    <cellStyle name="표준 10 5 3 4" xfId="7404"/>
    <cellStyle name="표준 10 5 3 4 2" xfId="16411"/>
    <cellStyle name="표준 10 5 3 4 2 2" xfId="37287"/>
    <cellStyle name="표준 10 5 3 4 3" xfId="28549"/>
    <cellStyle name="표준 10 5 3 5" xfId="8048"/>
    <cellStyle name="표준 10 5 3 5 2" xfId="17054"/>
    <cellStyle name="표준 10 5 3 5 2 2" xfId="37930"/>
    <cellStyle name="표준 10 5 3 5 3" xfId="29192"/>
    <cellStyle name="표준 10 5 3 6" xfId="8896"/>
    <cellStyle name="표준 10 5 3 6 2" xfId="17901"/>
    <cellStyle name="표준 10 5 3 6 2 2" xfId="38777"/>
    <cellStyle name="표준 10 5 3 6 3" xfId="30039"/>
    <cellStyle name="표준 10 5 3 7" xfId="9721"/>
    <cellStyle name="표준 10 5 3 7 2" xfId="18719"/>
    <cellStyle name="표준 10 5 3 7 2 2" xfId="39595"/>
    <cellStyle name="표준 10 5 3 7 3" xfId="30857"/>
    <cellStyle name="표준 10 5 3 8" xfId="10776"/>
    <cellStyle name="표준 10 5 3 8 2" xfId="19547"/>
    <cellStyle name="표준 10 5 3 8 2 2" xfId="40423"/>
    <cellStyle name="표준 10 5 3 8 3" xfId="31687"/>
    <cellStyle name="표준 10 5 3 9" xfId="11642"/>
    <cellStyle name="표준 10 5 3 9 2" xfId="20408"/>
    <cellStyle name="표준 10 5 3 9 2 2" xfId="41284"/>
    <cellStyle name="표준 10 5 3 9 3" xfId="32548"/>
    <cellStyle name="표준 10 5 4" xfId="4497"/>
    <cellStyle name="표준 10 5 4 2" xfId="6331"/>
    <cellStyle name="표준 10 5 4 2 2" xfId="15340"/>
    <cellStyle name="표준 10 5 4 2 2 2" xfId="36216"/>
    <cellStyle name="표준 10 5 4 2 3" xfId="27478"/>
    <cellStyle name="표준 10 5 4 3" xfId="10994"/>
    <cellStyle name="표준 10 5 4 3 2" xfId="19764"/>
    <cellStyle name="표준 10 5 4 3 2 2" xfId="40640"/>
    <cellStyle name="표준 10 5 4 3 3" xfId="31904"/>
    <cellStyle name="표준 10 5 4 4" xfId="11859"/>
    <cellStyle name="표준 10 5 4 4 2" xfId="20625"/>
    <cellStyle name="표준 10 5 4 4 2 2" xfId="41501"/>
    <cellStyle name="표준 10 5 4 4 3" xfId="32765"/>
    <cellStyle name="표준 10 5 4 5" xfId="13522"/>
    <cellStyle name="표준 10 5 4 5 2" xfId="34398"/>
    <cellStyle name="표준 10 5 4 6" xfId="25660"/>
    <cellStyle name="표준 10 5 5" xfId="5174"/>
    <cellStyle name="표준 10 5 5 2" xfId="14183"/>
    <cellStyle name="표준 10 5 5 2 2" xfId="35059"/>
    <cellStyle name="표준 10 5 5 3" xfId="26321"/>
    <cellStyle name="표준 10 5 6" xfId="6976"/>
    <cellStyle name="표준 10 5 6 2" xfId="15984"/>
    <cellStyle name="표준 10 5 6 2 2" xfId="36860"/>
    <cellStyle name="표준 10 5 6 3" xfId="28122"/>
    <cellStyle name="표준 10 5 7" xfId="7621"/>
    <cellStyle name="표준 10 5 7 2" xfId="16627"/>
    <cellStyle name="표준 10 5 7 2 2" xfId="37503"/>
    <cellStyle name="표준 10 5 7 3" xfId="28765"/>
    <cellStyle name="표준 10 5 8" xfId="8469"/>
    <cellStyle name="표준 10 5 8 2" xfId="17474"/>
    <cellStyle name="표준 10 5 8 2 2" xfId="38350"/>
    <cellStyle name="표준 10 5 8 3" xfId="29612"/>
    <cellStyle name="표준 10 5 9" xfId="9293"/>
    <cellStyle name="표준 10 5 9 2" xfId="18292"/>
    <cellStyle name="표준 10 5 9 2 2" xfId="39168"/>
    <cellStyle name="표준 10 5 9 3" xfId="30430"/>
    <cellStyle name="표준 10 6" xfId="2889"/>
    <cellStyle name="표준 10 6 10" xfId="10350"/>
    <cellStyle name="표준 10 6 10 2" xfId="19121"/>
    <cellStyle name="표준 10 6 10 2 2" xfId="39997"/>
    <cellStyle name="표준 10 6 10 3" xfId="31261"/>
    <cellStyle name="표준 10 6 11" xfId="11216"/>
    <cellStyle name="표준 10 6 11 2" xfId="19982"/>
    <cellStyle name="표준 10 6 11 2 2" xfId="40858"/>
    <cellStyle name="표준 10 6 11 3" xfId="32122"/>
    <cellStyle name="표준 10 6 12" xfId="12364"/>
    <cellStyle name="표준 10 6 12 2" xfId="33242"/>
    <cellStyle name="표준 10 6 13" xfId="24492"/>
    <cellStyle name="표준 10 6 2" xfId="3107"/>
    <cellStyle name="표준 10 6 2 10" xfId="11426"/>
    <cellStyle name="표준 10 6 2 10 2" xfId="20192"/>
    <cellStyle name="표준 10 6 2 10 2 2" xfId="41068"/>
    <cellStyle name="표준 10 6 2 10 3" xfId="32332"/>
    <cellStyle name="표준 10 6 2 11" xfId="12575"/>
    <cellStyle name="표준 10 6 2 11 2" xfId="33452"/>
    <cellStyle name="표준 10 6 2 12" xfId="24702"/>
    <cellStyle name="표준 10 6 2 2" xfId="3549"/>
    <cellStyle name="표준 10 6 2 2 2" xfId="5822"/>
    <cellStyle name="표준 10 6 2 2 2 2" xfId="14831"/>
    <cellStyle name="표준 10 6 2 2 2 2 2" xfId="35707"/>
    <cellStyle name="표준 10 6 2 2 2 3" xfId="26969"/>
    <cellStyle name="표준 10 6 2 2 3" xfId="13012"/>
    <cellStyle name="표준 10 6 2 2 3 2" xfId="33889"/>
    <cellStyle name="표준 10 6 2 2 4" xfId="25139"/>
    <cellStyle name="표준 10 6 2 3" xfId="4710"/>
    <cellStyle name="표준 10 6 2 3 2" xfId="6542"/>
    <cellStyle name="표준 10 6 2 3 2 2" xfId="15551"/>
    <cellStyle name="표준 10 6 2 3 2 2 2" xfId="36427"/>
    <cellStyle name="표준 10 6 2 3 2 3" xfId="27689"/>
    <cellStyle name="표준 10 6 2 3 3" xfId="13733"/>
    <cellStyle name="표준 10 6 2 3 3 2" xfId="34609"/>
    <cellStyle name="표준 10 6 2 3 4" xfId="25871"/>
    <cellStyle name="표준 10 6 2 4" xfId="5385"/>
    <cellStyle name="표준 10 6 2 4 2" xfId="14394"/>
    <cellStyle name="표준 10 6 2 4 2 2" xfId="35270"/>
    <cellStyle name="표준 10 6 2 4 3" xfId="26532"/>
    <cellStyle name="표준 10 6 2 5" xfId="7188"/>
    <cellStyle name="표준 10 6 2 5 2" xfId="16195"/>
    <cellStyle name="표준 10 6 2 5 2 2" xfId="37071"/>
    <cellStyle name="표준 10 6 2 5 3" xfId="28333"/>
    <cellStyle name="표준 10 6 2 6" xfId="7832"/>
    <cellStyle name="표준 10 6 2 6 2" xfId="16838"/>
    <cellStyle name="표준 10 6 2 6 2 2" xfId="37714"/>
    <cellStyle name="표준 10 6 2 6 3" xfId="28976"/>
    <cellStyle name="표준 10 6 2 7" xfId="8680"/>
    <cellStyle name="표준 10 6 2 7 2" xfId="17685"/>
    <cellStyle name="표준 10 6 2 7 2 2" xfId="38561"/>
    <cellStyle name="표준 10 6 2 7 3" xfId="29823"/>
    <cellStyle name="표준 10 6 2 8" xfId="9505"/>
    <cellStyle name="표준 10 6 2 8 2" xfId="18503"/>
    <cellStyle name="표준 10 6 2 8 2 2" xfId="39379"/>
    <cellStyle name="표준 10 6 2 8 3" xfId="30641"/>
    <cellStyle name="표준 10 6 2 9" xfId="10560"/>
    <cellStyle name="표준 10 6 2 9 2" xfId="19331"/>
    <cellStyle name="표준 10 6 2 9 2 2" xfId="40207"/>
    <cellStyle name="표준 10 6 2 9 3" xfId="31471"/>
    <cellStyle name="표준 10 6 3" xfId="3339"/>
    <cellStyle name="표준 10 6 3 10" xfId="12802"/>
    <cellStyle name="표준 10 6 3 10 2" xfId="33679"/>
    <cellStyle name="표준 10 6 3 11" xfId="24929"/>
    <cellStyle name="표준 10 6 3 2" xfId="4932"/>
    <cellStyle name="표준 10 6 3 2 2" xfId="6759"/>
    <cellStyle name="표준 10 6 3 2 2 2" xfId="15768"/>
    <cellStyle name="표준 10 6 3 2 2 2 2" xfId="36644"/>
    <cellStyle name="표준 10 6 3 2 2 3" xfId="27906"/>
    <cellStyle name="표준 10 6 3 2 3" xfId="13950"/>
    <cellStyle name="표준 10 6 3 2 3 2" xfId="34826"/>
    <cellStyle name="표준 10 6 3 2 4" xfId="26088"/>
    <cellStyle name="표준 10 6 3 3" xfId="5612"/>
    <cellStyle name="표준 10 6 3 3 2" xfId="14621"/>
    <cellStyle name="표준 10 6 3 3 2 2" xfId="35497"/>
    <cellStyle name="표준 10 6 3 3 3" xfId="26759"/>
    <cellStyle name="표준 10 6 3 4" xfId="7405"/>
    <cellStyle name="표준 10 6 3 4 2" xfId="16412"/>
    <cellStyle name="표준 10 6 3 4 2 2" xfId="37288"/>
    <cellStyle name="표준 10 6 3 4 3" xfId="28550"/>
    <cellStyle name="표준 10 6 3 5" xfId="8049"/>
    <cellStyle name="표준 10 6 3 5 2" xfId="17055"/>
    <cellStyle name="표준 10 6 3 5 2 2" xfId="37931"/>
    <cellStyle name="표준 10 6 3 5 3" xfId="29193"/>
    <cellStyle name="표준 10 6 3 6" xfId="8897"/>
    <cellStyle name="표준 10 6 3 6 2" xfId="17902"/>
    <cellStyle name="표준 10 6 3 6 2 2" xfId="38778"/>
    <cellStyle name="표준 10 6 3 6 3" xfId="30040"/>
    <cellStyle name="표준 10 6 3 7" xfId="9722"/>
    <cellStyle name="표준 10 6 3 7 2" xfId="18720"/>
    <cellStyle name="표준 10 6 3 7 2 2" xfId="39596"/>
    <cellStyle name="표준 10 6 3 7 3" xfId="30858"/>
    <cellStyle name="표준 10 6 3 8" xfId="10777"/>
    <cellStyle name="표준 10 6 3 8 2" xfId="19548"/>
    <cellStyle name="표준 10 6 3 8 2 2" xfId="40424"/>
    <cellStyle name="표준 10 6 3 8 3" xfId="31688"/>
    <cellStyle name="표준 10 6 3 9" xfId="11643"/>
    <cellStyle name="표준 10 6 3 9 2" xfId="20409"/>
    <cellStyle name="표준 10 6 3 9 2 2" xfId="41285"/>
    <cellStyle name="표준 10 6 3 9 3" xfId="32549"/>
    <cellStyle name="표준 10 6 4" xfId="4498"/>
    <cellStyle name="표준 10 6 4 2" xfId="6332"/>
    <cellStyle name="표준 10 6 4 2 2" xfId="15341"/>
    <cellStyle name="표준 10 6 4 2 2 2" xfId="36217"/>
    <cellStyle name="표준 10 6 4 2 3" xfId="27479"/>
    <cellStyle name="표준 10 6 4 3" xfId="10995"/>
    <cellStyle name="표준 10 6 4 3 2" xfId="19765"/>
    <cellStyle name="표준 10 6 4 3 2 2" xfId="40641"/>
    <cellStyle name="표준 10 6 4 3 3" xfId="31905"/>
    <cellStyle name="표준 10 6 4 4" xfId="11860"/>
    <cellStyle name="표준 10 6 4 4 2" xfId="20626"/>
    <cellStyle name="표준 10 6 4 4 2 2" xfId="41502"/>
    <cellStyle name="표준 10 6 4 4 3" xfId="32766"/>
    <cellStyle name="표준 10 6 4 5" xfId="13523"/>
    <cellStyle name="표준 10 6 4 5 2" xfId="34399"/>
    <cellStyle name="표준 10 6 4 6" xfId="25661"/>
    <cellStyle name="표준 10 6 5" xfId="5175"/>
    <cellStyle name="표준 10 6 5 2" xfId="14184"/>
    <cellStyle name="표준 10 6 5 2 2" xfId="35060"/>
    <cellStyle name="표준 10 6 5 3" xfId="26322"/>
    <cellStyle name="표준 10 6 6" xfId="6977"/>
    <cellStyle name="표준 10 6 6 2" xfId="15985"/>
    <cellStyle name="표준 10 6 6 2 2" xfId="36861"/>
    <cellStyle name="표준 10 6 6 3" xfId="28123"/>
    <cellStyle name="표준 10 6 7" xfId="7622"/>
    <cellStyle name="표준 10 6 7 2" xfId="16628"/>
    <cellStyle name="표준 10 6 7 2 2" xfId="37504"/>
    <cellStyle name="표준 10 6 7 3" xfId="28766"/>
    <cellStyle name="표준 10 6 8" xfId="8470"/>
    <cellStyle name="표준 10 6 8 2" xfId="17475"/>
    <cellStyle name="표준 10 6 8 2 2" xfId="38351"/>
    <cellStyle name="표준 10 6 8 3" xfId="29613"/>
    <cellStyle name="표준 10 6 9" xfId="9294"/>
    <cellStyle name="표준 10 6 9 2" xfId="18293"/>
    <cellStyle name="표준 10 6 9 2 2" xfId="39169"/>
    <cellStyle name="표준 10 6 9 3" xfId="30431"/>
    <cellStyle name="표준 10 7" xfId="2890"/>
    <cellStyle name="표준 10 7 10" xfId="10351"/>
    <cellStyle name="표준 10 7 10 2" xfId="19122"/>
    <cellStyle name="표준 10 7 10 2 2" xfId="39998"/>
    <cellStyle name="표준 10 7 10 3" xfId="31262"/>
    <cellStyle name="표준 10 7 11" xfId="11217"/>
    <cellStyle name="표준 10 7 11 2" xfId="19983"/>
    <cellStyle name="표준 10 7 11 2 2" xfId="40859"/>
    <cellStyle name="표준 10 7 11 3" xfId="32123"/>
    <cellStyle name="표준 10 7 12" xfId="12365"/>
    <cellStyle name="표준 10 7 12 2" xfId="33243"/>
    <cellStyle name="표준 10 7 13" xfId="24493"/>
    <cellStyle name="표준 10 7 2" xfId="3108"/>
    <cellStyle name="표준 10 7 2 10" xfId="11427"/>
    <cellStyle name="표준 10 7 2 10 2" xfId="20193"/>
    <cellStyle name="표준 10 7 2 10 2 2" xfId="41069"/>
    <cellStyle name="표준 10 7 2 10 3" xfId="32333"/>
    <cellStyle name="표준 10 7 2 11" xfId="12576"/>
    <cellStyle name="표준 10 7 2 11 2" xfId="33453"/>
    <cellStyle name="표준 10 7 2 12" xfId="24703"/>
    <cellStyle name="표준 10 7 2 2" xfId="3550"/>
    <cellStyle name="표준 10 7 2 2 2" xfId="5823"/>
    <cellStyle name="표준 10 7 2 2 2 2" xfId="14832"/>
    <cellStyle name="표준 10 7 2 2 2 2 2" xfId="35708"/>
    <cellStyle name="표준 10 7 2 2 2 3" xfId="26970"/>
    <cellStyle name="표준 10 7 2 2 3" xfId="13013"/>
    <cellStyle name="표준 10 7 2 2 3 2" xfId="33890"/>
    <cellStyle name="표준 10 7 2 2 4" xfId="25140"/>
    <cellStyle name="표준 10 7 2 3" xfId="4711"/>
    <cellStyle name="표준 10 7 2 3 2" xfId="6543"/>
    <cellStyle name="표준 10 7 2 3 2 2" xfId="15552"/>
    <cellStyle name="표준 10 7 2 3 2 2 2" xfId="36428"/>
    <cellStyle name="표준 10 7 2 3 2 3" xfId="27690"/>
    <cellStyle name="표준 10 7 2 3 3" xfId="13734"/>
    <cellStyle name="표준 10 7 2 3 3 2" xfId="34610"/>
    <cellStyle name="표준 10 7 2 3 4" xfId="25872"/>
    <cellStyle name="표준 10 7 2 4" xfId="5386"/>
    <cellStyle name="표준 10 7 2 4 2" xfId="14395"/>
    <cellStyle name="표준 10 7 2 4 2 2" xfId="35271"/>
    <cellStyle name="표준 10 7 2 4 3" xfId="26533"/>
    <cellStyle name="표준 10 7 2 5" xfId="7189"/>
    <cellStyle name="표준 10 7 2 5 2" xfId="16196"/>
    <cellStyle name="표준 10 7 2 5 2 2" xfId="37072"/>
    <cellStyle name="표준 10 7 2 5 3" xfId="28334"/>
    <cellStyle name="표준 10 7 2 6" xfId="7833"/>
    <cellStyle name="표준 10 7 2 6 2" xfId="16839"/>
    <cellStyle name="표준 10 7 2 6 2 2" xfId="37715"/>
    <cellStyle name="표준 10 7 2 6 3" xfId="28977"/>
    <cellStyle name="표준 10 7 2 7" xfId="8681"/>
    <cellStyle name="표준 10 7 2 7 2" xfId="17686"/>
    <cellStyle name="표준 10 7 2 7 2 2" xfId="38562"/>
    <cellStyle name="표준 10 7 2 7 3" xfId="29824"/>
    <cellStyle name="표준 10 7 2 8" xfId="9506"/>
    <cellStyle name="표준 10 7 2 8 2" xfId="18504"/>
    <cellStyle name="표준 10 7 2 8 2 2" xfId="39380"/>
    <cellStyle name="표준 10 7 2 8 3" xfId="30642"/>
    <cellStyle name="표준 10 7 2 9" xfId="10561"/>
    <cellStyle name="표준 10 7 2 9 2" xfId="19332"/>
    <cellStyle name="표준 10 7 2 9 2 2" xfId="40208"/>
    <cellStyle name="표준 10 7 2 9 3" xfId="31472"/>
    <cellStyle name="표준 10 7 3" xfId="3340"/>
    <cellStyle name="표준 10 7 3 10" xfId="12803"/>
    <cellStyle name="표준 10 7 3 10 2" xfId="33680"/>
    <cellStyle name="표준 10 7 3 11" xfId="24930"/>
    <cellStyle name="표준 10 7 3 2" xfId="4933"/>
    <cellStyle name="표준 10 7 3 2 2" xfId="6760"/>
    <cellStyle name="표준 10 7 3 2 2 2" xfId="15769"/>
    <cellStyle name="표준 10 7 3 2 2 2 2" xfId="36645"/>
    <cellStyle name="표준 10 7 3 2 2 3" xfId="27907"/>
    <cellStyle name="표준 10 7 3 2 3" xfId="13951"/>
    <cellStyle name="표준 10 7 3 2 3 2" xfId="34827"/>
    <cellStyle name="표준 10 7 3 2 4" xfId="26089"/>
    <cellStyle name="표준 10 7 3 3" xfId="5613"/>
    <cellStyle name="표준 10 7 3 3 2" xfId="14622"/>
    <cellStyle name="표준 10 7 3 3 2 2" xfId="35498"/>
    <cellStyle name="표준 10 7 3 3 3" xfId="26760"/>
    <cellStyle name="표준 10 7 3 4" xfId="7406"/>
    <cellStyle name="표준 10 7 3 4 2" xfId="16413"/>
    <cellStyle name="표준 10 7 3 4 2 2" xfId="37289"/>
    <cellStyle name="표준 10 7 3 4 3" xfId="28551"/>
    <cellStyle name="표준 10 7 3 5" xfId="8050"/>
    <cellStyle name="표준 10 7 3 5 2" xfId="17056"/>
    <cellStyle name="표준 10 7 3 5 2 2" xfId="37932"/>
    <cellStyle name="표준 10 7 3 5 3" xfId="29194"/>
    <cellStyle name="표준 10 7 3 6" xfId="8898"/>
    <cellStyle name="표준 10 7 3 6 2" xfId="17903"/>
    <cellStyle name="표준 10 7 3 6 2 2" xfId="38779"/>
    <cellStyle name="표준 10 7 3 6 3" xfId="30041"/>
    <cellStyle name="표준 10 7 3 7" xfId="9723"/>
    <cellStyle name="표준 10 7 3 7 2" xfId="18721"/>
    <cellStyle name="표준 10 7 3 7 2 2" xfId="39597"/>
    <cellStyle name="표준 10 7 3 7 3" xfId="30859"/>
    <cellStyle name="표준 10 7 3 8" xfId="10778"/>
    <cellStyle name="표준 10 7 3 8 2" xfId="19549"/>
    <cellStyle name="표준 10 7 3 8 2 2" xfId="40425"/>
    <cellStyle name="표준 10 7 3 8 3" xfId="31689"/>
    <cellStyle name="표준 10 7 3 9" xfId="11644"/>
    <cellStyle name="표준 10 7 3 9 2" xfId="20410"/>
    <cellStyle name="표준 10 7 3 9 2 2" xfId="41286"/>
    <cellStyle name="표준 10 7 3 9 3" xfId="32550"/>
    <cellStyle name="표준 10 7 4" xfId="4499"/>
    <cellStyle name="표준 10 7 4 2" xfId="6333"/>
    <cellStyle name="표준 10 7 4 2 2" xfId="15342"/>
    <cellStyle name="표준 10 7 4 2 2 2" xfId="36218"/>
    <cellStyle name="표준 10 7 4 2 3" xfId="27480"/>
    <cellStyle name="표준 10 7 4 3" xfId="10996"/>
    <cellStyle name="표준 10 7 4 3 2" xfId="19766"/>
    <cellStyle name="표준 10 7 4 3 2 2" xfId="40642"/>
    <cellStyle name="표준 10 7 4 3 3" xfId="31906"/>
    <cellStyle name="표준 10 7 4 4" xfId="11861"/>
    <cellStyle name="표준 10 7 4 4 2" xfId="20627"/>
    <cellStyle name="표준 10 7 4 4 2 2" xfId="41503"/>
    <cellStyle name="표준 10 7 4 4 3" xfId="32767"/>
    <cellStyle name="표준 10 7 4 5" xfId="13524"/>
    <cellStyle name="표준 10 7 4 5 2" xfId="34400"/>
    <cellStyle name="표준 10 7 4 6" xfId="25662"/>
    <cellStyle name="표준 10 7 5" xfId="5176"/>
    <cellStyle name="표준 10 7 5 2" xfId="14185"/>
    <cellStyle name="표준 10 7 5 2 2" xfId="35061"/>
    <cellStyle name="표준 10 7 5 3" xfId="26323"/>
    <cellStyle name="표준 10 7 6" xfId="6978"/>
    <cellStyle name="표준 10 7 6 2" xfId="15986"/>
    <cellStyle name="표준 10 7 6 2 2" xfId="36862"/>
    <cellStyle name="표준 10 7 6 3" xfId="28124"/>
    <cellStyle name="표준 10 7 7" xfId="7623"/>
    <cellStyle name="표준 10 7 7 2" xfId="16629"/>
    <cellStyle name="표준 10 7 7 2 2" xfId="37505"/>
    <cellStyle name="표준 10 7 7 3" xfId="28767"/>
    <cellStyle name="표준 10 7 8" xfId="8471"/>
    <cellStyle name="표준 10 7 8 2" xfId="17476"/>
    <cellStyle name="표준 10 7 8 2 2" xfId="38352"/>
    <cellStyle name="표준 10 7 8 3" xfId="29614"/>
    <cellStyle name="표준 10 7 9" xfId="9295"/>
    <cellStyle name="표준 10 7 9 2" xfId="18294"/>
    <cellStyle name="표준 10 7 9 2 2" xfId="39170"/>
    <cellStyle name="표준 10 7 9 3" xfId="30432"/>
    <cellStyle name="표준 10 8" xfId="3102"/>
    <cellStyle name="표준 10 8 10" xfId="11421"/>
    <cellStyle name="표준 10 8 10 2" xfId="20187"/>
    <cellStyle name="표준 10 8 10 2 2" xfId="41063"/>
    <cellStyle name="표준 10 8 10 3" xfId="32327"/>
    <cellStyle name="표준 10 8 11" xfId="12570"/>
    <cellStyle name="표준 10 8 11 2" xfId="33447"/>
    <cellStyle name="표준 10 8 12" xfId="24697"/>
    <cellStyle name="표준 10 8 2" xfId="3544"/>
    <cellStyle name="표준 10 8 2 2" xfId="5817"/>
    <cellStyle name="표준 10 8 2 2 2" xfId="14826"/>
    <cellStyle name="표준 10 8 2 2 2 2" xfId="35702"/>
    <cellStyle name="표준 10 8 2 2 3" xfId="26964"/>
    <cellStyle name="표준 10 8 2 3" xfId="13007"/>
    <cellStyle name="표준 10 8 2 3 2" xfId="33884"/>
    <cellStyle name="표준 10 8 2 4" xfId="25134"/>
    <cellStyle name="표준 10 8 3" xfId="4705"/>
    <cellStyle name="표준 10 8 3 2" xfId="6537"/>
    <cellStyle name="표준 10 8 3 2 2" xfId="15546"/>
    <cellStyle name="표준 10 8 3 2 2 2" xfId="36422"/>
    <cellStyle name="표준 10 8 3 2 3" xfId="27684"/>
    <cellStyle name="표준 10 8 3 3" xfId="13728"/>
    <cellStyle name="표준 10 8 3 3 2" xfId="34604"/>
    <cellStyle name="표준 10 8 3 4" xfId="25866"/>
    <cellStyle name="표준 10 8 4" xfId="5380"/>
    <cellStyle name="표준 10 8 4 2" xfId="14389"/>
    <cellStyle name="표준 10 8 4 2 2" xfId="35265"/>
    <cellStyle name="표준 10 8 4 3" xfId="26527"/>
    <cellStyle name="표준 10 8 5" xfId="7183"/>
    <cellStyle name="표준 10 8 5 2" xfId="16190"/>
    <cellStyle name="표준 10 8 5 2 2" xfId="37066"/>
    <cellStyle name="표준 10 8 5 3" xfId="28328"/>
    <cellStyle name="표준 10 8 6" xfId="7827"/>
    <cellStyle name="표준 10 8 6 2" xfId="16833"/>
    <cellStyle name="표준 10 8 6 2 2" xfId="37709"/>
    <cellStyle name="표준 10 8 6 3" xfId="28971"/>
    <cellStyle name="표준 10 8 7" xfId="8675"/>
    <cellStyle name="표준 10 8 7 2" xfId="17680"/>
    <cellStyle name="표준 10 8 7 2 2" xfId="38556"/>
    <cellStyle name="표준 10 8 7 3" xfId="29818"/>
    <cellStyle name="표준 10 8 8" xfId="9500"/>
    <cellStyle name="표준 10 8 8 2" xfId="18498"/>
    <cellStyle name="표준 10 8 8 2 2" xfId="39374"/>
    <cellStyle name="표준 10 8 8 3" xfId="30636"/>
    <cellStyle name="표준 10 8 9" xfId="10555"/>
    <cellStyle name="표준 10 8 9 2" xfId="19326"/>
    <cellStyle name="표준 10 8 9 2 2" xfId="40202"/>
    <cellStyle name="표준 10 8 9 3" xfId="31466"/>
    <cellStyle name="표준 10 9" xfId="3334"/>
    <cellStyle name="표준 10 9 10" xfId="12797"/>
    <cellStyle name="표준 10 9 10 2" xfId="33674"/>
    <cellStyle name="표준 10 9 11" xfId="24924"/>
    <cellStyle name="표준 10 9 2" xfId="4927"/>
    <cellStyle name="표준 10 9 2 2" xfId="6754"/>
    <cellStyle name="표준 10 9 2 2 2" xfId="15763"/>
    <cellStyle name="표준 10 9 2 2 2 2" xfId="36639"/>
    <cellStyle name="표준 10 9 2 2 3" xfId="27901"/>
    <cellStyle name="표준 10 9 2 3" xfId="13945"/>
    <cellStyle name="표준 10 9 2 3 2" xfId="34821"/>
    <cellStyle name="표준 10 9 2 4" xfId="26083"/>
    <cellStyle name="표준 10 9 3" xfId="5607"/>
    <cellStyle name="표준 10 9 3 2" xfId="14616"/>
    <cellStyle name="표준 10 9 3 2 2" xfId="35492"/>
    <cellStyle name="표준 10 9 3 3" xfId="26754"/>
    <cellStyle name="표준 10 9 4" xfId="7400"/>
    <cellStyle name="표준 10 9 4 2" xfId="16407"/>
    <cellStyle name="표준 10 9 4 2 2" xfId="37283"/>
    <cellStyle name="표준 10 9 4 3" xfId="28545"/>
    <cellStyle name="표준 10 9 5" xfId="8044"/>
    <cellStyle name="표준 10 9 5 2" xfId="17050"/>
    <cellStyle name="표준 10 9 5 2 2" xfId="37926"/>
    <cellStyle name="표준 10 9 5 3" xfId="29188"/>
    <cellStyle name="표준 10 9 6" xfId="8892"/>
    <cellStyle name="표준 10 9 6 2" xfId="17897"/>
    <cellStyle name="표준 10 9 6 2 2" xfId="38773"/>
    <cellStyle name="표준 10 9 6 3" xfId="30035"/>
    <cellStyle name="표준 10 9 7" xfId="9717"/>
    <cellStyle name="표준 10 9 7 2" xfId="18715"/>
    <cellStyle name="표준 10 9 7 2 2" xfId="39591"/>
    <cellStyle name="표준 10 9 7 3" xfId="30853"/>
    <cellStyle name="표준 10 9 8" xfId="10772"/>
    <cellStyle name="표준 10 9 8 2" xfId="19543"/>
    <cellStyle name="표준 10 9 8 2 2" xfId="40419"/>
    <cellStyle name="표준 10 9 8 3" xfId="31683"/>
    <cellStyle name="표준 10 9 9" xfId="11638"/>
    <cellStyle name="표준 10 9 9 2" xfId="20404"/>
    <cellStyle name="표준 10 9 9 2 2" xfId="41280"/>
    <cellStyle name="표준 10 9 9 3" xfId="32544"/>
    <cellStyle name="표준 11" xfId="2891"/>
    <cellStyle name="표준 11 10" xfId="4500"/>
    <cellStyle name="표준 11 10 2" xfId="6334"/>
    <cellStyle name="표준 11 10 2 2" xfId="15343"/>
    <cellStyle name="표준 11 10 2 2 2" xfId="36219"/>
    <cellStyle name="표준 11 10 2 3" xfId="27481"/>
    <cellStyle name="표준 11 10 3" xfId="10997"/>
    <cellStyle name="표준 11 10 3 2" xfId="19767"/>
    <cellStyle name="표준 11 10 3 2 2" xfId="40643"/>
    <cellStyle name="표준 11 10 3 3" xfId="31907"/>
    <cellStyle name="표준 11 10 4" xfId="11862"/>
    <cellStyle name="표준 11 10 4 2" xfId="20628"/>
    <cellStyle name="표준 11 10 4 2 2" xfId="41504"/>
    <cellStyle name="표준 11 10 4 3" xfId="32768"/>
    <cellStyle name="표준 11 10 5" xfId="13525"/>
    <cellStyle name="표준 11 10 5 2" xfId="34401"/>
    <cellStyle name="표준 11 10 6" xfId="25663"/>
    <cellStyle name="표준 11 11" xfId="5177"/>
    <cellStyle name="표준 11 11 2" xfId="14186"/>
    <cellStyle name="표준 11 11 2 2" xfId="35062"/>
    <cellStyle name="표준 11 11 3" xfId="26324"/>
    <cellStyle name="표준 11 12" xfId="6979"/>
    <cellStyle name="표준 11 12 2" xfId="15987"/>
    <cellStyle name="표준 11 12 2 2" xfId="36863"/>
    <cellStyle name="표준 11 12 3" xfId="28125"/>
    <cellStyle name="표준 11 13" xfId="7624"/>
    <cellStyle name="표준 11 13 2" xfId="16630"/>
    <cellStyle name="표준 11 13 2 2" xfId="37506"/>
    <cellStyle name="표준 11 13 3" xfId="28768"/>
    <cellStyle name="표준 11 14" xfId="8472"/>
    <cellStyle name="표준 11 14 2" xfId="17477"/>
    <cellStyle name="표준 11 14 2 2" xfId="38353"/>
    <cellStyle name="표준 11 14 3" xfId="29615"/>
    <cellStyle name="표준 11 15" xfId="9296"/>
    <cellStyle name="표준 11 15 2" xfId="18295"/>
    <cellStyle name="표준 11 15 2 2" xfId="39171"/>
    <cellStyle name="표준 11 15 3" xfId="30433"/>
    <cellStyle name="표준 11 16" xfId="9972"/>
    <cellStyle name="표준 11 17" xfId="10352"/>
    <cellStyle name="표준 11 17 2" xfId="19123"/>
    <cellStyle name="표준 11 17 2 2" xfId="39999"/>
    <cellStyle name="표준 11 17 3" xfId="31263"/>
    <cellStyle name="표준 11 18" xfId="11218"/>
    <cellStyle name="표준 11 18 2" xfId="19984"/>
    <cellStyle name="표준 11 18 2 2" xfId="40860"/>
    <cellStyle name="표준 11 18 3" xfId="32124"/>
    <cellStyle name="표준 11 19" xfId="12366"/>
    <cellStyle name="표준 11 19 2" xfId="33244"/>
    <cellStyle name="표준 11 2" xfId="2892"/>
    <cellStyle name="표준 11 2 10" xfId="9297"/>
    <cellStyle name="표준 11 2 10 2" xfId="18296"/>
    <cellStyle name="표준 11 2 10 2 2" xfId="39172"/>
    <cellStyle name="표준 11 2 10 3" xfId="30434"/>
    <cellStyle name="표준 11 2 11" xfId="10353"/>
    <cellStyle name="표준 11 2 11 2" xfId="19124"/>
    <cellStyle name="표준 11 2 11 2 2" xfId="40000"/>
    <cellStyle name="표준 11 2 11 3" xfId="31264"/>
    <cellStyle name="표준 11 2 12" xfId="11219"/>
    <cellStyle name="표준 11 2 12 2" xfId="19985"/>
    <cellStyle name="표준 11 2 12 2 2" xfId="40861"/>
    <cellStyle name="표준 11 2 12 3" xfId="32125"/>
    <cellStyle name="표준 11 2 13" xfId="12367"/>
    <cellStyle name="표준 11 2 13 2" xfId="33245"/>
    <cellStyle name="표준 11 2 14" xfId="24495"/>
    <cellStyle name="표준 11 2 2" xfId="3110"/>
    <cellStyle name="표준 11 2 2 10" xfId="11429"/>
    <cellStyle name="표준 11 2 2 10 2" xfId="20195"/>
    <cellStyle name="표준 11 2 2 10 2 2" xfId="41071"/>
    <cellStyle name="표준 11 2 2 10 3" xfId="32335"/>
    <cellStyle name="표준 11 2 2 11" xfId="12578"/>
    <cellStyle name="표준 11 2 2 11 2" xfId="33455"/>
    <cellStyle name="표준 11 2 2 12" xfId="24705"/>
    <cellStyle name="표준 11 2 2 2" xfId="3552"/>
    <cellStyle name="표준 11 2 2 2 2" xfId="5825"/>
    <cellStyle name="표준 11 2 2 2 2 2" xfId="14834"/>
    <cellStyle name="표준 11 2 2 2 2 2 2" xfId="35710"/>
    <cellStyle name="표준 11 2 2 2 2 3" xfId="26972"/>
    <cellStyle name="표준 11 2 2 2 3" xfId="13015"/>
    <cellStyle name="표준 11 2 2 2 3 2" xfId="33892"/>
    <cellStyle name="표준 11 2 2 2 4" xfId="25142"/>
    <cellStyle name="표준 11 2 2 3" xfId="4713"/>
    <cellStyle name="표준 11 2 2 3 2" xfId="6545"/>
    <cellStyle name="표준 11 2 2 3 2 2" xfId="15554"/>
    <cellStyle name="표준 11 2 2 3 2 2 2" xfId="36430"/>
    <cellStyle name="표준 11 2 2 3 2 3" xfId="27692"/>
    <cellStyle name="표준 11 2 2 3 3" xfId="13736"/>
    <cellStyle name="표준 11 2 2 3 3 2" xfId="34612"/>
    <cellStyle name="표준 11 2 2 3 4" xfId="25874"/>
    <cellStyle name="표준 11 2 2 4" xfId="5388"/>
    <cellStyle name="표준 11 2 2 4 2" xfId="14397"/>
    <cellStyle name="표준 11 2 2 4 2 2" xfId="35273"/>
    <cellStyle name="표준 11 2 2 4 3" xfId="26535"/>
    <cellStyle name="표준 11 2 2 5" xfId="7191"/>
    <cellStyle name="표준 11 2 2 5 2" xfId="16198"/>
    <cellStyle name="표준 11 2 2 5 2 2" xfId="37074"/>
    <cellStyle name="표준 11 2 2 5 3" xfId="28336"/>
    <cellStyle name="표준 11 2 2 6" xfId="7835"/>
    <cellStyle name="표준 11 2 2 6 2" xfId="16841"/>
    <cellStyle name="표준 11 2 2 6 2 2" xfId="37717"/>
    <cellStyle name="표준 11 2 2 6 3" xfId="28979"/>
    <cellStyle name="표준 11 2 2 7" xfId="8683"/>
    <cellStyle name="표준 11 2 2 7 2" xfId="17688"/>
    <cellStyle name="표준 11 2 2 7 2 2" xfId="38564"/>
    <cellStyle name="표준 11 2 2 7 3" xfId="29826"/>
    <cellStyle name="표준 11 2 2 8" xfId="9508"/>
    <cellStyle name="표준 11 2 2 8 2" xfId="18506"/>
    <cellStyle name="표준 11 2 2 8 2 2" xfId="39382"/>
    <cellStyle name="표준 11 2 2 8 3" xfId="30644"/>
    <cellStyle name="표준 11 2 2 9" xfId="10563"/>
    <cellStyle name="표준 11 2 2 9 2" xfId="19334"/>
    <cellStyle name="표준 11 2 2 9 2 2" xfId="40210"/>
    <cellStyle name="표준 11 2 2 9 3" xfId="31474"/>
    <cellStyle name="표준 11 2 3" xfId="3342"/>
    <cellStyle name="표준 11 2 3 10" xfId="12805"/>
    <cellStyle name="표준 11 2 3 10 2" xfId="33682"/>
    <cellStyle name="표준 11 2 3 11" xfId="24932"/>
    <cellStyle name="표준 11 2 3 2" xfId="4935"/>
    <cellStyle name="표준 11 2 3 2 2" xfId="6762"/>
    <cellStyle name="표준 11 2 3 2 2 2" xfId="15771"/>
    <cellStyle name="표준 11 2 3 2 2 2 2" xfId="36647"/>
    <cellStyle name="표준 11 2 3 2 2 3" xfId="27909"/>
    <cellStyle name="표준 11 2 3 2 3" xfId="13953"/>
    <cellStyle name="표준 11 2 3 2 3 2" xfId="34829"/>
    <cellStyle name="표준 11 2 3 2 4" xfId="26091"/>
    <cellStyle name="표준 11 2 3 3" xfId="5615"/>
    <cellStyle name="표준 11 2 3 3 2" xfId="14624"/>
    <cellStyle name="표준 11 2 3 3 2 2" xfId="35500"/>
    <cellStyle name="표준 11 2 3 3 3" xfId="26762"/>
    <cellStyle name="표준 11 2 3 4" xfId="7408"/>
    <cellStyle name="표준 11 2 3 4 2" xfId="16415"/>
    <cellStyle name="표준 11 2 3 4 2 2" xfId="37291"/>
    <cellStyle name="표준 11 2 3 4 3" xfId="28553"/>
    <cellStyle name="표준 11 2 3 5" xfId="8052"/>
    <cellStyle name="표준 11 2 3 5 2" xfId="17058"/>
    <cellStyle name="표준 11 2 3 5 2 2" xfId="37934"/>
    <cellStyle name="표준 11 2 3 5 3" xfId="29196"/>
    <cellStyle name="표준 11 2 3 6" xfId="8900"/>
    <cellStyle name="표준 11 2 3 6 2" xfId="17905"/>
    <cellStyle name="표준 11 2 3 6 2 2" xfId="38781"/>
    <cellStyle name="표준 11 2 3 6 3" xfId="30043"/>
    <cellStyle name="표준 11 2 3 7" xfId="9725"/>
    <cellStyle name="표준 11 2 3 7 2" xfId="18723"/>
    <cellStyle name="표준 11 2 3 7 2 2" xfId="39599"/>
    <cellStyle name="표준 11 2 3 7 3" xfId="30861"/>
    <cellStyle name="표준 11 2 3 8" xfId="10780"/>
    <cellStyle name="표준 11 2 3 8 2" xfId="19551"/>
    <cellStyle name="표준 11 2 3 8 2 2" xfId="40427"/>
    <cellStyle name="표준 11 2 3 8 3" xfId="31691"/>
    <cellStyle name="표준 11 2 3 9" xfId="11646"/>
    <cellStyle name="표준 11 2 3 9 2" xfId="20412"/>
    <cellStyle name="표준 11 2 3 9 2 2" xfId="41288"/>
    <cellStyle name="표준 11 2 3 9 3" xfId="32552"/>
    <cellStyle name="표준 11 2 4" xfId="4501"/>
    <cellStyle name="표준 11 2 4 2" xfId="6335"/>
    <cellStyle name="표준 11 2 4 2 2" xfId="15344"/>
    <cellStyle name="표준 11 2 4 2 2 2" xfId="36220"/>
    <cellStyle name="표준 11 2 4 2 3" xfId="27482"/>
    <cellStyle name="표준 11 2 4 3" xfId="10998"/>
    <cellStyle name="표준 11 2 4 3 2" xfId="19768"/>
    <cellStyle name="표준 11 2 4 3 2 2" xfId="40644"/>
    <cellStyle name="표준 11 2 4 3 3" xfId="31908"/>
    <cellStyle name="표준 11 2 4 4" xfId="11863"/>
    <cellStyle name="표준 11 2 4 4 2" xfId="20629"/>
    <cellStyle name="표준 11 2 4 4 2 2" xfId="41505"/>
    <cellStyle name="표준 11 2 4 4 3" xfId="32769"/>
    <cellStyle name="표준 11 2 4 5" xfId="13526"/>
    <cellStyle name="표준 11 2 4 5 2" xfId="34402"/>
    <cellStyle name="표준 11 2 4 6" xfId="25664"/>
    <cellStyle name="표준 11 2 5" xfId="3996"/>
    <cellStyle name="표준 11 2 6" xfId="5178"/>
    <cellStyle name="표준 11 2 6 2" xfId="14187"/>
    <cellStyle name="표준 11 2 6 2 2" xfId="35063"/>
    <cellStyle name="표준 11 2 6 3" xfId="26325"/>
    <cellStyle name="표준 11 2 7" xfId="6980"/>
    <cellStyle name="표준 11 2 7 2" xfId="15988"/>
    <cellStyle name="표준 11 2 7 2 2" xfId="36864"/>
    <cellStyle name="표준 11 2 7 3" xfId="28126"/>
    <cellStyle name="표준 11 2 8" xfId="7625"/>
    <cellStyle name="표준 11 2 8 2" xfId="16631"/>
    <cellStyle name="표준 11 2 8 2 2" xfId="37507"/>
    <cellStyle name="표준 11 2 8 3" xfId="28769"/>
    <cellStyle name="표준 11 2 9" xfId="8473"/>
    <cellStyle name="표준 11 2 9 2" xfId="17478"/>
    <cellStyle name="표준 11 2 9 2 2" xfId="38354"/>
    <cellStyle name="표준 11 2 9 3" xfId="29616"/>
    <cellStyle name="표준 11 20" xfId="24494"/>
    <cellStyle name="표준 11 3" xfId="2893"/>
    <cellStyle name="표준 11 3 10" xfId="9298"/>
    <cellStyle name="표준 11 3 10 2" xfId="18297"/>
    <cellStyle name="표준 11 3 10 2 2" xfId="39173"/>
    <cellStyle name="표준 11 3 10 3" xfId="30435"/>
    <cellStyle name="표준 11 3 11" xfId="10354"/>
    <cellStyle name="표준 11 3 11 2" xfId="19125"/>
    <cellStyle name="표준 11 3 11 2 2" xfId="40001"/>
    <cellStyle name="표준 11 3 11 3" xfId="31265"/>
    <cellStyle name="표준 11 3 12" xfId="11220"/>
    <cellStyle name="표준 11 3 12 2" xfId="19986"/>
    <cellStyle name="표준 11 3 12 2 2" xfId="40862"/>
    <cellStyle name="표준 11 3 12 3" xfId="32126"/>
    <cellStyle name="표준 11 3 13" xfId="12368"/>
    <cellStyle name="표준 11 3 13 2" xfId="33246"/>
    <cellStyle name="표준 11 3 14" xfId="24496"/>
    <cellStyle name="표준 11 3 2" xfId="3111"/>
    <cellStyle name="표준 11 3 2 10" xfId="11430"/>
    <cellStyle name="표준 11 3 2 10 2" xfId="20196"/>
    <cellStyle name="표준 11 3 2 10 2 2" xfId="41072"/>
    <cellStyle name="표준 11 3 2 10 3" xfId="32336"/>
    <cellStyle name="표준 11 3 2 11" xfId="12579"/>
    <cellStyle name="표준 11 3 2 11 2" xfId="33456"/>
    <cellStyle name="표준 11 3 2 12" xfId="24706"/>
    <cellStyle name="표준 11 3 2 2" xfId="3553"/>
    <cellStyle name="표준 11 3 2 2 2" xfId="5826"/>
    <cellStyle name="표준 11 3 2 2 2 2" xfId="14835"/>
    <cellStyle name="표준 11 3 2 2 2 2 2" xfId="35711"/>
    <cellStyle name="표준 11 3 2 2 2 3" xfId="26973"/>
    <cellStyle name="표준 11 3 2 2 3" xfId="13016"/>
    <cellStyle name="표준 11 3 2 2 3 2" xfId="33893"/>
    <cellStyle name="표준 11 3 2 2 4" xfId="25143"/>
    <cellStyle name="표준 11 3 2 3" xfId="4714"/>
    <cellStyle name="표준 11 3 2 3 2" xfId="6546"/>
    <cellStyle name="표준 11 3 2 3 2 2" xfId="15555"/>
    <cellStyle name="표준 11 3 2 3 2 2 2" xfId="36431"/>
    <cellStyle name="표준 11 3 2 3 2 3" xfId="27693"/>
    <cellStyle name="표준 11 3 2 3 3" xfId="13737"/>
    <cellStyle name="표준 11 3 2 3 3 2" xfId="34613"/>
    <cellStyle name="표준 11 3 2 3 4" xfId="25875"/>
    <cellStyle name="표준 11 3 2 4" xfId="5389"/>
    <cellStyle name="표준 11 3 2 4 2" xfId="14398"/>
    <cellStyle name="표준 11 3 2 4 2 2" xfId="35274"/>
    <cellStyle name="표준 11 3 2 4 3" xfId="26536"/>
    <cellStyle name="표준 11 3 2 5" xfId="7192"/>
    <cellStyle name="표준 11 3 2 5 2" xfId="16199"/>
    <cellStyle name="표준 11 3 2 5 2 2" xfId="37075"/>
    <cellStyle name="표준 11 3 2 5 3" xfId="28337"/>
    <cellStyle name="표준 11 3 2 6" xfId="7836"/>
    <cellStyle name="표준 11 3 2 6 2" xfId="16842"/>
    <cellStyle name="표준 11 3 2 6 2 2" xfId="37718"/>
    <cellStyle name="표준 11 3 2 6 3" xfId="28980"/>
    <cellStyle name="표준 11 3 2 7" xfId="8684"/>
    <cellStyle name="표준 11 3 2 7 2" xfId="17689"/>
    <cellStyle name="표준 11 3 2 7 2 2" xfId="38565"/>
    <cellStyle name="표준 11 3 2 7 3" xfId="29827"/>
    <cellStyle name="표준 11 3 2 8" xfId="9509"/>
    <cellStyle name="표준 11 3 2 8 2" xfId="18507"/>
    <cellStyle name="표준 11 3 2 8 2 2" xfId="39383"/>
    <cellStyle name="표준 11 3 2 8 3" xfId="30645"/>
    <cellStyle name="표준 11 3 2 9" xfId="10564"/>
    <cellStyle name="표준 11 3 2 9 2" xfId="19335"/>
    <cellStyle name="표준 11 3 2 9 2 2" xfId="40211"/>
    <cellStyle name="표준 11 3 2 9 3" xfId="31475"/>
    <cellStyle name="표준 11 3 3" xfId="3343"/>
    <cellStyle name="표준 11 3 3 10" xfId="12806"/>
    <cellStyle name="표준 11 3 3 10 2" xfId="33683"/>
    <cellStyle name="표준 11 3 3 11" xfId="24933"/>
    <cellStyle name="표준 11 3 3 2" xfId="4936"/>
    <cellStyle name="표준 11 3 3 2 2" xfId="6763"/>
    <cellStyle name="표준 11 3 3 2 2 2" xfId="15772"/>
    <cellStyle name="표준 11 3 3 2 2 2 2" xfId="36648"/>
    <cellStyle name="표준 11 3 3 2 2 3" xfId="27910"/>
    <cellStyle name="표준 11 3 3 2 3" xfId="13954"/>
    <cellStyle name="표준 11 3 3 2 3 2" xfId="34830"/>
    <cellStyle name="표준 11 3 3 2 4" xfId="26092"/>
    <cellStyle name="표준 11 3 3 3" xfId="5616"/>
    <cellStyle name="표준 11 3 3 3 2" xfId="14625"/>
    <cellStyle name="표준 11 3 3 3 2 2" xfId="35501"/>
    <cellStyle name="표준 11 3 3 3 3" xfId="26763"/>
    <cellStyle name="표준 11 3 3 4" xfId="7409"/>
    <cellStyle name="표준 11 3 3 4 2" xfId="16416"/>
    <cellStyle name="표준 11 3 3 4 2 2" xfId="37292"/>
    <cellStyle name="표준 11 3 3 4 3" xfId="28554"/>
    <cellStyle name="표준 11 3 3 5" xfId="8053"/>
    <cellStyle name="표준 11 3 3 5 2" xfId="17059"/>
    <cellStyle name="표준 11 3 3 5 2 2" xfId="37935"/>
    <cellStyle name="표준 11 3 3 5 3" xfId="29197"/>
    <cellStyle name="표준 11 3 3 6" xfId="8901"/>
    <cellStyle name="표준 11 3 3 6 2" xfId="17906"/>
    <cellStyle name="표준 11 3 3 6 2 2" xfId="38782"/>
    <cellStyle name="표준 11 3 3 6 3" xfId="30044"/>
    <cellStyle name="표준 11 3 3 7" xfId="9726"/>
    <cellStyle name="표준 11 3 3 7 2" xfId="18724"/>
    <cellStyle name="표준 11 3 3 7 2 2" xfId="39600"/>
    <cellStyle name="표준 11 3 3 7 3" xfId="30862"/>
    <cellStyle name="표준 11 3 3 8" xfId="10781"/>
    <cellStyle name="표준 11 3 3 8 2" xfId="19552"/>
    <cellStyle name="표준 11 3 3 8 2 2" xfId="40428"/>
    <cellStyle name="표준 11 3 3 8 3" xfId="31692"/>
    <cellStyle name="표준 11 3 3 9" xfId="11647"/>
    <cellStyle name="표준 11 3 3 9 2" xfId="20413"/>
    <cellStyle name="표준 11 3 3 9 2 2" xfId="41289"/>
    <cellStyle name="표준 11 3 3 9 3" xfId="32553"/>
    <cellStyle name="표준 11 3 4" xfId="4502"/>
    <cellStyle name="표준 11 3 4 2" xfId="6336"/>
    <cellStyle name="표준 11 3 4 2 2" xfId="15345"/>
    <cellStyle name="표준 11 3 4 2 2 2" xfId="36221"/>
    <cellStyle name="표준 11 3 4 2 3" xfId="27483"/>
    <cellStyle name="표준 11 3 4 3" xfId="10999"/>
    <cellStyle name="표준 11 3 4 3 2" xfId="19769"/>
    <cellStyle name="표준 11 3 4 3 2 2" xfId="40645"/>
    <cellStyle name="표준 11 3 4 3 3" xfId="31909"/>
    <cellStyle name="표준 11 3 4 4" xfId="11864"/>
    <cellStyle name="표준 11 3 4 4 2" xfId="20630"/>
    <cellStyle name="표준 11 3 4 4 2 2" xfId="41506"/>
    <cellStyle name="표준 11 3 4 4 3" xfId="32770"/>
    <cellStyle name="표준 11 3 4 5" xfId="13527"/>
    <cellStyle name="표준 11 3 4 5 2" xfId="34403"/>
    <cellStyle name="표준 11 3 4 6" xfId="25665"/>
    <cellStyle name="표준 11 3 5" xfId="3995"/>
    <cellStyle name="표준 11 3 6" xfId="5179"/>
    <cellStyle name="표준 11 3 6 2" xfId="14188"/>
    <cellStyle name="표준 11 3 6 2 2" xfId="35064"/>
    <cellStyle name="표준 11 3 6 3" xfId="26326"/>
    <cellStyle name="표준 11 3 7" xfId="6981"/>
    <cellStyle name="표준 11 3 7 2" xfId="15989"/>
    <cellStyle name="표준 11 3 7 2 2" xfId="36865"/>
    <cellStyle name="표준 11 3 7 3" xfId="28127"/>
    <cellStyle name="표준 11 3 8" xfId="7626"/>
    <cellStyle name="표준 11 3 8 2" xfId="16632"/>
    <cellStyle name="표준 11 3 8 2 2" xfId="37508"/>
    <cellStyle name="표준 11 3 8 3" xfId="28770"/>
    <cellStyle name="표준 11 3 9" xfId="8474"/>
    <cellStyle name="표준 11 3 9 2" xfId="17479"/>
    <cellStyle name="표준 11 3 9 2 2" xfId="38355"/>
    <cellStyle name="표준 11 3 9 3" xfId="29617"/>
    <cellStyle name="표준 11 4" xfId="2894"/>
    <cellStyle name="표준 11 4 10" xfId="9299"/>
    <cellStyle name="표준 11 4 10 2" xfId="18298"/>
    <cellStyle name="표준 11 4 10 2 2" xfId="39174"/>
    <cellStyle name="표준 11 4 10 3" xfId="30436"/>
    <cellStyle name="표준 11 4 11" xfId="10355"/>
    <cellStyle name="표준 11 4 11 2" xfId="19126"/>
    <cellStyle name="표준 11 4 11 2 2" xfId="40002"/>
    <cellStyle name="표준 11 4 11 3" xfId="31266"/>
    <cellStyle name="표준 11 4 12" xfId="11221"/>
    <cellStyle name="표준 11 4 12 2" xfId="19987"/>
    <cellStyle name="표준 11 4 12 2 2" xfId="40863"/>
    <cellStyle name="표준 11 4 12 3" xfId="32127"/>
    <cellStyle name="표준 11 4 13" xfId="12369"/>
    <cellStyle name="표준 11 4 13 2" xfId="33247"/>
    <cellStyle name="표준 11 4 14" xfId="24497"/>
    <cellStyle name="표준 11 4 2" xfId="3112"/>
    <cellStyle name="표준 11 4 2 10" xfId="11431"/>
    <cellStyle name="표준 11 4 2 10 2" xfId="20197"/>
    <cellStyle name="표준 11 4 2 10 2 2" xfId="41073"/>
    <cellStyle name="표준 11 4 2 10 3" xfId="32337"/>
    <cellStyle name="표준 11 4 2 11" xfId="12580"/>
    <cellStyle name="표준 11 4 2 11 2" xfId="33457"/>
    <cellStyle name="표준 11 4 2 12" xfId="24707"/>
    <cellStyle name="표준 11 4 2 2" xfId="3554"/>
    <cellStyle name="표준 11 4 2 2 2" xfId="5827"/>
    <cellStyle name="표준 11 4 2 2 2 2" xfId="14836"/>
    <cellStyle name="표준 11 4 2 2 2 2 2" xfId="35712"/>
    <cellStyle name="표준 11 4 2 2 2 3" xfId="26974"/>
    <cellStyle name="표준 11 4 2 2 3" xfId="13017"/>
    <cellStyle name="표준 11 4 2 2 3 2" xfId="33894"/>
    <cellStyle name="표준 11 4 2 2 4" xfId="25144"/>
    <cellStyle name="표준 11 4 2 3" xfId="4715"/>
    <cellStyle name="표준 11 4 2 3 2" xfId="6547"/>
    <cellStyle name="표준 11 4 2 3 2 2" xfId="15556"/>
    <cellStyle name="표준 11 4 2 3 2 2 2" xfId="36432"/>
    <cellStyle name="표준 11 4 2 3 2 3" xfId="27694"/>
    <cellStyle name="표준 11 4 2 3 3" xfId="13738"/>
    <cellStyle name="표준 11 4 2 3 3 2" xfId="34614"/>
    <cellStyle name="표준 11 4 2 3 4" xfId="25876"/>
    <cellStyle name="표준 11 4 2 4" xfId="5390"/>
    <cellStyle name="표준 11 4 2 4 2" xfId="14399"/>
    <cellStyle name="표준 11 4 2 4 2 2" xfId="35275"/>
    <cellStyle name="표준 11 4 2 4 3" xfId="26537"/>
    <cellStyle name="표준 11 4 2 5" xfId="7193"/>
    <cellStyle name="표준 11 4 2 5 2" xfId="16200"/>
    <cellStyle name="표준 11 4 2 5 2 2" xfId="37076"/>
    <cellStyle name="표준 11 4 2 5 3" xfId="28338"/>
    <cellStyle name="표준 11 4 2 6" xfId="7837"/>
    <cellStyle name="표준 11 4 2 6 2" xfId="16843"/>
    <cellStyle name="표준 11 4 2 6 2 2" xfId="37719"/>
    <cellStyle name="표준 11 4 2 6 3" xfId="28981"/>
    <cellStyle name="표준 11 4 2 7" xfId="8685"/>
    <cellStyle name="표준 11 4 2 7 2" xfId="17690"/>
    <cellStyle name="표준 11 4 2 7 2 2" xfId="38566"/>
    <cellStyle name="표준 11 4 2 7 3" xfId="29828"/>
    <cellStyle name="표준 11 4 2 8" xfId="9510"/>
    <cellStyle name="표준 11 4 2 8 2" xfId="18508"/>
    <cellStyle name="표준 11 4 2 8 2 2" xfId="39384"/>
    <cellStyle name="표준 11 4 2 8 3" xfId="30646"/>
    <cellStyle name="표준 11 4 2 9" xfId="10565"/>
    <cellStyle name="표준 11 4 2 9 2" xfId="19336"/>
    <cellStyle name="표준 11 4 2 9 2 2" xfId="40212"/>
    <cellStyle name="표준 11 4 2 9 3" xfId="31476"/>
    <cellStyle name="표준 11 4 3" xfId="3344"/>
    <cellStyle name="표준 11 4 3 10" xfId="12807"/>
    <cellStyle name="표준 11 4 3 10 2" xfId="33684"/>
    <cellStyle name="표준 11 4 3 11" xfId="24934"/>
    <cellStyle name="표준 11 4 3 2" xfId="4937"/>
    <cellStyle name="표준 11 4 3 2 2" xfId="6764"/>
    <cellStyle name="표준 11 4 3 2 2 2" xfId="15773"/>
    <cellStyle name="표준 11 4 3 2 2 2 2" xfId="36649"/>
    <cellStyle name="표준 11 4 3 2 2 3" xfId="27911"/>
    <cellStyle name="표준 11 4 3 2 3" xfId="13955"/>
    <cellStyle name="표준 11 4 3 2 3 2" xfId="34831"/>
    <cellStyle name="표준 11 4 3 2 4" xfId="26093"/>
    <cellStyle name="표준 11 4 3 3" xfId="5617"/>
    <cellStyle name="표준 11 4 3 3 2" xfId="14626"/>
    <cellStyle name="표준 11 4 3 3 2 2" xfId="35502"/>
    <cellStyle name="표준 11 4 3 3 3" xfId="26764"/>
    <cellStyle name="표준 11 4 3 4" xfId="7410"/>
    <cellStyle name="표준 11 4 3 4 2" xfId="16417"/>
    <cellStyle name="표준 11 4 3 4 2 2" xfId="37293"/>
    <cellStyle name="표준 11 4 3 4 3" xfId="28555"/>
    <cellStyle name="표준 11 4 3 5" xfId="8054"/>
    <cellStyle name="표준 11 4 3 5 2" xfId="17060"/>
    <cellStyle name="표준 11 4 3 5 2 2" xfId="37936"/>
    <cellStyle name="표준 11 4 3 5 3" xfId="29198"/>
    <cellStyle name="표준 11 4 3 6" xfId="8902"/>
    <cellStyle name="표준 11 4 3 6 2" xfId="17907"/>
    <cellStyle name="표준 11 4 3 6 2 2" xfId="38783"/>
    <cellStyle name="표준 11 4 3 6 3" xfId="30045"/>
    <cellStyle name="표준 11 4 3 7" xfId="9727"/>
    <cellStyle name="표준 11 4 3 7 2" xfId="18725"/>
    <cellStyle name="표준 11 4 3 7 2 2" xfId="39601"/>
    <cellStyle name="표준 11 4 3 7 3" xfId="30863"/>
    <cellStyle name="표준 11 4 3 8" xfId="10782"/>
    <cellStyle name="표준 11 4 3 8 2" xfId="19553"/>
    <cellStyle name="표준 11 4 3 8 2 2" xfId="40429"/>
    <cellStyle name="표준 11 4 3 8 3" xfId="31693"/>
    <cellStyle name="표준 11 4 3 9" xfId="11648"/>
    <cellStyle name="표준 11 4 3 9 2" xfId="20414"/>
    <cellStyle name="표준 11 4 3 9 2 2" xfId="41290"/>
    <cellStyle name="표준 11 4 3 9 3" xfId="32554"/>
    <cellStyle name="표준 11 4 4" xfId="4503"/>
    <cellStyle name="표준 11 4 4 2" xfId="6337"/>
    <cellStyle name="표준 11 4 4 2 2" xfId="15346"/>
    <cellStyle name="표준 11 4 4 2 2 2" xfId="36222"/>
    <cellStyle name="표준 11 4 4 2 3" xfId="27484"/>
    <cellStyle name="표준 11 4 4 3" xfId="11000"/>
    <cellStyle name="표준 11 4 4 3 2" xfId="19770"/>
    <cellStyle name="표준 11 4 4 3 2 2" xfId="40646"/>
    <cellStyle name="표준 11 4 4 3 3" xfId="31910"/>
    <cellStyle name="표준 11 4 4 4" xfId="11865"/>
    <cellStyle name="표준 11 4 4 4 2" xfId="20631"/>
    <cellStyle name="표준 11 4 4 4 2 2" xfId="41507"/>
    <cellStyle name="표준 11 4 4 4 3" xfId="32771"/>
    <cellStyle name="표준 11 4 4 5" xfId="13528"/>
    <cellStyle name="표준 11 4 4 5 2" xfId="34404"/>
    <cellStyle name="표준 11 4 4 6" xfId="25666"/>
    <cellStyle name="표준 11 4 5" xfId="3994"/>
    <cellStyle name="표준 11 4 6" xfId="5180"/>
    <cellStyle name="표준 11 4 6 2" xfId="14189"/>
    <cellStyle name="표준 11 4 6 2 2" xfId="35065"/>
    <cellStyle name="표준 11 4 6 3" xfId="26327"/>
    <cellStyle name="표준 11 4 7" xfId="6982"/>
    <cellStyle name="표준 11 4 7 2" xfId="15990"/>
    <cellStyle name="표준 11 4 7 2 2" xfId="36866"/>
    <cellStyle name="표준 11 4 7 3" xfId="28128"/>
    <cellStyle name="표준 11 4 8" xfId="7627"/>
    <cellStyle name="표준 11 4 8 2" xfId="16633"/>
    <cellStyle name="표준 11 4 8 2 2" xfId="37509"/>
    <cellStyle name="표준 11 4 8 3" xfId="28771"/>
    <cellStyle name="표준 11 4 9" xfId="8475"/>
    <cellStyle name="표준 11 4 9 2" xfId="17480"/>
    <cellStyle name="표준 11 4 9 2 2" xfId="38356"/>
    <cellStyle name="표준 11 4 9 3" xfId="29618"/>
    <cellStyle name="표준 11 5" xfId="2895"/>
    <cellStyle name="표준 11 5 10" xfId="9300"/>
    <cellStyle name="표준 11 5 10 2" xfId="18299"/>
    <cellStyle name="표준 11 5 10 2 2" xfId="39175"/>
    <cellStyle name="표준 11 5 10 3" xfId="30437"/>
    <cellStyle name="표준 11 5 11" xfId="10356"/>
    <cellStyle name="표준 11 5 11 2" xfId="19127"/>
    <cellStyle name="표준 11 5 11 2 2" xfId="40003"/>
    <cellStyle name="표준 11 5 11 3" xfId="31267"/>
    <cellStyle name="표준 11 5 12" xfId="11222"/>
    <cellStyle name="표준 11 5 12 2" xfId="19988"/>
    <cellStyle name="표준 11 5 12 2 2" xfId="40864"/>
    <cellStyle name="표준 11 5 12 3" xfId="32128"/>
    <cellStyle name="표준 11 5 13" xfId="12370"/>
    <cellStyle name="표준 11 5 13 2" xfId="33248"/>
    <cellStyle name="표준 11 5 14" xfId="24498"/>
    <cellStyle name="표준 11 5 2" xfId="3113"/>
    <cellStyle name="표준 11 5 2 10" xfId="11432"/>
    <cellStyle name="표준 11 5 2 10 2" xfId="20198"/>
    <cellStyle name="표준 11 5 2 10 2 2" xfId="41074"/>
    <cellStyle name="표준 11 5 2 10 3" xfId="32338"/>
    <cellStyle name="표준 11 5 2 11" xfId="12581"/>
    <cellStyle name="표준 11 5 2 11 2" xfId="33458"/>
    <cellStyle name="표준 11 5 2 12" xfId="24708"/>
    <cellStyle name="표준 11 5 2 2" xfId="3555"/>
    <cellStyle name="표준 11 5 2 2 2" xfId="5828"/>
    <cellStyle name="표준 11 5 2 2 2 2" xfId="14837"/>
    <cellStyle name="표준 11 5 2 2 2 2 2" xfId="35713"/>
    <cellStyle name="표준 11 5 2 2 2 3" xfId="26975"/>
    <cellStyle name="표준 11 5 2 2 3" xfId="13018"/>
    <cellStyle name="표준 11 5 2 2 3 2" xfId="33895"/>
    <cellStyle name="표준 11 5 2 2 4" xfId="25145"/>
    <cellStyle name="표준 11 5 2 3" xfId="4716"/>
    <cellStyle name="표준 11 5 2 3 2" xfId="6548"/>
    <cellStyle name="표준 11 5 2 3 2 2" xfId="15557"/>
    <cellStyle name="표준 11 5 2 3 2 2 2" xfId="36433"/>
    <cellStyle name="표준 11 5 2 3 2 3" xfId="27695"/>
    <cellStyle name="표준 11 5 2 3 3" xfId="13739"/>
    <cellStyle name="표준 11 5 2 3 3 2" xfId="34615"/>
    <cellStyle name="표준 11 5 2 3 4" xfId="25877"/>
    <cellStyle name="표준 11 5 2 4" xfId="5391"/>
    <cellStyle name="표준 11 5 2 4 2" xfId="14400"/>
    <cellStyle name="표준 11 5 2 4 2 2" xfId="35276"/>
    <cellStyle name="표준 11 5 2 4 3" xfId="26538"/>
    <cellStyle name="표준 11 5 2 5" xfId="7194"/>
    <cellStyle name="표준 11 5 2 5 2" xfId="16201"/>
    <cellStyle name="표준 11 5 2 5 2 2" xfId="37077"/>
    <cellStyle name="표준 11 5 2 5 3" xfId="28339"/>
    <cellStyle name="표준 11 5 2 6" xfId="7838"/>
    <cellStyle name="표준 11 5 2 6 2" xfId="16844"/>
    <cellStyle name="표준 11 5 2 6 2 2" xfId="37720"/>
    <cellStyle name="표준 11 5 2 6 3" xfId="28982"/>
    <cellStyle name="표준 11 5 2 7" xfId="8686"/>
    <cellStyle name="표준 11 5 2 7 2" xfId="17691"/>
    <cellStyle name="표준 11 5 2 7 2 2" xfId="38567"/>
    <cellStyle name="표준 11 5 2 7 3" xfId="29829"/>
    <cellStyle name="표준 11 5 2 8" xfId="9511"/>
    <cellStyle name="표준 11 5 2 8 2" xfId="18509"/>
    <cellStyle name="표준 11 5 2 8 2 2" xfId="39385"/>
    <cellStyle name="표준 11 5 2 8 3" xfId="30647"/>
    <cellStyle name="표준 11 5 2 9" xfId="10566"/>
    <cellStyle name="표준 11 5 2 9 2" xfId="19337"/>
    <cellStyle name="표준 11 5 2 9 2 2" xfId="40213"/>
    <cellStyle name="표준 11 5 2 9 3" xfId="31477"/>
    <cellStyle name="표준 11 5 3" xfId="3345"/>
    <cellStyle name="표준 11 5 3 10" xfId="12808"/>
    <cellStyle name="표준 11 5 3 10 2" xfId="33685"/>
    <cellStyle name="표준 11 5 3 11" xfId="24935"/>
    <cellStyle name="표준 11 5 3 2" xfId="4938"/>
    <cellStyle name="표준 11 5 3 2 2" xfId="6765"/>
    <cellStyle name="표준 11 5 3 2 2 2" xfId="15774"/>
    <cellStyle name="표준 11 5 3 2 2 2 2" xfId="36650"/>
    <cellStyle name="표준 11 5 3 2 2 3" xfId="27912"/>
    <cellStyle name="표준 11 5 3 2 3" xfId="13956"/>
    <cellStyle name="표준 11 5 3 2 3 2" xfId="34832"/>
    <cellStyle name="표준 11 5 3 2 4" xfId="26094"/>
    <cellStyle name="표준 11 5 3 3" xfId="5618"/>
    <cellStyle name="표준 11 5 3 3 2" xfId="14627"/>
    <cellStyle name="표준 11 5 3 3 2 2" xfId="35503"/>
    <cellStyle name="표준 11 5 3 3 3" xfId="26765"/>
    <cellStyle name="표준 11 5 3 4" xfId="7411"/>
    <cellStyle name="표준 11 5 3 4 2" xfId="16418"/>
    <cellStyle name="표준 11 5 3 4 2 2" xfId="37294"/>
    <cellStyle name="표준 11 5 3 4 3" xfId="28556"/>
    <cellStyle name="표준 11 5 3 5" xfId="8055"/>
    <cellStyle name="표준 11 5 3 5 2" xfId="17061"/>
    <cellStyle name="표준 11 5 3 5 2 2" xfId="37937"/>
    <cellStyle name="표준 11 5 3 5 3" xfId="29199"/>
    <cellStyle name="표준 11 5 3 6" xfId="8903"/>
    <cellStyle name="표준 11 5 3 6 2" xfId="17908"/>
    <cellStyle name="표준 11 5 3 6 2 2" xfId="38784"/>
    <cellStyle name="표준 11 5 3 6 3" xfId="30046"/>
    <cellStyle name="표준 11 5 3 7" xfId="9728"/>
    <cellStyle name="표준 11 5 3 7 2" xfId="18726"/>
    <cellStyle name="표준 11 5 3 7 2 2" xfId="39602"/>
    <cellStyle name="표준 11 5 3 7 3" xfId="30864"/>
    <cellStyle name="표준 11 5 3 8" xfId="10783"/>
    <cellStyle name="표준 11 5 3 8 2" xfId="19554"/>
    <cellStyle name="표준 11 5 3 8 2 2" xfId="40430"/>
    <cellStyle name="표준 11 5 3 8 3" xfId="31694"/>
    <cellStyle name="표준 11 5 3 9" xfId="11649"/>
    <cellStyle name="표준 11 5 3 9 2" xfId="20415"/>
    <cellStyle name="표준 11 5 3 9 2 2" xfId="41291"/>
    <cellStyle name="표준 11 5 3 9 3" xfId="32555"/>
    <cellStyle name="표준 11 5 4" xfId="4504"/>
    <cellStyle name="표준 11 5 4 2" xfId="6338"/>
    <cellStyle name="표준 11 5 4 2 2" xfId="15347"/>
    <cellStyle name="표준 11 5 4 2 2 2" xfId="36223"/>
    <cellStyle name="표준 11 5 4 2 3" xfId="27485"/>
    <cellStyle name="표준 11 5 4 3" xfId="11001"/>
    <cellStyle name="표준 11 5 4 3 2" xfId="19771"/>
    <cellStyle name="표준 11 5 4 3 2 2" xfId="40647"/>
    <cellStyle name="표준 11 5 4 3 3" xfId="31911"/>
    <cellStyle name="표준 11 5 4 4" xfId="11866"/>
    <cellStyle name="표준 11 5 4 4 2" xfId="20632"/>
    <cellStyle name="표준 11 5 4 4 2 2" xfId="41508"/>
    <cellStyle name="표준 11 5 4 4 3" xfId="32772"/>
    <cellStyle name="표준 11 5 4 5" xfId="13529"/>
    <cellStyle name="표준 11 5 4 5 2" xfId="34405"/>
    <cellStyle name="표준 11 5 4 6" xfId="25667"/>
    <cellStyle name="표준 11 5 5" xfId="3993"/>
    <cellStyle name="표준 11 5 6" xfId="5181"/>
    <cellStyle name="표준 11 5 6 2" xfId="14190"/>
    <cellStyle name="표준 11 5 6 2 2" xfId="35066"/>
    <cellStyle name="표준 11 5 6 3" xfId="26328"/>
    <cellStyle name="표준 11 5 7" xfId="6983"/>
    <cellStyle name="표준 11 5 7 2" xfId="15991"/>
    <cellStyle name="표준 11 5 7 2 2" xfId="36867"/>
    <cellStyle name="표준 11 5 7 3" xfId="28129"/>
    <cellStyle name="표준 11 5 8" xfId="7628"/>
    <cellStyle name="표준 11 5 8 2" xfId="16634"/>
    <cellStyle name="표준 11 5 8 2 2" xfId="37510"/>
    <cellStyle name="표준 11 5 8 3" xfId="28772"/>
    <cellStyle name="표준 11 5 9" xfId="8476"/>
    <cellStyle name="표준 11 5 9 2" xfId="17481"/>
    <cellStyle name="표준 11 5 9 2 2" xfId="38357"/>
    <cellStyle name="표준 11 5 9 3" xfId="29619"/>
    <cellStyle name="표준 11 6" xfId="2896"/>
    <cellStyle name="표준 11 6 10" xfId="9301"/>
    <cellStyle name="표준 11 6 10 2" xfId="18300"/>
    <cellStyle name="표준 11 6 10 2 2" xfId="39176"/>
    <cellStyle name="표준 11 6 10 3" xfId="30438"/>
    <cellStyle name="표준 11 6 11" xfId="10357"/>
    <cellStyle name="표준 11 6 11 2" xfId="19128"/>
    <cellStyle name="표준 11 6 11 2 2" xfId="40004"/>
    <cellStyle name="표준 11 6 11 3" xfId="31268"/>
    <cellStyle name="표준 11 6 12" xfId="11223"/>
    <cellStyle name="표준 11 6 12 2" xfId="19989"/>
    <cellStyle name="표준 11 6 12 2 2" xfId="40865"/>
    <cellStyle name="표준 11 6 12 3" xfId="32129"/>
    <cellStyle name="표준 11 6 13" xfId="12371"/>
    <cellStyle name="표준 11 6 13 2" xfId="33249"/>
    <cellStyle name="표준 11 6 14" xfId="24499"/>
    <cellStyle name="표준 11 6 2" xfId="3114"/>
    <cellStyle name="표준 11 6 2 10" xfId="11433"/>
    <cellStyle name="표준 11 6 2 10 2" xfId="20199"/>
    <cellStyle name="표준 11 6 2 10 2 2" xfId="41075"/>
    <cellStyle name="표준 11 6 2 10 3" xfId="32339"/>
    <cellStyle name="표준 11 6 2 11" xfId="12582"/>
    <cellStyle name="표준 11 6 2 11 2" xfId="33459"/>
    <cellStyle name="표준 11 6 2 12" xfId="24709"/>
    <cellStyle name="표준 11 6 2 2" xfId="3556"/>
    <cellStyle name="표준 11 6 2 2 2" xfId="5829"/>
    <cellStyle name="표준 11 6 2 2 2 2" xfId="14838"/>
    <cellStyle name="표준 11 6 2 2 2 2 2" xfId="35714"/>
    <cellStyle name="표준 11 6 2 2 2 3" xfId="26976"/>
    <cellStyle name="표준 11 6 2 2 3" xfId="13019"/>
    <cellStyle name="표준 11 6 2 2 3 2" xfId="33896"/>
    <cellStyle name="표준 11 6 2 2 4" xfId="25146"/>
    <cellStyle name="표준 11 6 2 3" xfId="4717"/>
    <cellStyle name="표준 11 6 2 3 2" xfId="6549"/>
    <cellStyle name="표준 11 6 2 3 2 2" xfId="15558"/>
    <cellStyle name="표준 11 6 2 3 2 2 2" xfId="36434"/>
    <cellStyle name="표준 11 6 2 3 2 3" xfId="27696"/>
    <cellStyle name="표준 11 6 2 3 3" xfId="13740"/>
    <cellStyle name="표준 11 6 2 3 3 2" xfId="34616"/>
    <cellStyle name="표준 11 6 2 3 4" xfId="25878"/>
    <cellStyle name="표준 11 6 2 4" xfId="5392"/>
    <cellStyle name="표준 11 6 2 4 2" xfId="14401"/>
    <cellStyle name="표준 11 6 2 4 2 2" xfId="35277"/>
    <cellStyle name="표준 11 6 2 4 3" xfId="26539"/>
    <cellStyle name="표준 11 6 2 5" xfId="7195"/>
    <cellStyle name="표준 11 6 2 5 2" xfId="16202"/>
    <cellStyle name="표준 11 6 2 5 2 2" xfId="37078"/>
    <cellStyle name="표준 11 6 2 5 3" xfId="28340"/>
    <cellStyle name="표준 11 6 2 6" xfId="7839"/>
    <cellStyle name="표준 11 6 2 6 2" xfId="16845"/>
    <cellStyle name="표준 11 6 2 6 2 2" xfId="37721"/>
    <cellStyle name="표준 11 6 2 6 3" xfId="28983"/>
    <cellStyle name="표준 11 6 2 7" xfId="8687"/>
    <cellStyle name="표준 11 6 2 7 2" xfId="17692"/>
    <cellStyle name="표준 11 6 2 7 2 2" xfId="38568"/>
    <cellStyle name="표준 11 6 2 7 3" xfId="29830"/>
    <cellStyle name="표준 11 6 2 8" xfId="9512"/>
    <cellStyle name="표준 11 6 2 8 2" xfId="18510"/>
    <cellStyle name="표준 11 6 2 8 2 2" xfId="39386"/>
    <cellStyle name="표준 11 6 2 8 3" xfId="30648"/>
    <cellStyle name="표준 11 6 2 9" xfId="10567"/>
    <cellStyle name="표준 11 6 2 9 2" xfId="19338"/>
    <cellStyle name="표준 11 6 2 9 2 2" xfId="40214"/>
    <cellStyle name="표준 11 6 2 9 3" xfId="31478"/>
    <cellStyle name="표준 11 6 3" xfId="3346"/>
    <cellStyle name="표준 11 6 3 10" xfId="12809"/>
    <cellStyle name="표준 11 6 3 10 2" xfId="33686"/>
    <cellStyle name="표준 11 6 3 11" xfId="24936"/>
    <cellStyle name="표준 11 6 3 2" xfId="4939"/>
    <cellStyle name="표준 11 6 3 2 2" xfId="6766"/>
    <cellStyle name="표준 11 6 3 2 2 2" xfId="15775"/>
    <cellStyle name="표준 11 6 3 2 2 2 2" xfId="36651"/>
    <cellStyle name="표준 11 6 3 2 2 3" xfId="27913"/>
    <cellStyle name="표준 11 6 3 2 3" xfId="13957"/>
    <cellStyle name="표준 11 6 3 2 3 2" xfId="34833"/>
    <cellStyle name="표준 11 6 3 2 4" xfId="26095"/>
    <cellStyle name="표준 11 6 3 3" xfId="5619"/>
    <cellStyle name="표준 11 6 3 3 2" xfId="14628"/>
    <cellStyle name="표준 11 6 3 3 2 2" xfId="35504"/>
    <cellStyle name="표준 11 6 3 3 3" xfId="26766"/>
    <cellStyle name="표준 11 6 3 4" xfId="7412"/>
    <cellStyle name="표준 11 6 3 4 2" xfId="16419"/>
    <cellStyle name="표준 11 6 3 4 2 2" xfId="37295"/>
    <cellStyle name="표준 11 6 3 4 3" xfId="28557"/>
    <cellStyle name="표준 11 6 3 5" xfId="8056"/>
    <cellStyle name="표준 11 6 3 5 2" xfId="17062"/>
    <cellStyle name="표준 11 6 3 5 2 2" xfId="37938"/>
    <cellStyle name="표준 11 6 3 5 3" xfId="29200"/>
    <cellStyle name="표준 11 6 3 6" xfId="8904"/>
    <cellStyle name="표준 11 6 3 6 2" xfId="17909"/>
    <cellStyle name="표준 11 6 3 6 2 2" xfId="38785"/>
    <cellStyle name="표준 11 6 3 6 3" xfId="30047"/>
    <cellStyle name="표준 11 6 3 7" xfId="9729"/>
    <cellStyle name="표준 11 6 3 7 2" xfId="18727"/>
    <cellStyle name="표준 11 6 3 7 2 2" xfId="39603"/>
    <cellStyle name="표준 11 6 3 7 3" xfId="30865"/>
    <cellStyle name="표준 11 6 3 8" xfId="10784"/>
    <cellStyle name="표준 11 6 3 8 2" xfId="19555"/>
    <cellStyle name="표준 11 6 3 8 2 2" xfId="40431"/>
    <cellStyle name="표준 11 6 3 8 3" xfId="31695"/>
    <cellStyle name="표준 11 6 3 9" xfId="11650"/>
    <cellStyle name="표준 11 6 3 9 2" xfId="20416"/>
    <cellStyle name="표준 11 6 3 9 2 2" xfId="41292"/>
    <cellStyle name="표준 11 6 3 9 3" xfId="32556"/>
    <cellStyle name="표준 11 6 4" xfId="4505"/>
    <cellStyle name="표준 11 6 4 2" xfId="6339"/>
    <cellStyle name="표준 11 6 4 2 2" xfId="15348"/>
    <cellStyle name="표준 11 6 4 2 2 2" xfId="36224"/>
    <cellStyle name="표준 11 6 4 2 3" xfId="27486"/>
    <cellStyle name="표준 11 6 4 3" xfId="11002"/>
    <cellStyle name="표준 11 6 4 3 2" xfId="19772"/>
    <cellStyle name="표준 11 6 4 3 2 2" xfId="40648"/>
    <cellStyle name="표준 11 6 4 3 3" xfId="31912"/>
    <cellStyle name="표준 11 6 4 4" xfId="11867"/>
    <cellStyle name="표준 11 6 4 4 2" xfId="20633"/>
    <cellStyle name="표준 11 6 4 4 2 2" xfId="41509"/>
    <cellStyle name="표준 11 6 4 4 3" xfId="32773"/>
    <cellStyle name="표준 11 6 4 5" xfId="13530"/>
    <cellStyle name="표준 11 6 4 5 2" xfId="34406"/>
    <cellStyle name="표준 11 6 4 6" xfId="25668"/>
    <cellStyle name="표준 11 6 5" xfId="3992"/>
    <cellStyle name="표준 11 6 6" xfId="5182"/>
    <cellStyle name="표준 11 6 6 2" xfId="14191"/>
    <cellStyle name="표준 11 6 6 2 2" xfId="35067"/>
    <cellStyle name="표준 11 6 6 3" xfId="26329"/>
    <cellStyle name="표준 11 6 7" xfId="6984"/>
    <cellStyle name="표준 11 6 7 2" xfId="15992"/>
    <cellStyle name="표준 11 6 7 2 2" xfId="36868"/>
    <cellStyle name="표준 11 6 7 3" xfId="28130"/>
    <cellStyle name="표준 11 6 8" xfId="7629"/>
    <cellStyle name="표준 11 6 8 2" xfId="16635"/>
    <cellStyle name="표준 11 6 8 2 2" xfId="37511"/>
    <cellStyle name="표준 11 6 8 3" xfId="28773"/>
    <cellStyle name="표준 11 6 9" xfId="8477"/>
    <cellStyle name="표준 11 6 9 2" xfId="17482"/>
    <cellStyle name="표준 11 6 9 2 2" xfId="38358"/>
    <cellStyle name="표준 11 6 9 3" xfId="29620"/>
    <cellStyle name="표준 11 7" xfId="2897"/>
    <cellStyle name="표준 11 7 10" xfId="9302"/>
    <cellStyle name="표준 11 7 10 2" xfId="18301"/>
    <cellStyle name="표준 11 7 10 2 2" xfId="39177"/>
    <cellStyle name="표준 11 7 10 3" xfId="30439"/>
    <cellStyle name="표준 11 7 11" xfId="10358"/>
    <cellStyle name="표준 11 7 11 2" xfId="19129"/>
    <cellStyle name="표준 11 7 11 2 2" xfId="40005"/>
    <cellStyle name="표준 11 7 11 3" xfId="31269"/>
    <cellStyle name="표준 11 7 12" xfId="11224"/>
    <cellStyle name="표준 11 7 12 2" xfId="19990"/>
    <cellStyle name="표준 11 7 12 2 2" xfId="40866"/>
    <cellStyle name="표준 11 7 12 3" xfId="32130"/>
    <cellStyle name="표준 11 7 13" xfId="12372"/>
    <cellStyle name="표준 11 7 13 2" xfId="33250"/>
    <cellStyle name="표준 11 7 14" xfId="24500"/>
    <cellStyle name="표준 11 7 2" xfId="3115"/>
    <cellStyle name="표준 11 7 2 10" xfId="11434"/>
    <cellStyle name="표준 11 7 2 10 2" xfId="20200"/>
    <cellStyle name="표준 11 7 2 10 2 2" xfId="41076"/>
    <cellStyle name="표준 11 7 2 10 3" xfId="32340"/>
    <cellStyle name="표준 11 7 2 11" xfId="12583"/>
    <cellStyle name="표준 11 7 2 11 2" xfId="33460"/>
    <cellStyle name="표준 11 7 2 12" xfId="24710"/>
    <cellStyle name="표준 11 7 2 2" xfId="3557"/>
    <cellStyle name="표준 11 7 2 2 2" xfId="5830"/>
    <cellStyle name="표준 11 7 2 2 2 2" xfId="14839"/>
    <cellStyle name="표준 11 7 2 2 2 2 2" xfId="35715"/>
    <cellStyle name="표준 11 7 2 2 2 3" xfId="26977"/>
    <cellStyle name="표준 11 7 2 2 3" xfId="13020"/>
    <cellStyle name="표준 11 7 2 2 3 2" xfId="33897"/>
    <cellStyle name="표준 11 7 2 2 4" xfId="25147"/>
    <cellStyle name="표준 11 7 2 3" xfId="4718"/>
    <cellStyle name="표준 11 7 2 3 2" xfId="6550"/>
    <cellStyle name="표준 11 7 2 3 2 2" xfId="15559"/>
    <cellStyle name="표준 11 7 2 3 2 2 2" xfId="36435"/>
    <cellStyle name="표준 11 7 2 3 2 3" xfId="27697"/>
    <cellStyle name="표준 11 7 2 3 3" xfId="13741"/>
    <cellStyle name="표준 11 7 2 3 3 2" xfId="34617"/>
    <cellStyle name="표준 11 7 2 3 4" xfId="25879"/>
    <cellStyle name="표준 11 7 2 4" xfId="5393"/>
    <cellStyle name="표준 11 7 2 4 2" xfId="14402"/>
    <cellStyle name="표준 11 7 2 4 2 2" xfId="35278"/>
    <cellStyle name="표준 11 7 2 4 3" xfId="26540"/>
    <cellStyle name="표준 11 7 2 5" xfId="7196"/>
    <cellStyle name="표준 11 7 2 5 2" xfId="16203"/>
    <cellStyle name="표준 11 7 2 5 2 2" xfId="37079"/>
    <cellStyle name="표준 11 7 2 5 3" xfId="28341"/>
    <cellStyle name="표준 11 7 2 6" xfId="7840"/>
    <cellStyle name="표준 11 7 2 6 2" xfId="16846"/>
    <cellStyle name="표준 11 7 2 6 2 2" xfId="37722"/>
    <cellStyle name="표준 11 7 2 6 3" xfId="28984"/>
    <cellStyle name="표준 11 7 2 7" xfId="8688"/>
    <cellStyle name="표준 11 7 2 7 2" xfId="17693"/>
    <cellStyle name="표준 11 7 2 7 2 2" xfId="38569"/>
    <cellStyle name="표준 11 7 2 7 3" xfId="29831"/>
    <cellStyle name="표준 11 7 2 8" xfId="9513"/>
    <cellStyle name="표준 11 7 2 8 2" xfId="18511"/>
    <cellStyle name="표준 11 7 2 8 2 2" xfId="39387"/>
    <cellStyle name="표준 11 7 2 8 3" xfId="30649"/>
    <cellStyle name="표준 11 7 2 9" xfId="10568"/>
    <cellStyle name="표준 11 7 2 9 2" xfId="19339"/>
    <cellStyle name="표준 11 7 2 9 2 2" xfId="40215"/>
    <cellStyle name="표준 11 7 2 9 3" xfId="31479"/>
    <cellStyle name="표준 11 7 3" xfId="3347"/>
    <cellStyle name="표준 11 7 3 10" xfId="12810"/>
    <cellStyle name="표준 11 7 3 10 2" xfId="33687"/>
    <cellStyle name="표준 11 7 3 11" xfId="24937"/>
    <cellStyle name="표준 11 7 3 2" xfId="4940"/>
    <cellStyle name="표준 11 7 3 2 2" xfId="6767"/>
    <cellStyle name="표준 11 7 3 2 2 2" xfId="15776"/>
    <cellStyle name="표준 11 7 3 2 2 2 2" xfId="36652"/>
    <cellStyle name="표준 11 7 3 2 2 3" xfId="27914"/>
    <cellStyle name="표준 11 7 3 2 3" xfId="13958"/>
    <cellStyle name="표준 11 7 3 2 3 2" xfId="34834"/>
    <cellStyle name="표준 11 7 3 2 4" xfId="26096"/>
    <cellStyle name="표준 11 7 3 3" xfId="5620"/>
    <cellStyle name="표준 11 7 3 3 2" xfId="14629"/>
    <cellStyle name="표준 11 7 3 3 2 2" xfId="35505"/>
    <cellStyle name="표준 11 7 3 3 3" xfId="26767"/>
    <cellStyle name="표준 11 7 3 4" xfId="7413"/>
    <cellStyle name="표준 11 7 3 4 2" xfId="16420"/>
    <cellStyle name="표준 11 7 3 4 2 2" xfId="37296"/>
    <cellStyle name="표준 11 7 3 4 3" xfId="28558"/>
    <cellStyle name="표준 11 7 3 5" xfId="8057"/>
    <cellStyle name="표준 11 7 3 5 2" xfId="17063"/>
    <cellStyle name="표준 11 7 3 5 2 2" xfId="37939"/>
    <cellStyle name="표준 11 7 3 5 3" xfId="29201"/>
    <cellStyle name="표준 11 7 3 6" xfId="8905"/>
    <cellStyle name="표준 11 7 3 6 2" xfId="17910"/>
    <cellStyle name="표준 11 7 3 6 2 2" xfId="38786"/>
    <cellStyle name="표준 11 7 3 6 3" xfId="30048"/>
    <cellStyle name="표준 11 7 3 7" xfId="9730"/>
    <cellStyle name="표준 11 7 3 7 2" xfId="18728"/>
    <cellStyle name="표준 11 7 3 7 2 2" xfId="39604"/>
    <cellStyle name="표준 11 7 3 7 3" xfId="30866"/>
    <cellStyle name="표준 11 7 3 8" xfId="10785"/>
    <cellStyle name="표준 11 7 3 8 2" xfId="19556"/>
    <cellStyle name="표준 11 7 3 8 2 2" xfId="40432"/>
    <cellStyle name="표준 11 7 3 8 3" xfId="31696"/>
    <cellStyle name="표준 11 7 3 9" xfId="11651"/>
    <cellStyle name="표준 11 7 3 9 2" xfId="20417"/>
    <cellStyle name="표준 11 7 3 9 2 2" xfId="41293"/>
    <cellStyle name="표준 11 7 3 9 3" xfId="32557"/>
    <cellStyle name="표준 11 7 4" xfId="4506"/>
    <cellStyle name="표준 11 7 4 2" xfId="6340"/>
    <cellStyle name="표준 11 7 4 2 2" xfId="15349"/>
    <cellStyle name="표준 11 7 4 2 2 2" xfId="36225"/>
    <cellStyle name="표준 11 7 4 2 3" xfId="27487"/>
    <cellStyle name="표준 11 7 4 3" xfId="11003"/>
    <cellStyle name="표준 11 7 4 3 2" xfId="19773"/>
    <cellStyle name="표준 11 7 4 3 2 2" xfId="40649"/>
    <cellStyle name="표준 11 7 4 3 3" xfId="31913"/>
    <cellStyle name="표준 11 7 4 4" xfId="11868"/>
    <cellStyle name="표준 11 7 4 4 2" xfId="20634"/>
    <cellStyle name="표준 11 7 4 4 2 2" xfId="41510"/>
    <cellStyle name="표준 11 7 4 4 3" xfId="32774"/>
    <cellStyle name="표준 11 7 4 5" xfId="13531"/>
    <cellStyle name="표준 11 7 4 5 2" xfId="34407"/>
    <cellStyle name="표준 11 7 4 6" xfId="25669"/>
    <cellStyle name="표준 11 7 5" xfId="3991"/>
    <cellStyle name="표준 11 7 6" xfId="5183"/>
    <cellStyle name="표준 11 7 6 2" xfId="14192"/>
    <cellStyle name="표준 11 7 6 2 2" xfId="35068"/>
    <cellStyle name="표준 11 7 6 3" xfId="26330"/>
    <cellStyle name="표준 11 7 7" xfId="6985"/>
    <cellStyle name="표준 11 7 7 2" xfId="15993"/>
    <cellStyle name="표준 11 7 7 2 2" xfId="36869"/>
    <cellStyle name="표준 11 7 7 3" xfId="28131"/>
    <cellStyle name="표준 11 7 8" xfId="7630"/>
    <cellStyle name="표준 11 7 8 2" xfId="16636"/>
    <cellStyle name="표준 11 7 8 2 2" xfId="37512"/>
    <cellStyle name="표준 11 7 8 3" xfId="28774"/>
    <cellStyle name="표준 11 7 9" xfId="8478"/>
    <cellStyle name="표준 11 7 9 2" xfId="17483"/>
    <cellStyle name="표준 11 7 9 2 2" xfId="38359"/>
    <cellStyle name="표준 11 7 9 3" xfId="29621"/>
    <cellStyle name="표준 11 8" xfId="3109"/>
    <cellStyle name="표준 11 8 10" xfId="11428"/>
    <cellStyle name="표준 11 8 10 2" xfId="20194"/>
    <cellStyle name="표준 11 8 10 2 2" xfId="41070"/>
    <cellStyle name="표준 11 8 10 3" xfId="32334"/>
    <cellStyle name="표준 11 8 11" xfId="12577"/>
    <cellStyle name="표준 11 8 11 2" xfId="33454"/>
    <cellStyle name="표준 11 8 12" xfId="24704"/>
    <cellStyle name="표준 11 8 2" xfId="3551"/>
    <cellStyle name="표준 11 8 2 2" xfId="5824"/>
    <cellStyle name="표준 11 8 2 2 2" xfId="14833"/>
    <cellStyle name="표준 11 8 2 2 2 2" xfId="35709"/>
    <cellStyle name="표준 11 8 2 2 3" xfId="26971"/>
    <cellStyle name="표준 11 8 2 3" xfId="13014"/>
    <cellStyle name="표준 11 8 2 3 2" xfId="33891"/>
    <cellStyle name="표준 11 8 2 4" xfId="25141"/>
    <cellStyle name="표준 11 8 3" xfId="4712"/>
    <cellStyle name="표준 11 8 3 2" xfId="6544"/>
    <cellStyle name="표준 11 8 3 2 2" xfId="15553"/>
    <cellStyle name="표준 11 8 3 2 2 2" xfId="36429"/>
    <cellStyle name="표준 11 8 3 2 3" xfId="27691"/>
    <cellStyle name="표준 11 8 3 3" xfId="13735"/>
    <cellStyle name="표준 11 8 3 3 2" xfId="34611"/>
    <cellStyle name="표준 11 8 3 4" xfId="25873"/>
    <cellStyle name="표준 11 8 4" xfId="5387"/>
    <cellStyle name="표준 11 8 4 2" xfId="14396"/>
    <cellStyle name="표준 11 8 4 2 2" xfId="35272"/>
    <cellStyle name="표준 11 8 4 3" xfId="26534"/>
    <cellStyle name="표준 11 8 5" xfId="7190"/>
    <cellStyle name="표준 11 8 5 2" xfId="16197"/>
    <cellStyle name="표준 11 8 5 2 2" xfId="37073"/>
    <cellStyle name="표준 11 8 5 3" xfId="28335"/>
    <cellStyle name="표준 11 8 6" xfId="7834"/>
    <cellStyle name="표준 11 8 6 2" xfId="16840"/>
    <cellStyle name="표준 11 8 6 2 2" xfId="37716"/>
    <cellStyle name="표준 11 8 6 3" xfId="28978"/>
    <cellStyle name="표준 11 8 7" xfId="8682"/>
    <cellStyle name="표준 11 8 7 2" xfId="17687"/>
    <cellStyle name="표준 11 8 7 2 2" xfId="38563"/>
    <cellStyle name="표준 11 8 7 3" xfId="29825"/>
    <cellStyle name="표준 11 8 8" xfId="9507"/>
    <cellStyle name="표준 11 8 8 2" xfId="18505"/>
    <cellStyle name="표준 11 8 8 2 2" xfId="39381"/>
    <cellStyle name="표준 11 8 8 3" xfId="30643"/>
    <cellStyle name="표준 11 8 9" xfId="10562"/>
    <cellStyle name="표준 11 8 9 2" xfId="19333"/>
    <cellStyle name="표준 11 8 9 2 2" xfId="40209"/>
    <cellStyle name="표준 11 8 9 3" xfId="31473"/>
    <cellStyle name="표준 11 9" xfId="3341"/>
    <cellStyle name="표준 11 9 10" xfId="12804"/>
    <cellStyle name="표준 11 9 10 2" xfId="33681"/>
    <cellStyle name="표준 11 9 11" xfId="24931"/>
    <cellStyle name="표준 11 9 2" xfId="4934"/>
    <cellStyle name="표준 11 9 2 2" xfId="6761"/>
    <cellStyle name="표준 11 9 2 2 2" xfId="15770"/>
    <cellStyle name="표준 11 9 2 2 2 2" xfId="36646"/>
    <cellStyle name="표준 11 9 2 2 3" xfId="27908"/>
    <cellStyle name="표준 11 9 2 3" xfId="13952"/>
    <cellStyle name="표준 11 9 2 3 2" xfId="34828"/>
    <cellStyle name="표준 11 9 2 4" xfId="26090"/>
    <cellStyle name="표준 11 9 3" xfId="5614"/>
    <cellStyle name="표준 11 9 3 2" xfId="14623"/>
    <cellStyle name="표준 11 9 3 2 2" xfId="35499"/>
    <cellStyle name="표준 11 9 3 3" xfId="26761"/>
    <cellStyle name="표준 11 9 4" xfId="7407"/>
    <cellStyle name="표준 11 9 4 2" xfId="16414"/>
    <cellStyle name="표준 11 9 4 2 2" xfId="37290"/>
    <cellStyle name="표준 11 9 4 3" xfId="28552"/>
    <cellStyle name="표준 11 9 5" xfId="8051"/>
    <cellStyle name="표준 11 9 5 2" xfId="17057"/>
    <cellStyle name="표준 11 9 5 2 2" xfId="37933"/>
    <cellStyle name="표준 11 9 5 3" xfId="29195"/>
    <cellStyle name="표준 11 9 6" xfId="8899"/>
    <cellStyle name="표준 11 9 6 2" xfId="17904"/>
    <cellStyle name="표준 11 9 6 2 2" xfId="38780"/>
    <cellStyle name="표준 11 9 6 3" xfId="30042"/>
    <cellStyle name="표준 11 9 7" xfId="9724"/>
    <cellStyle name="표준 11 9 7 2" xfId="18722"/>
    <cellStyle name="표준 11 9 7 2 2" xfId="39598"/>
    <cellStyle name="표준 11 9 7 3" xfId="30860"/>
    <cellStyle name="표준 11 9 8" xfId="10779"/>
    <cellStyle name="표준 11 9 8 2" xfId="19550"/>
    <cellStyle name="표준 11 9 8 2 2" xfId="40426"/>
    <cellStyle name="표준 11 9 8 3" xfId="31690"/>
    <cellStyle name="표준 11 9 9" xfId="11645"/>
    <cellStyle name="표준 11 9 9 2" xfId="20411"/>
    <cellStyle name="표준 11 9 9 2 2" xfId="41287"/>
    <cellStyle name="표준 11 9 9 3" xfId="32551"/>
    <cellStyle name="표준 12" xfId="2898"/>
    <cellStyle name="표준 12 10" xfId="4507"/>
    <cellStyle name="표준 12 10 2" xfId="6341"/>
    <cellStyle name="표준 12 10 2 2" xfId="15350"/>
    <cellStyle name="표준 12 10 2 2 2" xfId="36226"/>
    <cellStyle name="표준 12 10 2 3" xfId="27488"/>
    <cellStyle name="표준 12 10 3" xfId="11004"/>
    <cellStyle name="표준 12 10 3 2" xfId="19774"/>
    <cellStyle name="표준 12 10 3 2 2" xfId="40650"/>
    <cellStyle name="표준 12 10 3 3" xfId="31914"/>
    <cellStyle name="표준 12 10 4" xfId="11869"/>
    <cellStyle name="표준 12 10 4 2" xfId="20635"/>
    <cellStyle name="표준 12 10 4 2 2" xfId="41511"/>
    <cellStyle name="표준 12 10 4 3" xfId="32775"/>
    <cellStyle name="표준 12 10 5" xfId="13532"/>
    <cellStyle name="표준 12 10 5 2" xfId="34408"/>
    <cellStyle name="표준 12 10 6" xfId="25670"/>
    <cellStyle name="표준 12 11" xfId="3990"/>
    <cellStyle name="표준 12 12" xfId="5184"/>
    <cellStyle name="표준 12 12 2" xfId="14193"/>
    <cellStyle name="표준 12 12 2 2" xfId="35069"/>
    <cellStyle name="표준 12 12 3" xfId="26331"/>
    <cellStyle name="표준 12 13" xfId="6986"/>
    <cellStyle name="표준 12 13 2" xfId="15994"/>
    <cellStyle name="표준 12 13 2 2" xfId="36870"/>
    <cellStyle name="표준 12 13 3" xfId="28132"/>
    <cellStyle name="표준 12 14" xfId="7631"/>
    <cellStyle name="표준 12 14 2" xfId="16637"/>
    <cellStyle name="표준 12 14 2 2" xfId="37513"/>
    <cellStyle name="표준 12 14 3" xfId="28775"/>
    <cellStyle name="표준 12 15" xfId="8479"/>
    <cellStyle name="표준 12 15 2" xfId="17484"/>
    <cellStyle name="표준 12 15 2 2" xfId="38360"/>
    <cellStyle name="표준 12 15 3" xfId="29622"/>
    <cellStyle name="표준 12 16" xfId="9303"/>
    <cellStyle name="표준 12 16 2" xfId="18302"/>
    <cellStyle name="표준 12 16 2 2" xfId="39178"/>
    <cellStyle name="표준 12 16 3" xfId="30440"/>
    <cellStyle name="표준 12 17" xfId="10359"/>
    <cellStyle name="표준 12 17 2" xfId="19130"/>
    <cellStyle name="표준 12 17 2 2" xfId="40006"/>
    <cellStyle name="표준 12 17 3" xfId="31270"/>
    <cellStyle name="표준 12 18" xfId="11225"/>
    <cellStyle name="표준 12 18 2" xfId="19991"/>
    <cellStyle name="표준 12 18 2 2" xfId="40867"/>
    <cellStyle name="표준 12 18 3" xfId="32131"/>
    <cellStyle name="표준 12 19" xfId="12373"/>
    <cellStyle name="표준 12 19 2" xfId="33251"/>
    <cellStyle name="표준 12 2" xfId="2899"/>
    <cellStyle name="표준 12 2 10" xfId="10360"/>
    <cellStyle name="표준 12 2 10 2" xfId="19131"/>
    <cellStyle name="표준 12 2 10 2 2" xfId="40007"/>
    <cellStyle name="표준 12 2 10 3" xfId="31271"/>
    <cellStyle name="표준 12 2 11" xfId="11226"/>
    <cellStyle name="표준 12 2 11 2" xfId="19992"/>
    <cellStyle name="표준 12 2 11 2 2" xfId="40868"/>
    <cellStyle name="표준 12 2 11 3" xfId="32132"/>
    <cellStyle name="표준 12 2 12" xfId="12374"/>
    <cellStyle name="표준 12 2 12 2" xfId="33252"/>
    <cellStyle name="표준 12 2 13" xfId="24502"/>
    <cellStyle name="표준 12 2 2" xfId="3117"/>
    <cellStyle name="표준 12 2 2 10" xfId="11436"/>
    <cellStyle name="표준 12 2 2 10 2" xfId="20202"/>
    <cellStyle name="표준 12 2 2 10 2 2" xfId="41078"/>
    <cellStyle name="표준 12 2 2 10 3" xfId="32342"/>
    <cellStyle name="표준 12 2 2 11" xfId="12585"/>
    <cellStyle name="표준 12 2 2 11 2" xfId="33462"/>
    <cellStyle name="표준 12 2 2 12" xfId="24712"/>
    <cellStyle name="표준 12 2 2 2" xfId="3559"/>
    <cellStyle name="표준 12 2 2 2 2" xfId="5832"/>
    <cellStyle name="표준 12 2 2 2 2 2" xfId="14841"/>
    <cellStyle name="표준 12 2 2 2 2 2 2" xfId="35717"/>
    <cellStyle name="표준 12 2 2 2 2 3" xfId="26979"/>
    <cellStyle name="표준 12 2 2 2 3" xfId="13022"/>
    <cellStyle name="표준 12 2 2 2 3 2" xfId="33899"/>
    <cellStyle name="표준 12 2 2 2 4" xfId="25149"/>
    <cellStyle name="표준 12 2 2 3" xfId="4720"/>
    <cellStyle name="표준 12 2 2 3 2" xfId="6552"/>
    <cellStyle name="표준 12 2 2 3 2 2" xfId="15561"/>
    <cellStyle name="표준 12 2 2 3 2 2 2" xfId="36437"/>
    <cellStyle name="표준 12 2 2 3 2 3" xfId="27699"/>
    <cellStyle name="표준 12 2 2 3 3" xfId="13743"/>
    <cellStyle name="표준 12 2 2 3 3 2" xfId="34619"/>
    <cellStyle name="표준 12 2 2 3 4" xfId="25881"/>
    <cellStyle name="표준 12 2 2 4" xfId="5395"/>
    <cellStyle name="표준 12 2 2 4 2" xfId="14404"/>
    <cellStyle name="표준 12 2 2 4 2 2" xfId="35280"/>
    <cellStyle name="표준 12 2 2 4 3" xfId="26542"/>
    <cellStyle name="표준 12 2 2 5" xfId="7198"/>
    <cellStyle name="표준 12 2 2 5 2" xfId="16205"/>
    <cellStyle name="표준 12 2 2 5 2 2" xfId="37081"/>
    <cellStyle name="표준 12 2 2 5 3" xfId="28343"/>
    <cellStyle name="표준 12 2 2 6" xfId="7842"/>
    <cellStyle name="표준 12 2 2 6 2" xfId="16848"/>
    <cellStyle name="표준 12 2 2 6 2 2" xfId="37724"/>
    <cellStyle name="표준 12 2 2 6 3" xfId="28986"/>
    <cellStyle name="표준 12 2 2 7" xfId="8690"/>
    <cellStyle name="표준 12 2 2 7 2" xfId="17695"/>
    <cellStyle name="표준 12 2 2 7 2 2" xfId="38571"/>
    <cellStyle name="표준 12 2 2 7 3" xfId="29833"/>
    <cellStyle name="표준 12 2 2 8" xfId="9515"/>
    <cellStyle name="표준 12 2 2 8 2" xfId="18513"/>
    <cellStyle name="표준 12 2 2 8 2 2" xfId="39389"/>
    <cellStyle name="표준 12 2 2 8 3" xfId="30651"/>
    <cellStyle name="표준 12 2 2 9" xfId="10570"/>
    <cellStyle name="표준 12 2 2 9 2" xfId="19341"/>
    <cellStyle name="표준 12 2 2 9 2 2" xfId="40217"/>
    <cellStyle name="표준 12 2 2 9 3" xfId="31481"/>
    <cellStyle name="표준 12 2 3" xfId="3349"/>
    <cellStyle name="표준 12 2 3 10" xfId="12812"/>
    <cellStyle name="표준 12 2 3 10 2" xfId="33689"/>
    <cellStyle name="표준 12 2 3 11" xfId="24939"/>
    <cellStyle name="표준 12 2 3 2" xfId="4942"/>
    <cellStyle name="표준 12 2 3 2 2" xfId="6769"/>
    <cellStyle name="표준 12 2 3 2 2 2" xfId="15778"/>
    <cellStyle name="표준 12 2 3 2 2 2 2" xfId="36654"/>
    <cellStyle name="표준 12 2 3 2 2 3" xfId="27916"/>
    <cellStyle name="표준 12 2 3 2 3" xfId="13960"/>
    <cellStyle name="표준 12 2 3 2 3 2" xfId="34836"/>
    <cellStyle name="표준 12 2 3 2 4" xfId="26098"/>
    <cellStyle name="표준 12 2 3 3" xfId="5622"/>
    <cellStyle name="표준 12 2 3 3 2" xfId="14631"/>
    <cellStyle name="표준 12 2 3 3 2 2" xfId="35507"/>
    <cellStyle name="표준 12 2 3 3 3" xfId="26769"/>
    <cellStyle name="표준 12 2 3 4" xfId="7415"/>
    <cellStyle name="표준 12 2 3 4 2" xfId="16422"/>
    <cellStyle name="표준 12 2 3 4 2 2" xfId="37298"/>
    <cellStyle name="표준 12 2 3 4 3" xfId="28560"/>
    <cellStyle name="표준 12 2 3 5" xfId="8059"/>
    <cellStyle name="표준 12 2 3 5 2" xfId="17065"/>
    <cellStyle name="표준 12 2 3 5 2 2" xfId="37941"/>
    <cellStyle name="표준 12 2 3 5 3" xfId="29203"/>
    <cellStyle name="표준 12 2 3 6" xfId="8907"/>
    <cellStyle name="표준 12 2 3 6 2" xfId="17912"/>
    <cellStyle name="표준 12 2 3 6 2 2" xfId="38788"/>
    <cellStyle name="표준 12 2 3 6 3" xfId="30050"/>
    <cellStyle name="표준 12 2 3 7" xfId="9732"/>
    <cellStyle name="표준 12 2 3 7 2" xfId="18730"/>
    <cellStyle name="표준 12 2 3 7 2 2" xfId="39606"/>
    <cellStyle name="표준 12 2 3 7 3" xfId="30868"/>
    <cellStyle name="표준 12 2 3 8" xfId="10787"/>
    <cellStyle name="표준 12 2 3 8 2" xfId="19558"/>
    <cellStyle name="표준 12 2 3 8 2 2" xfId="40434"/>
    <cellStyle name="표준 12 2 3 8 3" xfId="31698"/>
    <cellStyle name="표준 12 2 3 9" xfId="11653"/>
    <cellStyle name="표준 12 2 3 9 2" xfId="20419"/>
    <cellStyle name="표준 12 2 3 9 2 2" xfId="41295"/>
    <cellStyle name="표준 12 2 3 9 3" xfId="32559"/>
    <cellStyle name="표준 12 2 4" xfId="4508"/>
    <cellStyle name="표준 12 2 4 2" xfId="6342"/>
    <cellStyle name="표준 12 2 4 2 2" xfId="15351"/>
    <cellStyle name="표준 12 2 4 2 2 2" xfId="36227"/>
    <cellStyle name="표준 12 2 4 2 3" xfId="27489"/>
    <cellStyle name="표준 12 2 4 3" xfId="11005"/>
    <cellStyle name="표준 12 2 4 3 2" xfId="19775"/>
    <cellStyle name="표준 12 2 4 3 2 2" xfId="40651"/>
    <cellStyle name="표준 12 2 4 3 3" xfId="31915"/>
    <cellStyle name="표준 12 2 4 4" xfId="11870"/>
    <cellStyle name="표준 12 2 4 4 2" xfId="20636"/>
    <cellStyle name="표준 12 2 4 4 2 2" xfId="41512"/>
    <cellStyle name="표준 12 2 4 4 3" xfId="32776"/>
    <cellStyle name="표준 12 2 4 5" xfId="13533"/>
    <cellStyle name="표준 12 2 4 5 2" xfId="34409"/>
    <cellStyle name="표준 12 2 4 6" xfId="25671"/>
    <cellStyle name="표준 12 2 5" xfId="5185"/>
    <cellStyle name="표준 12 2 5 2" xfId="14194"/>
    <cellStyle name="표준 12 2 5 2 2" xfId="35070"/>
    <cellStyle name="표준 12 2 5 3" xfId="26332"/>
    <cellStyle name="표준 12 2 6" xfId="6987"/>
    <cellStyle name="표준 12 2 6 2" xfId="15995"/>
    <cellStyle name="표준 12 2 6 2 2" xfId="36871"/>
    <cellStyle name="표준 12 2 6 3" xfId="28133"/>
    <cellStyle name="표준 12 2 7" xfId="7632"/>
    <cellStyle name="표준 12 2 7 2" xfId="16638"/>
    <cellStyle name="표준 12 2 7 2 2" xfId="37514"/>
    <cellStyle name="표준 12 2 7 3" xfId="28776"/>
    <cellStyle name="표준 12 2 8" xfId="8480"/>
    <cellStyle name="표준 12 2 8 2" xfId="17485"/>
    <cellStyle name="표준 12 2 8 2 2" xfId="38361"/>
    <cellStyle name="표준 12 2 8 3" xfId="29623"/>
    <cellStyle name="표준 12 2 9" xfId="9304"/>
    <cellStyle name="표준 12 2 9 2" xfId="18303"/>
    <cellStyle name="표준 12 2 9 2 2" xfId="39179"/>
    <cellStyle name="표준 12 2 9 3" xfId="30441"/>
    <cellStyle name="표준 12 20" xfId="24501"/>
    <cellStyle name="표준 12 3" xfId="2900"/>
    <cellStyle name="표준 12 3 10" xfId="10361"/>
    <cellStyle name="표준 12 3 10 2" xfId="19132"/>
    <cellStyle name="표준 12 3 10 2 2" xfId="40008"/>
    <cellStyle name="표준 12 3 10 3" xfId="31272"/>
    <cellStyle name="표준 12 3 11" xfId="11227"/>
    <cellStyle name="표준 12 3 11 2" xfId="19993"/>
    <cellStyle name="표준 12 3 11 2 2" xfId="40869"/>
    <cellStyle name="표준 12 3 11 3" xfId="32133"/>
    <cellStyle name="표준 12 3 12" xfId="12375"/>
    <cellStyle name="표준 12 3 12 2" xfId="33253"/>
    <cellStyle name="표준 12 3 13" xfId="24503"/>
    <cellStyle name="표준 12 3 2" xfId="3118"/>
    <cellStyle name="표준 12 3 2 10" xfId="11437"/>
    <cellStyle name="표준 12 3 2 10 2" xfId="20203"/>
    <cellStyle name="표준 12 3 2 10 2 2" xfId="41079"/>
    <cellStyle name="표준 12 3 2 10 3" xfId="32343"/>
    <cellStyle name="표준 12 3 2 11" xfId="12586"/>
    <cellStyle name="표준 12 3 2 11 2" xfId="33463"/>
    <cellStyle name="표준 12 3 2 12" xfId="24713"/>
    <cellStyle name="표준 12 3 2 2" xfId="3560"/>
    <cellStyle name="표준 12 3 2 2 2" xfId="5833"/>
    <cellStyle name="표준 12 3 2 2 2 2" xfId="14842"/>
    <cellStyle name="표준 12 3 2 2 2 2 2" xfId="35718"/>
    <cellStyle name="표준 12 3 2 2 2 3" xfId="26980"/>
    <cellStyle name="표준 12 3 2 2 3" xfId="13023"/>
    <cellStyle name="표준 12 3 2 2 3 2" xfId="33900"/>
    <cellStyle name="표준 12 3 2 2 4" xfId="25150"/>
    <cellStyle name="표준 12 3 2 3" xfId="4721"/>
    <cellStyle name="표준 12 3 2 3 2" xfId="6553"/>
    <cellStyle name="표준 12 3 2 3 2 2" xfId="15562"/>
    <cellStyle name="표준 12 3 2 3 2 2 2" xfId="36438"/>
    <cellStyle name="표준 12 3 2 3 2 3" xfId="27700"/>
    <cellStyle name="표준 12 3 2 3 3" xfId="13744"/>
    <cellStyle name="표준 12 3 2 3 3 2" xfId="34620"/>
    <cellStyle name="표준 12 3 2 3 4" xfId="25882"/>
    <cellStyle name="표준 12 3 2 4" xfId="5396"/>
    <cellStyle name="표준 12 3 2 4 2" xfId="14405"/>
    <cellStyle name="표준 12 3 2 4 2 2" xfId="35281"/>
    <cellStyle name="표준 12 3 2 4 3" xfId="26543"/>
    <cellStyle name="표준 12 3 2 5" xfId="7199"/>
    <cellStyle name="표준 12 3 2 5 2" xfId="16206"/>
    <cellStyle name="표준 12 3 2 5 2 2" xfId="37082"/>
    <cellStyle name="표준 12 3 2 5 3" xfId="28344"/>
    <cellStyle name="표준 12 3 2 6" xfId="7843"/>
    <cellStyle name="표준 12 3 2 6 2" xfId="16849"/>
    <cellStyle name="표준 12 3 2 6 2 2" xfId="37725"/>
    <cellStyle name="표준 12 3 2 6 3" xfId="28987"/>
    <cellStyle name="표준 12 3 2 7" xfId="8691"/>
    <cellStyle name="표준 12 3 2 7 2" xfId="17696"/>
    <cellStyle name="표준 12 3 2 7 2 2" xfId="38572"/>
    <cellStyle name="표준 12 3 2 7 3" xfId="29834"/>
    <cellStyle name="표준 12 3 2 8" xfId="9516"/>
    <cellStyle name="표준 12 3 2 8 2" xfId="18514"/>
    <cellStyle name="표준 12 3 2 8 2 2" xfId="39390"/>
    <cellStyle name="표준 12 3 2 8 3" xfId="30652"/>
    <cellStyle name="표준 12 3 2 9" xfId="10571"/>
    <cellStyle name="표준 12 3 2 9 2" xfId="19342"/>
    <cellStyle name="표준 12 3 2 9 2 2" xfId="40218"/>
    <cellStyle name="표준 12 3 2 9 3" xfId="31482"/>
    <cellStyle name="표준 12 3 3" xfId="3350"/>
    <cellStyle name="표준 12 3 3 10" xfId="12813"/>
    <cellStyle name="표준 12 3 3 10 2" xfId="33690"/>
    <cellStyle name="표준 12 3 3 11" xfId="24940"/>
    <cellStyle name="표준 12 3 3 2" xfId="4943"/>
    <cellStyle name="표준 12 3 3 2 2" xfId="6770"/>
    <cellStyle name="표준 12 3 3 2 2 2" xfId="15779"/>
    <cellStyle name="표준 12 3 3 2 2 2 2" xfId="36655"/>
    <cellStyle name="표준 12 3 3 2 2 3" xfId="27917"/>
    <cellStyle name="표준 12 3 3 2 3" xfId="13961"/>
    <cellStyle name="표준 12 3 3 2 3 2" xfId="34837"/>
    <cellStyle name="표준 12 3 3 2 4" xfId="26099"/>
    <cellStyle name="표준 12 3 3 3" xfId="5623"/>
    <cellStyle name="표준 12 3 3 3 2" xfId="14632"/>
    <cellStyle name="표준 12 3 3 3 2 2" xfId="35508"/>
    <cellStyle name="표준 12 3 3 3 3" xfId="26770"/>
    <cellStyle name="표준 12 3 3 4" xfId="7416"/>
    <cellStyle name="표준 12 3 3 4 2" xfId="16423"/>
    <cellStyle name="표준 12 3 3 4 2 2" xfId="37299"/>
    <cellStyle name="표준 12 3 3 4 3" xfId="28561"/>
    <cellStyle name="표준 12 3 3 5" xfId="8060"/>
    <cellStyle name="표준 12 3 3 5 2" xfId="17066"/>
    <cellStyle name="표준 12 3 3 5 2 2" xfId="37942"/>
    <cellStyle name="표준 12 3 3 5 3" xfId="29204"/>
    <cellStyle name="표준 12 3 3 6" xfId="8908"/>
    <cellStyle name="표준 12 3 3 6 2" xfId="17913"/>
    <cellStyle name="표준 12 3 3 6 2 2" xfId="38789"/>
    <cellStyle name="표준 12 3 3 6 3" xfId="30051"/>
    <cellStyle name="표준 12 3 3 7" xfId="9733"/>
    <cellStyle name="표준 12 3 3 7 2" xfId="18731"/>
    <cellStyle name="표준 12 3 3 7 2 2" xfId="39607"/>
    <cellStyle name="표준 12 3 3 7 3" xfId="30869"/>
    <cellStyle name="표준 12 3 3 8" xfId="10788"/>
    <cellStyle name="표준 12 3 3 8 2" xfId="19559"/>
    <cellStyle name="표준 12 3 3 8 2 2" xfId="40435"/>
    <cellStyle name="표준 12 3 3 8 3" xfId="31699"/>
    <cellStyle name="표준 12 3 3 9" xfId="11654"/>
    <cellStyle name="표준 12 3 3 9 2" xfId="20420"/>
    <cellStyle name="표준 12 3 3 9 2 2" xfId="41296"/>
    <cellStyle name="표준 12 3 3 9 3" xfId="32560"/>
    <cellStyle name="표준 12 3 4" xfId="4509"/>
    <cellStyle name="표준 12 3 4 2" xfId="6343"/>
    <cellStyle name="표준 12 3 4 2 2" xfId="15352"/>
    <cellStyle name="표준 12 3 4 2 2 2" xfId="36228"/>
    <cellStyle name="표준 12 3 4 2 3" xfId="27490"/>
    <cellStyle name="표준 12 3 4 3" xfId="11006"/>
    <cellStyle name="표준 12 3 4 3 2" xfId="19776"/>
    <cellStyle name="표준 12 3 4 3 2 2" xfId="40652"/>
    <cellStyle name="표준 12 3 4 3 3" xfId="31916"/>
    <cellStyle name="표준 12 3 4 4" xfId="11871"/>
    <cellStyle name="표준 12 3 4 4 2" xfId="20637"/>
    <cellStyle name="표준 12 3 4 4 2 2" xfId="41513"/>
    <cellStyle name="표준 12 3 4 4 3" xfId="32777"/>
    <cellStyle name="표준 12 3 4 5" xfId="13534"/>
    <cellStyle name="표준 12 3 4 5 2" xfId="34410"/>
    <cellStyle name="표준 12 3 4 6" xfId="25672"/>
    <cellStyle name="표준 12 3 5" xfId="5186"/>
    <cellStyle name="표준 12 3 5 2" xfId="14195"/>
    <cellStyle name="표준 12 3 5 2 2" xfId="35071"/>
    <cellStyle name="표준 12 3 5 3" xfId="26333"/>
    <cellStyle name="표준 12 3 6" xfId="6988"/>
    <cellStyle name="표준 12 3 6 2" xfId="15996"/>
    <cellStyle name="표준 12 3 6 2 2" xfId="36872"/>
    <cellStyle name="표준 12 3 6 3" xfId="28134"/>
    <cellStyle name="표준 12 3 7" xfId="7633"/>
    <cellStyle name="표준 12 3 7 2" xfId="16639"/>
    <cellStyle name="표준 12 3 7 2 2" xfId="37515"/>
    <cellStyle name="표준 12 3 7 3" xfId="28777"/>
    <cellStyle name="표준 12 3 8" xfId="8481"/>
    <cellStyle name="표준 12 3 8 2" xfId="17486"/>
    <cellStyle name="표준 12 3 8 2 2" xfId="38362"/>
    <cellStyle name="표준 12 3 8 3" xfId="29624"/>
    <cellStyle name="표준 12 3 9" xfId="9305"/>
    <cellStyle name="표준 12 3 9 2" xfId="18304"/>
    <cellStyle name="표준 12 3 9 2 2" xfId="39180"/>
    <cellStyle name="표준 12 3 9 3" xfId="30442"/>
    <cellStyle name="표준 12 4" xfId="2901"/>
    <cellStyle name="표준 12 4 10" xfId="10362"/>
    <cellStyle name="표준 12 4 10 2" xfId="19133"/>
    <cellStyle name="표준 12 4 10 2 2" xfId="40009"/>
    <cellStyle name="표준 12 4 10 3" xfId="31273"/>
    <cellStyle name="표준 12 4 11" xfId="11228"/>
    <cellStyle name="표준 12 4 11 2" xfId="19994"/>
    <cellStyle name="표준 12 4 11 2 2" xfId="40870"/>
    <cellStyle name="표준 12 4 11 3" xfId="32134"/>
    <cellStyle name="표준 12 4 12" xfId="12376"/>
    <cellStyle name="표준 12 4 12 2" xfId="33254"/>
    <cellStyle name="표준 12 4 13" xfId="24504"/>
    <cellStyle name="표준 12 4 2" xfId="3119"/>
    <cellStyle name="표준 12 4 2 10" xfId="11438"/>
    <cellStyle name="표준 12 4 2 10 2" xfId="20204"/>
    <cellStyle name="표준 12 4 2 10 2 2" xfId="41080"/>
    <cellStyle name="표준 12 4 2 10 3" xfId="32344"/>
    <cellStyle name="표준 12 4 2 11" xfId="12587"/>
    <cellStyle name="표준 12 4 2 11 2" xfId="33464"/>
    <cellStyle name="표준 12 4 2 12" xfId="24714"/>
    <cellStyle name="표준 12 4 2 2" xfId="3561"/>
    <cellStyle name="표준 12 4 2 2 2" xfId="5834"/>
    <cellStyle name="표준 12 4 2 2 2 2" xfId="14843"/>
    <cellStyle name="표준 12 4 2 2 2 2 2" xfId="35719"/>
    <cellStyle name="표준 12 4 2 2 2 3" xfId="26981"/>
    <cellStyle name="표준 12 4 2 2 3" xfId="13024"/>
    <cellStyle name="표준 12 4 2 2 3 2" xfId="33901"/>
    <cellStyle name="표준 12 4 2 2 4" xfId="25151"/>
    <cellStyle name="표준 12 4 2 3" xfId="4722"/>
    <cellStyle name="표준 12 4 2 3 2" xfId="6554"/>
    <cellStyle name="표준 12 4 2 3 2 2" xfId="15563"/>
    <cellStyle name="표준 12 4 2 3 2 2 2" xfId="36439"/>
    <cellStyle name="표준 12 4 2 3 2 3" xfId="27701"/>
    <cellStyle name="표준 12 4 2 3 3" xfId="13745"/>
    <cellStyle name="표준 12 4 2 3 3 2" xfId="34621"/>
    <cellStyle name="표준 12 4 2 3 4" xfId="25883"/>
    <cellStyle name="표준 12 4 2 4" xfId="5397"/>
    <cellStyle name="표준 12 4 2 4 2" xfId="14406"/>
    <cellStyle name="표준 12 4 2 4 2 2" xfId="35282"/>
    <cellStyle name="표준 12 4 2 4 3" xfId="26544"/>
    <cellStyle name="표준 12 4 2 5" xfId="7200"/>
    <cellStyle name="표준 12 4 2 5 2" xfId="16207"/>
    <cellStyle name="표준 12 4 2 5 2 2" xfId="37083"/>
    <cellStyle name="표준 12 4 2 5 3" xfId="28345"/>
    <cellStyle name="표준 12 4 2 6" xfId="7844"/>
    <cellStyle name="표준 12 4 2 6 2" xfId="16850"/>
    <cellStyle name="표준 12 4 2 6 2 2" xfId="37726"/>
    <cellStyle name="표준 12 4 2 6 3" xfId="28988"/>
    <cellStyle name="표준 12 4 2 7" xfId="8692"/>
    <cellStyle name="표준 12 4 2 7 2" xfId="17697"/>
    <cellStyle name="표준 12 4 2 7 2 2" xfId="38573"/>
    <cellStyle name="표준 12 4 2 7 3" xfId="29835"/>
    <cellStyle name="표준 12 4 2 8" xfId="9517"/>
    <cellStyle name="표준 12 4 2 8 2" xfId="18515"/>
    <cellStyle name="표준 12 4 2 8 2 2" xfId="39391"/>
    <cellStyle name="표준 12 4 2 8 3" xfId="30653"/>
    <cellStyle name="표준 12 4 2 9" xfId="10572"/>
    <cellStyle name="표준 12 4 2 9 2" xfId="19343"/>
    <cellStyle name="표준 12 4 2 9 2 2" xfId="40219"/>
    <cellStyle name="표준 12 4 2 9 3" xfId="31483"/>
    <cellStyle name="표준 12 4 3" xfId="3351"/>
    <cellStyle name="표준 12 4 3 10" xfId="12814"/>
    <cellStyle name="표준 12 4 3 10 2" xfId="33691"/>
    <cellStyle name="표준 12 4 3 11" xfId="24941"/>
    <cellStyle name="표준 12 4 3 2" xfId="4944"/>
    <cellStyle name="표준 12 4 3 2 2" xfId="6771"/>
    <cellStyle name="표준 12 4 3 2 2 2" xfId="15780"/>
    <cellStyle name="표준 12 4 3 2 2 2 2" xfId="36656"/>
    <cellStyle name="표준 12 4 3 2 2 3" xfId="27918"/>
    <cellStyle name="표준 12 4 3 2 3" xfId="13962"/>
    <cellStyle name="표준 12 4 3 2 3 2" xfId="34838"/>
    <cellStyle name="표준 12 4 3 2 4" xfId="26100"/>
    <cellStyle name="표준 12 4 3 3" xfId="5624"/>
    <cellStyle name="표준 12 4 3 3 2" xfId="14633"/>
    <cellStyle name="표준 12 4 3 3 2 2" xfId="35509"/>
    <cellStyle name="표준 12 4 3 3 3" xfId="26771"/>
    <cellStyle name="표준 12 4 3 4" xfId="7417"/>
    <cellStyle name="표준 12 4 3 4 2" xfId="16424"/>
    <cellStyle name="표준 12 4 3 4 2 2" xfId="37300"/>
    <cellStyle name="표준 12 4 3 4 3" xfId="28562"/>
    <cellStyle name="표준 12 4 3 5" xfId="8061"/>
    <cellStyle name="표준 12 4 3 5 2" xfId="17067"/>
    <cellStyle name="표준 12 4 3 5 2 2" xfId="37943"/>
    <cellStyle name="표준 12 4 3 5 3" xfId="29205"/>
    <cellStyle name="표준 12 4 3 6" xfId="8909"/>
    <cellStyle name="표준 12 4 3 6 2" xfId="17914"/>
    <cellStyle name="표준 12 4 3 6 2 2" xfId="38790"/>
    <cellStyle name="표준 12 4 3 6 3" xfId="30052"/>
    <cellStyle name="표준 12 4 3 7" xfId="9734"/>
    <cellStyle name="표준 12 4 3 7 2" xfId="18732"/>
    <cellStyle name="표준 12 4 3 7 2 2" xfId="39608"/>
    <cellStyle name="표준 12 4 3 7 3" xfId="30870"/>
    <cellStyle name="표준 12 4 3 8" xfId="10789"/>
    <cellStyle name="표준 12 4 3 8 2" xfId="19560"/>
    <cellStyle name="표준 12 4 3 8 2 2" xfId="40436"/>
    <cellStyle name="표준 12 4 3 8 3" xfId="31700"/>
    <cellStyle name="표준 12 4 3 9" xfId="11655"/>
    <cellStyle name="표준 12 4 3 9 2" xfId="20421"/>
    <cellStyle name="표준 12 4 3 9 2 2" xfId="41297"/>
    <cellStyle name="표준 12 4 3 9 3" xfId="32561"/>
    <cellStyle name="표준 12 4 4" xfId="4510"/>
    <cellStyle name="표준 12 4 4 2" xfId="6344"/>
    <cellStyle name="표준 12 4 4 2 2" xfId="15353"/>
    <cellStyle name="표준 12 4 4 2 2 2" xfId="36229"/>
    <cellStyle name="표준 12 4 4 2 3" xfId="27491"/>
    <cellStyle name="표준 12 4 4 3" xfId="11007"/>
    <cellStyle name="표준 12 4 4 3 2" xfId="19777"/>
    <cellStyle name="표준 12 4 4 3 2 2" xfId="40653"/>
    <cellStyle name="표준 12 4 4 3 3" xfId="31917"/>
    <cellStyle name="표준 12 4 4 4" xfId="11872"/>
    <cellStyle name="표준 12 4 4 4 2" xfId="20638"/>
    <cellStyle name="표준 12 4 4 4 2 2" xfId="41514"/>
    <cellStyle name="표준 12 4 4 4 3" xfId="32778"/>
    <cellStyle name="표준 12 4 4 5" xfId="13535"/>
    <cellStyle name="표준 12 4 4 5 2" xfId="34411"/>
    <cellStyle name="표준 12 4 4 6" xfId="25673"/>
    <cellStyle name="표준 12 4 5" xfId="5187"/>
    <cellStyle name="표준 12 4 5 2" xfId="14196"/>
    <cellStyle name="표준 12 4 5 2 2" xfId="35072"/>
    <cellStyle name="표준 12 4 5 3" xfId="26334"/>
    <cellStyle name="표준 12 4 6" xfId="6989"/>
    <cellStyle name="표준 12 4 6 2" xfId="15997"/>
    <cellStyle name="표준 12 4 6 2 2" xfId="36873"/>
    <cellStyle name="표준 12 4 6 3" xfId="28135"/>
    <cellStyle name="표준 12 4 7" xfId="7634"/>
    <cellStyle name="표준 12 4 7 2" xfId="16640"/>
    <cellStyle name="표준 12 4 7 2 2" xfId="37516"/>
    <cellStyle name="표준 12 4 7 3" xfId="28778"/>
    <cellStyle name="표준 12 4 8" xfId="8482"/>
    <cellStyle name="표준 12 4 8 2" xfId="17487"/>
    <cellStyle name="표준 12 4 8 2 2" xfId="38363"/>
    <cellStyle name="표준 12 4 8 3" xfId="29625"/>
    <cellStyle name="표준 12 4 9" xfId="9306"/>
    <cellStyle name="표준 12 4 9 2" xfId="18305"/>
    <cellStyle name="표준 12 4 9 2 2" xfId="39181"/>
    <cellStyle name="표준 12 4 9 3" xfId="30443"/>
    <cellStyle name="표준 12 5" xfId="2902"/>
    <cellStyle name="표준 12 5 10" xfId="10363"/>
    <cellStyle name="표준 12 5 10 2" xfId="19134"/>
    <cellStyle name="표준 12 5 10 2 2" xfId="40010"/>
    <cellStyle name="표준 12 5 10 3" xfId="31274"/>
    <cellStyle name="표준 12 5 11" xfId="11229"/>
    <cellStyle name="표준 12 5 11 2" xfId="19995"/>
    <cellStyle name="표준 12 5 11 2 2" xfId="40871"/>
    <cellStyle name="표준 12 5 11 3" xfId="32135"/>
    <cellStyle name="표준 12 5 12" xfId="12377"/>
    <cellStyle name="표준 12 5 12 2" xfId="33255"/>
    <cellStyle name="표준 12 5 13" xfId="24505"/>
    <cellStyle name="표준 12 5 2" xfId="3120"/>
    <cellStyle name="표준 12 5 2 10" xfId="11439"/>
    <cellStyle name="표준 12 5 2 10 2" xfId="20205"/>
    <cellStyle name="표준 12 5 2 10 2 2" xfId="41081"/>
    <cellStyle name="표준 12 5 2 10 3" xfId="32345"/>
    <cellStyle name="표준 12 5 2 11" xfId="12588"/>
    <cellStyle name="표준 12 5 2 11 2" xfId="33465"/>
    <cellStyle name="표준 12 5 2 12" xfId="24715"/>
    <cellStyle name="표준 12 5 2 2" xfId="3562"/>
    <cellStyle name="표준 12 5 2 2 2" xfId="5835"/>
    <cellStyle name="표준 12 5 2 2 2 2" xfId="14844"/>
    <cellStyle name="표준 12 5 2 2 2 2 2" xfId="35720"/>
    <cellStyle name="표준 12 5 2 2 2 3" xfId="26982"/>
    <cellStyle name="표준 12 5 2 2 3" xfId="13025"/>
    <cellStyle name="표준 12 5 2 2 3 2" xfId="33902"/>
    <cellStyle name="표준 12 5 2 2 4" xfId="25152"/>
    <cellStyle name="표준 12 5 2 3" xfId="4723"/>
    <cellStyle name="표준 12 5 2 3 2" xfId="6555"/>
    <cellStyle name="표준 12 5 2 3 2 2" xfId="15564"/>
    <cellStyle name="표준 12 5 2 3 2 2 2" xfId="36440"/>
    <cellStyle name="표준 12 5 2 3 2 3" xfId="27702"/>
    <cellStyle name="표준 12 5 2 3 3" xfId="13746"/>
    <cellStyle name="표준 12 5 2 3 3 2" xfId="34622"/>
    <cellStyle name="표준 12 5 2 3 4" xfId="25884"/>
    <cellStyle name="표준 12 5 2 4" xfId="5398"/>
    <cellStyle name="표준 12 5 2 4 2" xfId="14407"/>
    <cellStyle name="표준 12 5 2 4 2 2" xfId="35283"/>
    <cellStyle name="표준 12 5 2 4 3" xfId="26545"/>
    <cellStyle name="표준 12 5 2 5" xfId="7201"/>
    <cellStyle name="표준 12 5 2 5 2" xfId="16208"/>
    <cellStyle name="표준 12 5 2 5 2 2" xfId="37084"/>
    <cellStyle name="표준 12 5 2 5 3" xfId="28346"/>
    <cellStyle name="표준 12 5 2 6" xfId="7845"/>
    <cellStyle name="표준 12 5 2 6 2" xfId="16851"/>
    <cellStyle name="표준 12 5 2 6 2 2" xfId="37727"/>
    <cellStyle name="표준 12 5 2 6 3" xfId="28989"/>
    <cellStyle name="표준 12 5 2 7" xfId="8693"/>
    <cellStyle name="표준 12 5 2 7 2" xfId="17698"/>
    <cellStyle name="표준 12 5 2 7 2 2" xfId="38574"/>
    <cellStyle name="표준 12 5 2 7 3" xfId="29836"/>
    <cellStyle name="표준 12 5 2 8" xfId="9518"/>
    <cellStyle name="표준 12 5 2 8 2" xfId="18516"/>
    <cellStyle name="표준 12 5 2 8 2 2" xfId="39392"/>
    <cellStyle name="표준 12 5 2 8 3" xfId="30654"/>
    <cellStyle name="표준 12 5 2 9" xfId="10573"/>
    <cellStyle name="표준 12 5 2 9 2" xfId="19344"/>
    <cellStyle name="표준 12 5 2 9 2 2" xfId="40220"/>
    <cellStyle name="표준 12 5 2 9 3" xfId="31484"/>
    <cellStyle name="표준 12 5 3" xfId="3352"/>
    <cellStyle name="표준 12 5 3 10" xfId="12815"/>
    <cellStyle name="표준 12 5 3 10 2" xfId="33692"/>
    <cellStyle name="표준 12 5 3 11" xfId="24942"/>
    <cellStyle name="표준 12 5 3 2" xfId="4945"/>
    <cellStyle name="표준 12 5 3 2 2" xfId="6772"/>
    <cellStyle name="표준 12 5 3 2 2 2" xfId="15781"/>
    <cellStyle name="표준 12 5 3 2 2 2 2" xfId="36657"/>
    <cellStyle name="표준 12 5 3 2 2 3" xfId="27919"/>
    <cellStyle name="표준 12 5 3 2 3" xfId="13963"/>
    <cellStyle name="표준 12 5 3 2 3 2" xfId="34839"/>
    <cellStyle name="표준 12 5 3 2 4" xfId="26101"/>
    <cellStyle name="표준 12 5 3 3" xfId="5625"/>
    <cellStyle name="표준 12 5 3 3 2" xfId="14634"/>
    <cellStyle name="표준 12 5 3 3 2 2" xfId="35510"/>
    <cellStyle name="표준 12 5 3 3 3" xfId="26772"/>
    <cellStyle name="표준 12 5 3 4" xfId="7418"/>
    <cellStyle name="표준 12 5 3 4 2" xfId="16425"/>
    <cellStyle name="표준 12 5 3 4 2 2" xfId="37301"/>
    <cellStyle name="표준 12 5 3 4 3" xfId="28563"/>
    <cellStyle name="표준 12 5 3 5" xfId="8062"/>
    <cellStyle name="표준 12 5 3 5 2" xfId="17068"/>
    <cellStyle name="표준 12 5 3 5 2 2" xfId="37944"/>
    <cellStyle name="표준 12 5 3 5 3" xfId="29206"/>
    <cellStyle name="표준 12 5 3 6" xfId="8910"/>
    <cellStyle name="표준 12 5 3 6 2" xfId="17915"/>
    <cellStyle name="표준 12 5 3 6 2 2" xfId="38791"/>
    <cellStyle name="표준 12 5 3 6 3" xfId="30053"/>
    <cellStyle name="표준 12 5 3 7" xfId="9735"/>
    <cellStyle name="표준 12 5 3 7 2" xfId="18733"/>
    <cellStyle name="표준 12 5 3 7 2 2" xfId="39609"/>
    <cellStyle name="표준 12 5 3 7 3" xfId="30871"/>
    <cellStyle name="표준 12 5 3 8" xfId="10790"/>
    <cellStyle name="표준 12 5 3 8 2" xfId="19561"/>
    <cellStyle name="표준 12 5 3 8 2 2" xfId="40437"/>
    <cellStyle name="표준 12 5 3 8 3" xfId="31701"/>
    <cellStyle name="표준 12 5 3 9" xfId="11656"/>
    <cellStyle name="표준 12 5 3 9 2" xfId="20422"/>
    <cellStyle name="표준 12 5 3 9 2 2" xfId="41298"/>
    <cellStyle name="표준 12 5 3 9 3" xfId="32562"/>
    <cellStyle name="표준 12 5 4" xfId="4511"/>
    <cellStyle name="표준 12 5 4 2" xfId="6345"/>
    <cellStyle name="표준 12 5 4 2 2" xfId="15354"/>
    <cellStyle name="표준 12 5 4 2 2 2" xfId="36230"/>
    <cellStyle name="표준 12 5 4 2 3" xfId="27492"/>
    <cellStyle name="표준 12 5 4 3" xfId="11008"/>
    <cellStyle name="표준 12 5 4 3 2" xfId="19778"/>
    <cellStyle name="표준 12 5 4 3 2 2" xfId="40654"/>
    <cellStyle name="표준 12 5 4 3 3" xfId="31918"/>
    <cellStyle name="표준 12 5 4 4" xfId="11873"/>
    <cellStyle name="표준 12 5 4 4 2" xfId="20639"/>
    <cellStyle name="표준 12 5 4 4 2 2" xfId="41515"/>
    <cellStyle name="표준 12 5 4 4 3" xfId="32779"/>
    <cellStyle name="표준 12 5 4 5" xfId="13536"/>
    <cellStyle name="표준 12 5 4 5 2" xfId="34412"/>
    <cellStyle name="표준 12 5 4 6" xfId="25674"/>
    <cellStyle name="표준 12 5 5" xfId="5188"/>
    <cellStyle name="표준 12 5 5 2" xfId="14197"/>
    <cellStyle name="표준 12 5 5 2 2" xfId="35073"/>
    <cellStyle name="표준 12 5 5 3" xfId="26335"/>
    <cellStyle name="표준 12 5 6" xfId="6990"/>
    <cellStyle name="표준 12 5 6 2" xfId="15998"/>
    <cellStyle name="표준 12 5 6 2 2" xfId="36874"/>
    <cellStyle name="표준 12 5 6 3" xfId="28136"/>
    <cellStyle name="표준 12 5 7" xfId="7635"/>
    <cellStyle name="표준 12 5 7 2" xfId="16641"/>
    <cellStyle name="표준 12 5 7 2 2" xfId="37517"/>
    <cellStyle name="표준 12 5 7 3" xfId="28779"/>
    <cellStyle name="표준 12 5 8" xfId="8483"/>
    <cellStyle name="표준 12 5 8 2" xfId="17488"/>
    <cellStyle name="표준 12 5 8 2 2" xfId="38364"/>
    <cellStyle name="표준 12 5 8 3" xfId="29626"/>
    <cellStyle name="표준 12 5 9" xfId="9307"/>
    <cellStyle name="표준 12 5 9 2" xfId="18306"/>
    <cellStyle name="표준 12 5 9 2 2" xfId="39182"/>
    <cellStyle name="표준 12 5 9 3" xfId="30444"/>
    <cellStyle name="표준 12 6" xfId="2903"/>
    <cellStyle name="표준 12 6 10" xfId="10364"/>
    <cellStyle name="표준 12 6 10 2" xfId="19135"/>
    <cellStyle name="표준 12 6 10 2 2" xfId="40011"/>
    <cellStyle name="표준 12 6 10 3" xfId="31275"/>
    <cellStyle name="표준 12 6 11" xfId="11230"/>
    <cellStyle name="표준 12 6 11 2" xfId="19996"/>
    <cellStyle name="표준 12 6 11 2 2" xfId="40872"/>
    <cellStyle name="표준 12 6 11 3" xfId="32136"/>
    <cellStyle name="표준 12 6 12" xfId="12378"/>
    <cellStyle name="표준 12 6 12 2" xfId="33256"/>
    <cellStyle name="표준 12 6 13" xfId="24506"/>
    <cellStyle name="표준 12 6 2" xfId="3121"/>
    <cellStyle name="표준 12 6 2 10" xfId="11440"/>
    <cellStyle name="표준 12 6 2 10 2" xfId="20206"/>
    <cellStyle name="표준 12 6 2 10 2 2" xfId="41082"/>
    <cellStyle name="표준 12 6 2 10 3" xfId="32346"/>
    <cellStyle name="표준 12 6 2 11" xfId="12589"/>
    <cellStyle name="표준 12 6 2 11 2" xfId="33466"/>
    <cellStyle name="표준 12 6 2 12" xfId="24716"/>
    <cellStyle name="표준 12 6 2 2" xfId="3563"/>
    <cellStyle name="표준 12 6 2 2 2" xfId="5836"/>
    <cellStyle name="표준 12 6 2 2 2 2" xfId="14845"/>
    <cellStyle name="표준 12 6 2 2 2 2 2" xfId="35721"/>
    <cellStyle name="표준 12 6 2 2 2 3" xfId="26983"/>
    <cellStyle name="표준 12 6 2 2 3" xfId="13026"/>
    <cellStyle name="표준 12 6 2 2 3 2" xfId="33903"/>
    <cellStyle name="표준 12 6 2 2 4" xfId="25153"/>
    <cellStyle name="표준 12 6 2 3" xfId="4724"/>
    <cellStyle name="표준 12 6 2 3 2" xfId="6556"/>
    <cellStyle name="표준 12 6 2 3 2 2" xfId="15565"/>
    <cellStyle name="표준 12 6 2 3 2 2 2" xfId="36441"/>
    <cellStyle name="표준 12 6 2 3 2 3" xfId="27703"/>
    <cellStyle name="표준 12 6 2 3 3" xfId="13747"/>
    <cellStyle name="표준 12 6 2 3 3 2" xfId="34623"/>
    <cellStyle name="표준 12 6 2 3 4" xfId="25885"/>
    <cellStyle name="표준 12 6 2 4" xfId="5399"/>
    <cellStyle name="표준 12 6 2 4 2" xfId="14408"/>
    <cellStyle name="표준 12 6 2 4 2 2" xfId="35284"/>
    <cellStyle name="표준 12 6 2 4 3" xfId="26546"/>
    <cellStyle name="표준 12 6 2 5" xfId="7202"/>
    <cellStyle name="표준 12 6 2 5 2" xfId="16209"/>
    <cellStyle name="표준 12 6 2 5 2 2" xfId="37085"/>
    <cellStyle name="표준 12 6 2 5 3" xfId="28347"/>
    <cellStyle name="표준 12 6 2 6" xfId="7846"/>
    <cellStyle name="표준 12 6 2 6 2" xfId="16852"/>
    <cellStyle name="표준 12 6 2 6 2 2" xfId="37728"/>
    <cellStyle name="표준 12 6 2 6 3" xfId="28990"/>
    <cellStyle name="표준 12 6 2 7" xfId="8694"/>
    <cellStyle name="표준 12 6 2 7 2" xfId="17699"/>
    <cellStyle name="표준 12 6 2 7 2 2" xfId="38575"/>
    <cellStyle name="표준 12 6 2 7 3" xfId="29837"/>
    <cellStyle name="표준 12 6 2 8" xfId="9519"/>
    <cellStyle name="표준 12 6 2 8 2" xfId="18517"/>
    <cellStyle name="표준 12 6 2 8 2 2" xfId="39393"/>
    <cellStyle name="표준 12 6 2 8 3" xfId="30655"/>
    <cellStyle name="표준 12 6 2 9" xfId="10574"/>
    <cellStyle name="표준 12 6 2 9 2" xfId="19345"/>
    <cellStyle name="표준 12 6 2 9 2 2" xfId="40221"/>
    <cellStyle name="표준 12 6 2 9 3" xfId="31485"/>
    <cellStyle name="표준 12 6 3" xfId="3353"/>
    <cellStyle name="표준 12 6 3 10" xfId="12816"/>
    <cellStyle name="표준 12 6 3 10 2" xfId="33693"/>
    <cellStyle name="표준 12 6 3 11" xfId="24943"/>
    <cellStyle name="표준 12 6 3 2" xfId="4946"/>
    <cellStyle name="표준 12 6 3 2 2" xfId="6773"/>
    <cellStyle name="표준 12 6 3 2 2 2" xfId="15782"/>
    <cellStyle name="표준 12 6 3 2 2 2 2" xfId="36658"/>
    <cellStyle name="표준 12 6 3 2 2 3" xfId="27920"/>
    <cellStyle name="표준 12 6 3 2 3" xfId="13964"/>
    <cellStyle name="표준 12 6 3 2 3 2" xfId="34840"/>
    <cellStyle name="표준 12 6 3 2 4" xfId="26102"/>
    <cellStyle name="표준 12 6 3 3" xfId="5626"/>
    <cellStyle name="표준 12 6 3 3 2" xfId="14635"/>
    <cellStyle name="표준 12 6 3 3 2 2" xfId="35511"/>
    <cellStyle name="표준 12 6 3 3 3" xfId="26773"/>
    <cellStyle name="표준 12 6 3 4" xfId="7419"/>
    <cellStyle name="표준 12 6 3 4 2" xfId="16426"/>
    <cellStyle name="표준 12 6 3 4 2 2" xfId="37302"/>
    <cellStyle name="표준 12 6 3 4 3" xfId="28564"/>
    <cellStyle name="표준 12 6 3 5" xfId="8063"/>
    <cellStyle name="표준 12 6 3 5 2" xfId="17069"/>
    <cellStyle name="표준 12 6 3 5 2 2" xfId="37945"/>
    <cellStyle name="표준 12 6 3 5 3" xfId="29207"/>
    <cellStyle name="표준 12 6 3 6" xfId="8911"/>
    <cellStyle name="표준 12 6 3 6 2" xfId="17916"/>
    <cellStyle name="표준 12 6 3 6 2 2" xfId="38792"/>
    <cellStyle name="표준 12 6 3 6 3" xfId="30054"/>
    <cellStyle name="표준 12 6 3 7" xfId="9736"/>
    <cellStyle name="표준 12 6 3 7 2" xfId="18734"/>
    <cellStyle name="표준 12 6 3 7 2 2" xfId="39610"/>
    <cellStyle name="표준 12 6 3 7 3" xfId="30872"/>
    <cellStyle name="표준 12 6 3 8" xfId="10791"/>
    <cellStyle name="표준 12 6 3 8 2" xfId="19562"/>
    <cellStyle name="표준 12 6 3 8 2 2" xfId="40438"/>
    <cellStyle name="표준 12 6 3 8 3" xfId="31702"/>
    <cellStyle name="표준 12 6 3 9" xfId="11657"/>
    <cellStyle name="표준 12 6 3 9 2" xfId="20423"/>
    <cellStyle name="표준 12 6 3 9 2 2" xfId="41299"/>
    <cellStyle name="표준 12 6 3 9 3" xfId="32563"/>
    <cellStyle name="표준 12 6 4" xfId="4512"/>
    <cellStyle name="표준 12 6 4 2" xfId="6346"/>
    <cellStyle name="표준 12 6 4 2 2" xfId="15355"/>
    <cellStyle name="표준 12 6 4 2 2 2" xfId="36231"/>
    <cellStyle name="표준 12 6 4 2 3" xfId="27493"/>
    <cellStyle name="표준 12 6 4 3" xfId="11009"/>
    <cellStyle name="표준 12 6 4 3 2" xfId="19779"/>
    <cellStyle name="표준 12 6 4 3 2 2" xfId="40655"/>
    <cellStyle name="표준 12 6 4 3 3" xfId="31919"/>
    <cellStyle name="표준 12 6 4 4" xfId="11874"/>
    <cellStyle name="표준 12 6 4 4 2" xfId="20640"/>
    <cellStyle name="표준 12 6 4 4 2 2" xfId="41516"/>
    <cellStyle name="표준 12 6 4 4 3" xfId="32780"/>
    <cellStyle name="표준 12 6 4 5" xfId="13537"/>
    <cellStyle name="표준 12 6 4 5 2" xfId="34413"/>
    <cellStyle name="표준 12 6 4 6" xfId="25675"/>
    <cellStyle name="표준 12 6 5" xfId="5189"/>
    <cellStyle name="표준 12 6 5 2" xfId="14198"/>
    <cellStyle name="표준 12 6 5 2 2" xfId="35074"/>
    <cellStyle name="표준 12 6 5 3" xfId="26336"/>
    <cellStyle name="표준 12 6 6" xfId="6991"/>
    <cellStyle name="표준 12 6 6 2" xfId="15999"/>
    <cellStyle name="표준 12 6 6 2 2" xfId="36875"/>
    <cellStyle name="표준 12 6 6 3" xfId="28137"/>
    <cellStyle name="표준 12 6 7" xfId="7636"/>
    <cellStyle name="표준 12 6 7 2" xfId="16642"/>
    <cellStyle name="표준 12 6 7 2 2" xfId="37518"/>
    <cellStyle name="표준 12 6 7 3" xfId="28780"/>
    <cellStyle name="표준 12 6 8" xfId="8484"/>
    <cellStyle name="표준 12 6 8 2" xfId="17489"/>
    <cellStyle name="표준 12 6 8 2 2" xfId="38365"/>
    <cellStyle name="표준 12 6 8 3" xfId="29627"/>
    <cellStyle name="표준 12 6 9" xfId="9308"/>
    <cellStyle name="표준 12 6 9 2" xfId="18307"/>
    <cellStyle name="표준 12 6 9 2 2" xfId="39183"/>
    <cellStyle name="표준 12 6 9 3" xfId="30445"/>
    <cellStyle name="표준 12 7" xfId="2904"/>
    <cellStyle name="표준 12 7 10" xfId="10365"/>
    <cellStyle name="표준 12 7 10 2" xfId="19136"/>
    <cellStyle name="표준 12 7 10 2 2" xfId="40012"/>
    <cellStyle name="표준 12 7 10 3" xfId="31276"/>
    <cellStyle name="표준 12 7 11" xfId="11231"/>
    <cellStyle name="표준 12 7 11 2" xfId="19997"/>
    <cellStyle name="표준 12 7 11 2 2" xfId="40873"/>
    <cellStyle name="표준 12 7 11 3" xfId="32137"/>
    <cellStyle name="표준 12 7 12" xfId="12379"/>
    <cellStyle name="표준 12 7 12 2" xfId="33257"/>
    <cellStyle name="표준 12 7 13" xfId="24507"/>
    <cellStyle name="표준 12 7 2" xfId="3122"/>
    <cellStyle name="표준 12 7 2 10" xfId="11441"/>
    <cellStyle name="표준 12 7 2 10 2" xfId="20207"/>
    <cellStyle name="표준 12 7 2 10 2 2" xfId="41083"/>
    <cellStyle name="표준 12 7 2 10 3" xfId="32347"/>
    <cellStyle name="표준 12 7 2 11" xfId="12590"/>
    <cellStyle name="표준 12 7 2 11 2" xfId="33467"/>
    <cellStyle name="표준 12 7 2 12" xfId="24717"/>
    <cellStyle name="표준 12 7 2 2" xfId="3564"/>
    <cellStyle name="표준 12 7 2 2 2" xfId="5837"/>
    <cellStyle name="표준 12 7 2 2 2 2" xfId="14846"/>
    <cellStyle name="표준 12 7 2 2 2 2 2" xfId="35722"/>
    <cellStyle name="표준 12 7 2 2 2 3" xfId="26984"/>
    <cellStyle name="표준 12 7 2 2 3" xfId="13027"/>
    <cellStyle name="표준 12 7 2 2 3 2" xfId="33904"/>
    <cellStyle name="표준 12 7 2 2 4" xfId="25154"/>
    <cellStyle name="표준 12 7 2 3" xfId="4725"/>
    <cellStyle name="표준 12 7 2 3 2" xfId="6557"/>
    <cellStyle name="표준 12 7 2 3 2 2" xfId="15566"/>
    <cellStyle name="표준 12 7 2 3 2 2 2" xfId="36442"/>
    <cellStyle name="표준 12 7 2 3 2 3" xfId="27704"/>
    <cellStyle name="표준 12 7 2 3 3" xfId="13748"/>
    <cellStyle name="표준 12 7 2 3 3 2" xfId="34624"/>
    <cellStyle name="표준 12 7 2 3 4" xfId="25886"/>
    <cellStyle name="표준 12 7 2 4" xfId="5400"/>
    <cellStyle name="표준 12 7 2 4 2" xfId="14409"/>
    <cellStyle name="표준 12 7 2 4 2 2" xfId="35285"/>
    <cellStyle name="표준 12 7 2 4 3" xfId="26547"/>
    <cellStyle name="표준 12 7 2 5" xfId="7203"/>
    <cellStyle name="표준 12 7 2 5 2" xfId="16210"/>
    <cellStyle name="표준 12 7 2 5 2 2" xfId="37086"/>
    <cellStyle name="표준 12 7 2 5 3" xfId="28348"/>
    <cellStyle name="표준 12 7 2 6" xfId="7847"/>
    <cellStyle name="표준 12 7 2 6 2" xfId="16853"/>
    <cellStyle name="표준 12 7 2 6 2 2" xfId="37729"/>
    <cellStyle name="표준 12 7 2 6 3" xfId="28991"/>
    <cellStyle name="표준 12 7 2 7" xfId="8695"/>
    <cellStyle name="표준 12 7 2 7 2" xfId="17700"/>
    <cellStyle name="표준 12 7 2 7 2 2" xfId="38576"/>
    <cellStyle name="표준 12 7 2 7 3" xfId="29838"/>
    <cellStyle name="표준 12 7 2 8" xfId="9520"/>
    <cellStyle name="표준 12 7 2 8 2" xfId="18518"/>
    <cellStyle name="표준 12 7 2 8 2 2" xfId="39394"/>
    <cellStyle name="표준 12 7 2 8 3" xfId="30656"/>
    <cellStyle name="표준 12 7 2 9" xfId="10575"/>
    <cellStyle name="표준 12 7 2 9 2" xfId="19346"/>
    <cellStyle name="표준 12 7 2 9 2 2" xfId="40222"/>
    <cellStyle name="표준 12 7 2 9 3" xfId="31486"/>
    <cellStyle name="표준 12 7 3" xfId="3354"/>
    <cellStyle name="표준 12 7 3 10" xfId="12817"/>
    <cellStyle name="표준 12 7 3 10 2" xfId="33694"/>
    <cellStyle name="표준 12 7 3 11" xfId="24944"/>
    <cellStyle name="표준 12 7 3 2" xfId="4947"/>
    <cellStyle name="표준 12 7 3 2 2" xfId="6774"/>
    <cellStyle name="표준 12 7 3 2 2 2" xfId="15783"/>
    <cellStyle name="표준 12 7 3 2 2 2 2" xfId="36659"/>
    <cellStyle name="표준 12 7 3 2 2 3" xfId="27921"/>
    <cellStyle name="표준 12 7 3 2 3" xfId="13965"/>
    <cellStyle name="표준 12 7 3 2 3 2" xfId="34841"/>
    <cellStyle name="표준 12 7 3 2 4" xfId="26103"/>
    <cellStyle name="표준 12 7 3 3" xfId="5627"/>
    <cellStyle name="표준 12 7 3 3 2" xfId="14636"/>
    <cellStyle name="표준 12 7 3 3 2 2" xfId="35512"/>
    <cellStyle name="표준 12 7 3 3 3" xfId="26774"/>
    <cellStyle name="표준 12 7 3 4" xfId="7420"/>
    <cellStyle name="표준 12 7 3 4 2" xfId="16427"/>
    <cellStyle name="표준 12 7 3 4 2 2" xfId="37303"/>
    <cellStyle name="표준 12 7 3 4 3" xfId="28565"/>
    <cellStyle name="표준 12 7 3 5" xfId="8064"/>
    <cellStyle name="표준 12 7 3 5 2" xfId="17070"/>
    <cellStyle name="표준 12 7 3 5 2 2" xfId="37946"/>
    <cellStyle name="표준 12 7 3 5 3" xfId="29208"/>
    <cellStyle name="표준 12 7 3 6" xfId="8912"/>
    <cellStyle name="표준 12 7 3 6 2" xfId="17917"/>
    <cellStyle name="표준 12 7 3 6 2 2" xfId="38793"/>
    <cellStyle name="표준 12 7 3 6 3" xfId="30055"/>
    <cellStyle name="표준 12 7 3 7" xfId="9737"/>
    <cellStyle name="표준 12 7 3 7 2" xfId="18735"/>
    <cellStyle name="표준 12 7 3 7 2 2" xfId="39611"/>
    <cellStyle name="표준 12 7 3 7 3" xfId="30873"/>
    <cellStyle name="표준 12 7 3 8" xfId="10792"/>
    <cellStyle name="표준 12 7 3 8 2" xfId="19563"/>
    <cellStyle name="표준 12 7 3 8 2 2" xfId="40439"/>
    <cellStyle name="표준 12 7 3 8 3" xfId="31703"/>
    <cellStyle name="표준 12 7 3 9" xfId="11658"/>
    <cellStyle name="표준 12 7 3 9 2" xfId="20424"/>
    <cellStyle name="표준 12 7 3 9 2 2" xfId="41300"/>
    <cellStyle name="표준 12 7 3 9 3" xfId="32564"/>
    <cellStyle name="표준 12 7 4" xfId="4513"/>
    <cellStyle name="표준 12 7 4 2" xfId="6347"/>
    <cellStyle name="표준 12 7 4 2 2" xfId="15356"/>
    <cellStyle name="표준 12 7 4 2 2 2" xfId="36232"/>
    <cellStyle name="표준 12 7 4 2 3" xfId="27494"/>
    <cellStyle name="표준 12 7 4 3" xfId="11010"/>
    <cellStyle name="표준 12 7 4 3 2" xfId="19780"/>
    <cellStyle name="표준 12 7 4 3 2 2" xfId="40656"/>
    <cellStyle name="표준 12 7 4 3 3" xfId="31920"/>
    <cellStyle name="표준 12 7 4 4" xfId="11875"/>
    <cellStyle name="표준 12 7 4 4 2" xfId="20641"/>
    <cellStyle name="표준 12 7 4 4 2 2" xfId="41517"/>
    <cellStyle name="표준 12 7 4 4 3" xfId="32781"/>
    <cellStyle name="표준 12 7 4 5" xfId="13538"/>
    <cellStyle name="표준 12 7 4 5 2" xfId="34414"/>
    <cellStyle name="표준 12 7 4 6" xfId="25676"/>
    <cellStyle name="표준 12 7 5" xfId="5190"/>
    <cellStyle name="표준 12 7 5 2" xfId="14199"/>
    <cellStyle name="표준 12 7 5 2 2" xfId="35075"/>
    <cellStyle name="표준 12 7 5 3" xfId="26337"/>
    <cellStyle name="표준 12 7 6" xfId="6992"/>
    <cellStyle name="표준 12 7 6 2" xfId="16000"/>
    <cellStyle name="표준 12 7 6 2 2" xfId="36876"/>
    <cellStyle name="표준 12 7 6 3" xfId="28138"/>
    <cellStyle name="표준 12 7 7" xfId="7637"/>
    <cellStyle name="표준 12 7 7 2" xfId="16643"/>
    <cellStyle name="표준 12 7 7 2 2" xfId="37519"/>
    <cellStyle name="표준 12 7 7 3" xfId="28781"/>
    <cellStyle name="표준 12 7 8" xfId="8485"/>
    <cellStyle name="표준 12 7 8 2" xfId="17490"/>
    <cellStyle name="표준 12 7 8 2 2" xfId="38366"/>
    <cellStyle name="표준 12 7 8 3" xfId="29628"/>
    <cellStyle name="표준 12 7 9" xfId="9309"/>
    <cellStyle name="표준 12 7 9 2" xfId="18308"/>
    <cellStyle name="표준 12 7 9 2 2" xfId="39184"/>
    <cellStyle name="표준 12 7 9 3" xfId="30446"/>
    <cellStyle name="표준 12 8" xfId="3116"/>
    <cellStyle name="표준 12 8 10" xfId="11435"/>
    <cellStyle name="표준 12 8 10 2" xfId="20201"/>
    <cellStyle name="표준 12 8 10 2 2" xfId="41077"/>
    <cellStyle name="표준 12 8 10 3" xfId="32341"/>
    <cellStyle name="표준 12 8 11" xfId="12584"/>
    <cellStyle name="표준 12 8 11 2" xfId="33461"/>
    <cellStyle name="표준 12 8 12" xfId="24711"/>
    <cellStyle name="표준 12 8 2" xfId="3558"/>
    <cellStyle name="표준 12 8 2 2" xfId="5831"/>
    <cellStyle name="표준 12 8 2 2 2" xfId="14840"/>
    <cellStyle name="표준 12 8 2 2 2 2" xfId="35716"/>
    <cellStyle name="표준 12 8 2 2 3" xfId="26978"/>
    <cellStyle name="표준 12 8 2 3" xfId="13021"/>
    <cellStyle name="표준 12 8 2 3 2" xfId="33898"/>
    <cellStyle name="표준 12 8 2 4" xfId="25148"/>
    <cellStyle name="표준 12 8 3" xfId="4719"/>
    <cellStyle name="표준 12 8 3 2" xfId="6551"/>
    <cellStyle name="표준 12 8 3 2 2" xfId="15560"/>
    <cellStyle name="표준 12 8 3 2 2 2" xfId="36436"/>
    <cellStyle name="표준 12 8 3 2 3" xfId="27698"/>
    <cellStyle name="표준 12 8 3 3" xfId="13742"/>
    <cellStyle name="표준 12 8 3 3 2" xfId="34618"/>
    <cellStyle name="표준 12 8 3 4" xfId="25880"/>
    <cellStyle name="표준 12 8 4" xfId="5394"/>
    <cellStyle name="표준 12 8 4 2" xfId="14403"/>
    <cellStyle name="표준 12 8 4 2 2" xfId="35279"/>
    <cellStyle name="표준 12 8 4 3" xfId="26541"/>
    <cellStyle name="표준 12 8 5" xfId="7197"/>
    <cellStyle name="표준 12 8 5 2" xfId="16204"/>
    <cellStyle name="표준 12 8 5 2 2" xfId="37080"/>
    <cellStyle name="표준 12 8 5 3" xfId="28342"/>
    <cellStyle name="표준 12 8 6" xfId="7841"/>
    <cellStyle name="표준 12 8 6 2" xfId="16847"/>
    <cellStyle name="표준 12 8 6 2 2" xfId="37723"/>
    <cellStyle name="표준 12 8 6 3" xfId="28985"/>
    <cellStyle name="표준 12 8 7" xfId="8689"/>
    <cellStyle name="표준 12 8 7 2" xfId="17694"/>
    <cellStyle name="표준 12 8 7 2 2" xfId="38570"/>
    <cellStyle name="표준 12 8 7 3" xfId="29832"/>
    <cellStyle name="표준 12 8 8" xfId="9514"/>
    <cellStyle name="표준 12 8 8 2" xfId="18512"/>
    <cellStyle name="표준 12 8 8 2 2" xfId="39388"/>
    <cellStyle name="표준 12 8 8 3" xfId="30650"/>
    <cellStyle name="표준 12 8 9" xfId="10569"/>
    <cellStyle name="표준 12 8 9 2" xfId="19340"/>
    <cellStyle name="표준 12 8 9 2 2" xfId="40216"/>
    <cellStyle name="표준 12 8 9 3" xfId="31480"/>
    <cellStyle name="표준 12 9" xfId="3348"/>
    <cellStyle name="표준 12 9 10" xfId="12811"/>
    <cellStyle name="표준 12 9 10 2" xfId="33688"/>
    <cellStyle name="표준 12 9 11" xfId="24938"/>
    <cellStyle name="표준 12 9 2" xfId="4941"/>
    <cellStyle name="표준 12 9 2 2" xfId="6768"/>
    <cellStyle name="표준 12 9 2 2 2" xfId="15777"/>
    <cellStyle name="표준 12 9 2 2 2 2" xfId="36653"/>
    <cellStyle name="표준 12 9 2 2 3" xfId="27915"/>
    <cellStyle name="표준 12 9 2 3" xfId="13959"/>
    <cellStyle name="표준 12 9 2 3 2" xfId="34835"/>
    <cellStyle name="표준 12 9 2 4" xfId="26097"/>
    <cellStyle name="표준 12 9 3" xfId="5621"/>
    <cellStyle name="표준 12 9 3 2" xfId="14630"/>
    <cellStyle name="표준 12 9 3 2 2" xfId="35506"/>
    <cellStyle name="표준 12 9 3 3" xfId="26768"/>
    <cellStyle name="표준 12 9 4" xfId="7414"/>
    <cellStyle name="표준 12 9 4 2" xfId="16421"/>
    <cellStyle name="표준 12 9 4 2 2" xfId="37297"/>
    <cellStyle name="표준 12 9 4 3" xfId="28559"/>
    <cellStyle name="표준 12 9 5" xfId="8058"/>
    <cellStyle name="표준 12 9 5 2" xfId="17064"/>
    <cellStyle name="표준 12 9 5 2 2" xfId="37940"/>
    <cellStyle name="표준 12 9 5 3" xfId="29202"/>
    <cellStyle name="표준 12 9 6" xfId="8906"/>
    <cellStyle name="표준 12 9 6 2" xfId="17911"/>
    <cellStyle name="표준 12 9 6 2 2" xfId="38787"/>
    <cellStyle name="표준 12 9 6 3" xfId="30049"/>
    <cellStyle name="표준 12 9 7" xfId="9731"/>
    <cellStyle name="표준 12 9 7 2" xfId="18729"/>
    <cellStyle name="표준 12 9 7 2 2" xfId="39605"/>
    <cellStyle name="표준 12 9 7 3" xfId="30867"/>
    <cellStyle name="표준 12 9 8" xfId="10786"/>
    <cellStyle name="표준 12 9 8 2" xfId="19557"/>
    <cellStyle name="표준 12 9 8 2 2" xfId="40433"/>
    <cellStyle name="표준 12 9 8 3" xfId="31697"/>
    <cellStyle name="표준 12 9 9" xfId="11652"/>
    <cellStyle name="표준 12 9 9 2" xfId="20418"/>
    <cellStyle name="표준 12 9 9 2 2" xfId="41294"/>
    <cellStyle name="표준 12 9 9 3" xfId="32558"/>
    <cellStyle name="표준 13" xfId="2905"/>
    <cellStyle name="표준 13 10" xfId="4514"/>
    <cellStyle name="표준 13 10 2" xfId="6348"/>
    <cellStyle name="표준 13 10 2 2" xfId="15357"/>
    <cellStyle name="표준 13 10 2 2 2" xfId="36233"/>
    <cellStyle name="표준 13 10 2 3" xfId="27495"/>
    <cellStyle name="표준 13 10 3" xfId="11011"/>
    <cellStyle name="표준 13 10 3 2" xfId="19781"/>
    <cellStyle name="표준 13 10 3 2 2" xfId="40657"/>
    <cellStyle name="표준 13 10 3 3" xfId="31921"/>
    <cellStyle name="표준 13 10 4" xfId="11876"/>
    <cellStyle name="표준 13 10 4 2" xfId="20642"/>
    <cellStyle name="표준 13 10 4 2 2" xfId="41518"/>
    <cellStyle name="표준 13 10 4 3" xfId="32782"/>
    <cellStyle name="표준 13 10 5" xfId="13539"/>
    <cellStyle name="표준 13 10 5 2" xfId="34415"/>
    <cellStyle name="표준 13 10 6" xfId="25677"/>
    <cellStyle name="표준 13 11" xfId="5191"/>
    <cellStyle name="표준 13 11 2" xfId="14200"/>
    <cellStyle name="표준 13 11 2 2" xfId="35076"/>
    <cellStyle name="표준 13 11 3" xfId="26338"/>
    <cellStyle name="표준 13 12" xfId="6993"/>
    <cellStyle name="표준 13 12 2" xfId="16001"/>
    <cellStyle name="표준 13 12 2 2" xfId="36877"/>
    <cellStyle name="표준 13 12 3" xfId="28139"/>
    <cellStyle name="표준 13 13" xfId="7638"/>
    <cellStyle name="표준 13 13 2" xfId="16644"/>
    <cellStyle name="표준 13 13 2 2" xfId="37520"/>
    <cellStyle name="표준 13 13 3" xfId="28782"/>
    <cellStyle name="표준 13 14" xfId="8486"/>
    <cellStyle name="표준 13 14 2" xfId="17491"/>
    <cellStyle name="표준 13 14 2 2" xfId="38367"/>
    <cellStyle name="표준 13 14 3" xfId="29629"/>
    <cellStyle name="표준 13 15" xfId="9310"/>
    <cellStyle name="표준 13 15 2" xfId="18309"/>
    <cellStyle name="표준 13 15 2 2" xfId="39185"/>
    <cellStyle name="표준 13 15 3" xfId="30447"/>
    <cellStyle name="표준 13 16" xfId="9973"/>
    <cellStyle name="표준 13 17" xfId="10366"/>
    <cellStyle name="표준 13 17 2" xfId="19137"/>
    <cellStyle name="표준 13 17 2 2" xfId="40013"/>
    <cellStyle name="표준 13 17 3" xfId="31277"/>
    <cellStyle name="표준 13 18" xfId="11232"/>
    <cellStyle name="표준 13 18 2" xfId="19998"/>
    <cellStyle name="표준 13 18 2 2" xfId="40874"/>
    <cellStyle name="표준 13 18 3" xfId="32138"/>
    <cellStyle name="표준 13 19" xfId="12380"/>
    <cellStyle name="표준 13 19 2" xfId="33258"/>
    <cellStyle name="표준 13 2" xfId="2906"/>
    <cellStyle name="표준 13 2 10" xfId="10367"/>
    <cellStyle name="표준 13 2 10 2" xfId="19138"/>
    <cellStyle name="표준 13 2 10 2 2" xfId="40014"/>
    <cellStyle name="표준 13 2 10 3" xfId="31278"/>
    <cellStyle name="표준 13 2 11" xfId="11233"/>
    <cellStyle name="표준 13 2 11 2" xfId="19999"/>
    <cellStyle name="표준 13 2 11 2 2" xfId="40875"/>
    <cellStyle name="표준 13 2 11 3" xfId="32139"/>
    <cellStyle name="표준 13 2 12" xfId="12381"/>
    <cellStyle name="표준 13 2 12 2" xfId="33259"/>
    <cellStyle name="표준 13 2 13" xfId="24509"/>
    <cellStyle name="표준 13 2 2" xfId="3124"/>
    <cellStyle name="표준 13 2 2 10" xfId="11443"/>
    <cellStyle name="표준 13 2 2 10 2" xfId="20209"/>
    <cellStyle name="표준 13 2 2 10 2 2" xfId="41085"/>
    <cellStyle name="표준 13 2 2 10 3" xfId="32349"/>
    <cellStyle name="표준 13 2 2 11" xfId="12592"/>
    <cellStyle name="표준 13 2 2 11 2" xfId="33469"/>
    <cellStyle name="표준 13 2 2 12" xfId="24719"/>
    <cellStyle name="표준 13 2 2 2" xfId="3566"/>
    <cellStyle name="표준 13 2 2 2 2" xfId="5839"/>
    <cellStyle name="표준 13 2 2 2 2 2" xfId="14848"/>
    <cellStyle name="표준 13 2 2 2 2 2 2" xfId="35724"/>
    <cellStyle name="표준 13 2 2 2 2 3" xfId="26986"/>
    <cellStyle name="표준 13 2 2 2 3" xfId="13029"/>
    <cellStyle name="표준 13 2 2 2 3 2" xfId="33906"/>
    <cellStyle name="표준 13 2 2 2 4" xfId="25156"/>
    <cellStyle name="표준 13 2 2 3" xfId="4727"/>
    <cellStyle name="표준 13 2 2 3 2" xfId="6559"/>
    <cellStyle name="표준 13 2 2 3 2 2" xfId="15568"/>
    <cellStyle name="표준 13 2 2 3 2 2 2" xfId="36444"/>
    <cellStyle name="표준 13 2 2 3 2 3" xfId="27706"/>
    <cellStyle name="표준 13 2 2 3 3" xfId="13750"/>
    <cellStyle name="표준 13 2 2 3 3 2" xfId="34626"/>
    <cellStyle name="표준 13 2 2 3 4" xfId="25888"/>
    <cellStyle name="표준 13 2 2 4" xfId="5402"/>
    <cellStyle name="표준 13 2 2 4 2" xfId="14411"/>
    <cellStyle name="표준 13 2 2 4 2 2" xfId="35287"/>
    <cellStyle name="표준 13 2 2 4 3" xfId="26549"/>
    <cellStyle name="표준 13 2 2 5" xfId="7205"/>
    <cellStyle name="표준 13 2 2 5 2" xfId="16212"/>
    <cellStyle name="표준 13 2 2 5 2 2" xfId="37088"/>
    <cellStyle name="표준 13 2 2 5 3" xfId="28350"/>
    <cellStyle name="표준 13 2 2 6" xfId="7849"/>
    <cellStyle name="표준 13 2 2 6 2" xfId="16855"/>
    <cellStyle name="표준 13 2 2 6 2 2" xfId="37731"/>
    <cellStyle name="표준 13 2 2 6 3" xfId="28993"/>
    <cellStyle name="표준 13 2 2 7" xfId="8697"/>
    <cellStyle name="표준 13 2 2 7 2" xfId="17702"/>
    <cellStyle name="표준 13 2 2 7 2 2" xfId="38578"/>
    <cellStyle name="표준 13 2 2 7 3" xfId="29840"/>
    <cellStyle name="표준 13 2 2 8" xfId="9522"/>
    <cellStyle name="표준 13 2 2 8 2" xfId="18520"/>
    <cellStyle name="표준 13 2 2 8 2 2" xfId="39396"/>
    <cellStyle name="표준 13 2 2 8 3" xfId="30658"/>
    <cellStyle name="표준 13 2 2 9" xfId="10577"/>
    <cellStyle name="표준 13 2 2 9 2" xfId="19348"/>
    <cellStyle name="표준 13 2 2 9 2 2" xfId="40224"/>
    <cellStyle name="표준 13 2 2 9 3" xfId="31488"/>
    <cellStyle name="표준 13 2 3" xfId="3356"/>
    <cellStyle name="표준 13 2 3 10" xfId="12819"/>
    <cellStyle name="표준 13 2 3 10 2" xfId="33696"/>
    <cellStyle name="표준 13 2 3 11" xfId="24946"/>
    <cellStyle name="표준 13 2 3 2" xfId="4949"/>
    <cellStyle name="표준 13 2 3 2 2" xfId="6776"/>
    <cellStyle name="표준 13 2 3 2 2 2" xfId="15785"/>
    <cellStyle name="표준 13 2 3 2 2 2 2" xfId="36661"/>
    <cellStyle name="표준 13 2 3 2 2 3" xfId="27923"/>
    <cellStyle name="표준 13 2 3 2 3" xfId="13967"/>
    <cellStyle name="표준 13 2 3 2 3 2" xfId="34843"/>
    <cellStyle name="표준 13 2 3 2 4" xfId="26105"/>
    <cellStyle name="표준 13 2 3 3" xfId="5629"/>
    <cellStyle name="표준 13 2 3 3 2" xfId="14638"/>
    <cellStyle name="표준 13 2 3 3 2 2" xfId="35514"/>
    <cellStyle name="표준 13 2 3 3 3" xfId="26776"/>
    <cellStyle name="표준 13 2 3 4" xfId="7422"/>
    <cellStyle name="표준 13 2 3 4 2" xfId="16429"/>
    <cellStyle name="표준 13 2 3 4 2 2" xfId="37305"/>
    <cellStyle name="표준 13 2 3 4 3" xfId="28567"/>
    <cellStyle name="표준 13 2 3 5" xfId="8066"/>
    <cellStyle name="표준 13 2 3 5 2" xfId="17072"/>
    <cellStyle name="표준 13 2 3 5 2 2" xfId="37948"/>
    <cellStyle name="표준 13 2 3 5 3" xfId="29210"/>
    <cellStyle name="표준 13 2 3 6" xfId="8914"/>
    <cellStyle name="표준 13 2 3 6 2" xfId="17919"/>
    <cellStyle name="표준 13 2 3 6 2 2" xfId="38795"/>
    <cellStyle name="표준 13 2 3 6 3" xfId="30057"/>
    <cellStyle name="표준 13 2 3 7" xfId="9739"/>
    <cellStyle name="표준 13 2 3 7 2" xfId="18737"/>
    <cellStyle name="표준 13 2 3 7 2 2" xfId="39613"/>
    <cellStyle name="표준 13 2 3 7 3" xfId="30875"/>
    <cellStyle name="표준 13 2 3 8" xfId="10794"/>
    <cellStyle name="표준 13 2 3 8 2" xfId="19565"/>
    <cellStyle name="표준 13 2 3 8 2 2" xfId="40441"/>
    <cellStyle name="표준 13 2 3 8 3" xfId="31705"/>
    <cellStyle name="표준 13 2 3 9" xfId="11660"/>
    <cellStyle name="표준 13 2 3 9 2" xfId="20426"/>
    <cellStyle name="표준 13 2 3 9 2 2" xfId="41302"/>
    <cellStyle name="표준 13 2 3 9 3" xfId="32566"/>
    <cellStyle name="표준 13 2 4" xfId="4515"/>
    <cellStyle name="표준 13 2 4 2" xfId="6349"/>
    <cellStyle name="표준 13 2 4 2 2" xfId="15358"/>
    <cellStyle name="표준 13 2 4 2 2 2" xfId="36234"/>
    <cellStyle name="표준 13 2 4 2 3" xfId="27496"/>
    <cellStyle name="표준 13 2 4 3" xfId="11012"/>
    <cellStyle name="표준 13 2 4 3 2" xfId="19782"/>
    <cellStyle name="표준 13 2 4 3 2 2" xfId="40658"/>
    <cellStyle name="표준 13 2 4 3 3" xfId="31922"/>
    <cellStyle name="표준 13 2 4 4" xfId="11877"/>
    <cellStyle name="표준 13 2 4 4 2" xfId="20643"/>
    <cellStyle name="표준 13 2 4 4 2 2" xfId="41519"/>
    <cellStyle name="표준 13 2 4 4 3" xfId="32783"/>
    <cellStyle name="표준 13 2 4 5" xfId="13540"/>
    <cellStyle name="표준 13 2 4 5 2" xfId="34416"/>
    <cellStyle name="표준 13 2 4 6" xfId="25678"/>
    <cellStyle name="표준 13 2 5" xfId="5192"/>
    <cellStyle name="표준 13 2 5 2" xfId="14201"/>
    <cellStyle name="표준 13 2 5 2 2" xfId="35077"/>
    <cellStyle name="표준 13 2 5 3" xfId="26339"/>
    <cellStyle name="표준 13 2 6" xfId="6994"/>
    <cellStyle name="표준 13 2 6 2" xfId="16002"/>
    <cellStyle name="표준 13 2 6 2 2" xfId="36878"/>
    <cellStyle name="표준 13 2 6 3" xfId="28140"/>
    <cellStyle name="표준 13 2 7" xfId="7639"/>
    <cellStyle name="표준 13 2 7 2" xfId="16645"/>
    <cellStyle name="표준 13 2 7 2 2" xfId="37521"/>
    <cellStyle name="표준 13 2 7 3" xfId="28783"/>
    <cellStyle name="표준 13 2 8" xfId="8487"/>
    <cellStyle name="표준 13 2 8 2" xfId="17492"/>
    <cellStyle name="표준 13 2 8 2 2" xfId="38368"/>
    <cellStyle name="표준 13 2 8 3" xfId="29630"/>
    <cellStyle name="표준 13 2 9" xfId="9311"/>
    <cellStyle name="표준 13 2 9 2" xfId="18310"/>
    <cellStyle name="표준 13 2 9 2 2" xfId="39186"/>
    <cellStyle name="표준 13 2 9 3" xfId="30448"/>
    <cellStyle name="표준 13 20" xfId="24508"/>
    <cellStyle name="표준 13 3" xfId="2907"/>
    <cellStyle name="표준 13 3 10" xfId="10368"/>
    <cellStyle name="표준 13 3 10 2" xfId="19139"/>
    <cellStyle name="표준 13 3 10 2 2" xfId="40015"/>
    <cellStyle name="표준 13 3 10 3" xfId="31279"/>
    <cellStyle name="표준 13 3 11" xfId="11234"/>
    <cellStyle name="표준 13 3 11 2" xfId="20000"/>
    <cellStyle name="표준 13 3 11 2 2" xfId="40876"/>
    <cellStyle name="표준 13 3 11 3" xfId="32140"/>
    <cellStyle name="표준 13 3 12" xfId="12382"/>
    <cellStyle name="표준 13 3 12 2" xfId="33260"/>
    <cellStyle name="표준 13 3 13" xfId="24510"/>
    <cellStyle name="표준 13 3 2" xfId="3125"/>
    <cellStyle name="표준 13 3 2 10" xfId="11444"/>
    <cellStyle name="표준 13 3 2 10 2" xfId="20210"/>
    <cellStyle name="표준 13 3 2 10 2 2" xfId="41086"/>
    <cellStyle name="표준 13 3 2 10 3" xfId="32350"/>
    <cellStyle name="표준 13 3 2 11" xfId="12593"/>
    <cellStyle name="표준 13 3 2 11 2" xfId="33470"/>
    <cellStyle name="표준 13 3 2 12" xfId="24720"/>
    <cellStyle name="표준 13 3 2 2" xfId="3567"/>
    <cellStyle name="표준 13 3 2 2 2" xfId="5840"/>
    <cellStyle name="표준 13 3 2 2 2 2" xfId="14849"/>
    <cellStyle name="표준 13 3 2 2 2 2 2" xfId="35725"/>
    <cellStyle name="표준 13 3 2 2 2 3" xfId="26987"/>
    <cellStyle name="표준 13 3 2 2 3" xfId="13030"/>
    <cellStyle name="표준 13 3 2 2 3 2" xfId="33907"/>
    <cellStyle name="표준 13 3 2 2 4" xfId="25157"/>
    <cellStyle name="표준 13 3 2 3" xfId="4728"/>
    <cellStyle name="표준 13 3 2 3 2" xfId="6560"/>
    <cellStyle name="표준 13 3 2 3 2 2" xfId="15569"/>
    <cellStyle name="표준 13 3 2 3 2 2 2" xfId="36445"/>
    <cellStyle name="표준 13 3 2 3 2 3" xfId="27707"/>
    <cellStyle name="표준 13 3 2 3 3" xfId="13751"/>
    <cellStyle name="표준 13 3 2 3 3 2" xfId="34627"/>
    <cellStyle name="표준 13 3 2 3 4" xfId="25889"/>
    <cellStyle name="표준 13 3 2 4" xfId="5403"/>
    <cellStyle name="표준 13 3 2 4 2" xfId="14412"/>
    <cellStyle name="표준 13 3 2 4 2 2" xfId="35288"/>
    <cellStyle name="표준 13 3 2 4 3" xfId="26550"/>
    <cellStyle name="표준 13 3 2 5" xfId="7206"/>
    <cellStyle name="표준 13 3 2 5 2" xfId="16213"/>
    <cellStyle name="표준 13 3 2 5 2 2" xfId="37089"/>
    <cellStyle name="표준 13 3 2 5 3" xfId="28351"/>
    <cellStyle name="표준 13 3 2 6" xfId="7850"/>
    <cellStyle name="표준 13 3 2 6 2" xfId="16856"/>
    <cellStyle name="표준 13 3 2 6 2 2" xfId="37732"/>
    <cellStyle name="표준 13 3 2 6 3" xfId="28994"/>
    <cellStyle name="표준 13 3 2 7" xfId="8698"/>
    <cellStyle name="표준 13 3 2 7 2" xfId="17703"/>
    <cellStyle name="표준 13 3 2 7 2 2" xfId="38579"/>
    <cellStyle name="표준 13 3 2 7 3" xfId="29841"/>
    <cellStyle name="표준 13 3 2 8" xfId="9523"/>
    <cellStyle name="표준 13 3 2 8 2" xfId="18521"/>
    <cellStyle name="표준 13 3 2 8 2 2" xfId="39397"/>
    <cellStyle name="표준 13 3 2 8 3" xfId="30659"/>
    <cellStyle name="표준 13 3 2 9" xfId="10578"/>
    <cellStyle name="표준 13 3 2 9 2" xfId="19349"/>
    <cellStyle name="표준 13 3 2 9 2 2" xfId="40225"/>
    <cellStyle name="표준 13 3 2 9 3" xfId="31489"/>
    <cellStyle name="표준 13 3 3" xfId="3357"/>
    <cellStyle name="표준 13 3 3 10" xfId="12820"/>
    <cellStyle name="표준 13 3 3 10 2" xfId="33697"/>
    <cellStyle name="표준 13 3 3 11" xfId="24947"/>
    <cellStyle name="표준 13 3 3 2" xfId="4950"/>
    <cellStyle name="표준 13 3 3 2 2" xfId="6777"/>
    <cellStyle name="표준 13 3 3 2 2 2" xfId="15786"/>
    <cellStyle name="표준 13 3 3 2 2 2 2" xfId="36662"/>
    <cellStyle name="표준 13 3 3 2 2 3" xfId="27924"/>
    <cellStyle name="표준 13 3 3 2 3" xfId="13968"/>
    <cellStyle name="표준 13 3 3 2 3 2" xfId="34844"/>
    <cellStyle name="표준 13 3 3 2 4" xfId="26106"/>
    <cellStyle name="표준 13 3 3 3" xfId="5630"/>
    <cellStyle name="표준 13 3 3 3 2" xfId="14639"/>
    <cellStyle name="표준 13 3 3 3 2 2" xfId="35515"/>
    <cellStyle name="표준 13 3 3 3 3" xfId="26777"/>
    <cellStyle name="표준 13 3 3 4" xfId="7423"/>
    <cellStyle name="표준 13 3 3 4 2" xfId="16430"/>
    <cellStyle name="표준 13 3 3 4 2 2" xfId="37306"/>
    <cellStyle name="표준 13 3 3 4 3" xfId="28568"/>
    <cellStyle name="표준 13 3 3 5" xfId="8067"/>
    <cellStyle name="표준 13 3 3 5 2" xfId="17073"/>
    <cellStyle name="표준 13 3 3 5 2 2" xfId="37949"/>
    <cellStyle name="표준 13 3 3 5 3" xfId="29211"/>
    <cellStyle name="표준 13 3 3 6" xfId="8915"/>
    <cellStyle name="표준 13 3 3 6 2" xfId="17920"/>
    <cellStyle name="표준 13 3 3 6 2 2" xfId="38796"/>
    <cellStyle name="표준 13 3 3 6 3" xfId="30058"/>
    <cellStyle name="표준 13 3 3 7" xfId="9740"/>
    <cellStyle name="표준 13 3 3 7 2" xfId="18738"/>
    <cellStyle name="표준 13 3 3 7 2 2" xfId="39614"/>
    <cellStyle name="표준 13 3 3 7 3" xfId="30876"/>
    <cellStyle name="표준 13 3 3 8" xfId="10795"/>
    <cellStyle name="표준 13 3 3 8 2" xfId="19566"/>
    <cellStyle name="표준 13 3 3 8 2 2" xfId="40442"/>
    <cellStyle name="표준 13 3 3 8 3" xfId="31706"/>
    <cellStyle name="표준 13 3 3 9" xfId="11661"/>
    <cellStyle name="표준 13 3 3 9 2" xfId="20427"/>
    <cellStyle name="표준 13 3 3 9 2 2" xfId="41303"/>
    <cellStyle name="표준 13 3 3 9 3" xfId="32567"/>
    <cellStyle name="표준 13 3 4" xfId="4516"/>
    <cellStyle name="표준 13 3 4 2" xfId="6350"/>
    <cellStyle name="표준 13 3 4 2 2" xfId="15359"/>
    <cellStyle name="표준 13 3 4 2 2 2" xfId="36235"/>
    <cellStyle name="표준 13 3 4 2 3" xfId="27497"/>
    <cellStyle name="표준 13 3 4 3" xfId="11013"/>
    <cellStyle name="표준 13 3 4 3 2" xfId="19783"/>
    <cellStyle name="표준 13 3 4 3 2 2" xfId="40659"/>
    <cellStyle name="표준 13 3 4 3 3" xfId="31923"/>
    <cellStyle name="표준 13 3 4 4" xfId="11878"/>
    <cellStyle name="표준 13 3 4 4 2" xfId="20644"/>
    <cellStyle name="표준 13 3 4 4 2 2" xfId="41520"/>
    <cellStyle name="표준 13 3 4 4 3" xfId="32784"/>
    <cellStyle name="표준 13 3 4 5" xfId="13541"/>
    <cellStyle name="표준 13 3 4 5 2" xfId="34417"/>
    <cellStyle name="표준 13 3 4 6" xfId="25679"/>
    <cellStyle name="표준 13 3 5" xfId="5193"/>
    <cellStyle name="표준 13 3 5 2" xfId="14202"/>
    <cellStyle name="표준 13 3 5 2 2" xfId="35078"/>
    <cellStyle name="표준 13 3 5 3" xfId="26340"/>
    <cellStyle name="표준 13 3 6" xfId="6995"/>
    <cellStyle name="표준 13 3 6 2" xfId="16003"/>
    <cellStyle name="표준 13 3 6 2 2" xfId="36879"/>
    <cellStyle name="표준 13 3 6 3" xfId="28141"/>
    <cellStyle name="표준 13 3 7" xfId="7640"/>
    <cellStyle name="표준 13 3 7 2" xfId="16646"/>
    <cellStyle name="표준 13 3 7 2 2" xfId="37522"/>
    <cellStyle name="표준 13 3 7 3" xfId="28784"/>
    <cellStyle name="표준 13 3 8" xfId="8488"/>
    <cellStyle name="표준 13 3 8 2" xfId="17493"/>
    <cellStyle name="표준 13 3 8 2 2" xfId="38369"/>
    <cellStyle name="표준 13 3 8 3" xfId="29631"/>
    <cellStyle name="표준 13 3 9" xfId="9312"/>
    <cellStyle name="표준 13 3 9 2" xfId="18311"/>
    <cellStyle name="표준 13 3 9 2 2" xfId="39187"/>
    <cellStyle name="표준 13 3 9 3" xfId="30449"/>
    <cellStyle name="표준 13 4" xfId="2908"/>
    <cellStyle name="표준 13 4 10" xfId="10369"/>
    <cellStyle name="표준 13 4 10 2" xfId="19140"/>
    <cellStyle name="표준 13 4 10 2 2" xfId="40016"/>
    <cellStyle name="표준 13 4 10 3" xfId="31280"/>
    <cellStyle name="표준 13 4 11" xfId="11235"/>
    <cellStyle name="표준 13 4 11 2" xfId="20001"/>
    <cellStyle name="표준 13 4 11 2 2" xfId="40877"/>
    <cellStyle name="표준 13 4 11 3" xfId="32141"/>
    <cellStyle name="표준 13 4 12" xfId="12383"/>
    <cellStyle name="표준 13 4 12 2" xfId="33261"/>
    <cellStyle name="표준 13 4 13" xfId="24511"/>
    <cellStyle name="표준 13 4 2" xfId="3126"/>
    <cellStyle name="표준 13 4 2 10" xfId="11445"/>
    <cellStyle name="표준 13 4 2 10 2" xfId="20211"/>
    <cellStyle name="표준 13 4 2 10 2 2" xfId="41087"/>
    <cellStyle name="표준 13 4 2 10 3" xfId="32351"/>
    <cellStyle name="표준 13 4 2 11" xfId="12594"/>
    <cellStyle name="표준 13 4 2 11 2" xfId="33471"/>
    <cellStyle name="표준 13 4 2 12" xfId="24721"/>
    <cellStyle name="표준 13 4 2 2" xfId="3568"/>
    <cellStyle name="표준 13 4 2 2 2" xfId="5841"/>
    <cellStyle name="표준 13 4 2 2 2 2" xfId="14850"/>
    <cellStyle name="표준 13 4 2 2 2 2 2" xfId="35726"/>
    <cellStyle name="표준 13 4 2 2 2 3" xfId="26988"/>
    <cellStyle name="표준 13 4 2 2 3" xfId="13031"/>
    <cellStyle name="표준 13 4 2 2 3 2" xfId="33908"/>
    <cellStyle name="표준 13 4 2 2 4" xfId="25158"/>
    <cellStyle name="표준 13 4 2 3" xfId="4729"/>
    <cellStyle name="표준 13 4 2 3 2" xfId="6561"/>
    <cellStyle name="표준 13 4 2 3 2 2" xfId="15570"/>
    <cellStyle name="표준 13 4 2 3 2 2 2" xfId="36446"/>
    <cellStyle name="표준 13 4 2 3 2 3" xfId="27708"/>
    <cellStyle name="표준 13 4 2 3 3" xfId="13752"/>
    <cellStyle name="표준 13 4 2 3 3 2" xfId="34628"/>
    <cellStyle name="표준 13 4 2 3 4" xfId="25890"/>
    <cellStyle name="표준 13 4 2 4" xfId="5404"/>
    <cellStyle name="표준 13 4 2 4 2" xfId="14413"/>
    <cellStyle name="표준 13 4 2 4 2 2" xfId="35289"/>
    <cellStyle name="표준 13 4 2 4 3" xfId="26551"/>
    <cellStyle name="표준 13 4 2 5" xfId="7207"/>
    <cellStyle name="표준 13 4 2 5 2" xfId="16214"/>
    <cellStyle name="표준 13 4 2 5 2 2" xfId="37090"/>
    <cellStyle name="표준 13 4 2 5 3" xfId="28352"/>
    <cellStyle name="표준 13 4 2 6" xfId="7851"/>
    <cellStyle name="표준 13 4 2 6 2" xfId="16857"/>
    <cellStyle name="표준 13 4 2 6 2 2" xfId="37733"/>
    <cellStyle name="표준 13 4 2 6 3" xfId="28995"/>
    <cellStyle name="표준 13 4 2 7" xfId="8699"/>
    <cellStyle name="표준 13 4 2 7 2" xfId="17704"/>
    <cellStyle name="표준 13 4 2 7 2 2" xfId="38580"/>
    <cellStyle name="표준 13 4 2 7 3" xfId="29842"/>
    <cellStyle name="표준 13 4 2 8" xfId="9524"/>
    <cellStyle name="표준 13 4 2 8 2" xfId="18522"/>
    <cellStyle name="표준 13 4 2 8 2 2" xfId="39398"/>
    <cellStyle name="표준 13 4 2 8 3" xfId="30660"/>
    <cellStyle name="표준 13 4 2 9" xfId="10579"/>
    <cellStyle name="표준 13 4 2 9 2" xfId="19350"/>
    <cellStyle name="표준 13 4 2 9 2 2" xfId="40226"/>
    <cellStyle name="표준 13 4 2 9 3" xfId="31490"/>
    <cellStyle name="표준 13 4 3" xfId="3358"/>
    <cellStyle name="표준 13 4 3 10" xfId="12821"/>
    <cellStyle name="표준 13 4 3 10 2" xfId="33698"/>
    <cellStyle name="표준 13 4 3 11" xfId="24948"/>
    <cellStyle name="표준 13 4 3 2" xfId="4951"/>
    <cellStyle name="표준 13 4 3 2 2" xfId="6778"/>
    <cellStyle name="표준 13 4 3 2 2 2" xfId="15787"/>
    <cellStyle name="표준 13 4 3 2 2 2 2" xfId="36663"/>
    <cellStyle name="표준 13 4 3 2 2 3" xfId="27925"/>
    <cellStyle name="표준 13 4 3 2 3" xfId="13969"/>
    <cellStyle name="표준 13 4 3 2 3 2" xfId="34845"/>
    <cellStyle name="표준 13 4 3 2 4" xfId="26107"/>
    <cellStyle name="표준 13 4 3 3" xfId="5631"/>
    <cellStyle name="표준 13 4 3 3 2" xfId="14640"/>
    <cellStyle name="표준 13 4 3 3 2 2" xfId="35516"/>
    <cellStyle name="표준 13 4 3 3 3" xfId="26778"/>
    <cellStyle name="표준 13 4 3 4" xfId="7424"/>
    <cellStyle name="표준 13 4 3 4 2" xfId="16431"/>
    <cellStyle name="표준 13 4 3 4 2 2" xfId="37307"/>
    <cellStyle name="표준 13 4 3 4 3" xfId="28569"/>
    <cellStyle name="표준 13 4 3 5" xfId="8068"/>
    <cellStyle name="표준 13 4 3 5 2" xfId="17074"/>
    <cellStyle name="표준 13 4 3 5 2 2" xfId="37950"/>
    <cellStyle name="표준 13 4 3 5 3" xfId="29212"/>
    <cellStyle name="표준 13 4 3 6" xfId="8916"/>
    <cellStyle name="표준 13 4 3 6 2" xfId="17921"/>
    <cellStyle name="표준 13 4 3 6 2 2" xfId="38797"/>
    <cellStyle name="표준 13 4 3 6 3" xfId="30059"/>
    <cellStyle name="표준 13 4 3 7" xfId="9741"/>
    <cellStyle name="표준 13 4 3 7 2" xfId="18739"/>
    <cellStyle name="표준 13 4 3 7 2 2" xfId="39615"/>
    <cellStyle name="표준 13 4 3 7 3" xfId="30877"/>
    <cellStyle name="표준 13 4 3 8" xfId="10796"/>
    <cellStyle name="표준 13 4 3 8 2" xfId="19567"/>
    <cellStyle name="표준 13 4 3 8 2 2" xfId="40443"/>
    <cellStyle name="표준 13 4 3 8 3" xfId="31707"/>
    <cellStyle name="표준 13 4 3 9" xfId="11662"/>
    <cellStyle name="표준 13 4 3 9 2" xfId="20428"/>
    <cellStyle name="표준 13 4 3 9 2 2" xfId="41304"/>
    <cellStyle name="표준 13 4 3 9 3" xfId="32568"/>
    <cellStyle name="표준 13 4 4" xfId="4517"/>
    <cellStyle name="표준 13 4 4 2" xfId="6351"/>
    <cellStyle name="표준 13 4 4 2 2" xfId="15360"/>
    <cellStyle name="표준 13 4 4 2 2 2" xfId="36236"/>
    <cellStyle name="표준 13 4 4 2 3" xfId="27498"/>
    <cellStyle name="표준 13 4 4 3" xfId="11014"/>
    <cellStyle name="표준 13 4 4 3 2" xfId="19784"/>
    <cellStyle name="표준 13 4 4 3 2 2" xfId="40660"/>
    <cellStyle name="표준 13 4 4 3 3" xfId="31924"/>
    <cellStyle name="표준 13 4 4 4" xfId="11879"/>
    <cellStyle name="표준 13 4 4 4 2" xfId="20645"/>
    <cellStyle name="표준 13 4 4 4 2 2" xfId="41521"/>
    <cellStyle name="표준 13 4 4 4 3" xfId="32785"/>
    <cellStyle name="표준 13 4 4 5" xfId="13542"/>
    <cellStyle name="표준 13 4 4 5 2" xfId="34418"/>
    <cellStyle name="표준 13 4 4 6" xfId="25680"/>
    <cellStyle name="표준 13 4 5" xfId="5194"/>
    <cellStyle name="표준 13 4 5 2" xfId="14203"/>
    <cellStyle name="표준 13 4 5 2 2" xfId="35079"/>
    <cellStyle name="표준 13 4 5 3" xfId="26341"/>
    <cellStyle name="표준 13 4 6" xfId="6996"/>
    <cellStyle name="표준 13 4 6 2" xfId="16004"/>
    <cellStyle name="표준 13 4 6 2 2" xfId="36880"/>
    <cellStyle name="표준 13 4 6 3" xfId="28142"/>
    <cellStyle name="표준 13 4 7" xfId="7641"/>
    <cellStyle name="표준 13 4 7 2" xfId="16647"/>
    <cellStyle name="표준 13 4 7 2 2" xfId="37523"/>
    <cellStyle name="표준 13 4 7 3" xfId="28785"/>
    <cellStyle name="표준 13 4 8" xfId="8489"/>
    <cellStyle name="표준 13 4 8 2" xfId="17494"/>
    <cellStyle name="표준 13 4 8 2 2" xfId="38370"/>
    <cellStyle name="표준 13 4 8 3" xfId="29632"/>
    <cellStyle name="표준 13 4 9" xfId="9313"/>
    <cellStyle name="표준 13 4 9 2" xfId="18312"/>
    <cellStyle name="표준 13 4 9 2 2" xfId="39188"/>
    <cellStyle name="표준 13 4 9 3" xfId="30450"/>
    <cellStyle name="표준 13 5" xfId="2909"/>
    <cellStyle name="표준 13 5 10" xfId="10370"/>
    <cellStyle name="표준 13 5 10 2" xfId="19141"/>
    <cellStyle name="표준 13 5 10 2 2" xfId="40017"/>
    <cellStyle name="표준 13 5 10 3" xfId="31281"/>
    <cellStyle name="표준 13 5 11" xfId="11236"/>
    <cellStyle name="표준 13 5 11 2" xfId="20002"/>
    <cellStyle name="표준 13 5 11 2 2" xfId="40878"/>
    <cellStyle name="표준 13 5 11 3" xfId="32142"/>
    <cellStyle name="표준 13 5 12" xfId="12384"/>
    <cellStyle name="표준 13 5 12 2" xfId="33262"/>
    <cellStyle name="표준 13 5 13" xfId="24512"/>
    <cellStyle name="표준 13 5 2" xfId="3127"/>
    <cellStyle name="표준 13 5 2 10" xfId="11446"/>
    <cellStyle name="표준 13 5 2 10 2" xfId="20212"/>
    <cellStyle name="표준 13 5 2 10 2 2" xfId="41088"/>
    <cellStyle name="표준 13 5 2 10 3" xfId="32352"/>
    <cellStyle name="표준 13 5 2 11" xfId="12595"/>
    <cellStyle name="표준 13 5 2 11 2" xfId="33472"/>
    <cellStyle name="표준 13 5 2 12" xfId="24722"/>
    <cellStyle name="표준 13 5 2 2" xfId="3569"/>
    <cellStyle name="표준 13 5 2 2 2" xfId="5842"/>
    <cellStyle name="표준 13 5 2 2 2 2" xfId="14851"/>
    <cellStyle name="표준 13 5 2 2 2 2 2" xfId="35727"/>
    <cellStyle name="표준 13 5 2 2 2 3" xfId="26989"/>
    <cellStyle name="표준 13 5 2 2 3" xfId="13032"/>
    <cellStyle name="표준 13 5 2 2 3 2" xfId="33909"/>
    <cellStyle name="표준 13 5 2 2 4" xfId="25159"/>
    <cellStyle name="표준 13 5 2 3" xfId="4730"/>
    <cellStyle name="표준 13 5 2 3 2" xfId="6562"/>
    <cellStyle name="표준 13 5 2 3 2 2" xfId="15571"/>
    <cellStyle name="표준 13 5 2 3 2 2 2" xfId="36447"/>
    <cellStyle name="표준 13 5 2 3 2 3" xfId="27709"/>
    <cellStyle name="표준 13 5 2 3 3" xfId="13753"/>
    <cellStyle name="표준 13 5 2 3 3 2" xfId="34629"/>
    <cellStyle name="표준 13 5 2 3 4" xfId="25891"/>
    <cellStyle name="표준 13 5 2 4" xfId="5405"/>
    <cellStyle name="표준 13 5 2 4 2" xfId="14414"/>
    <cellStyle name="표준 13 5 2 4 2 2" xfId="35290"/>
    <cellStyle name="표준 13 5 2 4 3" xfId="26552"/>
    <cellStyle name="표준 13 5 2 5" xfId="7208"/>
    <cellStyle name="표준 13 5 2 5 2" xfId="16215"/>
    <cellStyle name="표준 13 5 2 5 2 2" xfId="37091"/>
    <cellStyle name="표준 13 5 2 5 3" xfId="28353"/>
    <cellStyle name="표준 13 5 2 6" xfId="7852"/>
    <cellStyle name="표준 13 5 2 6 2" xfId="16858"/>
    <cellStyle name="표준 13 5 2 6 2 2" xfId="37734"/>
    <cellStyle name="표준 13 5 2 6 3" xfId="28996"/>
    <cellStyle name="표준 13 5 2 7" xfId="8700"/>
    <cellStyle name="표준 13 5 2 7 2" xfId="17705"/>
    <cellStyle name="표준 13 5 2 7 2 2" xfId="38581"/>
    <cellStyle name="표준 13 5 2 7 3" xfId="29843"/>
    <cellStyle name="표준 13 5 2 8" xfId="9525"/>
    <cellStyle name="표준 13 5 2 8 2" xfId="18523"/>
    <cellStyle name="표준 13 5 2 8 2 2" xfId="39399"/>
    <cellStyle name="표준 13 5 2 8 3" xfId="30661"/>
    <cellStyle name="표준 13 5 2 9" xfId="10580"/>
    <cellStyle name="표준 13 5 2 9 2" xfId="19351"/>
    <cellStyle name="표준 13 5 2 9 2 2" xfId="40227"/>
    <cellStyle name="표준 13 5 2 9 3" xfId="31491"/>
    <cellStyle name="표준 13 5 3" xfId="3359"/>
    <cellStyle name="표준 13 5 3 10" xfId="12822"/>
    <cellStyle name="표준 13 5 3 10 2" xfId="33699"/>
    <cellStyle name="표준 13 5 3 11" xfId="24949"/>
    <cellStyle name="표준 13 5 3 2" xfId="4952"/>
    <cellStyle name="표준 13 5 3 2 2" xfId="6779"/>
    <cellStyle name="표준 13 5 3 2 2 2" xfId="15788"/>
    <cellStyle name="표준 13 5 3 2 2 2 2" xfId="36664"/>
    <cellStyle name="표준 13 5 3 2 2 3" xfId="27926"/>
    <cellStyle name="표준 13 5 3 2 3" xfId="13970"/>
    <cellStyle name="표준 13 5 3 2 3 2" xfId="34846"/>
    <cellStyle name="표준 13 5 3 2 4" xfId="26108"/>
    <cellStyle name="표준 13 5 3 3" xfId="5632"/>
    <cellStyle name="표준 13 5 3 3 2" xfId="14641"/>
    <cellStyle name="표준 13 5 3 3 2 2" xfId="35517"/>
    <cellStyle name="표준 13 5 3 3 3" xfId="26779"/>
    <cellStyle name="표준 13 5 3 4" xfId="7425"/>
    <cellStyle name="표준 13 5 3 4 2" xfId="16432"/>
    <cellStyle name="표준 13 5 3 4 2 2" xfId="37308"/>
    <cellStyle name="표준 13 5 3 4 3" xfId="28570"/>
    <cellStyle name="표준 13 5 3 5" xfId="8069"/>
    <cellStyle name="표준 13 5 3 5 2" xfId="17075"/>
    <cellStyle name="표준 13 5 3 5 2 2" xfId="37951"/>
    <cellStyle name="표준 13 5 3 5 3" xfId="29213"/>
    <cellStyle name="표준 13 5 3 6" xfId="8917"/>
    <cellStyle name="표준 13 5 3 6 2" xfId="17922"/>
    <cellStyle name="표준 13 5 3 6 2 2" xfId="38798"/>
    <cellStyle name="표준 13 5 3 6 3" xfId="30060"/>
    <cellStyle name="표준 13 5 3 7" xfId="9742"/>
    <cellStyle name="표준 13 5 3 7 2" xfId="18740"/>
    <cellStyle name="표준 13 5 3 7 2 2" xfId="39616"/>
    <cellStyle name="표준 13 5 3 7 3" xfId="30878"/>
    <cellStyle name="표준 13 5 3 8" xfId="10797"/>
    <cellStyle name="표준 13 5 3 8 2" xfId="19568"/>
    <cellStyle name="표준 13 5 3 8 2 2" xfId="40444"/>
    <cellStyle name="표준 13 5 3 8 3" xfId="31708"/>
    <cellStyle name="표준 13 5 3 9" xfId="11663"/>
    <cellStyle name="표준 13 5 3 9 2" xfId="20429"/>
    <cellStyle name="표준 13 5 3 9 2 2" xfId="41305"/>
    <cellStyle name="표준 13 5 3 9 3" xfId="32569"/>
    <cellStyle name="표준 13 5 4" xfId="4518"/>
    <cellStyle name="표준 13 5 4 2" xfId="6352"/>
    <cellStyle name="표준 13 5 4 2 2" xfId="15361"/>
    <cellStyle name="표준 13 5 4 2 2 2" xfId="36237"/>
    <cellStyle name="표준 13 5 4 2 3" xfId="27499"/>
    <cellStyle name="표준 13 5 4 3" xfId="11015"/>
    <cellStyle name="표준 13 5 4 3 2" xfId="19785"/>
    <cellStyle name="표준 13 5 4 3 2 2" xfId="40661"/>
    <cellStyle name="표준 13 5 4 3 3" xfId="31925"/>
    <cellStyle name="표준 13 5 4 4" xfId="11880"/>
    <cellStyle name="표준 13 5 4 4 2" xfId="20646"/>
    <cellStyle name="표준 13 5 4 4 2 2" xfId="41522"/>
    <cellStyle name="표준 13 5 4 4 3" xfId="32786"/>
    <cellStyle name="표준 13 5 4 5" xfId="13543"/>
    <cellStyle name="표준 13 5 4 5 2" xfId="34419"/>
    <cellStyle name="표준 13 5 4 6" xfId="25681"/>
    <cellStyle name="표준 13 5 5" xfId="5195"/>
    <cellStyle name="표준 13 5 5 2" xfId="14204"/>
    <cellStyle name="표준 13 5 5 2 2" xfId="35080"/>
    <cellStyle name="표준 13 5 5 3" xfId="26342"/>
    <cellStyle name="표준 13 5 6" xfId="6997"/>
    <cellStyle name="표준 13 5 6 2" xfId="16005"/>
    <cellStyle name="표준 13 5 6 2 2" xfId="36881"/>
    <cellStyle name="표준 13 5 6 3" xfId="28143"/>
    <cellStyle name="표준 13 5 7" xfId="7642"/>
    <cellStyle name="표준 13 5 7 2" xfId="16648"/>
    <cellStyle name="표준 13 5 7 2 2" xfId="37524"/>
    <cellStyle name="표준 13 5 7 3" xfId="28786"/>
    <cellStyle name="표준 13 5 8" xfId="8490"/>
    <cellStyle name="표준 13 5 8 2" xfId="17495"/>
    <cellStyle name="표준 13 5 8 2 2" xfId="38371"/>
    <cellStyle name="표준 13 5 8 3" xfId="29633"/>
    <cellStyle name="표준 13 5 9" xfId="9314"/>
    <cellStyle name="표준 13 5 9 2" xfId="18313"/>
    <cellStyle name="표준 13 5 9 2 2" xfId="39189"/>
    <cellStyle name="표준 13 5 9 3" xfId="30451"/>
    <cellStyle name="표준 13 6" xfId="2910"/>
    <cellStyle name="표준 13 6 10" xfId="10371"/>
    <cellStyle name="표준 13 6 10 2" xfId="19142"/>
    <cellStyle name="표준 13 6 10 2 2" xfId="40018"/>
    <cellStyle name="표준 13 6 10 3" xfId="31282"/>
    <cellStyle name="표준 13 6 11" xfId="11237"/>
    <cellStyle name="표준 13 6 11 2" xfId="20003"/>
    <cellStyle name="표준 13 6 11 2 2" xfId="40879"/>
    <cellStyle name="표준 13 6 11 3" xfId="32143"/>
    <cellStyle name="표준 13 6 12" xfId="12385"/>
    <cellStyle name="표준 13 6 12 2" xfId="33263"/>
    <cellStyle name="표준 13 6 13" xfId="24513"/>
    <cellStyle name="표준 13 6 2" xfId="3128"/>
    <cellStyle name="표준 13 6 2 10" xfId="11447"/>
    <cellStyle name="표준 13 6 2 10 2" xfId="20213"/>
    <cellStyle name="표준 13 6 2 10 2 2" xfId="41089"/>
    <cellStyle name="표준 13 6 2 10 3" xfId="32353"/>
    <cellStyle name="표준 13 6 2 11" xfId="12596"/>
    <cellStyle name="표준 13 6 2 11 2" xfId="33473"/>
    <cellStyle name="표준 13 6 2 12" xfId="24723"/>
    <cellStyle name="표준 13 6 2 2" xfId="3570"/>
    <cellStyle name="표준 13 6 2 2 2" xfId="5843"/>
    <cellStyle name="표준 13 6 2 2 2 2" xfId="14852"/>
    <cellStyle name="표준 13 6 2 2 2 2 2" xfId="35728"/>
    <cellStyle name="표준 13 6 2 2 2 3" xfId="26990"/>
    <cellStyle name="표준 13 6 2 2 3" xfId="13033"/>
    <cellStyle name="표준 13 6 2 2 3 2" xfId="33910"/>
    <cellStyle name="표준 13 6 2 2 4" xfId="25160"/>
    <cellStyle name="표준 13 6 2 3" xfId="4731"/>
    <cellStyle name="표준 13 6 2 3 2" xfId="6563"/>
    <cellStyle name="표준 13 6 2 3 2 2" xfId="15572"/>
    <cellStyle name="표준 13 6 2 3 2 2 2" xfId="36448"/>
    <cellStyle name="표준 13 6 2 3 2 3" xfId="27710"/>
    <cellStyle name="표준 13 6 2 3 3" xfId="13754"/>
    <cellStyle name="표준 13 6 2 3 3 2" xfId="34630"/>
    <cellStyle name="표준 13 6 2 3 4" xfId="25892"/>
    <cellStyle name="표준 13 6 2 4" xfId="5406"/>
    <cellStyle name="표준 13 6 2 4 2" xfId="14415"/>
    <cellStyle name="표준 13 6 2 4 2 2" xfId="35291"/>
    <cellStyle name="표준 13 6 2 4 3" xfId="26553"/>
    <cellStyle name="표준 13 6 2 5" xfId="7209"/>
    <cellStyle name="표준 13 6 2 5 2" xfId="16216"/>
    <cellStyle name="표준 13 6 2 5 2 2" xfId="37092"/>
    <cellStyle name="표준 13 6 2 5 3" xfId="28354"/>
    <cellStyle name="표준 13 6 2 6" xfId="7853"/>
    <cellStyle name="표준 13 6 2 6 2" xfId="16859"/>
    <cellStyle name="표준 13 6 2 6 2 2" xfId="37735"/>
    <cellStyle name="표준 13 6 2 6 3" xfId="28997"/>
    <cellStyle name="표준 13 6 2 7" xfId="8701"/>
    <cellStyle name="표준 13 6 2 7 2" xfId="17706"/>
    <cellStyle name="표준 13 6 2 7 2 2" xfId="38582"/>
    <cellStyle name="표준 13 6 2 7 3" xfId="29844"/>
    <cellStyle name="표준 13 6 2 8" xfId="9526"/>
    <cellStyle name="표준 13 6 2 8 2" xfId="18524"/>
    <cellStyle name="표준 13 6 2 8 2 2" xfId="39400"/>
    <cellStyle name="표준 13 6 2 8 3" xfId="30662"/>
    <cellStyle name="표준 13 6 2 9" xfId="10581"/>
    <cellStyle name="표준 13 6 2 9 2" xfId="19352"/>
    <cellStyle name="표준 13 6 2 9 2 2" xfId="40228"/>
    <cellStyle name="표준 13 6 2 9 3" xfId="31492"/>
    <cellStyle name="표준 13 6 3" xfId="3360"/>
    <cellStyle name="표준 13 6 3 10" xfId="12823"/>
    <cellStyle name="표준 13 6 3 10 2" xfId="33700"/>
    <cellStyle name="표준 13 6 3 11" xfId="24950"/>
    <cellStyle name="표준 13 6 3 2" xfId="4953"/>
    <cellStyle name="표준 13 6 3 2 2" xfId="6780"/>
    <cellStyle name="표준 13 6 3 2 2 2" xfId="15789"/>
    <cellStyle name="표준 13 6 3 2 2 2 2" xfId="36665"/>
    <cellStyle name="표준 13 6 3 2 2 3" xfId="27927"/>
    <cellStyle name="표준 13 6 3 2 3" xfId="13971"/>
    <cellStyle name="표준 13 6 3 2 3 2" xfId="34847"/>
    <cellStyle name="표준 13 6 3 2 4" xfId="26109"/>
    <cellStyle name="표준 13 6 3 3" xfId="5633"/>
    <cellStyle name="표준 13 6 3 3 2" xfId="14642"/>
    <cellStyle name="표준 13 6 3 3 2 2" xfId="35518"/>
    <cellStyle name="표준 13 6 3 3 3" xfId="26780"/>
    <cellStyle name="표준 13 6 3 4" xfId="7426"/>
    <cellStyle name="표준 13 6 3 4 2" xfId="16433"/>
    <cellStyle name="표준 13 6 3 4 2 2" xfId="37309"/>
    <cellStyle name="표준 13 6 3 4 3" xfId="28571"/>
    <cellStyle name="표준 13 6 3 5" xfId="8070"/>
    <cellStyle name="표준 13 6 3 5 2" xfId="17076"/>
    <cellStyle name="표준 13 6 3 5 2 2" xfId="37952"/>
    <cellStyle name="표준 13 6 3 5 3" xfId="29214"/>
    <cellStyle name="표준 13 6 3 6" xfId="8918"/>
    <cellStyle name="표준 13 6 3 6 2" xfId="17923"/>
    <cellStyle name="표준 13 6 3 6 2 2" xfId="38799"/>
    <cellStyle name="표준 13 6 3 6 3" xfId="30061"/>
    <cellStyle name="표준 13 6 3 7" xfId="9743"/>
    <cellStyle name="표준 13 6 3 7 2" xfId="18741"/>
    <cellStyle name="표준 13 6 3 7 2 2" xfId="39617"/>
    <cellStyle name="표준 13 6 3 7 3" xfId="30879"/>
    <cellStyle name="표준 13 6 3 8" xfId="10798"/>
    <cellStyle name="표준 13 6 3 8 2" xfId="19569"/>
    <cellStyle name="표준 13 6 3 8 2 2" xfId="40445"/>
    <cellStyle name="표준 13 6 3 8 3" xfId="31709"/>
    <cellStyle name="표준 13 6 3 9" xfId="11664"/>
    <cellStyle name="표준 13 6 3 9 2" xfId="20430"/>
    <cellStyle name="표준 13 6 3 9 2 2" xfId="41306"/>
    <cellStyle name="표준 13 6 3 9 3" xfId="32570"/>
    <cellStyle name="표준 13 6 4" xfId="4519"/>
    <cellStyle name="표준 13 6 4 2" xfId="6353"/>
    <cellStyle name="표준 13 6 4 2 2" xfId="15362"/>
    <cellStyle name="표준 13 6 4 2 2 2" xfId="36238"/>
    <cellStyle name="표준 13 6 4 2 3" xfId="27500"/>
    <cellStyle name="표준 13 6 4 3" xfId="11016"/>
    <cellStyle name="표준 13 6 4 3 2" xfId="19786"/>
    <cellStyle name="표준 13 6 4 3 2 2" xfId="40662"/>
    <cellStyle name="표준 13 6 4 3 3" xfId="31926"/>
    <cellStyle name="표준 13 6 4 4" xfId="11881"/>
    <cellStyle name="표준 13 6 4 4 2" xfId="20647"/>
    <cellStyle name="표준 13 6 4 4 2 2" xfId="41523"/>
    <cellStyle name="표준 13 6 4 4 3" xfId="32787"/>
    <cellStyle name="표준 13 6 4 5" xfId="13544"/>
    <cellStyle name="표준 13 6 4 5 2" xfId="34420"/>
    <cellStyle name="표준 13 6 4 6" xfId="25682"/>
    <cellStyle name="표준 13 6 5" xfId="5196"/>
    <cellStyle name="표준 13 6 5 2" xfId="14205"/>
    <cellStyle name="표준 13 6 5 2 2" xfId="35081"/>
    <cellStyle name="표준 13 6 5 3" xfId="26343"/>
    <cellStyle name="표준 13 6 6" xfId="6998"/>
    <cellStyle name="표준 13 6 6 2" xfId="16006"/>
    <cellStyle name="표준 13 6 6 2 2" xfId="36882"/>
    <cellStyle name="표준 13 6 6 3" xfId="28144"/>
    <cellStyle name="표준 13 6 7" xfId="7643"/>
    <cellStyle name="표준 13 6 7 2" xfId="16649"/>
    <cellStyle name="표준 13 6 7 2 2" xfId="37525"/>
    <cellStyle name="표준 13 6 7 3" xfId="28787"/>
    <cellStyle name="표준 13 6 8" xfId="8491"/>
    <cellStyle name="표준 13 6 8 2" xfId="17496"/>
    <cellStyle name="표준 13 6 8 2 2" xfId="38372"/>
    <cellStyle name="표준 13 6 8 3" xfId="29634"/>
    <cellStyle name="표준 13 6 9" xfId="9315"/>
    <cellStyle name="표준 13 6 9 2" xfId="18314"/>
    <cellStyle name="표준 13 6 9 2 2" xfId="39190"/>
    <cellStyle name="표준 13 6 9 3" xfId="30452"/>
    <cellStyle name="표준 13 7" xfId="2911"/>
    <cellStyle name="표준 13 7 10" xfId="10372"/>
    <cellStyle name="표준 13 7 10 2" xfId="19143"/>
    <cellStyle name="표준 13 7 10 2 2" xfId="40019"/>
    <cellStyle name="표준 13 7 10 3" xfId="31283"/>
    <cellStyle name="표준 13 7 11" xfId="11238"/>
    <cellStyle name="표준 13 7 11 2" xfId="20004"/>
    <cellStyle name="표준 13 7 11 2 2" xfId="40880"/>
    <cellStyle name="표준 13 7 11 3" xfId="32144"/>
    <cellStyle name="표준 13 7 12" xfId="12386"/>
    <cellStyle name="표준 13 7 12 2" xfId="33264"/>
    <cellStyle name="표준 13 7 13" xfId="24514"/>
    <cellStyle name="표준 13 7 2" xfId="3129"/>
    <cellStyle name="표준 13 7 2 10" xfId="11448"/>
    <cellStyle name="표준 13 7 2 10 2" xfId="20214"/>
    <cellStyle name="표준 13 7 2 10 2 2" xfId="41090"/>
    <cellStyle name="표준 13 7 2 10 3" xfId="32354"/>
    <cellStyle name="표준 13 7 2 11" xfId="12597"/>
    <cellStyle name="표준 13 7 2 11 2" xfId="33474"/>
    <cellStyle name="표준 13 7 2 12" xfId="24724"/>
    <cellStyle name="표준 13 7 2 2" xfId="3571"/>
    <cellStyle name="표준 13 7 2 2 2" xfId="5844"/>
    <cellStyle name="표준 13 7 2 2 2 2" xfId="14853"/>
    <cellStyle name="표준 13 7 2 2 2 2 2" xfId="35729"/>
    <cellStyle name="표준 13 7 2 2 2 3" xfId="26991"/>
    <cellStyle name="표준 13 7 2 2 3" xfId="13034"/>
    <cellStyle name="표준 13 7 2 2 3 2" xfId="33911"/>
    <cellStyle name="표준 13 7 2 2 4" xfId="25161"/>
    <cellStyle name="표준 13 7 2 3" xfId="4732"/>
    <cellStyle name="표준 13 7 2 3 2" xfId="6564"/>
    <cellStyle name="표준 13 7 2 3 2 2" xfId="15573"/>
    <cellStyle name="표준 13 7 2 3 2 2 2" xfId="36449"/>
    <cellStyle name="표준 13 7 2 3 2 3" xfId="27711"/>
    <cellStyle name="표준 13 7 2 3 3" xfId="13755"/>
    <cellStyle name="표준 13 7 2 3 3 2" xfId="34631"/>
    <cellStyle name="표준 13 7 2 3 4" xfId="25893"/>
    <cellStyle name="표준 13 7 2 4" xfId="5407"/>
    <cellStyle name="표준 13 7 2 4 2" xfId="14416"/>
    <cellStyle name="표준 13 7 2 4 2 2" xfId="35292"/>
    <cellStyle name="표준 13 7 2 4 3" xfId="26554"/>
    <cellStyle name="표준 13 7 2 5" xfId="7210"/>
    <cellStyle name="표준 13 7 2 5 2" xfId="16217"/>
    <cellStyle name="표준 13 7 2 5 2 2" xfId="37093"/>
    <cellStyle name="표준 13 7 2 5 3" xfId="28355"/>
    <cellStyle name="표준 13 7 2 6" xfId="7854"/>
    <cellStyle name="표준 13 7 2 6 2" xfId="16860"/>
    <cellStyle name="표준 13 7 2 6 2 2" xfId="37736"/>
    <cellStyle name="표준 13 7 2 6 3" xfId="28998"/>
    <cellStyle name="표준 13 7 2 7" xfId="8702"/>
    <cellStyle name="표준 13 7 2 7 2" xfId="17707"/>
    <cellStyle name="표준 13 7 2 7 2 2" xfId="38583"/>
    <cellStyle name="표준 13 7 2 7 3" xfId="29845"/>
    <cellStyle name="표준 13 7 2 8" xfId="9527"/>
    <cellStyle name="표준 13 7 2 8 2" xfId="18525"/>
    <cellStyle name="표준 13 7 2 8 2 2" xfId="39401"/>
    <cellStyle name="표준 13 7 2 8 3" xfId="30663"/>
    <cellStyle name="표준 13 7 2 9" xfId="10582"/>
    <cellStyle name="표준 13 7 2 9 2" xfId="19353"/>
    <cellStyle name="표준 13 7 2 9 2 2" xfId="40229"/>
    <cellStyle name="표준 13 7 2 9 3" xfId="31493"/>
    <cellStyle name="표준 13 7 3" xfId="3361"/>
    <cellStyle name="표준 13 7 3 10" xfId="12824"/>
    <cellStyle name="표준 13 7 3 10 2" xfId="33701"/>
    <cellStyle name="표준 13 7 3 11" xfId="24951"/>
    <cellStyle name="표준 13 7 3 2" xfId="4954"/>
    <cellStyle name="표준 13 7 3 2 2" xfId="6781"/>
    <cellStyle name="표준 13 7 3 2 2 2" xfId="15790"/>
    <cellStyle name="표준 13 7 3 2 2 2 2" xfId="36666"/>
    <cellStyle name="표준 13 7 3 2 2 3" xfId="27928"/>
    <cellStyle name="표준 13 7 3 2 3" xfId="13972"/>
    <cellStyle name="표준 13 7 3 2 3 2" xfId="34848"/>
    <cellStyle name="표준 13 7 3 2 4" xfId="26110"/>
    <cellStyle name="표준 13 7 3 3" xfId="5634"/>
    <cellStyle name="표준 13 7 3 3 2" xfId="14643"/>
    <cellStyle name="표준 13 7 3 3 2 2" xfId="35519"/>
    <cellStyle name="표준 13 7 3 3 3" xfId="26781"/>
    <cellStyle name="표준 13 7 3 4" xfId="7427"/>
    <cellStyle name="표준 13 7 3 4 2" xfId="16434"/>
    <cellStyle name="표준 13 7 3 4 2 2" xfId="37310"/>
    <cellStyle name="표준 13 7 3 4 3" xfId="28572"/>
    <cellStyle name="표준 13 7 3 5" xfId="8071"/>
    <cellStyle name="표준 13 7 3 5 2" xfId="17077"/>
    <cellStyle name="표준 13 7 3 5 2 2" xfId="37953"/>
    <cellStyle name="표준 13 7 3 5 3" xfId="29215"/>
    <cellStyle name="표준 13 7 3 6" xfId="8919"/>
    <cellStyle name="표준 13 7 3 6 2" xfId="17924"/>
    <cellStyle name="표준 13 7 3 6 2 2" xfId="38800"/>
    <cellStyle name="표준 13 7 3 6 3" xfId="30062"/>
    <cellStyle name="표준 13 7 3 7" xfId="9744"/>
    <cellStyle name="표준 13 7 3 7 2" xfId="18742"/>
    <cellStyle name="표준 13 7 3 7 2 2" xfId="39618"/>
    <cellStyle name="표준 13 7 3 7 3" xfId="30880"/>
    <cellStyle name="표준 13 7 3 8" xfId="10799"/>
    <cellStyle name="표준 13 7 3 8 2" xfId="19570"/>
    <cellStyle name="표준 13 7 3 8 2 2" xfId="40446"/>
    <cellStyle name="표준 13 7 3 8 3" xfId="31710"/>
    <cellStyle name="표준 13 7 3 9" xfId="11665"/>
    <cellStyle name="표준 13 7 3 9 2" xfId="20431"/>
    <cellStyle name="표준 13 7 3 9 2 2" xfId="41307"/>
    <cellStyle name="표준 13 7 3 9 3" xfId="32571"/>
    <cellStyle name="표준 13 7 4" xfId="4520"/>
    <cellStyle name="표준 13 7 4 2" xfId="6354"/>
    <cellStyle name="표준 13 7 4 2 2" xfId="15363"/>
    <cellStyle name="표준 13 7 4 2 2 2" xfId="36239"/>
    <cellStyle name="표준 13 7 4 2 3" xfId="27501"/>
    <cellStyle name="표준 13 7 4 3" xfId="11017"/>
    <cellStyle name="표준 13 7 4 3 2" xfId="19787"/>
    <cellStyle name="표준 13 7 4 3 2 2" xfId="40663"/>
    <cellStyle name="표준 13 7 4 3 3" xfId="31927"/>
    <cellStyle name="표준 13 7 4 4" xfId="11882"/>
    <cellStyle name="표준 13 7 4 4 2" xfId="20648"/>
    <cellStyle name="표준 13 7 4 4 2 2" xfId="41524"/>
    <cellStyle name="표준 13 7 4 4 3" xfId="32788"/>
    <cellStyle name="표준 13 7 4 5" xfId="13545"/>
    <cellStyle name="표준 13 7 4 5 2" xfId="34421"/>
    <cellStyle name="표준 13 7 4 6" xfId="25683"/>
    <cellStyle name="표준 13 7 5" xfId="5197"/>
    <cellStyle name="표준 13 7 5 2" xfId="14206"/>
    <cellStyle name="표준 13 7 5 2 2" xfId="35082"/>
    <cellStyle name="표준 13 7 5 3" xfId="26344"/>
    <cellStyle name="표준 13 7 6" xfId="6999"/>
    <cellStyle name="표준 13 7 6 2" xfId="16007"/>
    <cellStyle name="표준 13 7 6 2 2" xfId="36883"/>
    <cellStyle name="표준 13 7 6 3" xfId="28145"/>
    <cellStyle name="표준 13 7 7" xfId="7644"/>
    <cellStyle name="표준 13 7 7 2" xfId="16650"/>
    <cellStyle name="표준 13 7 7 2 2" xfId="37526"/>
    <cellStyle name="표준 13 7 7 3" xfId="28788"/>
    <cellStyle name="표준 13 7 8" xfId="8492"/>
    <cellStyle name="표준 13 7 8 2" xfId="17497"/>
    <cellStyle name="표준 13 7 8 2 2" xfId="38373"/>
    <cellStyle name="표준 13 7 8 3" xfId="29635"/>
    <cellStyle name="표준 13 7 9" xfId="9316"/>
    <cellStyle name="표준 13 7 9 2" xfId="18315"/>
    <cellStyle name="표준 13 7 9 2 2" xfId="39191"/>
    <cellStyle name="표준 13 7 9 3" xfId="30453"/>
    <cellStyle name="표준 13 8" xfId="3123"/>
    <cellStyle name="표준 13 8 10" xfId="11442"/>
    <cellStyle name="표준 13 8 10 2" xfId="20208"/>
    <cellStyle name="표준 13 8 10 2 2" xfId="41084"/>
    <cellStyle name="표준 13 8 10 3" xfId="32348"/>
    <cellStyle name="표준 13 8 11" xfId="12591"/>
    <cellStyle name="표준 13 8 11 2" xfId="33468"/>
    <cellStyle name="표준 13 8 12" xfId="24718"/>
    <cellStyle name="표준 13 8 2" xfId="3565"/>
    <cellStyle name="표준 13 8 2 2" xfId="5838"/>
    <cellStyle name="표준 13 8 2 2 2" xfId="14847"/>
    <cellStyle name="표준 13 8 2 2 2 2" xfId="35723"/>
    <cellStyle name="표준 13 8 2 2 3" xfId="26985"/>
    <cellStyle name="표준 13 8 2 3" xfId="13028"/>
    <cellStyle name="표준 13 8 2 3 2" xfId="33905"/>
    <cellStyle name="표준 13 8 2 4" xfId="25155"/>
    <cellStyle name="표준 13 8 3" xfId="4726"/>
    <cellStyle name="표준 13 8 3 2" xfId="6558"/>
    <cellStyle name="표준 13 8 3 2 2" xfId="15567"/>
    <cellStyle name="표준 13 8 3 2 2 2" xfId="36443"/>
    <cellStyle name="표준 13 8 3 2 3" xfId="27705"/>
    <cellStyle name="표준 13 8 3 3" xfId="13749"/>
    <cellStyle name="표준 13 8 3 3 2" xfId="34625"/>
    <cellStyle name="표준 13 8 3 4" xfId="25887"/>
    <cellStyle name="표준 13 8 4" xfId="5401"/>
    <cellStyle name="표준 13 8 4 2" xfId="14410"/>
    <cellStyle name="표준 13 8 4 2 2" xfId="35286"/>
    <cellStyle name="표준 13 8 4 3" xfId="26548"/>
    <cellStyle name="표준 13 8 5" xfId="7204"/>
    <cellStyle name="표준 13 8 5 2" xfId="16211"/>
    <cellStyle name="표준 13 8 5 2 2" xfId="37087"/>
    <cellStyle name="표준 13 8 5 3" xfId="28349"/>
    <cellStyle name="표준 13 8 6" xfId="7848"/>
    <cellStyle name="표준 13 8 6 2" xfId="16854"/>
    <cellStyle name="표준 13 8 6 2 2" xfId="37730"/>
    <cellStyle name="표준 13 8 6 3" xfId="28992"/>
    <cellStyle name="표준 13 8 7" xfId="8696"/>
    <cellStyle name="표준 13 8 7 2" xfId="17701"/>
    <cellStyle name="표준 13 8 7 2 2" xfId="38577"/>
    <cellStyle name="표준 13 8 7 3" xfId="29839"/>
    <cellStyle name="표준 13 8 8" xfId="9521"/>
    <cellStyle name="표준 13 8 8 2" xfId="18519"/>
    <cellStyle name="표준 13 8 8 2 2" xfId="39395"/>
    <cellStyle name="표준 13 8 8 3" xfId="30657"/>
    <cellStyle name="표준 13 8 9" xfId="10576"/>
    <cellStyle name="표준 13 8 9 2" xfId="19347"/>
    <cellStyle name="표준 13 8 9 2 2" xfId="40223"/>
    <cellStyle name="표준 13 8 9 3" xfId="31487"/>
    <cellStyle name="표준 13 9" xfId="3355"/>
    <cellStyle name="표준 13 9 10" xfId="12818"/>
    <cellStyle name="표준 13 9 10 2" xfId="33695"/>
    <cellStyle name="표준 13 9 11" xfId="24945"/>
    <cellStyle name="표준 13 9 2" xfId="4948"/>
    <cellStyle name="표준 13 9 2 2" xfId="6775"/>
    <cellStyle name="표준 13 9 2 2 2" xfId="15784"/>
    <cellStyle name="표준 13 9 2 2 2 2" xfId="36660"/>
    <cellStyle name="표준 13 9 2 2 3" xfId="27922"/>
    <cellStyle name="표준 13 9 2 3" xfId="13966"/>
    <cellStyle name="표준 13 9 2 3 2" xfId="34842"/>
    <cellStyle name="표준 13 9 2 4" xfId="26104"/>
    <cellStyle name="표준 13 9 3" xfId="5628"/>
    <cellStyle name="표준 13 9 3 2" xfId="14637"/>
    <cellStyle name="표준 13 9 3 2 2" xfId="35513"/>
    <cellStyle name="표준 13 9 3 3" xfId="26775"/>
    <cellStyle name="표준 13 9 4" xfId="7421"/>
    <cellStyle name="표준 13 9 4 2" xfId="16428"/>
    <cellStyle name="표준 13 9 4 2 2" xfId="37304"/>
    <cellStyle name="표준 13 9 4 3" xfId="28566"/>
    <cellStyle name="표준 13 9 5" xfId="8065"/>
    <cellStyle name="표준 13 9 5 2" xfId="17071"/>
    <cellStyle name="표준 13 9 5 2 2" xfId="37947"/>
    <cellStyle name="표준 13 9 5 3" xfId="29209"/>
    <cellStyle name="표준 13 9 6" xfId="8913"/>
    <cellStyle name="표준 13 9 6 2" xfId="17918"/>
    <cellStyle name="표준 13 9 6 2 2" xfId="38794"/>
    <cellStyle name="표준 13 9 6 3" xfId="30056"/>
    <cellStyle name="표준 13 9 7" xfId="9738"/>
    <cellStyle name="표준 13 9 7 2" xfId="18736"/>
    <cellStyle name="표준 13 9 7 2 2" xfId="39612"/>
    <cellStyle name="표준 13 9 7 3" xfId="30874"/>
    <cellStyle name="표준 13 9 8" xfId="10793"/>
    <cellStyle name="표준 13 9 8 2" xfId="19564"/>
    <cellStyle name="표준 13 9 8 2 2" xfId="40440"/>
    <cellStyle name="표준 13 9 8 3" xfId="31704"/>
    <cellStyle name="표준 13 9 9" xfId="11659"/>
    <cellStyle name="표준 13 9 9 2" xfId="20425"/>
    <cellStyle name="표준 13 9 9 2 2" xfId="41301"/>
    <cellStyle name="표준 13 9 9 3" xfId="32565"/>
    <cellStyle name="표준 14" xfId="2912"/>
    <cellStyle name="표준 14 10" xfId="4521"/>
    <cellStyle name="표준 14 10 2" xfId="6355"/>
    <cellStyle name="표준 14 10 2 2" xfId="15364"/>
    <cellStyle name="표준 14 10 2 2 2" xfId="36240"/>
    <cellStyle name="표준 14 10 2 3" xfId="27502"/>
    <cellStyle name="표준 14 10 3" xfId="11018"/>
    <cellStyle name="표준 14 10 3 2" xfId="19788"/>
    <cellStyle name="표준 14 10 3 2 2" xfId="40664"/>
    <cellStyle name="표준 14 10 3 3" xfId="31928"/>
    <cellStyle name="표준 14 10 4" xfId="11883"/>
    <cellStyle name="표준 14 10 4 2" xfId="20649"/>
    <cellStyle name="표준 14 10 4 2 2" xfId="41525"/>
    <cellStyle name="표준 14 10 4 3" xfId="32789"/>
    <cellStyle name="표준 14 10 5" xfId="13546"/>
    <cellStyle name="표준 14 10 5 2" xfId="34422"/>
    <cellStyle name="표준 14 10 6" xfId="25684"/>
    <cellStyle name="표준 14 11" xfId="5198"/>
    <cellStyle name="표준 14 11 2" xfId="14207"/>
    <cellStyle name="표준 14 11 2 2" xfId="35083"/>
    <cellStyle name="표준 14 11 3" xfId="26345"/>
    <cellStyle name="표준 14 12" xfId="7000"/>
    <cellStyle name="표준 14 12 2" xfId="16008"/>
    <cellStyle name="표준 14 12 2 2" xfId="36884"/>
    <cellStyle name="표준 14 12 3" xfId="28146"/>
    <cellStyle name="표준 14 13" xfId="7645"/>
    <cellStyle name="표준 14 13 2" xfId="16651"/>
    <cellStyle name="표준 14 13 2 2" xfId="37527"/>
    <cellStyle name="표준 14 13 3" xfId="28789"/>
    <cellStyle name="표준 14 14" xfId="8493"/>
    <cellStyle name="표준 14 14 2" xfId="17498"/>
    <cellStyle name="표준 14 14 2 2" xfId="38374"/>
    <cellStyle name="표준 14 14 3" xfId="29636"/>
    <cellStyle name="표준 14 15" xfId="9317"/>
    <cellStyle name="표준 14 15 2" xfId="18316"/>
    <cellStyle name="표준 14 15 2 2" xfId="39192"/>
    <cellStyle name="표준 14 15 3" xfId="30454"/>
    <cellStyle name="표준 14 16" xfId="9974"/>
    <cellStyle name="표준 14 17" xfId="10373"/>
    <cellStyle name="표준 14 17 2" xfId="19144"/>
    <cellStyle name="표준 14 17 2 2" xfId="40020"/>
    <cellStyle name="표준 14 17 3" xfId="31284"/>
    <cellStyle name="표준 14 18" xfId="11239"/>
    <cellStyle name="표준 14 18 2" xfId="20005"/>
    <cellStyle name="표준 14 18 2 2" xfId="40881"/>
    <cellStyle name="표준 14 18 3" xfId="32145"/>
    <cellStyle name="표준 14 19" xfId="12387"/>
    <cellStyle name="표준 14 19 2" xfId="33265"/>
    <cellStyle name="표준 14 2" xfId="2913"/>
    <cellStyle name="표준 14 2 10" xfId="10374"/>
    <cellStyle name="표준 14 2 10 2" xfId="19145"/>
    <cellStyle name="표준 14 2 10 2 2" xfId="40021"/>
    <cellStyle name="표준 14 2 10 3" xfId="31285"/>
    <cellStyle name="표준 14 2 11" xfId="11240"/>
    <cellStyle name="표준 14 2 11 2" xfId="20006"/>
    <cellStyle name="표준 14 2 11 2 2" xfId="40882"/>
    <cellStyle name="표준 14 2 11 3" xfId="32146"/>
    <cellStyle name="표준 14 2 12" xfId="12388"/>
    <cellStyle name="표준 14 2 12 2" xfId="33266"/>
    <cellStyle name="표준 14 2 13" xfId="24516"/>
    <cellStyle name="표준 14 2 2" xfId="3131"/>
    <cellStyle name="표준 14 2 2 10" xfId="11450"/>
    <cellStyle name="표준 14 2 2 10 2" xfId="20216"/>
    <cellStyle name="표준 14 2 2 10 2 2" xfId="41092"/>
    <cellStyle name="표준 14 2 2 10 3" xfId="32356"/>
    <cellStyle name="표준 14 2 2 11" xfId="12599"/>
    <cellStyle name="표준 14 2 2 11 2" xfId="33476"/>
    <cellStyle name="표준 14 2 2 12" xfId="24726"/>
    <cellStyle name="표준 14 2 2 2" xfId="3573"/>
    <cellStyle name="표준 14 2 2 2 2" xfId="5846"/>
    <cellStyle name="표준 14 2 2 2 2 2" xfId="14855"/>
    <cellStyle name="표준 14 2 2 2 2 2 2" xfId="35731"/>
    <cellStyle name="표준 14 2 2 2 2 3" xfId="26993"/>
    <cellStyle name="표준 14 2 2 2 3" xfId="13036"/>
    <cellStyle name="표준 14 2 2 2 3 2" xfId="33913"/>
    <cellStyle name="표준 14 2 2 2 4" xfId="25163"/>
    <cellStyle name="표준 14 2 2 3" xfId="4734"/>
    <cellStyle name="표준 14 2 2 3 2" xfId="6566"/>
    <cellStyle name="표준 14 2 2 3 2 2" xfId="15575"/>
    <cellStyle name="표준 14 2 2 3 2 2 2" xfId="36451"/>
    <cellStyle name="표준 14 2 2 3 2 3" xfId="27713"/>
    <cellStyle name="표준 14 2 2 3 3" xfId="13757"/>
    <cellStyle name="표준 14 2 2 3 3 2" xfId="34633"/>
    <cellStyle name="표준 14 2 2 3 4" xfId="25895"/>
    <cellStyle name="표준 14 2 2 4" xfId="5409"/>
    <cellStyle name="표준 14 2 2 4 2" xfId="14418"/>
    <cellStyle name="표준 14 2 2 4 2 2" xfId="35294"/>
    <cellStyle name="표준 14 2 2 4 3" xfId="26556"/>
    <cellStyle name="표준 14 2 2 5" xfId="7212"/>
    <cellStyle name="표준 14 2 2 5 2" xfId="16219"/>
    <cellStyle name="표준 14 2 2 5 2 2" xfId="37095"/>
    <cellStyle name="표준 14 2 2 5 3" xfId="28357"/>
    <cellStyle name="표준 14 2 2 6" xfId="7856"/>
    <cellStyle name="표준 14 2 2 6 2" xfId="16862"/>
    <cellStyle name="표준 14 2 2 6 2 2" xfId="37738"/>
    <cellStyle name="표준 14 2 2 6 3" xfId="29000"/>
    <cellStyle name="표준 14 2 2 7" xfId="8704"/>
    <cellStyle name="표준 14 2 2 7 2" xfId="17709"/>
    <cellStyle name="표준 14 2 2 7 2 2" xfId="38585"/>
    <cellStyle name="표준 14 2 2 7 3" xfId="29847"/>
    <cellStyle name="표준 14 2 2 8" xfId="9529"/>
    <cellStyle name="표준 14 2 2 8 2" xfId="18527"/>
    <cellStyle name="표준 14 2 2 8 2 2" xfId="39403"/>
    <cellStyle name="표준 14 2 2 8 3" xfId="30665"/>
    <cellStyle name="표준 14 2 2 9" xfId="10584"/>
    <cellStyle name="표준 14 2 2 9 2" xfId="19355"/>
    <cellStyle name="표준 14 2 2 9 2 2" xfId="40231"/>
    <cellStyle name="표준 14 2 2 9 3" xfId="31495"/>
    <cellStyle name="표준 14 2 3" xfId="3363"/>
    <cellStyle name="표준 14 2 3 10" xfId="12826"/>
    <cellStyle name="표준 14 2 3 10 2" xfId="33703"/>
    <cellStyle name="표준 14 2 3 11" xfId="24953"/>
    <cellStyle name="표준 14 2 3 2" xfId="4956"/>
    <cellStyle name="표준 14 2 3 2 2" xfId="6783"/>
    <cellStyle name="표준 14 2 3 2 2 2" xfId="15792"/>
    <cellStyle name="표준 14 2 3 2 2 2 2" xfId="36668"/>
    <cellStyle name="표준 14 2 3 2 2 3" xfId="27930"/>
    <cellStyle name="표준 14 2 3 2 3" xfId="13974"/>
    <cellStyle name="표준 14 2 3 2 3 2" xfId="34850"/>
    <cellStyle name="표준 14 2 3 2 4" xfId="26112"/>
    <cellStyle name="표준 14 2 3 3" xfId="5636"/>
    <cellStyle name="표준 14 2 3 3 2" xfId="14645"/>
    <cellStyle name="표준 14 2 3 3 2 2" xfId="35521"/>
    <cellStyle name="표준 14 2 3 3 3" xfId="26783"/>
    <cellStyle name="표준 14 2 3 4" xfId="7429"/>
    <cellStyle name="표준 14 2 3 4 2" xfId="16436"/>
    <cellStyle name="표준 14 2 3 4 2 2" xfId="37312"/>
    <cellStyle name="표준 14 2 3 4 3" xfId="28574"/>
    <cellStyle name="표준 14 2 3 5" xfId="8073"/>
    <cellStyle name="표준 14 2 3 5 2" xfId="17079"/>
    <cellStyle name="표준 14 2 3 5 2 2" xfId="37955"/>
    <cellStyle name="표준 14 2 3 5 3" xfId="29217"/>
    <cellStyle name="표준 14 2 3 6" xfId="8921"/>
    <cellStyle name="표준 14 2 3 6 2" xfId="17926"/>
    <cellStyle name="표준 14 2 3 6 2 2" xfId="38802"/>
    <cellStyle name="표준 14 2 3 6 3" xfId="30064"/>
    <cellStyle name="표준 14 2 3 7" xfId="9746"/>
    <cellStyle name="표준 14 2 3 7 2" xfId="18744"/>
    <cellStyle name="표준 14 2 3 7 2 2" xfId="39620"/>
    <cellStyle name="표준 14 2 3 7 3" xfId="30882"/>
    <cellStyle name="표준 14 2 3 8" xfId="10801"/>
    <cellStyle name="표준 14 2 3 8 2" xfId="19572"/>
    <cellStyle name="표준 14 2 3 8 2 2" xfId="40448"/>
    <cellStyle name="표준 14 2 3 8 3" xfId="31712"/>
    <cellStyle name="표준 14 2 3 9" xfId="11667"/>
    <cellStyle name="표준 14 2 3 9 2" xfId="20433"/>
    <cellStyle name="표준 14 2 3 9 2 2" xfId="41309"/>
    <cellStyle name="표준 14 2 3 9 3" xfId="32573"/>
    <cellStyle name="표준 14 2 4" xfId="4522"/>
    <cellStyle name="표준 14 2 4 2" xfId="6356"/>
    <cellStyle name="표준 14 2 4 2 2" xfId="15365"/>
    <cellStyle name="표준 14 2 4 2 2 2" xfId="36241"/>
    <cellStyle name="표준 14 2 4 2 3" xfId="27503"/>
    <cellStyle name="표준 14 2 4 3" xfId="11019"/>
    <cellStyle name="표준 14 2 4 3 2" xfId="19789"/>
    <cellStyle name="표준 14 2 4 3 2 2" xfId="40665"/>
    <cellStyle name="표준 14 2 4 3 3" xfId="31929"/>
    <cellStyle name="표준 14 2 4 4" xfId="11884"/>
    <cellStyle name="표준 14 2 4 4 2" xfId="20650"/>
    <cellStyle name="표준 14 2 4 4 2 2" xfId="41526"/>
    <cellStyle name="표준 14 2 4 4 3" xfId="32790"/>
    <cellStyle name="표준 14 2 4 5" xfId="13547"/>
    <cellStyle name="표준 14 2 4 5 2" xfId="34423"/>
    <cellStyle name="표준 14 2 4 6" xfId="25685"/>
    <cellStyle name="표준 14 2 5" xfId="5199"/>
    <cellStyle name="표준 14 2 5 2" xfId="14208"/>
    <cellStyle name="표준 14 2 5 2 2" xfId="35084"/>
    <cellStyle name="표준 14 2 5 3" xfId="26346"/>
    <cellStyle name="표준 14 2 6" xfId="7001"/>
    <cellStyle name="표준 14 2 6 2" xfId="16009"/>
    <cellStyle name="표준 14 2 6 2 2" xfId="36885"/>
    <cellStyle name="표준 14 2 6 3" xfId="28147"/>
    <cellStyle name="표준 14 2 7" xfId="7646"/>
    <cellStyle name="표준 14 2 7 2" xfId="16652"/>
    <cellStyle name="표준 14 2 7 2 2" xfId="37528"/>
    <cellStyle name="표준 14 2 7 3" xfId="28790"/>
    <cellStyle name="표준 14 2 8" xfId="8494"/>
    <cellStyle name="표준 14 2 8 2" xfId="17499"/>
    <cellStyle name="표준 14 2 8 2 2" xfId="38375"/>
    <cellStyle name="표준 14 2 8 3" xfId="29637"/>
    <cellStyle name="표준 14 2 9" xfId="9318"/>
    <cellStyle name="표준 14 2 9 2" xfId="18317"/>
    <cellStyle name="표준 14 2 9 2 2" xfId="39193"/>
    <cellStyle name="표준 14 2 9 3" xfId="30455"/>
    <cellStyle name="표준 14 20" xfId="24515"/>
    <cellStyle name="표준 14 3" xfId="2914"/>
    <cellStyle name="표준 14 3 10" xfId="10375"/>
    <cellStyle name="표준 14 3 10 2" xfId="19146"/>
    <cellStyle name="표준 14 3 10 2 2" xfId="40022"/>
    <cellStyle name="표준 14 3 10 3" xfId="31286"/>
    <cellStyle name="표준 14 3 11" xfId="11241"/>
    <cellStyle name="표준 14 3 11 2" xfId="20007"/>
    <cellStyle name="표준 14 3 11 2 2" xfId="40883"/>
    <cellStyle name="표준 14 3 11 3" xfId="32147"/>
    <cellStyle name="표준 14 3 12" xfId="12389"/>
    <cellStyle name="표준 14 3 12 2" xfId="33267"/>
    <cellStyle name="표준 14 3 13" xfId="24517"/>
    <cellStyle name="표준 14 3 2" xfId="3132"/>
    <cellStyle name="표준 14 3 2 10" xfId="11451"/>
    <cellStyle name="표준 14 3 2 10 2" xfId="20217"/>
    <cellStyle name="표준 14 3 2 10 2 2" xfId="41093"/>
    <cellStyle name="표준 14 3 2 10 3" xfId="32357"/>
    <cellStyle name="표준 14 3 2 11" xfId="12600"/>
    <cellStyle name="표준 14 3 2 11 2" xfId="33477"/>
    <cellStyle name="표준 14 3 2 12" xfId="24727"/>
    <cellStyle name="표준 14 3 2 2" xfId="3574"/>
    <cellStyle name="표준 14 3 2 2 2" xfId="5847"/>
    <cellStyle name="표준 14 3 2 2 2 2" xfId="14856"/>
    <cellStyle name="표준 14 3 2 2 2 2 2" xfId="35732"/>
    <cellStyle name="표준 14 3 2 2 2 3" xfId="26994"/>
    <cellStyle name="표준 14 3 2 2 3" xfId="13037"/>
    <cellStyle name="표준 14 3 2 2 3 2" xfId="33914"/>
    <cellStyle name="표준 14 3 2 2 4" xfId="25164"/>
    <cellStyle name="표준 14 3 2 3" xfId="4735"/>
    <cellStyle name="표준 14 3 2 3 2" xfId="6567"/>
    <cellStyle name="표준 14 3 2 3 2 2" xfId="15576"/>
    <cellStyle name="표준 14 3 2 3 2 2 2" xfId="36452"/>
    <cellStyle name="표준 14 3 2 3 2 3" xfId="27714"/>
    <cellStyle name="표준 14 3 2 3 3" xfId="13758"/>
    <cellStyle name="표준 14 3 2 3 3 2" xfId="34634"/>
    <cellStyle name="표준 14 3 2 3 4" xfId="25896"/>
    <cellStyle name="표준 14 3 2 4" xfId="5410"/>
    <cellStyle name="표준 14 3 2 4 2" xfId="14419"/>
    <cellStyle name="표준 14 3 2 4 2 2" xfId="35295"/>
    <cellStyle name="표준 14 3 2 4 3" xfId="26557"/>
    <cellStyle name="표준 14 3 2 5" xfId="7213"/>
    <cellStyle name="표준 14 3 2 5 2" xfId="16220"/>
    <cellStyle name="표준 14 3 2 5 2 2" xfId="37096"/>
    <cellStyle name="표준 14 3 2 5 3" xfId="28358"/>
    <cellStyle name="표준 14 3 2 6" xfId="7857"/>
    <cellStyle name="표준 14 3 2 6 2" xfId="16863"/>
    <cellStyle name="표준 14 3 2 6 2 2" xfId="37739"/>
    <cellStyle name="표준 14 3 2 6 3" xfId="29001"/>
    <cellStyle name="표준 14 3 2 7" xfId="8705"/>
    <cellStyle name="표준 14 3 2 7 2" xfId="17710"/>
    <cellStyle name="표준 14 3 2 7 2 2" xfId="38586"/>
    <cellStyle name="표준 14 3 2 7 3" xfId="29848"/>
    <cellStyle name="표준 14 3 2 8" xfId="9530"/>
    <cellStyle name="표준 14 3 2 8 2" xfId="18528"/>
    <cellStyle name="표준 14 3 2 8 2 2" xfId="39404"/>
    <cellStyle name="표준 14 3 2 8 3" xfId="30666"/>
    <cellStyle name="표준 14 3 2 9" xfId="10585"/>
    <cellStyle name="표준 14 3 2 9 2" xfId="19356"/>
    <cellStyle name="표준 14 3 2 9 2 2" xfId="40232"/>
    <cellStyle name="표준 14 3 2 9 3" xfId="31496"/>
    <cellStyle name="표준 14 3 3" xfId="3364"/>
    <cellStyle name="표준 14 3 3 10" xfId="12827"/>
    <cellStyle name="표준 14 3 3 10 2" xfId="33704"/>
    <cellStyle name="표준 14 3 3 11" xfId="24954"/>
    <cellStyle name="표준 14 3 3 2" xfId="4957"/>
    <cellStyle name="표준 14 3 3 2 2" xfId="6784"/>
    <cellStyle name="표준 14 3 3 2 2 2" xfId="15793"/>
    <cellStyle name="표준 14 3 3 2 2 2 2" xfId="36669"/>
    <cellStyle name="표준 14 3 3 2 2 3" xfId="27931"/>
    <cellStyle name="표준 14 3 3 2 3" xfId="13975"/>
    <cellStyle name="표준 14 3 3 2 3 2" xfId="34851"/>
    <cellStyle name="표준 14 3 3 2 4" xfId="26113"/>
    <cellStyle name="표준 14 3 3 3" xfId="5637"/>
    <cellStyle name="표준 14 3 3 3 2" xfId="14646"/>
    <cellStyle name="표준 14 3 3 3 2 2" xfId="35522"/>
    <cellStyle name="표준 14 3 3 3 3" xfId="26784"/>
    <cellStyle name="표준 14 3 3 4" xfId="7430"/>
    <cellStyle name="표준 14 3 3 4 2" xfId="16437"/>
    <cellStyle name="표준 14 3 3 4 2 2" xfId="37313"/>
    <cellStyle name="표준 14 3 3 4 3" xfId="28575"/>
    <cellStyle name="표준 14 3 3 5" xfId="8074"/>
    <cellStyle name="표준 14 3 3 5 2" xfId="17080"/>
    <cellStyle name="표준 14 3 3 5 2 2" xfId="37956"/>
    <cellStyle name="표준 14 3 3 5 3" xfId="29218"/>
    <cellStyle name="표준 14 3 3 6" xfId="8922"/>
    <cellStyle name="표준 14 3 3 6 2" xfId="17927"/>
    <cellStyle name="표준 14 3 3 6 2 2" xfId="38803"/>
    <cellStyle name="표준 14 3 3 6 3" xfId="30065"/>
    <cellStyle name="표준 14 3 3 7" xfId="9747"/>
    <cellStyle name="표준 14 3 3 7 2" xfId="18745"/>
    <cellStyle name="표준 14 3 3 7 2 2" xfId="39621"/>
    <cellStyle name="표준 14 3 3 7 3" xfId="30883"/>
    <cellStyle name="표준 14 3 3 8" xfId="10802"/>
    <cellStyle name="표준 14 3 3 8 2" xfId="19573"/>
    <cellStyle name="표준 14 3 3 8 2 2" xfId="40449"/>
    <cellStyle name="표준 14 3 3 8 3" xfId="31713"/>
    <cellStyle name="표준 14 3 3 9" xfId="11668"/>
    <cellStyle name="표준 14 3 3 9 2" xfId="20434"/>
    <cellStyle name="표준 14 3 3 9 2 2" xfId="41310"/>
    <cellStyle name="표준 14 3 3 9 3" xfId="32574"/>
    <cellStyle name="표준 14 3 4" xfId="4523"/>
    <cellStyle name="표준 14 3 4 2" xfId="6357"/>
    <cellStyle name="표준 14 3 4 2 2" xfId="15366"/>
    <cellStyle name="표준 14 3 4 2 2 2" xfId="36242"/>
    <cellStyle name="표준 14 3 4 2 3" xfId="27504"/>
    <cellStyle name="표준 14 3 4 3" xfId="11020"/>
    <cellStyle name="표준 14 3 4 3 2" xfId="19790"/>
    <cellStyle name="표준 14 3 4 3 2 2" xfId="40666"/>
    <cellStyle name="표준 14 3 4 3 3" xfId="31930"/>
    <cellStyle name="표준 14 3 4 4" xfId="11885"/>
    <cellStyle name="표준 14 3 4 4 2" xfId="20651"/>
    <cellStyle name="표준 14 3 4 4 2 2" xfId="41527"/>
    <cellStyle name="표준 14 3 4 4 3" xfId="32791"/>
    <cellStyle name="표준 14 3 4 5" xfId="13548"/>
    <cellStyle name="표준 14 3 4 5 2" xfId="34424"/>
    <cellStyle name="표준 14 3 4 6" xfId="25686"/>
    <cellStyle name="표준 14 3 5" xfId="5200"/>
    <cellStyle name="표준 14 3 5 2" xfId="14209"/>
    <cellStyle name="표준 14 3 5 2 2" xfId="35085"/>
    <cellStyle name="표준 14 3 5 3" xfId="26347"/>
    <cellStyle name="표준 14 3 6" xfId="7002"/>
    <cellStyle name="표준 14 3 6 2" xfId="16010"/>
    <cellStyle name="표준 14 3 6 2 2" xfId="36886"/>
    <cellStyle name="표준 14 3 6 3" xfId="28148"/>
    <cellStyle name="표준 14 3 7" xfId="7647"/>
    <cellStyle name="표준 14 3 7 2" xfId="16653"/>
    <cellStyle name="표준 14 3 7 2 2" xfId="37529"/>
    <cellStyle name="표준 14 3 7 3" xfId="28791"/>
    <cellStyle name="표준 14 3 8" xfId="8495"/>
    <cellStyle name="표준 14 3 8 2" xfId="17500"/>
    <cellStyle name="표준 14 3 8 2 2" xfId="38376"/>
    <cellStyle name="표준 14 3 8 3" xfId="29638"/>
    <cellStyle name="표준 14 3 9" xfId="9319"/>
    <cellStyle name="표준 14 3 9 2" xfId="18318"/>
    <cellStyle name="표준 14 3 9 2 2" xfId="39194"/>
    <cellStyle name="표준 14 3 9 3" xfId="30456"/>
    <cellStyle name="표준 14 4" xfId="2915"/>
    <cellStyle name="표준 14 4 10" xfId="10376"/>
    <cellStyle name="표준 14 4 10 2" xfId="19147"/>
    <cellStyle name="표준 14 4 10 2 2" xfId="40023"/>
    <cellStyle name="표준 14 4 10 3" xfId="31287"/>
    <cellStyle name="표준 14 4 11" xfId="11242"/>
    <cellStyle name="표준 14 4 11 2" xfId="20008"/>
    <cellStyle name="표준 14 4 11 2 2" xfId="40884"/>
    <cellStyle name="표준 14 4 11 3" xfId="32148"/>
    <cellStyle name="표준 14 4 12" xfId="12390"/>
    <cellStyle name="표준 14 4 12 2" xfId="33268"/>
    <cellStyle name="표준 14 4 13" xfId="24518"/>
    <cellStyle name="표준 14 4 2" xfId="3133"/>
    <cellStyle name="표준 14 4 2 10" xfId="11452"/>
    <cellStyle name="표준 14 4 2 10 2" xfId="20218"/>
    <cellStyle name="표준 14 4 2 10 2 2" xfId="41094"/>
    <cellStyle name="표준 14 4 2 10 3" xfId="32358"/>
    <cellStyle name="표준 14 4 2 11" xfId="12601"/>
    <cellStyle name="표준 14 4 2 11 2" xfId="33478"/>
    <cellStyle name="표준 14 4 2 12" xfId="24728"/>
    <cellStyle name="표준 14 4 2 2" xfId="3575"/>
    <cellStyle name="표준 14 4 2 2 2" xfId="5848"/>
    <cellStyle name="표준 14 4 2 2 2 2" xfId="14857"/>
    <cellStyle name="표준 14 4 2 2 2 2 2" xfId="35733"/>
    <cellStyle name="표준 14 4 2 2 2 3" xfId="26995"/>
    <cellStyle name="표준 14 4 2 2 3" xfId="13038"/>
    <cellStyle name="표준 14 4 2 2 3 2" xfId="33915"/>
    <cellStyle name="표준 14 4 2 2 4" xfId="25165"/>
    <cellStyle name="표준 14 4 2 3" xfId="4736"/>
    <cellStyle name="표준 14 4 2 3 2" xfId="6568"/>
    <cellStyle name="표준 14 4 2 3 2 2" xfId="15577"/>
    <cellStyle name="표준 14 4 2 3 2 2 2" xfId="36453"/>
    <cellStyle name="표준 14 4 2 3 2 3" xfId="27715"/>
    <cellStyle name="표준 14 4 2 3 3" xfId="13759"/>
    <cellStyle name="표준 14 4 2 3 3 2" xfId="34635"/>
    <cellStyle name="표준 14 4 2 3 4" xfId="25897"/>
    <cellStyle name="표준 14 4 2 4" xfId="5411"/>
    <cellStyle name="표준 14 4 2 4 2" xfId="14420"/>
    <cellStyle name="표준 14 4 2 4 2 2" xfId="35296"/>
    <cellStyle name="표준 14 4 2 4 3" xfId="26558"/>
    <cellStyle name="표준 14 4 2 5" xfId="7214"/>
    <cellStyle name="표준 14 4 2 5 2" xfId="16221"/>
    <cellStyle name="표준 14 4 2 5 2 2" xfId="37097"/>
    <cellStyle name="표준 14 4 2 5 3" xfId="28359"/>
    <cellStyle name="표준 14 4 2 6" xfId="7858"/>
    <cellStyle name="표준 14 4 2 6 2" xfId="16864"/>
    <cellStyle name="표준 14 4 2 6 2 2" xfId="37740"/>
    <cellStyle name="표준 14 4 2 6 3" xfId="29002"/>
    <cellStyle name="표준 14 4 2 7" xfId="8706"/>
    <cellStyle name="표준 14 4 2 7 2" xfId="17711"/>
    <cellStyle name="표준 14 4 2 7 2 2" xfId="38587"/>
    <cellStyle name="표준 14 4 2 7 3" xfId="29849"/>
    <cellStyle name="표준 14 4 2 8" xfId="9531"/>
    <cellStyle name="표준 14 4 2 8 2" xfId="18529"/>
    <cellStyle name="표준 14 4 2 8 2 2" xfId="39405"/>
    <cellStyle name="표준 14 4 2 8 3" xfId="30667"/>
    <cellStyle name="표준 14 4 2 9" xfId="10586"/>
    <cellStyle name="표준 14 4 2 9 2" xfId="19357"/>
    <cellStyle name="표준 14 4 2 9 2 2" xfId="40233"/>
    <cellStyle name="표준 14 4 2 9 3" xfId="31497"/>
    <cellStyle name="표준 14 4 3" xfId="3365"/>
    <cellStyle name="표준 14 4 3 10" xfId="12828"/>
    <cellStyle name="표준 14 4 3 10 2" xfId="33705"/>
    <cellStyle name="표준 14 4 3 11" xfId="24955"/>
    <cellStyle name="표준 14 4 3 2" xfId="4958"/>
    <cellStyle name="표준 14 4 3 2 2" xfId="6785"/>
    <cellStyle name="표준 14 4 3 2 2 2" xfId="15794"/>
    <cellStyle name="표준 14 4 3 2 2 2 2" xfId="36670"/>
    <cellStyle name="표준 14 4 3 2 2 3" xfId="27932"/>
    <cellStyle name="표준 14 4 3 2 3" xfId="13976"/>
    <cellStyle name="표준 14 4 3 2 3 2" xfId="34852"/>
    <cellStyle name="표준 14 4 3 2 4" xfId="26114"/>
    <cellStyle name="표준 14 4 3 3" xfId="5638"/>
    <cellStyle name="표준 14 4 3 3 2" xfId="14647"/>
    <cellStyle name="표준 14 4 3 3 2 2" xfId="35523"/>
    <cellStyle name="표준 14 4 3 3 3" xfId="26785"/>
    <cellStyle name="표준 14 4 3 4" xfId="7431"/>
    <cellStyle name="표준 14 4 3 4 2" xfId="16438"/>
    <cellStyle name="표준 14 4 3 4 2 2" xfId="37314"/>
    <cellStyle name="표준 14 4 3 4 3" xfId="28576"/>
    <cellStyle name="표준 14 4 3 5" xfId="8075"/>
    <cellStyle name="표준 14 4 3 5 2" xfId="17081"/>
    <cellStyle name="표준 14 4 3 5 2 2" xfId="37957"/>
    <cellStyle name="표준 14 4 3 5 3" xfId="29219"/>
    <cellStyle name="표준 14 4 3 6" xfId="8923"/>
    <cellStyle name="표준 14 4 3 6 2" xfId="17928"/>
    <cellStyle name="표준 14 4 3 6 2 2" xfId="38804"/>
    <cellStyle name="표준 14 4 3 6 3" xfId="30066"/>
    <cellStyle name="표준 14 4 3 7" xfId="9748"/>
    <cellStyle name="표준 14 4 3 7 2" xfId="18746"/>
    <cellStyle name="표준 14 4 3 7 2 2" xfId="39622"/>
    <cellStyle name="표준 14 4 3 7 3" xfId="30884"/>
    <cellStyle name="표준 14 4 3 8" xfId="10803"/>
    <cellStyle name="표준 14 4 3 8 2" xfId="19574"/>
    <cellStyle name="표준 14 4 3 8 2 2" xfId="40450"/>
    <cellStyle name="표준 14 4 3 8 3" xfId="31714"/>
    <cellStyle name="표준 14 4 3 9" xfId="11669"/>
    <cellStyle name="표준 14 4 3 9 2" xfId="20435"/>
    <cellStyle name="표준 14 4 3 9 2 2" xfId="41311"/>
    <cellStyle name="표준 14 4 3 9 3" xfId="32575"/>
    <cellStyle name="표준 14 4 4" xfId="4524"/>
    <cellStyle name="표준 14 4 4 2" xfId="6358"/>
    <cellStyle name="표준 14 4 4 2 2" xfId="15367"/>
    <cellStyle name="표준 14 4 4 2 2 2" xfId="36243"/>
    <cellStyle name="표준 14 4 4 2 3" xfId="27505"/>
    <cellStyle name="표준 14 4 4 3" xfId="11021"/>
    <cellStyle name="표준 14 4 4 3 2" xfId="19791"/>
    <cellStyle name="표준 14 4 4 3 2 2" xfId="40667"/>
    <cellStyle name="표준 14 4 4 3 3" xfId="31931"/>
    <cellStyle name="표준 14 4 4 4" xfId="11886"/>
    <cellStyle name="표준 14 4 4 4 2" xfId="20652"/>
    <cellStyle name="표준 14 4 4 4 2 2" xfId="41528"/>
    <cellStyle name="표준 14 4 4 4 3" xfId="32792"/>
    <cellStyle name="표준 14 4 4 5" xfId="13549"/>
    <cellStyle name="표준 14 4 4 5 2" xfId="34425"/>
    <cellStyle name="표준 14 4 4 6" xfId="25687"/>
    <cellStyle name="표준 14 4 5" xfId="5201"/>
    <cellStyle name="표준 14 4 5 2" xfId="14210"/>
    <cellStyle name="표준 14 4 5 2 2" xfId="35086"/>
    <cellStyle name="표준 14 4 5 3" xfId="26348"/>
    <cellStyle name="표준 14 4 6" xfId="7003"/>
    <cellStyle name="표준 14 4 6 2" xfId="16011"/>
    <cellStyle name="표준 14 4 6 2 2" xfId="36887"/>
    <cellStyle name="표준 14 4 6 3" xfId="28149"/>
    <cellStyle name="표준 14 4 7" xfId="7648"/>
    <cellStyle name="표준 14 4 7 2" xfId="16654"/>
    <cellStyle name="표준 14 4 7 2 2" xfId="37530"/>
    <cellStyle name="표준 14 4 7 3" xfId="28792"/>
    <cellStyle name="표준 14 4 8" xfId="8496"/>
    <cellStyle name="표준 14 4 8 2" xfId="17501"/>
    <cellStyle name="표준 14 4 8 2 2" xfId="38377"/>
    <cellStyle name="표준 14 4 8 3" xfId="29639"/>
    <cellStyle name="표준 14 4 9" xfId="9320"/>
    <cellStyle name="표준 14 4 9 2" xfId="18319"/>
    <cellStyle name="표준 14 4 9 2 2" xfId="39195"/>
    <cellStyle name="표준 14 4 9 3" xfId="30457"/>
    <cellStyle name="표준 14 5" xfId="2916"/>
    <cellStyle name="표준 14 5 10" xfId="10377"/>
    <cellStyle name="표준 14 5 10 2" xfId="19148"/>
    <cellStyle name="표준 14 5 10 2 2" xfId="40024"/>
    <cellStyle name="표준 14 5 10 3" xfId="31288"/>
    <cellStyle name="표준 14 5 11" xfId="11243"/>
    <cellStyle name="표준 14 5 11 2" xfId="20009"/>
    <cellStyle name="표준 14 5 11 2 2" xfId="40885"/>
    <cellStyle name="표준 14 5 11 3" xfId="32149"/>
    <cellStyle name="표준 14 5 12" xfId="12391"/>
    <cellStyle name="표준 14 5 12 2" xfId="33269"/>
    <cellStyle name="표준 14 5 13" xfId="24519"/>
    <cellStyle name="표준 14 5 2" xfId="3134"/>
    <cellStyle name="표준 14 5 2 10" xfId="11453"/>
    <cellStyle name="표준 14 5 2 10 2" xfId="20219"/>
    <cellStyle name="표준 14 5 2 10 2 2" xfId="41095"/>
    <cellStyle name="표준 14 5 2 10 3" xfId="32359"/>
    <cellStyle name="표준 14 5 2 11" xfId="12602"/>
    <cellStyle name="표준 14 5 2 11 2" xfId="33479"/>
    <cellStyle name="표준 14 5 2 12" xfId="24729"/>
    <cellStyle name="표준 14 5 2 2" xfId="3576"/>
    <cellStyle name="표준 14 5 2 2 2" xfId="5849"/>
    <cellStyle name="표준 14 5 2 2 2 2" xfId="14858"/>
    <cellStyle name="표준 14 5 2 2 2 2 2" xfId="35734"/>
    <cellStyle name="표준 14 5 2 2 2 3" xfId="26996"/>
    <cellStyle name="표준 14 5 2 2 3" xfId="13039"/>
    <cellStyle name="표준 14 5 2 2 3 2" xfId="33916"/>
    <cellStyle name="표준 14 5 2 2 4" xfId="25166"/>
    <cellStyle name="표준 14 5 2 3" xfId="4737"/>
    <cellStyle name="표준 14 5 2 3 2" xfId="6569"/>
    <cellStyle name="표준 14 5 2 3 2 2" xfId="15578"/>
    <cellStyle name="표준 14 5 2 3 2 2 2" xfId="36454"/>
    <cellStyle name="표준 14 5 2 3 2 3" xfId="27716"/>
    <cellStyle name="표준 14 5 2 3 3" xfId="13760"/>
    <cellStyle name="표준 14 5 2 3 3 2" xfId="34636"/>
    <cellStyle name="표준 14 5 2 3 4" xfId="25898"/>
    <cellStyle name="표준 14 5 2 4" xfId="5412"/>
    <cellStyle name="표준 14 5 2 4 2" xfId="14421"/>
    <cellStyle name="표준 14 5 2 4 2 2" xfId="35297"/>
    <cellStyle name="표준 14 5 2 4 3" xfId="26559"/>
    <cellStyle name="표준 14 5 2 5" xfId="7215"/>
    <cellStyle name="표준 14 5 2 5 2" xfId="16222"/>
    <cellStyle name="표준 14 5 2 5 2 2" xfId="37098"/>
    <cellStyle name="표준 14 5 2 5 3" xfId="28360"/>
    <cellStyle name="표준 14 5 2 6" xfId="7859"/>
    <cellStyle name="표준 14 5 2 6 2" xfId="16865"/>
    <cellStyle name="표준 14 5 2 6 2 2" xfId="37741"/>
    <cellStyle name="표준 14 5 2 6 3" xfId="29003"/>
    <cellStyle name="표준 14 5 2 7" xfId="8707"/>
    <cellStyle name="표준 14 5 2 7 2" xfId="17712"/>
    <cellStyle name="표준 14 5 2 7 2 2" xfId="38588"/>
    <cellStyle name="표준 14 5 2 7 3" xfId="29850"/>
    <cellStyle name="표준 14 5 2 8" xfId="9532"/>
    <cellStyle name="표준 14 5 2 8 2" xfId="18530"/>
    <cellStyle name="표준 14 5 2 8 2 2" xfId="39406"/>
    <cellStyle name="표준 14 5 2 8 3" xfId="30668"/>
    <cellStyle name="표준 14 5 2 9" xfId="10587"/>
    <cellStyle name="표준 14 5 2 9 2" xfId="19358"/>
    <cellStyle name="표준 14 5 2 9 2 2" xfId="40234"/>
    <cellStyle name="표준 14 5 2 9 3" xfId="31498"/>
    <cellStyle name="표준 14 5 3" xfId="3366"/>
    <cellStyle name="표준 14 5 3 10" xfId="12829"/>
    <cellStyle name="표준 14 5 3 10 2" xfId="33706"/>
    <cellStyle name="표준 14 5 3 11" xfId="24956"/>
    <cellStyle name="표준 14 5 3 2" xfId="4959"/>
    <cellStyle name="표준 14 5 3 2 2" xfId="6786"/>
    <cellStyle name="표준 14 5 3 2 2 2" xfId="15795"/>
    <cellStyle name="표준 14 5 3 2 2 2 2" xfId="36671"/>
    <cellStyle name="표준 14 5 3 2 2 3" xfId="27933"/>
    <cellStyle name="표준 14 5 3 2 3" xfId="13977"/>
    <cellStyle name="표준 14 5 3 2 3 2" xfId="34853"/>
    <cellStyle name="표준 14 5 3 2 4" xfId="26115"/>
    <cellStyle name="표준 14 5 3 3" xfId="5639"/>
    <cellStyle name="표준 14 5 3 3 2" xfId="14648"/>
    <cellStyle name="표준 14 5 3 3 2 2" xfId="35524"/>
    <cellStyle name="표준 14 5 3 3 3" xfId="26786"/>
    <cellStyle name="표준 14 5 3 4" xfId="7432"/>
    <cellStyle name="표준 14 5 3 4 2" xfId="16439"/>
    <cellStyle name="표준 14 5 3 4 2 2" xfId="37315"/>
    <cellStyle name="표준 14 5 3 4 3" xfId="28577"/>
    <cellStyle name="표준 14 5 3 5" xfId="8076"/>
    <cellStyle name="표준 14 5 3 5 2" xfId="17082"/>
    <cellStyle name="표준 14 5 3 5 2 2" xfId="37958"/>
    <cellStyle name="표준 14 5 3 5 3" xfId="29220"/>
    <cellStyle name="표준 14 5 3 6" xfId="8924"/>
    <cellStyle name="표준 14 5 3 6 2" xfId="17929"/>
    <cellStyle name="표준 14 5 3 6 2 2" xfId="38805"/>
    <cellStyle name="표준 14 5 3 6 3" xfId="30067"/>
    <cellStyle name="표준 14 5 3 7" xfId="9749"/>
    <cellStyle name="표준 14 5 3 7 2" xfId="18747"/>
    <cellStyle name="표준 14 5 3 7 2 2" xfId="39623"/>
    <cellStyle name="표준 14 5 3 7 3" xfId="30885"/>
    <cellStyle name="표준 14 5 3 8" xfId="10804"/>
    <cellStyle name="표준 14 5 3 8 2" xfId="19575"/>
    <cellStyle name="표준 14 5 3 8 2 2" xfId="40451"/>
    <cellStyle name="표준 14 5 3 8 3" xfId="31715"/>
    <cellStyle name="표준 14 5 3 9" xfId="11670"/>
    <cellStyle name="표준 14 5 3 9 2" xfId="20436"/>
    <cellStyle name="표준 14 5 3 9 2 2" xfId="41312"/>
    <cellStyle name="표준 14 5 3 9 3" xfId="32576"/>
    <cellStyle name="표준 14 5 4" xfId="4525"/>
    <cellStyle name="표준 14 5 4 2" xfId="6359"/>
    <cellStyle name="표준 14 5 4 2 2" xfId="15368"/>
    <cellStyle name="표준 14 5 4 2 2 2" xfId="36244"/>
    <cellStyle name="표준 14 5 4 2 3" xfId="27506"/>
    <cellStyle name="표준 14 5 4 3" xfId="11022"/>
    <cellStyle name="표준 14 5 4 3 2" xfId="19792"/>
    <cellStyle name="표준 14 5 4 3 2 2" xfId="40668"/>
    <cellStyle name="표준 14 5 4 3 3" xfId="31932"/>
    <cellStyle name="표준 14 5 4 4" xfId="11887"/>
    <cellStyle name="표준 14 5 4 4 2" xfId="20653"/>
    <cellStyle name="표준 14 5 4 4 2 2" xfId="41529"/>
    <cellStyle name="표준 14 5 4 4 3" xfId="32793"/>
    <cellStyle name="표준 14 5 4 5" xfId="13550"/>
    <cellStyle name="표준 14 5 4 5 2" xfId="34426"/>
    <cellStyle name="표준 14 5 4 6" xfId="25688"/>
    <cellStyle name="표준 14 5 5" xfId="5202"/>
    <cellStyle name="표준 14 5 5 2" xfId="14211"/>
    <cellStyle name="표준 14 5 5 2 2" xfId="35087"/>
    <cellStyle name="표준 14 5 5 3" xfId="26349"/>
    <cellStyle name="표준 14 5 6" xfId="7004"/>
    <cellStyle name="표준 14 5 6 2" xfId="16012"/>
    <cellStyle name="표준 14 5 6 2 2" xfId="36888"/>
    <cellStyle name="표준 14 5 6 3" xfId="28150"/>
    <cellStyle name="표준 14 5 7" xfId="7649"/>
    <cellStyle name="표준 14 5 7 2" xfId="16655"/>
    <cellStyle name="표준 14 5 7 2 2" xfId="37531"/>
    <cellStyle name="표준 14 5 7 3" xfId="28793"/>
    <cellStyle name="표준 14 5 8" xfId="8497"/>
    <cellStyle name="표준 14 5 8 2" xfId="17502"/>
    <cellStyle name="표준 14 5 8 2 2" xfId="38378"/>
    <cellStyle name="표준 14 5 8 3" xfId="29640"/>
    <cellStyle name="표준 14 5 9" xfId="9321"/>
    <cellStyle name="표준 14 5 9 2" xfId="18320"/>
    <cellStyle name="표준 14 5 9 2 2" xfId="39196"/>
    <cellStyle name="표준 14 5 9 3" xfId="30458"/>
    <cellStyle name="표준 14 6" xfId="2917"/>
    <cellStyle name="표준 14 6 10" xfId="10378"/>
    <cellStyle name="표준 14 6 10 2" xfId="19149"/>
    <cellStyle name="표준 14 6 10 2 2" xfId="40025"/>
    <cellStyle name="표준 14 6 10 3" xfId="31289"/>
    <cellStyle name="표준 14 6 11" xfId="11244"/>
    <cellStyle name="표준 14 6 11 2" xfId="20010"/>
    <cellStyle name="표준 14 6 11 2 2" xfId="40886"/>
    <cellStyle name="표준 14 6 11 3" xfId="32150"/>
    <cellStyle name="표준 14 6 12" xfId="12392"/>
    <cellStyle name="표준 14 6 12 2" xfId="33270"/>
    <cellStyle name="표준 14 6 13" xfId="24520"/>
    <cellStyle name="표준 14 6 2" xfId="3135"/>
    <cellStyle name="표준 14 6 2 10" xfId="11454"/>
    <cellStyle name="표준 14 6 2 10 2" xfId="20220"/>
    <cellStyle name="표준 14 6 2 10 2 2" xfId="41096"/>
    <cellStyle name="표준 14 6 2 10 3" xfId="32360"/>
    <cellStyle name="표준 14 6 2 11" xfId="12603"/>
    <cellStyle name="표준 14 6 2 11 2" xfId="33480"/>
    <cellStyle name="표준 14 6 2 12" xfId="24730"/>
    <cellStyle name="표준 14 6 2 2" xfId="3577"/>
    <cellStyle name="표준 14 6 2 2 2" xfId="5850"/>
    <cellStyle name="표준 14 6 2 2 2 2" xfId="14859"/>
    <cellStyle name="표준 14 6 2 2 2 2 2" xfId="35735"/>
    <cellStyle name="표준 14 6 2 2 2 3" xfId="26997"/>
    <cellStyle name="표준 14 6 2 2 3" xfId="13040"/>
    <cellStyle name="표준 14 6 2 2 3 2" xfId="33917"/>
    <cellStyle name="표준 14 6 2 2 4" xfId="25167"/>
    <cellStyle name="표준 14 6 2 3" xfId="4738"/>
    <cellStyle name="표준 14 6 2 3 2" xfId="6570"/>
    <cellStyle name="표준 14 6 2 3 2 2" xfId="15579"/>
    <cellStyle name="표준 14 6 2 3 2 2 2" xfId="36455"/>
    <cellStyle name="표준 14 6 2 3 2 3" xfId="27717"/>
    <cellStyle name="표준 14 6 2 3 3" xfId="13761"/>
    <cellStyle name="표준 14 6 2 3 3 2" xfId="34637"/>
    <cellStyle name="표준 14 6 2 3 4" xfId="25899"/>
    <cellStyle name="표준 14 6 2 4" xfId="5413"/>
    <cellStyle name="표준 14 6 2 4 2" xfId="14422"/>
    <cellStyle name="표준 14 6 2 4 2 2" xfId="35298"/>
    <cellStyle name="표준 14 6 2 4 3" xfId="26560"/>
    <cellStyle name="표준 14 6 2 5" xfId="7216"/>
    <cellStyle name="표준 14 6 2 5 2" xfId="16223"/>
    <cellStyle name="표준 14 6 2 5 2 2" xfId="37099"/>
    <cellStyle name="표준 14 6 2 5 3" xfId="28361"/>
    <cellStyle name="표준 14 6 2 6" xfId="7860"/>
    <cellStyle name="표준 14 6 2 6 2" xfId="16866"/>
    <cellStyle name="표준 14 6 2 6 2 2" xfId="37742"/>
    <cellStyle name="표준 14 6 2 6 3" xfId="29004"/>
    <cellStyle name="표준 14 6 2 7" xfId="8708"/>
    <cellStyle name="표준 14 6 2 7 2" xfId="17713"/>
    <cellStyle name="표준 14 6 2 7 2 2" xfId="38589"/>
    <cellStyle name="표준 14 6 2 7 3" xfId="29851"/>
    <cellStyle name="표준 14 6 2 8" xfId="9533"/>
    <cellStyle name="표준 14 6 2 8 2" xfId="18531"/>
    <cellStyle name="표준 14 6 2 8 2 2" xfId="39407"/>
    <cellStyle name="표준 14 6 2 8 3" xfId="30669"/>
    <cellStyle name="표준 14 6 2 9" xfId="10588"/>
    <cellStyle name="표준 14 6 2 9 2" xfId="19359"/>
    <cellStyle name="표준 14 6 2 9 2 2" xfId="40235"/>
    <cellStyle name="표준 14 6 2 9 3" xfId="31499"/>
    <cellStyle name="표준 14 6 3" xfId="3367"/>
    <cellStyle name="표준 14 6 3 10" xfId="12830"/>
    <cellStyle name="표준 14 6 3 10 2" xfId="33707"/>
    <cellStyle name="표준 14 6 3 11" xfId="24957"/>
    <cellStyle name="표준 14 6 3 2" xfId="4960"/>
    <cellStyle name="표준 14 6 3 2 2" xfId="6787"/>
    <cellStyle name="표준 14 6 3 2 2 2" xfId="15796"/>
    <cellStyle name="표준 14 6 3 2 2 2 2" xfId="36672"/>
    <cellStyle name="표준 14 6 3 2 2 3" xfId="27934"/>
    <cellStyle name="표준 14 6 3 2 3" xfId="13978"/>
    <cellStyle name="표준 14 6 3 2 3 2" xfId="34854"/>
    <cellStyle name="표준 14 6 3 2 4" xfId="26116"/>
    <cellStyle name="표준 14 6 3 3" xfId="5640"/>
    <cellStyle name="표준 14 6 3 3 2" xfId="14649"/>
    <cellStyle name="표준 14 6 3 3 2 2" xfId="35525"/>
    <cellStyle name="표준 14 6 3 3 3" xfId="26787"/>
    <cellStyle name="표준 14 6 3 4" xfId="7433"/>
    <cellStyle name="표준 14 6 3 4 2" xfId="16440"/>
    <cellStyle name="표준 14 6 3 4 2 2" xfId="37316"/>
    <cellStyle name="표준 14 6 3 4 3" xfId="28578"/>
    <cellStyle name="표준 14 6 3 5" xfId="8077"/>
    <cellStyle name="표준 14 6 3 5 2" xfId="17083"/>
    <cellStyle name="표준 14 6 3 5 2 2" xfId="37959"/>
    <cellStyle name="표준 14 6 3 5 3" xfId="29221"/>
    <cellStyle name="표준 14 6 3 6" xfId="8925"/>
    <cellStyle name="표준 14 6 3 6 2" xfId="17930"/>
    <cellStyle name="표준 14 6 3 6 2 2" xfId="38806"/>
    <cellStyle name="표준 14 6 3 6 3" xfId="30068"/>
    <cellStyle name="표준 14 6 3 7" xfId="9750"/>
    <cellStyle name="표준 14 6 3 7 2" xfId="18748"/>
    <cellStyle name="표준 14 6 3 7 2 2" xfId="39624"/>
    <cellStyle name="표준 14 6 3 7 3" xfId="30886"/>
    <cellStyle name="표준 14 6 3 8" xfId="10805"/>
    <cellStyle name="표준 14 6 3 8 2" xfId="19576"/>
    <cellStyle name="표준 14 6 3 8 2 2" xfId="40452"/>
    <cellStyle name="표준 14 6 3 8 3" xfId="31716"/>
    <cellStyle name="표준 14 6 3 9" xfId="11671"/>
    <cellStyle name="표준 14 6 3 9 2" xfId="20437"/>
    <cellStyle name="표준 14 6 3 9 2 2" xfId="41313"/>
    <cellStyle name="표준 14 6 3 9 3" xfId="32577"/>
    <cellStyle name="표준 14 6 4" xfId="4526"/>
    <cellStyle name="표준 14 6 4 2" xfId="6360"/>
    <cellStyle name="표준 14 6 4 2 2" xfId="15369"/>
    <cellStyle name="표준 14 6 4 2 2 2" xfId="36245"/>
    <cellStyle name="표준 14 6 4 2 3" xfId="27507"/>
    <cellStyle name="표준 14 6 4 3" xfId="11023"/>
    <cellStyle name="표준 14 6 4 3 2" xfId="19793"/>
    <cellStyle name="표준 14 6 4 3 2 2" xfId="40669"/>
    <cellStyle name="표준 14 6 4 3 3" xfId="31933"/>
    <cellStyle name="표준 14 6 4 4" xfId="11888"/>
    <cellStyle name="표준 14 6 4 4 2" xfId="20654"/>
    <cellStyle name="표준 14 6 4 4 2 2" xfId="41530"/>
    <cellStyle name="표준 14 6 4 4 3" xfId="32794"/>
    <cellStyle name="표준 14 6 4 5" xfId="13551"/>
    <cellStyle name="표준 14 6 4 5 2" xfId="34427"/>
    <cellStyle name="표준 14 6 4 6" xfId="25689"/>
    <cellStyle name="표준 14 6 5" xfId="5203"/>
    <cellStyle name="표준 14 6 5 2" xfId="14212"/>
    <cellStyle name="표준 14 6 5 2 2" xfId="35088"/>
    <cellStyle name="표준 14 6 5 3" xfId="26350"/>
    <cellStyle name="표준 14 6 6" xfId="7005"/>
    <cellStyle name="표준 14 6 6 2" xfId="16013"/>
    <cellStyle name="표준 14 6 6 2 2" xfId="36889"/>
    <cellStyle name="표준 14 6 6 3" xfId="28151"/>
    <cellStyle name="표준 14 6 7" xfId="7650"/>
    <cellStyle name="표준 14 6 7 2" xfId="16656"/>
    <cellStyle name="표준 14 6 7 2 2" xfId="37532"/>
    <cellStyle name="표준 14 6 7 3" xfId="28794"/>
    <cellStyle name="표준 14 6 8" xfId="8498"/>
    <cellStyle name="표준 14 6 8 2" xfId="17503"/>
    <cellStyle name="표준 14 6 8 2 2" xfId="38379"/>
    <cellStyle name="표준 14 6 8 3" xfId="29641"/>
    <cellStyle name="표준 14 6 9" xfId="9322"/>
    <cellStyle name="표준 14 6 9 2" xfId="18321"/>
    <cellStyle name="표준 14 6 9 2 2" xfId="39197"/>
    <cellStyle name="표준 14 6 9 3" xfId="30459"/>
    <cellStyle name="표준 14 7" xfId="2918"/>
    <cellStyle name="표준 14 7 10" xfId="10379"/>
    <cellStyle name="표준 14 7 10 2" xfId="19150"/>
    <cellStyle name="표준 14 7 10 2 2" xfId="40026"/>
    <cellStyle name="표준 14 7 10 3" xfId="31290"/>
    <cellStyle name="표준 14 7 11" xfId="11245"/>
    <cellStyle name="표준 14 7 11 2" xfId="20011"/>
    <cellStyle name="표준 14 7 11 2 2" xfId="40887"/>
    <cellStyle name="표준 14 7 11 3" xfId="32151"/>
    <cellStyle name="표준 14 7 12" xfId="12393"/>
    <cellStyle name="표준 14 7 12 2" xfId="33271"/>
    <cellStyle name="표준 14 7 13" xfId="24521"/>
    <cellStyle name="표준 14 7 2" xfId="3136"/>
    <cellStyle name="표준 14 7 2 10" xfId="11455"/>
    <cellStyle name="표준 14 7 2 10 2" xfId="20221"/>
    <cellStyle name="표준 14 7 2 10 2 2" xfId="41097"/>
    <cellStyle name="표준 14 7 2 10 3" xfId="32361"/>
    <cellStyle name="표준 14 7 2 11" xfId="12604"/>
    <cellStyle name="표준 14 7 2 11 2" xfId="33481"/>
    <cellStyle name="표준 14 7 2 12" xfId="24731"/>
    <cellStyle name="표준 14 7 2 2" xfId="3578"/>
    <cellStyle name="표준 14 7 2 2 2" xfId="5851"/>
    <cellStyle name="표준 14 7 2 2 2 2" xfId="14860"/>
    <cellStyle name="표준 14 7 2 2 2 2 2" xfId="35736"/>
    <cellStyle name="표준 14 7 2 2 2 3" xfId="26998"/>
    <cellStyle name="표준 14 7 2 2 3" xfId="13041"/>
    <cellStyle name="표준 14 7 2 2 3 2" xfId="33918"/>
    <cellStyle name="표준 14 7 2 2 4" xfId="25168"/>
    <cellStyle name="표준 14 7 2 3" xfId="4739"/>
    <cellStyle name="표준 14 7 2 3 2" xfId="6571"/>
    <cellStyle name="표준 14 7 2 3 2 2" xfId="15580"/>
    <cellStyle name="표준 14 7 2 3 2 2 2" xfId="36456"/>
    <cellStyle name="표준 14 7 2 3 2 3" xfId="27718"/>
    <cellStyle name="표준 14 7 2 3 3" xfId="13762"/>
    <cellStyle name="표준 14 7 2 3 3 2" xfId="34638"/>
    <cellStyle name="표준 14 7 2 3 4" xfId="25900"/>
    <cellStyle name="표준 14 7 2 4" xfId="5414"/>
    <cellStyle name="표준 14 7 2 4 2" xfId="14423"/>
    <cellStyle name="표준 14 7 2 4 2 2" xfId="35299"/>
    <cellStyle name="표준 14 7 2 4 3" xfId="26561"/>
    <cellStyle name="표준 14 7 2 5" xfId="7217"/>
    <cellStyle name="표준 14 7 2 5 2" xfId="16224"/>
    <cellStyle name="표준 14 7 2 5 2 2" xfId="37100"/>
    <cellStyle name="표준 14 7 2 5 3" xfId="28362"/>
    <cellStyle name="표준 14 7 2 6" xfId="7861"/>
    <cellStyle name="표준 14 7 2 6 2" xfId="16867"/>
    <cellStyle name="표준 14 7 2 6 2 2" xfId="37743"/>
    <cellStyle name="표준 14 7 2 6 3" xfId="29005"/>
    <cellStyle name="표준 14 7 2 7" xfId="8709"/>
    <cellStyle name="표준 14 7 2 7 2" xfId="17714"/>
    <cellStyle name="표준 14 7 2 7 2 2" xfId="38590"/>
    <cellStyle name="표준 14 7 2 7 3" xfId="29852"/>
    <cellStyle name="표준 14 7 2 8" xfId="9534"/>
    <cellStyle name="표준 14 7 2 8 2" xfId="18532"/>
    <cellStyle name="표준 14 7 2 8 2 2" xfId="39408"/>
    <cellStyle name="표준 14 7 2 8 3" xfId="30670"/>
    <cellStyle name="표준 14 7 2 9" xfId="10589"/>
    <cellStyle name="표준 14 7 2 9 2" xfId="19360"/>
    <cellStyle name="표준 14 7 2 9 2 2" xfId="40236"/>
    <cellStyle name="표준 14 7 2 9 3" xfId="31500"/>
    <cellStyle name="표준 14 7 3" xfId="3368"/>
    <cellStyle name="표준 14 7 3 10" xfId="12831"/>
    <cellStyle name="표준 14 7 3 10 2" xfId="33708"/>
    <cellStyle name="표준 14 7 3 11" xfId="24958"/>
    <cellStyle name="표준 14 7 3 2" xfId="4961"/>
    <cellStyle name="표준 14 7 3 2 2" xfId="6788"/>
    <cellStyle name="표준 14 7 3 2 2 2" xfId="15797"/>
    <cellStyle name="표준 14 7 3 2 2 2 2" xfId="36673"/>
    <cellStyle name="표준 14 7 3 2 2 3" xfId="27935"/>
    <cellStyle name="표준 14 7 3 2 3" xfId="13979"/>
    <cellStyle name="표준 14 7 3 2 3 2" xfId="34855"/>
    <cellStyle name="표준 14 7 3 2 4" xfId="26117"/>
    <cellStyle name="표준 14 7 3 3" xfId="5641"/>
    <cellStyle name="표준 14 7 3 3 2" xfId="14650"/>
    <cellStyle name="표준 14 7 3 3 2 2" xfId="35526"/>
    <cellStyle name="표준 14 7 3 3 3" xfId="26788"/>
    <cellStyle name="표준 14 7 3 4" xfId="7434"/>
    <cellStyle name="표준 14 7 3 4 2" xfId="16441"/>
    <cellStyle name="표준 14 7 3 4 2 2" xfId="37317"/>
    <cellStyle name="표준 14 7 3 4 3" xfId="28579"/>
    <cellStyle name="표준 14 7 3 5" xfId="8078"/>
    <cellStyle name="표준 14 7 3 5 2" xfId="17084"/>
    <cellStyle name="표준 14 7 3 5 2 2" xfId="37960"/>
    <cellStyle name="표준 14 7 3 5 3" xfId="29222"/>
    <cellStyle name="표준 14 7 3 6" xfId="8926"/>
    <cellStyle name="표준 14 7 3 6 2" xfId="17931"/>
    <cellStyle name="표준 14 7 3 6 2 2" xfId="38807"/>
    <cellStyle name="표준 14 7 3 6 3" xfId="30069"/>
    <cellStyle name="표준 14 7 3 7" xfId="9751"/>
    <cellStyle name="표준 14 7 3 7 2" xfId="18749"/>
    <cellStyle name="표준 14 7 3 7 2 2" xfId="39625"/>
    <cellStyle name="표준 14 7 3 7 3" xfId="30887"/>
    <cellStyle name="표준 14 7 3 8" xfId="10806"/>
    <cellStyle name="표준 14 7 3 8 2" xfId="19577"/>
    <cellStyle name="표준 14 7 3 8 2 2" xfId="40453"/>
    <cellStyle name="표준 14 7 3 8 3" xfId="31717"/>
    <cellStyle name="표준 14 7 3 9" xfId="11672"/>
    <cellStyle name="표준 14 7 3 9 2" xfId="20438"/>
    <cellStyle name="표준 14 7 3 9 2 2" xfId="41314"/>
    <cellStyle name="표준 14 7 3 9 3" xfId="32578"/>
    <cellStyle name="표준 14 7 4" xfId="4527"/>
    <cellStyle name="표준 14 7 4 2" xfId="6361"/>
    <cellStyle name="표준 14 7 4 2 2" xfId="15370"/>
    <cellStyle name="표준 14 7 4 2 2 2" xfId="36246"/>
    <cellStyle name="표준 14 7 4 2 3" xfId="27508"/>
    <cellStyle name="표준 14 7 4 3" xfId="11024"/>
    <cellStyle name="표준 14 7 4 3 2" xfId="19794"/>
    <cellStyle name="표준 14 7 4 3 2 2" xfId="40670"/>
    <cellStyle name="표준 14 7 4 3 3" xfId="31934"/>
    <cellStyle name="표준 14 7 4 4" xfId="11889"/>
    <cellStyle name="표준 14 7 4 4 2" xfId="20655"/>
    <cellStyle name="표준 14 7 4 4 2 2" xfId="41531"/>
    <cellStyle name="표준 14 7 4 4 3" xfId="32795"/>
    <cellStyle name="표준 14 7 4 5" xfId="13552"/>
    <cellStyle name="표준 14 7 4 5 2" xfId="34428"/>
    <cellStyle name="표준 14 7 4 6" xfId="25690"/>
    <cellStyle name="표준 14 7 5" xfId="5204"/>
    <cellStyle name="표준 14 7 5 2" xfId="14213"/>
    <cellStyle name="표준 14 7 5 2 2" xfId="35089"/>
    <cellStyle name="표준 14 7 5 3" xfId="26351"/>
    <cellStyle name="표준 14 7 6" xfId="7006"/>
    <cellStyle name="표준 14 7 6 2" xfId="16014"/>
    <cellStyle name="표준 14 7 6 2 2" xfId="36890"/>
    <cellStyle name="표준 14 7 6 3" xfId="28152"/>
    <cellStyle name="표준 14 7 7" xfId="7651"/>
    <cellStyle name="표준 14 7 7 2" xfId="16657"/>
    <cellStyle name="표준 14 7 7 2 2" xfId="37533"/>
    <cellStyle name="표준 14 7 7 3" xfId="28795"/>
    <cellStyle name="표준 14 7 8" xfId="8499"/>
    <cellStyle name="표준 14 7 8 2" xfId="17504"/>
    <cellStyle name="표준 14 7 8 2 2" xfId="38380"/>
    <cellStyle name="표준 14 7 8 3" xfId="29642"/>
    <cellStyle name="표준 14 7 9" xfId="9323"/>
    <cellStyle name="표준 14 7 9 2" xfId="18322"/>
    <cellStyle name="표준 14 7 9 2 2" xfId="39198"/>
    <cellStyle name="표준 14 7 9 3" xfId="30460"/>
    <cellStyle name="표준 14 8" xfId="3130"/>
    <cellStyle name="표준 14 8 10" xfId="11449"/>
    <cellStyle name="표준 14 8 10 2" xfId="20215"/>
    <cellStyle name="표준 14 8 10 2 2" xfId="41091"/>
    <cellStyle name="표준 14 8 10 3" xfId="32355"/>
    <cellStyle name="표준 14 8 11" xfId="12598"/>
    <cellStyle name="표준 14 8 11 2" xfId="33475"/>
    <cellStyle name="표준 14 8 12" xfId="24725"/>
    <cellStyle name="표준 14 8 2" xfId="3572"/>
    <cellStyle name="표준 14 8 2 2" xfId="5845"/>
    <cellStyle name="표준 14 8 2 2 2" xfId="14854"/>
    <cellStyle name="표준 14 8 2 2 2 2" xfId="35730"/>
    <cellStyle name="표준 14 8 2 2 3" xfId="26992"/>
    <cellStyle name="표준 14 8 2 3" xfId="13035"/>
    <cellStyle name="표준 14 8 2 3 2" xfId="33912"/>
    <cellStyle name="표준 14 8 2 4" xfId="25162"/>
    <cellStyle name="표준 14 8 3" xfId="4733"/>
    <cellStyle name="표준 14 8 3 2" xfId="6565"/>
    <cellStyle name="표준 14 8 3 2 2" xfId="15574"/>
    <cellStyle name="표준 14 8 3 2 2 2" xfId="36450"/>
    <cellStyle name="표준 14 8 3 2 3" xfId="27712"/>
    <cellStyle name="표준 14 8 3 3" xfId="13756"/>
    <cellStyle name="표준 14 8 3 3 2" xfId="34632"/>
    <cellStyle name="표준 14 8 3 4" xfId="25894"/>
    <cellStyle name="표준 14 8 4" xfId="5408"/>
    <cellStyle name="표준 14 8 4 2" xfId="14417"/>
    <cellStyle name="표준 14 8 4 2 2" xfId="35293"/>
    <cellStyle name="표준 14 8 4 3" xfId="26555"/>
    <cellStyle name="표준 14 8 5" xfId="7211"/>
    <cellStyle name="표준 14 8 5 2" xfId="16218"/>
    <cellStyle name="표준 14 8 5 2 2" xfId="37094"/>
    <cellStyle name="표준 14 8 5 3" xfId="28356"/>
    <cellStyle name="표준 14 8 6" xfId="7855"/>
    <cellStyle name="표준 14 8 6 2" xfId="16861"/>
    <cellStyle name="표준 14 8 6 2 2" xfId="37737"/>
    <cellStyle name="표준 14 8 6 3" xfId="28999"/>
    <cellStyle name="표준 14 8 7" xfId="8703"/>
    <cellStyle name="표준 14 8 7 2" xfId="17708"/>
    <cellStyle name="표준 14 8 7 2 2" xfId="38584"/>
    <cellStyle name="표준 14 8 7 3" xfId="29846"/>
    <cellStyle name="표준 14 8 8" xfId="9528"/>
    <cellStyle name="표준 14 8 8 2" xfId="18526"/>
    <cellStyle name="표준 14 8 8 2 2" xfId="39402"/>
    <cellStyle name="표준 14 8 8 3" xfId="30664"/>
    <cellStyle name="표준 14 8 9" xfId="10583"/>
    <cellStyle name="표준 14 8 9 2" xfId="19354"/>
    <cellStyle name="표준 14 8 9 2 2" xfId="40230"/>
    <cellStyle name="표준 14 8 9 3" xfId="31494"/>
    <cellStyle name="표준 14 9" xfId="3362"/>
    <cellStyle name="표준 14 9 10" xfId="12825"/>
    <cellStyle name="표준 14 9 10 2" xfId="33702"/>
    <cellStyle name="표준 14 9 11" xfId="24952"/>
    <cellStyle name="표준 14 9 2" xfId="4955"/>
    <cellStyle name="표준 14 9 2 2" xfId="6782"/>
    <cellStyle name="표준 14 9 2 2 2" xfId="15791"/>
    <cellStyle name="표준 14 9 2 2 2 2" xfId="36667"/>
    <cellStyle name="표준 14 9 2 2 3" xfId="27929"/>
    <cellStyle name="표준 14 9 2 3" xfId="13973"/>
    <cellStyle name="표준 14 9 2 3 2" xfId="34849"/>
    <cellStyle name="표준 14 9 2 4" xfId="26111"/>
    <cellStyle name="표준 14 9 3" xfId="5635"/>
    <cellStyle name="표준 14 9 3 2" xfId="14644"/>
    <cellStyle name="표준 14 9 3 2 2" xfId="35520"/>
    <cellStyle name="표준 14 9 3 3" xfId="26782"/>
    <cellStyle name="표준 14 9 4" xfId="7428"/>
    <cellStyle name="표준 14 9 4 2" xfId="16435"/>
    <cellStyle name="표준 14 9 4 2 2" xfId="37311"/>
    <cellStyle name="표준 14 9 4 3" xfId="28573"/>
    <cellStyle name="표준 14 9 5" xfId="8072"/>
    <cellStyle name="표준 14 9 5 2" xfId="17078"/>
    <cellStyle name="표준 14 9 5 2 2" xfId="37954"/>
    <cellStyle name="표준 14 9 5 3" xfId="29216"/>
    <cellStyle name="표준 14 9 6" xfId="8920"/>
    <cellStyle name="표준 14 9 6 2" xfId="17925"/>
    <cellStyle name="표준 14 9 6 2 2" xfId="38801"/>
    <cellStyle name="표준 14 9 6 3" xfId="30063"/>
    <cellStyle name="표준 14 9 7" xfId="9745"/>
    <cellStyle name="표준 14 9 7 2" xfId="18743"/>
    <cellStyle name="표준 14 9 7 2 2" xfId="39619"/>
    <cellStyle name="표준 14 9 7 3" xfId="30881"/>
    <cellStyle name="표준 14 9 8" xfId="10800"/>
    <cellStyle name="표준 14 9 8 2" xfId="19571"/>
    <cellStyle name="표준 14 9 8 2 2" xfId="40447"/>
    <cellStyle name="표준 14 9 8 3" xfId="31711"/>
    <cellStyle name="표준 14 9 9" xfId="11666"/>
    <cellStyle name="표준 14 9 9 2" xfId="20432"/>
    <cellStyle name="표준 14 9 9 2 2" xfId="41308"/>
    <cellStyle name="표준 14 9 9 3" xfId="32572"/>
    <cellStyle name="표준 15" xfId="2919"/>
    <cellStyle name="표준 15 10" xfId="4528"/>
    <cellStyle name="표준 15 10 2" xfId="6362"/>
    <cellStyle name="표준 15 10 2 2" xfId="15371"/>
    <cellStyle name="표준 15 10 2 2 2" xfId="36247"/>
    <cellStyle name="표준 15 10 2 3" xfId="27509"/>
    <cellStyle name="표준 15 10 3" xfId="11025"/>
    <cellStyle name="표준 15 10 3 2" xfId="19795"/>
    <cellStyle name="표준 15 10 3 2 2" xfId="40671"/>
    <cellStyle name="표준 15 10 3 3" xfId="31935"/>
    <cellStyle name="표준 15 10 4" xfId="11890"/>
    <cellStyle name="표준 15 10 4 2" xfId="20656"/>
    <cellStyle name="표준 15 10 4 2 2" xfId="41532"/>
    <cellStyle name="표준 15 10 4 3" xfId="32796"/>
    <cellStyle name="표준 15 10 5" xfId="13553"/>
    <cellStyle name="표준 15 10 5 2" xfId="34429"/>
    <cellStyle name="표준 15 10 6" xfId="25691"/>
    <cellStyle name="표준 15 11" xfId="5205"/>
    <cellStyle name="표준 15 11 2" xfId="14214"/>
    <cellStyle name="표준 15 11 2 2" xfId="35090"/>
    <cellStyle name="표준 15 11 3" xfId="26352"/>
    <cellStyle name="표준 15 12" xfId="7007"/>
    <cellStyle name="표준 15 12 2" xfId="16015"/>
    <cellStyle name="표준 15 12 2 2" xfId="36891"/>
    <cellStyle name="표준 15 12 3" xfId="28153"/>
    <cellStyle name="표준 15 13" xfId="7652"/>
    <cellStyle name="표준 15 13 2" xfId="16658"/>
    <cellStyle name="표준 15 13 2 2" xfId="37534"/>
    <cellStyle name="표준 15 13 3" xfId="28796"/>
    <cellStyle name="표준 15 14" xfId="8500"/>
    <cellStyle name="표준 15 14 2" xfId="17505"/>
    <cellStyle name="표준 15 14 2 2" xfId="38381"/>
    <cellStyle name="표준 15 14 3" xfId="29643"/>
    <cellStyle name="표준 15 15" xfId="9324"/>
    <cellStyle name="표준 15 15 2" xfId="18323"/>
    <cellStyle name="표준 15 15 2 2" xfId="39199"/>
    <cellStyle name="표준 15 15 3" xfId="30461"/>
    <cellStyle name="표준 15 16" xfId="9975"/>
    <cellStyle name="표준 15 17" xfId="10380"/>
    <cellStyle name="표준 15 17 2" xfId="19151"/>
    <cellStyle name="표준 15 17 2 2" xfId="40027"/>
    <cellStyle name="표준 15 17 3" xfId="31291"/>
    <cellStyle name="표준 15 18" xfId="11246"/>
    <cellStyle name="표준 15 18 2" xfId="20012"/>
    <cellStyle name="표준 15 18 2 2" xfId="40888"/>
    <cellStyle name="표준 15 18 3" xfId="32152"/>
    <cellStyle name="표준 15 19" xfId="12394"/>
    <cellStyle name="표준 15 19 2" xfId="33272"/>
    <cellStyle name="표준 15 2" xfId="2920"/>
    <cellStyle name="표준 15 2 10" xfId="10381"/>
    <cellStyle name="표준 15 2 10 2" xfId="19152"/>
    <cellStyle name="표준 15 2 10 2 2" xfId="40028"/>
    <cellStyle name="표준 15 2 10 3" xfId="31292"/>
    <cellStyle name="표준 15 2 11" xfId="11247"/>
    <cellStyle name="표준 15 2 11 2" xfId="20013"/>
    <cellStyle name="표준 15 2 11 2 2" xfId="40889"/>
    <cellStyle name="표준 15 2 11 3" xfId="32153"/>
    <cellStyle name="표준 15 2 12" xfId="12395"/>
    <cellStyle name="표준 15 2 12 2" xfId="33273"/>
    <cellStyle name="표준 15 2 13" xfId="24523"/>
    <cellStyle name="표준 15 2 2" xfId="3138"/>
    <cellStyle name="표준 15 2 2 10" xfId="11457"/>
    <cellStyle name="표준 15 2 2 10 2" xfId="20223"/>
    <cellStyle name="표준 15 2 2 10 2 2" xfId="41099"/>
    <cellStyle name="표준 15 2 2 10 3" xfId="32363"/>
    <cellStyle name="표준 15 2 2 11" xfId="12606"/>
    <cellStyle name="표준 15 2 2 11 2" xfId="33483"/>
    <cellStyle name="표준 15 2 2 12" xfId="24733"/>
    <cellStyle name="표준 15 2 2 2" xfId="3580"/>
    <cellStyle name="표준 15 2 2 2 2" xfId="5853"/>
    <cellStyle name="표준 15 2 2 2 2 2" xfId="14862"/>
    <cellStyle name="표준 15 2 2 2 2 2 2" xfId="35738"/>
    <cellStyle name="표준 15 2 2 2 2 3" xfId="27000"/>
    <cellStyle name="표준 15 2 2 2 3" xfId="13043"/>
    <cellStyle name="표준 15 2 2 2 3 2" xfId="33920"/>
    <cellStyle name="표준 15 2 2 2 4" xfId="25170"/>
    <cellStyle name="표준 15 2 2 3" xfId="4741"/>
    <cellStyle name="표준 15 2 2 3 2" xfId="6573"/>
    <cellStyle name="표준 15 2 2 3 2 2" xfId="15582"/>
    <cellStyle name="표준 15 2 2 3 2 2 2" xfId="36458"/>
    <cellStyle name="표준 15 2 2 3 2 3" xfId="27720"/>
    <cellStyle name="표준 15 2 2 3 3" xfId="13764"/>
    <cellStyle name="표준 15 2 2 3 3 2" xfId="34640"/>
    <cellStyle name="표준 15 2 2 3 4" xfId="25902"/>
    <cellStyle name="표준 15 2 2 4" xfId="5416"/>
    <cellStyle name="표준 15 2 2 4 2" xfId="14425"/>
    <cellStyle name="표준 15 2 2 4 2 2" xfId="35301"/>
    <cellStyle name="표준 15 2 2 4 3" xfId="26563"/>
    <cellStyle name="표준 15 2 2 5" xfId="7219"/>
    <cellStyle name="표준 15 2 2 5 2" xfId="16226"/>
    <cellStyle name="표준 15 2 2 5 2 2" xfId="37102"/>
    <cellStyle name="표준 15 2 2 5 3" xfId="28364"/>
    <cellStyle name="표준 15 2 2 6" xfId="7863"/>
    <cellStyle name="표준 15 2 2 6 2" xfId="16869"/>
    <cellStyle name="표준 15 2 2 6 2 2" xfId="37745"/>
    <cellStyle name="표준 15 2 2 6 3" xfId="29007"/>
    <cellStyle name="표준 15 2 2 7" xfId="8711"/>
    <cellStyle name="표준 15 2 2 7 2" xfId="17716"/>
    <cellStyle name="표준 15 2 2 7 2 2" xfId="38592"/>
    <cellStyle name="표준 15 2 2 7 3" xfId="29854"/>
    <cellStyle name="표준 15 2 2 8" xfId="9536"/>
    <cellStyle name="표준 15 2 2 8 2" xfId="18534"/>
    <cellStyle name="표준 15 2 2 8 2 2" xfId="39410"/>
    <cellStyle name="표준 15 2 2 8 3" xfId="30672"/>
    <cellStyle name="표준 15 2 2 9" xfId="10591"/>
    <cellStyle name="표준 15 2 2 9 2" xfId="19362"/>
    <cellStyle name="표준 15 2 2 9 2 2" xfId="40238"/>
    <cellStyle name="표준 15 2 2 9 3" xfId="31502"/>
    <cellStyle name="표준 15 2 3" xfId="3370"/>
    <cellStyle name="표준 15 2 3 10" xfId="12833"/>
    <cellStyle name="표준 15 2 3 10 2" xfId="33710"/>
    <cellStyle name="표준 15 2 3 11" xfId="24960"/>
    <cellStyle name="표준 15 2 3 2" xfId="4963"/>
    <cellStyle name="표준 15 2 3 2 2" xfId="6790"/>
    <cellStyle name="표준 15 2 3 2 2 2" xfId="15799"/>
    <cellStyle name="표준 15 2 3 2 2 2 2" xfId="36675"/>
    <cellStyle name="표준 15 2 3 2 2 3" xfId="27937"/>
    <cellStyle name="표준 15 2 3 2 3" xfId="13981"/>
    <cellStyle name="표준 15 2 3 2 3 2" xfId="34857"/>
    <cellStyle name="표준 15 2 3 2 4" xfId="26119"/>
    <cellStyle name="표준 15 2 3 3" xfId="5643"/>
    <cellStyle name="표준 15 2 3 3 2" xfId="14652"/>
    <cellStyle name="표준 15 2 3 3 2 2" xfId="35528"/>
    <cellStyle name="표준 15 2 3 3 3" xfId="26790"/>
    <cellStyle name="표준 15 2 3 4" xfId="7436"/>
    <cellStyle name="표준 15 2 3 4 2" xfId="16443"/>
    <cellStyle name="표준 15 2 3 4 2 2" xfId="37319"/>
    <cellStyle name="표준 15 2 3 4 3" xfId="28581"/>
    <cellStyle name="표준 15 2 3 5" xfId="8080"/>
    <cellStyle name="표준 15 2 3 5 2" xfId="17086"/>
    <cellStyle name="표준 15 2 3 5 2 2" xfId="37962"/>
    <cellStyle name="표준 15 2 3 5 3" xfId="29224"/>
    <cellStyle name="표준 15 2 3 6" xfId="8928"/>
    <cellStyle name="표준 15 2 3 6 2" xfId="17933"/>
    <cellStyle name="표준 15 2 3 6 2 2" xfId="38809"/>
    <cellStyle name="표준 15 2 3 6 3" xfId="30071"/>
    <cellStyle name="표준 15 2 3 7" xfId="9753"/>
    <cellStyle name="표준 15 2 3 7 2" xfId="18751"/>
    <cellStyle name="표준 15 2 3 7 2 2" xfId="39627"/>
    <cellStyle name="표준 15 2 3 7 3" xfId="30889"/>
    <cellStyle name="표준 15 2 3 8" xfId="10808"/>
    <cellStyle name="표준 15 2 3 8 2" xfId="19579"/>
    <cellStyle name="표준 15 2 3 8 2 2" xfId="40455"/>
    <cellStyle name="표준 15 2 3 8 3" xfId="31719"/>
    <cellStyle name="표준 15 2 3 9" xfId="11674"/>
    <cellStyle name="표준 15 2 3 9 2" xfId="20440"/>
    <cellStyle name="표준 15 2 3 9 2 2" xfId="41316"/>
    <cellStyle name="표준 15 2 3 9 3" xfId="32580"/>
    <cellStyle name="표준 15 2 4" xfId="4529"/>
    <cellStyle name="표준 15 2 4 2" xfId="6363"/>
    <cellStyle name="표준 15 2 4 2 2" xfId="15372"/>
    <cellStyle name="표준 15 2 4 2 2 2" xfId="36248"/>
    <cellStyle name="표준 15 2 4 2 3" xfId="27510"/>
    <cellStyle name="표준 15 2 4 3" xfId="11026"/>
    <cellStyle name="표준 15 2 4 3 2" xfId="19796"/>
    <cellStyle name="표준 15 2 4 3 2 2" xfId="40672"/>
    <cellStyle name="표준 15 2 4 3 3" xfId="31936"/>
    <cellStyle name="표준 15 2 4 4" xfId="11891"/>
    <cellStyle name="표준 15 2 4 4 2" xfId="20657"/>
    <cellStyle name="표준 15 2 4 4 2 2" xfId="41533"/>
    <cellStyle name="표준 15 2 4 4 3" xfId="32797"/>
    <cellStyle name="표준 15 2 4 5" xfId="13554"/>
    <cellStyle name="표준 15 2 4 5 2" xfId="34430"/>
    <cellStyle name="표준 15 2 4 6" xfId="25692"/>
    <cellStyle name="표준 15 2 5" xfId="5206"/>
    <cellStyle name="표준 15 2 5 2" xfId="14215"/>
    <cellStyle name="표준 15 2 5 2 2" xfId="35091"/>
    <cellStyle name="표준 15 2 5 3" xfId="26353"/>
    <cellStyle name="표준 15 2 6" xfId="7008"/>
    <cellStyle name="표준 15 2 6 2" xfId="16016"/>
    <cellStyle name="표준 15 2 6 2 2" xfId="36892"/>
    <cellStyle name="표준 15 2 6 3" xfId="28154"/>
    <cellStyle name="표준 15 2 7" xfId="7653"/>
    <cellStyle name="표준 15 2 7 2" xfId="16659"/>
    <cellStyle name="표준 15 2 7 2 2" xfId="37535"/>
    <cellStyle name="표준 15 2 7 3" xfId="28797"/>
    <cellStyle name="표준 15 2 8" xfId="8501"/>
    <cellStyle name="표준 15 2 8 2" xfId="17506"/>
    <cellStyle name="표준 15 2 8 2 2" xfId="38382"/>
    <cellStyle name="표준 15 2 8 3" xfId="29644"/>
    <cellStyle name="표준 15 2 9" xfId="9325"/>
    <cellStyle name="표준 15 2 9 2" xfId="18324"/>
    <cellStyle name="표준 15 2 9 2 2" xfId="39200"/>
    <cellStyle name="표준 15 2 9 3" xfId="30462"/>
    <cellStyle name="표준 15 20" xfId="24522"/>
    <cellStyle name="표준 15 3" xfId="2921"/>
    <cellStyle name="표준 15 3 10" xfId="10382"/>
    <cellStyle name="표준 15 3 10 2" xfId="19153"/>
    <cellStyle name="표준 15 3 10 2 2" xfId="40029"/>
    <cellStyle name="표준 15 3 10 3" xfId="31293"/>
    <cellStyle name="표준 15 3 11" xfId="11248"/>
    <cellStyle name="표준 15 3 11 2" xfId="20014"/>
    <cellStyle name="표준 15 3 11 2 2" xfId="40890"/>
    <cellStyle name="표준 15 3 11 3" xfId="32154"/>
    <cellStyle name="표준 15 3 12" xfId="12396"/>
    <cellStyle name="표준 15 3 12 2" xfId="33274"/>
    <cellStyle name="표준 15 3 13" xfId="24524"/>
    <cellStyle name="표준 15 3 2" xfId="3139"/>
    <cellStyle name="표준 15 3 2 10" xfId="11458"/>
    <cellStyle name="표준 15 3 2 10 2" xfId="20224"/>
    <cellStyle name="표준 15 3 2 10 2 2" xfId="41100"/>
    <cellStyle name="표준 15 3 2 10 3" xfId="32364"/>
    <cellStyle name="표준 15 3 2 11" xfId="12607"/>
    <cellStyle name="표준 15 3 2 11 2" xfId="33484"/>
    <cellStyle name="표준 15 3 2 12" xfId="24734"/>
    <cellStyle name="표준 15 3 2 2" xfId="3581"/>
    <cellStyle name="표준 15 3 2 2 2" xfId="5854"/>
    <cellStyle name="표준 15 3 2 2 2 2" xfId="14863"/>
    <cellStyle name="표준 15 3 2 2 2 2 2" xfId="35739"/>
    <cellStyle name="표준 15 3 2 2 2 3" xfId="27001"/>
    <cellStyle name="표준 15 3 2 2 3" xfId="13044"/>
    <cellStyle name="표준 15 3 2 2 3 2" xfId="33921"/>
    <cellStyle name="표준 15 3 2 2 4" xfId="25171"/>
    <cellStyle name="표준 15 3 2 3" xfId="4742"/>
    <cellStyle name="표준 15 3 2 3 2" xfId="6574"/>
    <cellStyle name="표준 15 3 2 3 2 2" xfId="15583"/>
    <cellStyle name="표준 15 3 2 3 2 2 2" xfId="36459"/>
    <cellStyle name="표준 15 3 2 3 2 3" xfId="27721"/>
    <cellStyle name="표준 15 3 2 3 3" xfId="13765"/>
    <cellStyle name="표준 15 3 2 3 3 2" xfId="34641"/>
    <cellStyle name="표준 15 3 2 3 4" xfId="25903"/>
    <cellStyle name="표준 15 3 2 4" xfId="5417"/>
    <cellStyle name="표준 15 3 2 4 2" xfId="14426"/>
    <cellStyle name="표준 15 3 2 4 2 2" xfId="35302"/>
    <cellStyle name="표준 15 3 2 4 3" xfId="26564"/>
    <cellStyle name="표준 15 3 2 5" xfId="7220"/>
    <cellStyle name="표준 15 3 2 5 2" xfId="16227"/>
    <cellStyle name="표준 15 3 2 5 2 2" xfId="37103"/>
    <cellStyle name="표준 15 3 2 5 3" xfId="28365"/>
    <cellStyle name="표준 15 3 2 6" xfId="7864"/>
    <cellStyle name="표준 15 3 2 6 2" xfId="16870"/>
    <cellStyle name="표준 15 3 2 6 2 2" xfId="37746"/>
    <cellStyle name="표준 15 3 2 6 3" xfId="29008"/>
    <cellStyle name="표준 15 3 2 7" xfId="8712"/>
    <cellStyle name="표준 15 3 2 7 2" xfId="17717"/>
    <cellStyle name="표준 15 3 2 7 2 2" xfId="38593"/>
    <cellStyle name="표준 15 3 2 7 3" xfId="29855"/>
    <cellStyle name="표준 15 3 2 8" xfId="9537"/>
    <cellStyle name="표준 15 3 2 8 2" xfId="18535"/>
    <cellStyle name="표준 15 3 2 8 2 2" xfId="39411"/>
    <cellStyle name="표준 15 3 2 8 3" xfId="30673"/>
    <cellStyle name="표준 15 3 2 9" xfId="10592"/>
    <cellStyle name="표준 15 3 2 9 2" xfId="19363"/>
    <cellStyle name="표준 15 3 2 9 2 2" xfId="40239"/>
    <cellStyle name="표준 15 3 2 9 3" xfId="31503"/>
    <cellStyle name="표준 15 3 3" xfId="3371"/>
    <cellStyle name="표준 15 3 3 10" xfId="12834"/>
    <cellStyle name="표준 15 3 3 10 2" xfId="33711"/>
    <cellStyle name="표준 15 3 3 11" xfId="24961"/>
    <cellStyle name="표준 15 3 3 2" xfId="4964"/>
    <cellStyle name="표준 15 3 3 2 2" xfId="6791"/>
    <cellStyle name="표준 15 3 3 2 2 2" xfId="15800"/>
    <cellStyle name="표준 15 3 3 2 2 2 2" xfId="36676"/>
    <cellStyle name="표준 15 3 3 2 2 3" xfId="27938"/>
    <cellStyle name="표준 15 3 3 2 3" xfId="13982"/>
    <cellStyle name="표준 15 3 3 2 3 2" xfId="34858"/>
    <cellStyle name="표준 15 3 3 2 4" xfId="26120"/>
    <cellStyle name="표준 15 3 3 3" xfId="5644"/>
    <cellStyle name="표준 15 3 3 3 2" xfId="14653"/>
    <cellStyle name="표준 15 3 3 3 2 2" xfId="35529"/>
    <cellStyle name="표준 15 3 3 3 3" xfId="26791"/>
    <cellStyle name="표준 15 3 3 4" xfId="7437"/>
    <cellStyle name="표준 15 3 3 4 2" xfId="16444"/>
    <cellStyle name="표준 15 3 3 4 2 2" xfId="37320"/>
    <cellStyle name="표준 15 3 3 4 3" xfId="28582"/>
    <cellStyle name="표준 15 3 3 5" xfId="8081"/>
    <cellStyle name="표준 15 3 3 5 2" xfId="17087"/>
    <cellStyle name="표준 15 3 3 5 2 2" xfId="37963"/>
    <cellStyle name="표준 15 3 3 5 3" xfId="29225"/>
    <cellStyle name="표준 15 3 3 6" xfId="8929"/>
    <cellStyle name="표준 15 3 3 6 2" xfId="17934"/>
    <cellStyle name="표준 15 3 3 6 2 2" xfId="38810"/>
    <cellStyle name="표준 15 3 3 6 3" xfId="30072"/>
    <cellStyle name="표준 15 3 3 7" xfId="9754"/>
    <cellStyle name="표준 15 3 3 7 2" xfId="18752"/>
    <cellStyle name="표준 15 3 3 7 2 2" xfId="39628"/>
    <cellStyle name="표준 15 3 3 7 3" xfId="30890"/>
    <cellStyle name="표준 15 3 3 8" xfId="10809"/>
    <cellStyle name="표준 15 3 3 8 2" xfId="19580"/>
    <cellStyle name="표준 15 3 3 8 2 2" xfId="40456"/>
    <cellStyle name="표준 15 3 3 8 3" xfId="31720"/>
    <cellStyle name="표준 15 3 3 9" xfId="11675"/>
    <cellStyle name="표준 15 3 3 9 2" xfId="20441"/>
    <cellStyle name="표준 15 3 3 9 2 2" xfId="41317"/>
    <cellStyle name="표준 15 3 3 9 3" xfId="32581"/>
    <cellStyle name="표준 15 3 4" xfId="4530"/>
    <cellStyle name="표준 15 3 4 2" xfId="6364"/>
    <cellStyle name="표준 15 3 4 2 2" xfId="15373"/>
    <cellStyle name="표준 15 3 4 2 2 2" xfId="36249"/>
    <cellStyle name="표준 15 3 4 2 3" xfId="27511"/>
    <cellStyle name="표준 15 3 4 3" xfId="11027"/>
    <cellStyle name="표준 15 3 4 3 2" xfId="19797"/>
    <cellStyle name="표준 15 3 4 3 2 2" xfId="40673"/>
    <cellStyle name="표준 15 3 4 3 3" xfId="31937"/>
    <cellStyle name="표준 15 3 4 4" xfId="11892"/>
    <cellStyle name="표준 15 3 4 4 2" xfId="20658"/>
    <cellStyle name="표준 15 3 4 4 2 2" xfId="41534"/>
    <cellStyle name="표준 15 3 4 4 3" xfId="32798"/>
    <cellStyle name="표준 15 3 4 5" xfId="13555"/>
    <cellStyle name="표준 15 3 4 5 2" xfId="34431"/>
    <cellStyle name="표준 15 3 4 6" xfId="25693"/>
    <cellStyle name="표준 15 3 5" xfId="5207"/>
    <cellStyle name="표준 15 3 5 2" xfId="14216"/>
    <cellStyle name="표준 15 3 5 2 2" xfId="35092"/>
    <cellStyle name="표준 15 3 5 3" xfId="26354"/>
    <cellStyle name="표준 15 3 6" xfId="7009"/>
    <cellStyle name="표준 15 3 6 2" xfId="16017"/>
    <cellStyle name="표준 15 3 6 2 2" xfId="36893"/>
    <cellStyle name="표준 15 3 6 3" xfId="28155"/>
    <cellStyle name="표준 15 3 7" xfId="7654"/>
    <cellStyle name="표준 15 3 7 2" xfId="16660"/>
    <cellStyle name="표준 15 3 7 2 2" xfId="37536"/>
    <cellStyle name="표준 15 3 7 3" xfId="28798"/>
    <cellStyle name="표준 15 3 8" xfId="8502"/>
    <cellStyle name="표준 15 3 8 2" xfId="17507"/>
    <cellStyle name="표준 15 3 8 2 2" xfId="38383"/>
    <cellStyle name="표준 15 3 8 3" xfId="29645"/>
    <cellStyle name="표준 15 3 9" xfId="9326"/>
    <cellStyle name="표준 15 3 9 2" xfId="18325"/>
    <cellStyle name="표준 15 3 9 2 2" xfId="39201"/>
    <cellStyle name="표준 15 3 9 3" xfId="30463"/>
    <cellStyle name="표준 15 4" xfId="2922"/>
    <cellStyle name="표준 15 4 10" xfId="10383"/>
    <cellStyle name="표준 15 4 10 2" xfId="19154"/>
    <cellStyle name="표준 15 4 10 2 2" xfId="40030"/>
    <cellStyle name="표준 15 4 10 3" xfId="31294"/>
    <cellStyle name="표준 15 4 11" xfId="11249"/>
    <cellStyle name="표준 15 4 11 2" xfId="20015"/>
    <cellStyle name="표준 15 4 11 2 2" xfId="40891"/>
    <cellStyle name="표준 15 4 11 3" xfId="32155"/>
    <cellStyle name="표준 15 4 12" xfId="12397"/>
    <cellStyle name="표준 15 4 12 2" xfId="33275"/>
    <cellStyle name="표준 15 4 13" xfId="24525"/>
    <cellStyle name="표준 15 4 2" xfId="3140"/>
    <cellStyle name="표준 15 4 2 10" xfId="11459"/>
    <cellStyle name="표준 15 4 2 10 2" xfId="20225"/>
    <cellStyle name="표준 15 4 2 10 2 2" xfId="41101"/>
    <cellStyle name="표준 15 4 2 10 3" xfId="32365"/>
    <cellStyle name="표준 15 4 2 11" xfId="12608"/>
    <cellStyle name="표준 15 4 2 11 2" xfId="33485"/>
    <cellStyle name="표준 15 4 2 12" xfId="24735"/>
    <cellStyle name="표준 15 4 2 2" xfId="3582"/>
    <cellStyle name="표준 15 4 2 2 2" xfId="5855"/>
    <cellStyle name="표준 15 4 2 2 2 2" xfId="14864"/>
    <cellStyle name="표준 15 4 2 2 2 2 2" xfId="35740"/>
    <cellStyle name="표준 15 4 2 2 2 3" xfId="27002"/>
    <cellStyle name="표준 15 4 2 2 3" xfId="13045"/>
    <cellStyle name="표준 15 4 2 2 3 2" xfId="33922"/>
    <cellStyle name="표준 15 4 2 2 4" xfId="25172"/>
    <cellStyle name="표준 15 4 2 3" xfId="4743"/>
    <cellStyle name="표준 15 4 2 3 2" xfId="6575"/>
    <cellStyle name="표준 15 4 2 3 2 2" xfId="15584"/>
    <cellStyle name="표준 15 4 2 3 2 2 2" xfId="36460"/>
    <cellStyle name="표준 15 4 2 3 2 3" xfId="27722"/>
    <cellStyle name="표준 15 4 2 3 3" xfId="13766"/>
    <cellStyle name="표준 15 4 2 3 3 2" xfId="34642"/>
    <cellStyle name="표준 15 4 2 3 4" xfId="25904"/>
    <cellStyle name="표준 15 4 2 4" xfId="5418"/>
    <cellStyle name="표준 15 4 2 4 2" xfId="14427"/>
    <cellStyle name="표준 15 4 2 4 2 2" xfId="35303"/>
    <cellStyle name="표준 15 4 2 4 3" xfId="26565"/>
    <cellStyle name="표준 15 4 2 5" xfId="7221"/>
    <cellStyle name="표준 15 4 2 5 2" xfId="16228"/>
    <cellStyle name="표준 15 4 2 5 2 2" xfId="37104"/>
    <cellStyle name="표준 15 4 2 5 3" xfId="28366"/>
    <cellStyle name="표준 15 4 2 6" xfId="7865"/>
    <cellStyle name="표준 15 4 2 6 2" xfId="16871"/>
    <cellStyle name="표준 15 4 2 6 2 2" xfId="37747"/>
    <cellStyle name="표준 15 4 2 6 3" xfId="29009"/>
    <cellStyle name="표준 15 4 2 7" xfId="8713"/>
    <cellStyle name="표준 15 4 2 7 2" xfId="17718"/>
    <cellStyle name="표준 15 4 2 7 2 2" xfId="38594"/>
    <cellStyle name="표준 15 4 2 7 3" xfId="29856"/>
    <cellStyle name="표준 15 4 2 8" xfId="9538"/>
    <cellStyle name="표준 15 4 2 8 2" xfId="18536"/>
    <cellStyle name="표준 15 4 2 8 2 2" xfId="39412"/>
    <cellStyle name="표준 15 4 2 8 3" xfId="30674"/>
    <cellStyle name="표준 15 4 2 9" xfId="10593"/>
    <cellStyle name="표준 15 4 2 9 2" xfId="19364"/>
    <cellStyle name="표준 15 4 2 9 2 2" xfId="40240"/>
    <cellStyle name="표준 15 4 2 9 3" xfId="31504"/>
    <cellStyle name="표준 15 4 3" xfId="3372"/>
    <cellStyle name="표준 15 4 3 10" xfId="12835"/>
    <cellStyle name="표준 15 4 3 10 2" xfId="33712"/>
    <cellStyle name="표준 15 4 3 11" xfId="24962"/>
    <cellStyle name="표준 15 4 3 2" xfId="4965"/>
    <cellStyle name="표준 15 4 3 2 2" xfId="6792"/>
    <cellStyle name="표준 15 4 3 2 2 2" xfId="15801"/>
    <cellStyle name="표준 15 4 3 2 2 2 2" xfId="36677"/>
    <cellStyle name="표준 15 4 3 2 2 3" xfId="27939"/>
    <cellStyle name="표준 15 4 3 2 3" xfId="13983"/>
    <cellStyle name="표준 15 4 3 2 3 2" xfId="34859"/>
    <cellStyle name="표준 15 4 3 2 4" xfId="26121"/>
    <cellStyle name="표준 15 4 3 3" xfId="5645"/>
    <cellStyle name="표준 15 4 3 3 2" xfId="14654"/>
    <cellStyle name="표준 15 4 3 3 2 2" xfId="35530"/>
    <cellStyle name="표준 15 4 3 3 3" xfId="26792"/>
    <cellStyle name="표준 15 4 3 4" xfId="7438"/>
    <cellStyle name="표준 15 4 3 4 2" xfId="16445"/>
    <cellStyle name="표준 15 4 3 4 2 2" xfId="37321"/>
    <cellStyle name="표준 15 4 3 4 3" xfId="28583"/>
    <cellStyle name="표준 15 4 3 5" xfId="8082"/>
    <cellStyle name="표준 15 4 3 5 2" xfId="17088"/>
    <cellStyle name="표준 15 4 3 5 2 2" xfId="37964"/>
    <cellStyle name="표준 15 4 3 5 3" xfId="29226"/>
    <cellStyle name="표준 15 4 3 6" xfId="8930"/>
    <cellStyle name="표준 15 4 3 6 2" xfId="17935"/>
    <cellStyle name="표준 15 4 3 6 2 2" xfId="38811"/>
    <cellStyle name="표준 15 4 3 6 3" xfId="30073"/>
    <cellStyle name="표준 15 4 3 7" xfId="9755"/>
    <cellStyle name="표준 15 4 3 7 2" xfId="18753"/>
    <cellStyle name="표준 15 4 3 7 2 2" xfId="39629"/>
    <cellStyle name="표준 15 4 3 7 3" xfId="30891"/>
    <cellStyle name="표준 15 4 3 8" xfId="10810"/>
    <cellStyle name="표준 15 4 3 8 2" xfId="19581"/>
    <cellStyle name="표준 15 4 3 8 2 2" xfId="40457"/>
    <cellStyle name="표준 15 4 3 8 3" xfId="31721"/>
    <cellStyle name="표준 15 4 3 9" xfId="11676"/>
    <cellStyle name="표준 15 4 3 9 2" xfId="20442"/>
    <cellStyle name="표준 15 4 3 9 2 2" xfId="41318"/>
    <cellStyle name="표준 15 4 3 9 3" xfId="32582"/>
    <cellStyle name="표준 15 4 4" xfId="4531"/>
    <cellStyle name="표준 15 4 4 2" xfId="6365"/>
    <cellStyle name="표준 15 4 4 2 2" xfId="15374"/>
    <cellStyle name="표준 15 4 4 2 2 2" xfId="36250"/>
    <cellStyle name="표준 15 4 4 2 3" xfId="27512"/>
    <cellStyle name="표준 15 4 4 3" xfId="11028"/>
    <cellStyle name="표준 15 4 4 3 2" xfId="19798"/>
    <cellStyle name="표준 15 4 4 3 2 2" xfId="40674"/>
    <cellStyle name="표준 15 4 4 3 3" xfId="31938"/>
    <cellStyle name="표준 15 4 4 4" xfId="11893"/>
    <cellStyle name="표준 15 4 4 4 2" xfId="20659"/>
    <cellStyle name="표준 15 4 4 4 2 2" xfId="41535"/>
    <cellStyle name="표준 15 4 4 4 3" xfId="32799"/>
    <cellStyle name="표준 15 4 4 5" xfId="13556"/>
    <cellStyle name="표준 15 4 4 5 2" xfId="34432"/>
    <cellStyle name="표준 15 4 4 6" xfId="25694"/>
    <cellStyle name="표준 15 4 5" xfId="5208"/>
    <cellStyle name="표준 15 4 5 2" xfId="14217"/>
    <cellStyle name="표준 15 4 5 2 2" xfId="35093"/>
    <cellStyle name="표준 15 4 5 3" xfId="26355"/>
    <cellStyle name="표준 15 4 6" xfId="7010"/>
    <cellStyle name="표준 15 4 6 2" xfId="16018"/>
    <cellStyle name="표준 15 4 6 2 2" xfId="36894"/>
    <cellStyle name="표준 15 4 6 3" xfId="28156"/>
    <cellStyle name="표준 15 4 7" xfId="7655"/>
    <cellStyle name="표준 15 4 7 2" xfId="16661"/>
    <cellStyle name="표준 15 4 7 2 2" xfId="37537"/>
    <cellStyle name="표준 15 4 7 3" xfId="28799"/>
    <cellStyle name="표준 15 4 8" xfId="8503"/>
    <cellStyle name="표준 15 4 8 2" xfId="17508"/>
    <cellStyle name="표준 15 4 8 2 2" xfId="38384"/>
    <cellStyle name="표준 15 4 8 3" xfId="29646"/>
    <cellStyle name="표준 15 4 9" xfId="9327"/>
    <cellStyle name="표준 15 4 9 2" xfId="18326"/>
    <cellStyle name="표준 15 4 9 2 2" xfId="39202"/>
    <cellStyle name="표준 15 4 9 3" xfId="30464"/>
    <cellStyle name="표준 15 5" xfId="2923"/>
    <cellStyle name="표준 15 5 10" xfId="10384"/>
    <cellStyle name="표준 15 5 10 2" xfId="19155"/>
    <cellStyle name="표준 15 5 10 2 2" xfId="40031"/>
    <cellStyle name="표준 15 5 10 3" xfId="31295"/>
    <cellStyle name="표준 15 5 11" xfId="11250"/>
    <cellStyle name="표준 15 5 11 2" xfId="20016"/>
    <cellStyle name="표준 15 5 11 2 2" xfId="40892"/>
    <cellStyle name="표준 15 5 11 3" xfId="32156"/>
    <cellStyle name="표준 15 5 12" xfId="12398"/>
    <cellStyle name="표준 15 5 12 2" xfId="33276"/>
    <cellStyle name="표준 15 5 13" xfId="24526"/>
    <cellStyle name="표준 15 5 2" xfId="3141"/>
    <cellStyle name="표준 15 5 2 10" xfId="11460"/>
    <cellStyle name="표준 15 5 2 10 2" xfId="20226"/>
    <cellStyle name="표준 15 5 2 10 2 2" xfId="41102"/>
    <cellStyle name="표준 15 5 2 10 3" xfId="32366"/>
    <cellStyle name="표준 15 5 2 11" xfId="12609"/>
    <cellStyle name="표준 15 5 2 11 2" xfId="33486"/>
    <cellStyle name="표준 15 5 2 12" xfId="24736"/>
    <cellStyle name="표준 15 5 2 2" xfId="3583"/>
    <cellStyle name="표준 15 5 2 2 2" xfId="5856"/>
    <cellStyle name="표준 15 5 2 2 2 2" xfId="14865"/>
    <cellStyle name="표준 15 5 2 2 2 2 2" xfId="35741"/>
    <cellStyle name="표준 15 5 2 2 2 3" xfId="27003"/>
    <cellStyle name="표준 15 5 2 2 3" xfId="13046"/>
    <cellStyle name="표준 15 5 2 2 3 2" xfId="33923"/>
    <cellStyle name="표준 15 5 2 2 4" xfId="25173"/>
    <cellStyle name="표준 15 5 2 3" xfId="4744"/>
    <cellStyle name="표준 15 5 2 3 2" xfId="6576"/>
    <cellStyle name="표준 15 5 2 3 2 2" xfId="15585"/>
    <cellStyle name="표준 15 5 2 3 2 2 2" xfId="36461"/>
    <cellStyle name="표준 15 5 2 3 2 3" xfId="27723"/>
    <cellStyle name="표준 15 5 2 3 3" xfId="13767"/>
    <cellStyle name="표준 15 5 2 3 3 2" xfId="34643"/>
    <cellStyle name="표준 15 5 2 3 4" xfId="25905"/>
    <cellStyle name="표준 15 5 2 4" xfId="5419"/>
    <cellStyle name="표준 15 5 2 4 2" xfId="14428"/>
    <cellStyle name="표준 15 5 2 4 2 2" xfId="35304"/>
    <cellStyle name="표준 15 5 2 4 3" xfId="26566"/>
    <cellStyle name="표준 15 5 2 5" xfId="7222"/>
    <cellStyle name="표준 15 5 2 5 2" xfId="16229"/>
    <cellStyle name="표준 15 5 2 5 2 2" xfId="37105"/>
    <cellStyle name="표준 15 5 2 5 3" xfId="28367"/>
    <cellStyle name="표준 15 5 2 6" xfId="7866"/>
    <cellStyle name="표준 15 5 2 6 2" xfId="16872"/>
    <cellStyle name="표준 15 5 2 6 2 2" xfId="37748"/>
    <cellStyle name="표준 15 5 2 6 3" xfId="29010"/>
    <cellStyle name="표준 15 5 2 7" xfId="8714"/>
    <cellStyle name="표준 15 5 2 7 2" xfId="17719"/>
    <cellStyle name="표준 15 5 2 7 2 2" xfId="38595"/>
    <cellStyle name="표준 15 5 2 7 3" xfId="29857"/>
    <cellStyle name="표준 15 5 2 8" xfId="9539"/>
    <cellStyle name="표준 15 5 2 8 2" xfId="18537"/>
    <cellStyle name="표준 15 5 2 8 2 2" xfId="39413"/>
    <cellStyle name="표준 15 5 2 8 3" xfId="30675"/>
    <cellStyle name="표준 15 5 2 9" xfId="10594"/>
    <cellStyle name="표준 15 5 2 9 2" xfId="19365"/>
    <cellStyle name="표준 15 5 2 9 2 2" xfId="40241"/>
    <cellStyle name="표준 15 5 2 9 3" xfId="31505"/>
    <cellStyle name="표준 15 5 3" xfId="3373"/>
    <cellStyle name="표준 15 5 3 10" xfId="12836"/>
    <cellStyle name="표준 15 5 3 10 2" xfId="33713"/>
    <cellStyle name="표준 15 5 3 11" xfId="24963"/>
    <cellStyle name="표준 15 5 3 2" xfId="4966"/>
    <cellStyle name="표준 15 5 3 2 2" xfId="6793"/>
    <cellStyle name="표준 15 5 3 2 2 2" xfId="15802"/>
    <cellStyle name="표준 15 5 3 2 2 2 2" xfId="36678"/>
    <cellStyle name="표준 15 5 3 2 2 3" xfId="27940"/>
    <cellStyle name="표준 15 5 3 2 3" xfId="13984"/>
    <cellStyle name="표준 15 5 3 2 3 2" xfId="34860"/>
    <cellStyle name="표준 15 5 3 2 4" xfId="26122"/>
    <cellStyle name="표준 15 5 3 3" xfId="5646"/>
    <cellStyle name="표준 15 5 3 3 2" xfId="14655"/>
    <cellStyle name="표준 15 5 3 3 2 2" xfId="35531"/>
    <cellStyle name="표준 15 5 3 3 3" xfId="26793"/>
    <cellStyle name="표준 15 5 3 4" xfId="7439"/>
    <cellStyle name="표준 15 5 3 4 2" xfId="16446"/>
    <cellStyle name="표준 15 5 3 4 2 2" xfId="37322"/>
    <cellStyle name="표준 15 5 3 4 3" xfId="28584"/>
    <cellStyle name="표준 15 5 3 5" xfId="8083"/>
    <cellStyle name="표준 15 5 3 5 2" xfId="17089"/>
    <cellStyle name="표준 15 5 3 5 2 2" xfId="37965"/>
    <cellStyle name="표준 15 5 3 5 3" xfId="29227"/>
    <cellStyle name="표준 15 5 3 6" xfId="8931"/>
    <cellStyle name="표준 15 5 3 6 2" xfId="17936"/>
    <cellStyle name="표준 15 5 3 6 2 2" xfId="38812"/>
    <cellStyle name="표준 15 5 3 6 3" xfId="30074"/>
    <cellStyle name="표준 15 5 3 7" xfId="9756"/>
    <cellStyle name="표준 15 5 3 7 2" xfId="18754"/>
    <cellStyle name="표준 15 5 3 7 2 2" xfId="39630"/>
    <cellStyle name="표준 15 5 3 7 3" xfId="30892"/>
    <cellStyle name="표준 15 5 3 8" xfId="10811"/>
    <cellStyle name="표준 15 5 3 8 2" xfId="19582"/>
    <cellStyle name="표준 15 5 3 8 2 2" xfId="40458"/>
    <cellStyle name="표준 15 5 3 8 3" xfId="31722"/>
    <cellStyle name="표준 15 5 3 9" xfId="11677"/>
    <cellStyle name="표준 15 5 3 9 2" xfId="20443"/>
    <cellStyle name="표준 15 5 3 9 2 2" xfId="41319"/>
    <cellStyle name="표준 15 5 3 9 3" xfId="32583"/>
    <cellStyle name="표준 15 5 4" xfId="4532"/>
    <cellStyle name="표준 15 5 4 2" xfId="6366"/>
    <cellStyle name="표준 15 5 4 2 2" xfId="15375"/>
    <cellStyle name="표준 15 5 4 2 2 2" xfId="36251"/>
    <cellStyle name="표준 15 5 4 2 3" xfId="27513"/>
    <cellStyle name="표준 15 5 4 3" xfId="11029"/>
    <cellStyle name="표준 15 5 4 3 2" xfId="19799"/>
    <cellStyle name="표준 15 5 4 3 2 2" xfId="40675"/>
    <cellStyle name="표준 15 5 4 3 3" xfId="31939"/>
    <cellStyle name="표준 15 5 4 4" xfId="11894"/>
    <cellStyle name="표준 15 5 4 4 2" xfId="20660"/>
    <cellStyle name="표준 15 5 4 4 2 2" xfId="41536"/>
    <cellStyle name="표준 15 5 4 4 3" xfId="32800"/>
    <cellStyle name="표준 15 5 4 5" xfId="13557"/>
    <cellStyle name="표준 15 5 4 5 2" xfId="34433"/>
    <cellStyle name="표준 15 5 4 6" xfId="25695"/>
    <cellStyle name="표준 15 5 5" xfId="5209"/>
    <cellStyle name="표준 15 5 5 2" xfId="14218"/>
    <cellStyle name="표준 15 5 5 2 2" xfId="35094"/>
    <cellStyle name="표준 15 5 5 3" xfId="26356"/>
    <cellStyle name="표준 15 5 6" xfId="7011"/>
    <cellStyle name="표준 15 5 6 2" xfId="16019"/>
    <cellStyle name="표준 15 5 6 2 2" xfId="36895"/>
    <cellStyle name="표준 15 5 6 3" xfId="28157"/>
    <cellStyle name="표준 15 5 7" xfId="7656"/>
    <cellStyle name="표준 15 5 7 2" xfId="16662"/>
    <cellStyle name="표준 15 5 7 2 2" xfId="37538"/>
    <cellStyle name="표준 15 5 7 3" xfId="28800"/>
    <cellStyle name="표준 15 5 8" xfId="8504"/>
    <cellStyle name="표준 15 5 8 2" xfId="17509"/>
    <cellStyle name="표준 15 5 8 2 2" xfId="38385"/>
    <cellStyle name="표준 15 5 8 3" xfId="29647"/>
    <cellStyle name="표준 15 5 9" xfId="9328"/>
    <cellStyle name="표준 15 5 9 2" xfId="18327"/>
    <cellStyle name="표준 15 5 9 2 2" xfId="39203"/>
    <cellStyle name="표준 15 5 9 3" xfId="30465"/>
    <cellStyle name="표준 15 6" xfId="2924"/>
    <cellStyle name="표준 15 6 10" xfId="10385"/>
    <cellStyle name="표준 15 6 10 2" xfId="19156"/>
    <cellStyle name="표준 15 6 10 2 2" xfId="40032"/>
    <cellStyle name="표준 15 6 10 3" xfId="31296"/>
    <cellStyle name="표준 15 6 11" xfId="11251"/>
    <cellStyle name="표준 15 6 11 2" xfId="20017"/>
    <cellStyle name="표준 15 6 11 2 2" xfId="40893"/>
    <cellStyle name="표준 15 6 11 3" xfId="32157"/>
    <cellStyle name="표준 15 6 12" xfId="12399"/>
    <cellStyle name="표준 15 6 12 2" xfId="33277"/>
    <cellStyle name="표준 15 6 13" xfId="24527"/>
    <cellStyle name="표준 15 6 2" xfId="3142"/>
    <cellStyle name="표준 15 6 2 10" xfId="11461"/>
    <cellStyle name="표준 15 6 2 10 2" xfId="20227"/>
    <cellStyle name="표준 15 6 2 10 2 2" xfId="41103"/>
    <cellStyle name="표준 15 6 2 10 3" xfId="32367"/>
    <cellStyle name="표준 15 6 2 11" xfId="12610"/>
    <cellStyle name="표준 15 6 2 11 2" xfId="33487"/>
    <cellStyle name="표준 15 6 2 12" xfId="24737"/>
    <cellStyle name="표준 15 6 2 2" xfId="3584"/>
    <cellStyle name="표준 15 6 2 2 2" xfId="5857"/>
    <cellStyle name="표준 15 6 2 2 2 2" xfId="14866"/>
    <cellStyle name="표준 15 6 2 2 2 2 2" xfId="35742"/>
    <cellStyle name="표준 15 6 2 2 2 3" xfId="27004"/>
    <cellStyle name="표준 15 6 2 2 3" xfId="13047"/>
    <cellStyle name="표준 15 6 2 2 3 2" xfId="33924"/>
    <cellStyle name="표준 15 6 2 2 4" xfId="25174"/>
    <cellStyle name="표준 15 6 2 3" xfId="4745"/>
    <cellStyle name="표준 15 6 2 3 2" xfId="6577"/>
    <cellStyle name="표준 15 6 2 3 2 2" xfId="15586"/>
    <cellStyle name="표준 15 6 2 3 2 2 2" xfId="36462"/>
    <cellStyle name="표준 15 6 2 3 2 3" xfId="27724"/>
    <cellStyle name="표준 15 6 2 3 3" xfId="13768"/>
    <cellStyle name="표준 15 6 2 3 3 2" xfId="34644"/>
    <cellStyle name="표준 15 6 2 3 4" xfId="25906"/>
    <cellStyle name="표준 15 6 2 4" xfId="5420"/>
    <cellStyle name="표준 15 6 2 4 2" xfId="14429"/>
    <cellStyle name="표준 15 6 2 4 2 2" xfId="35305"/>
    <cellStyle name="표준 15 6 2 4 3" xfId="26567"/>
    <cellStyle name="표준 15 6 2 5" xfId="7223"/>
    <cellStyle name="표준 15 6 2 5 2" xfId="16230"/>
    <cellStyle name="표준 15 6 2 5 2 2" xfId="37106"/>
    <cellStyle name="표준 15 6 2 5 3" xfId="28368"/>
    <cellStyle name="표준 15 6 2 6" xfId="7867"/>
    <cellStyle name="표준 15 6 2 6 2" xfId="16873"/>
    <cellStyle name="표준 15 6 2 6 2 2" xfId="37749"/>
    <cellStyle name="표준 15 6 2 6 3" xfId="29011"/>
    <cellStyle name="표준 15 6 2 7" xfId="8715"/>
    <cellStyle name="표준 15 6 2 7 2" xfId="17720"/>
    <cellStyle name="표준 15 6 2 7 2 2" xfId="38596"/>
    <cellStyle name="표준 15 6 2 7 3" xfId="29858"/>
    <cellStyle name="표준 15 6 2 8" xfId="9540"/>
    <cellStyle name="표준 15 6 2 8 2" xfId="18538"/>
    <cellStyle name="표준 15 6 2 8 2 2" xfId="39414"/>
    <cellStyle name="표준 15 6 2 8 3" xfId="30676"/>
    <cellStyle name="표준 15 6 2 9" xfId="10595"/>
    <cellStyle name="표준 15 6 2 9 2" xfId="19366"/>
    <cellStyle name="표준 15 6 2 9 2 2" xfId="40242"/>
    <cellStyle name="표준 15 6 2 9 3" xfId="31506"/>
    <cellStyle name="표준 15 6 3" xfId="3374"/>
    <cellStyle name="표준 15 6 3 10" xfId="12837"/>
    <cellStyle name="표준 15 6 3 10 2" xfId="33714"/>
    <cellStyle name="표준 15 6 3 11" xfId="24964"/>
    <cellStyle name="표준 15 6 3 2" xfId="4967"/>
    <cellStyle name="표준 15 6 3 2 2" xfId="6794"/>
    <cellStyle name="표준 15 6 3 2 2 2" xfId="15803"/>
    <cellStyle name="표준 15 6 3 2 2 2 2" xfId="36679"/>
    <cellStyle name="표준 15 6 3 2 2 3" xfId="27941"/>
    <cellStyle name="표준 15 6 3 2 3" xfId="13985"/>
    <cellStyle name="표준 15 6 3 2 3 2" xfId="34861"/>
    <cellStyle name="표준 15 6 3 2 4" xfId="26123"/>
    <cellStyle name="표준 15 6 3 3" xfId="5647"/>
    <cellStyle name="표준 15 6 3 3 2" xfId="14656"/>
    <cellStyle name="표준 15 6 3 3 2 2" xfId="35532"/>
    <cellStyle name="표준 15 6 3 3 3" xfId="26794"/>
    <cellStyle name="표준 15 6 3 4" xfId="7440"/>
    <cellStyle name="표준 15 6 3 4 2" xfId="16447"/>
    <cellStyle name="표준 15 6 3 4 2 2" xfId="37323"/>
    <cellStyle name="표준 15 6 3 4 3" xfId="28585"/>
    <cellStyle name="표준 15 6 3 5" xfId="8084"/>
    <cellStyle name="표준 15 6 3 5 2" xfId="17090"/>
    <cellStyle name="표준 15 6 3 5 2 2" xfId="37966"/>
    <cellStyle name="표준 15 6 3 5 3" xfId="29228"/>
    <cellStyle name="표준 15 6 3 6" xfId="8932"/>
    <cellStyle name="표준 15 6 3 6 2" xfId="17937"/>
    <cellStyle name="표준 15 6 3 6 2 2" xfId="38813"/>
    <cellStyle name="표준 15 6 3 6 3" xfId="30075"/>
    <cellStyle name="표준 15 6 3 7" xfId="9757"/>
    <cellStyle name="표준 15 6 3 7 2" xfId="18755"/>
    <cellStyle name="표준 15 6 3 7 2 2" xfId="39631"/>
    <cellStyle name="표준 15 6 3 7 3" xfId="30893"/>
    <cellStyle name="표준 15 6 3 8" xfId="10812"/>
    <cellStyle name="표준 15 6 3 8 2" xfId="19583"/>
    <cellStyle name="표준 15 6 3 8 2 2" xfId="40459"/>
    <cellStyle name="표준 15 6 3 8 3" xfId="31723"/>
    <cellStyle name="표준 15 6 3 9" xfId="11678"/>
    <cellStyle name="표준 15 6 3 9 2" xfId="20444"/>
    <cellStyle name="표준 15 6 3 9 2 2" xfId="41320"/>
    <cellStyle name="표준 15 6 3 9 3" xfId="32584"/>
    <cellStyle name="표준 15 6 4" xfId="4533"/>
    <cellStyle name="표준 15 6 4 2" xfId="6367"/>
    <cellStyle name="표준 15 6 4 2 2" xfId="15376"/>
    <cellStyle name="표준 15 6 4 2 2 2" xfId="36252"/>
    <cellStyle name="표준 15 6 4 2 3" xfId="27514"/>
    <cellStyle name="표준 15 6 4 3" xfId="11030"/>
    <cellStyle name="표준 15 6 4 3 2" xfId="19800"/>
    <cellStyle name="표준 15 6 4 3 2 2" xfId="40676"/>
    <cellStyle name="표준 15 6 4 3 3" xfId="31940"/>
    <cellStyle name="표준 15 6 4 4" xfId="11895"/>
    <cellStyle name="표준 15 6 4 4 2" xfId="20661"/>
    <cellStyle name="표준 15 6 4 4 2 2" xfId="41537"/>
    <cellStyle name="표준 15 6 4 4 3" xfId="32801"/>
    <cellStyle name="표준 15 6 4 5" xfId="13558"/>
    <cellStyle name="표준 15 6 4 5 2" xfId="34434"/>
    <cellStyle name="표준 15 6 4 6" xfId="25696"/>
    <cellStyle name="표준 15 6 5" xfId="5210"/>
    <cellStyle name="표준 15 6 5 2" xfId="14219"/>
    <cellStyle name="표준 15 6 5 2 2" xfId="35095"/>
    <cellStyle name="표준 15 6 5 3" xfId="26357"/>
    <cellStyle name="표준 15 6 6" xfId="7012"/>
    <cellStyle name="표준 15 6 6 2" xfId="16020"/>
    <cellStyle name="표준 15 6 6 2 2" xfId="36896"/>
    <cellStyle name="표준 15 6 6 3" xfId="28158"/>
    <cellStyle name="표준 15 6 7" xfId="7657"/>
    <cellStyle name="표준 15 6 7 2" xfId="16663"/>
    <cellStyle name="표준 15 6 7 2 2" xfId="37539"/>
    <cellStyle name="표준 15 6 7 3" xfId="28801"/>
    <cellStyle name="표준 15 6 8" xfId="8505"/>
    <cellStyle name="표준 15 6 8 2" xfId="17510"/>
    <cellStyle name="표준 15 6 8 2 2" xfId="38386"/>
    <cellStyle name="표준 15 6 8 3" xfId="29648"/>
    <cellStyle name="표준 15 6 9" xfId="9329"/>
    <cellStyle name="표준 15 6 9 2" xfId="18328"/>
    <cellStyle name="표준 15 6 9 2 2" xfId="39204"/>
    <cellStyle name="표준 15 6 9 3" xfId="30466"/>
    <cellStyle name="표준 15 7" xfId="2925"/>
    <cellStyle name="표준 15 7 10" xfId="10386"/>
    <cellStyle name="표준 15 7 10 2" xfId="19157"/>
    <cellStyle name="표준 15 7 10 2 2" xfId="40033"/>
    <cellStyle name="표준 15 7 10 3" xfId="31297"/>
    <cellStyle name="표준 15 7 11" xfId="11252"/>
    <cellStyle name="표준 15 7 11 2" xfId="20018"/>
    <cellStyle name="표준 15 7 11 2 2" xfId="40894"/>
    <cellStyle name="표준 15 7 11 3" xfId="32158"/>
    <cellStyle name="표준 15 7 12" xfId="12400"/>
    <cellStyle name="표준 15 7 12 2" xfId="33278"/>
    <cellStyle name="표준 15 7 13" xfId="24528"/>
    <cellStyle name="표준 15 7 2" xfId="3143"/>
    <cellStyle name="표준 15 7 2 10" xfId="11462"/>
    <cellStyle name="표준 15 7 2 10 2" xfId="20228"/>
    <cellStyle name="표준 15 7 2 10 2 2" xfId="41104"/>
    <cellStyle name="표준 15 7 2 10 3" xfId="32368"/>
    <cellStyle name="표준 15 7 2 11" xfId="12611"/>
    <cellStyle name="표준 15 7 2 11 2" xfId="33488"/>
    <cellStyle name="표준 15 7 2 12" xfId="24738"/>
    <cellStyle name="표준 15 7 2 2" xfId="3585"/>
    <cellStyle name="표준 15 7 2 2 2" xfId="5858"/>
    <cellStyle name="표준 15 7 2 2 2 2" xfId="14867"/>
    <cellStyle name="표준 15 7 2 2 2 2 2" xfId="35743"/>
    <cellStyle name="표준 15 7 2 2 2 3" xfId="27005"/>
    <cellStyle name="표준 15 7 2 2 3" xfId="13048"/>
    <cellStyle name="표준 15 7 2 2 3 2" xfId="33925"/>
    <cellStyle name="표준 15 7 2 2 4" xfId="25175"/>
    <cellStyle name="표준 15 7 2 3" xfId="4746"/>
    <cellStyle name="표준 15 7 2 3 2" xfId="6578"/>
    <cellStyle name="표준 15 7 2 3 2 2" xfId="15587"/>
    <cellStyle name="표준 15 7 2 3 2 2 2" xfId="36463"/>
    <cellStyle name="표준 15 7 2 3 2 3" xfId="27725"/>
    <cellStyle name="표준 15 7 2 3 3" xfId="13769"/>
    <cellStyle name="표준 15 7 2 3 3 2" xfId="34645"/>
    <cellStyle name="표준 15 7 2 3 4" xfId="25907"/>
    <cellStyle name="표준 15 7 2 4" xfId="5421"/>
    <cellStyle name="표준 15 7 2 4 2" xfId="14430"/>
    <cellStyle name="표준 15 7 2 4 2 2" xfId="35306"/>
    <cellStyle name="표준 15 7 2 4 3" xfId="26568"/>
    <cellStyle name="표준 15 7 2 5" xfId="7224"/>
    <cellStyle name="표준 15 7 2 5 2" xfId="16231"/>
    <cellStyle name="표준 15 7 2 5 2 2" xfId="37107"/>
    <cellStyle name="표준 15 7 2 5 3" xfId="28369"/>
    <cellStyle name="표준 15 7 2 6" xfId="7868"/>
    <cellStyle name="표준 15 7 2 6 2" xfId="16874"/>
    <cellStyle name="표준 15 7 2 6 2 2" xfId="37750"/>
    <cellStyle name="표준 15 7 2 6 3" xfId="29012"/>
    <cellStyle name="표준 15 7 2 7" xfId="8716"/>
    <cellStyle name="표준 15 7 2 7 2" xfId="17721"/>
    <cellStyle name="표준 15 7 2 7 2 2" xfId="38597"/>
    <cellStyle name="표준 15 7 2 7 3" xfId="29859"/>
    <cellStyle name="표준 15 7 2 8" xfId="9541"/>
    <cellStyle name="표준 15 7 2 8 2" xfId="18539"/>
    <cellStyle name="표준 15 7 2 8 2 2" xfId="39415"/>
    <cellStyle name="표준 15 7 2 8 3" xfId="30677"/>
    <cellStyle name="표준 15 7 2 9" xfId="10596"/>
    <cellStyle name="표준 15 7 2 9 2" xfId="19367"/>
    <cellStyle name="표준 15 7 2 9 2 2" xfId="40243"/>
    <cellStyle name="표준 15 7 2 9 3" xfId="31507"/>
    <cellStyle name="표준 15 7 3" xfId="3375"/>
    <cellStyle name="표준 15 7 3 10" xfId="12838"/>
    <cellStyle name="표준 15 7 3 10 2" xfId="33715"/>
    <cellStyle name="표준 15 7 3 11" xfId="24965"/>
    <cellStyle name="표준 15 7 3 2" xfId="4968"/>
    <cellStyle name="표준 15 7 3 2 2" xfId="6795"/>
    <cellStyle name="표준 15 7 3 2 2 2" xfId="15804"/>
    <cellStyle name="표준 15 7 3 2 2 2 2" xfId="36680"/>
    <cellStyle name="표준 15 7 3 2 2 3" xfId="27942"/>
    <cellStyle name="표준 15 7 3 2 3" xfId="13986"/>
    <cellStyle name="표준 15 7 3 2 3 2" xfId="34862"/>
    <cellStyle name="표준 15 7 3 2 4" xfId="26124"/>
    <cellStyle name="표준 15 7 3 3" xfId="5648"/>
    <cellStyle name="표준 15 7 3 3 2" xfId="14657"/>
    <cellStyle name="표준 15 7 3 3 2 2" xfId="35533"/>
    <cellStyle name="표준 15 7 3 3 3" xfId="26795"/>
    <cellStyle name="표준 15 7 3 4" xfId="7441"/>
    <cellStyle name="표준 15 7 3 4 2" xfId="16448"/>
    <cellStyle name="표준 15 7 3 4 2 2" xfId="37324"/>
    <cellStyle name="표준 15 7 3 4 3" xfId="28586"/>
    <cellStyle name="표준 15 7 3 5" xfId="8085"/>
    <cellStyle name="표준 15 7 3 5 2" xfId="17091"/>
    <cellStyle name="표준 15 7 3 5 2 2" xfId="37967"/>
    <cellStyle name="표준 15 7 3 5 3" xfId="29229"/>
    <cellStyle name="표준 15 7 3 6" xfId="8933"/>
    <cellStyle name="표준 15 7 3 6 2" xfId="17938"/>
    <cellStyle name="표준 15 7 3 6 2 2" xfId="38814"/>
    <cellStyle name="표준 15 7 3 6 3" xfId="30076"/>
    <cellStyle name="표준 15 7 3 7" xfId="9758"/>
    <cellStyle name="표준 15 7 3 7 2" xfId="18756"/>
    <cellStyle name="표준 15 7 3 7 2 2" xfId="39632"/>
    <cellStyle name="표준 15 7 3 7 3" xfId="30894"/>
    <cellStyle name="표준 15 7 3 8" xfId="10813"/>
    <cellStyle name="표준 15 7 3 8 2" xfId="19584"/>
    <cellStyle name="표준 15 7 3 8 2 2" xfId="40460"/>
    <cellStyle name="표준 15 7 3 8 3" xfId="31724"/>
    <cellStyle name="표준 15 7 3 9" xfId="11679"/>
    <cellStyle name="표준 15 7 3 9 2" xfId="20445"/>
    <cellStyle name="표준 15 7 3 9 2 2" xfId="41321"/>
    <cellStyle name="표준 15 7 3 9 3" xfId="32585"/>
    <cellStyle name="표준 15 7 4" xfId="4534"/>
    <cellStyle name="표준 15 7 4 2" xfId="6368"/>
    <cellStyle name="표준 15 7 4 2 2" xfId="15377"/>
    <cellStyle name="표준 15 7 4 2 2 2" xfId="36253"/>
    <cellStyle name="표준 15 7 4 2 3" xfId="27515"/>
    <cellStyle name="표준 15 7 4 3" xfId="11031"/>
    <cellStyle name="표준 15 7 4 3 2" xfId="19801"/>
    <cellStyle name="표준 15 7 4 3 2 2" xfId="40677"/>
    <cellStyle name="표준 15 7 4 3 3" xfId="31941"/>
    <cellStyle name="표준 15 7 4 4" xfId="11896"/>
    <cellStyle name="표준 15 7 4 4 2" xfId="20662"/>
    <cellStyle name="표준 15 7 4 4 2 2" xfId="41538"/>
    <cellStyle name="표준 15 7 4 4 3" xfId="32802"/>
    <cellStyle name="표준 15 7 4 5" xfId="13559"/>
    <cellStyle name="표준 15 7 4 5 2" xfId="34435"/>
    <cellStyle name="표준 15 7 4 6" xfId="25697"/>
    <cellStyle name="표준 15 7 5" xfId="5211"/>
    <cellStyle name="표준 15 7 5 2" xfId="14220"/>
    <cellStyle name="표준 15 7 5 2 2" xfId="35096"/>
    <cellStyle name="표준 15 7 5 3" xfId="26358"/>
    <cellStyle name="표준 15 7 6" xfId="7013"/>
    <cellStyle name="표준 15 7 6 2" xfId="16021"/>
    <cellStyle name="표준 15 7 6 2 2" xfId="36897"/>
    <cellStyle name="표준 15 7 6 3" xfId="28159"/>
    <cellStyle name="표준 15 7 7" xfId="7658"/>
    <cellStyle name="표준 15 7 7 2" xfId="16664"/>
    <cellStyle name="표준 15 7 7 2 2" xfId="37540"/>
    <cellStyle name="표준 15 7 7 3" xfId="28802"/>
    <cellStyle name="표준 15 7 8" xfId="8506"/>
    <cellStyle name="표준 15 7 8 2" xfId="17511"/>
    <cellStyle name="표준 15 7 8 2 2" xfId="38387"/>
    <cellStyle name="표준 15 7 8 3" xfId="29649"/>
    <cellStyle name="표준 15 7 9" xfId="9330"/>
    <cellStyle name="표준 15 7 9 2" xfId="18329"/>
    <cellStyle name="표준 15 7 9 2 2" xfId="39205"/>
    <cellStyle name="표준 15 7 9 3" xfId="30467"/>
    <cellStyle name="표준 15 8" xfId="3137"/>
    <cellStyle name="표준 15 8 10" xfId="11456"/>
    <cellStyle name="표준 15 8 10 2" xfId="20222"/>
    <cellStyle name="표준 15 8 10 2 2" xfId="41098"/>
    <cellStyle name="표준 15 8 10 3" xfId="32362"/>
    <cellStyle name="표준 15 8 11" xfId="12605"/>
    <cellStyle name="표준 15 8 11 2" xfId="33482"/>
    <cellStyle name="표준 15 8 12" xfId="24732"/>
    <cellStyle name="표준 15 8 2" xfId="3579"/>
    <cellStyle name="표준 15 8 2 2" xfId="5852"/>
    <cellStyle name="표준 15 8 2 2 2" xfId="14861"/>
    <cellStyle name="표준 15 8 2 2 2 2" xfId="35737"/>
    <cellStyle name="표준 15 8 2 2 3" xfId="26999"/>
    <cellStyle name="표준 15 8 2 3" xfId="13042"/>
    <cellStyle name="표준 15 8 2 3 2" xfId="33919"/>
    <cellStyle name="표준 15 8 2 4" xfId="25169"/>
    <cellStyle name="표준 15 8 3" xfId="4740"/>
    <cellStyle name="표준 15 8 3 2" xfId="6572"/>
    <cellStyle name="표준 15 8 3 2 2" xfId="15581"/>
    <cellStyle name="표준 15 8 3 2 2 2" xfId="36457"/>
    <cellStyle name="표준 15 8 3 2 3" xfId="27719"/>
    <cellStyle name="표준 15 8 3 3" xfId="13763"/>
    <cellStyle name="표준 15 8 3 3 2" xfId="34639"/>
    <cellStyle name="표준 15 8 3 4" xfId="25901"/>
    <cellStyle name="표준 15 8 4" xfId="5415"/>
    <cellStyle name="표준 15 8 4 2" xfId="14424"/>
    <cellStyle name="표준 15 8 4 2 2" xfId="35300"/>
    <cellStyle name="표준 15 8 4 3" xfId="26562"/>
    <cellStyle name="표준 15 8 5" xfId="7218"/>
    <cellStyle name="표준 15 8 5 2" xfId="16225"/>
    <cellStyle name="표준 15 8 5 2 2" xfId="37101"/>
    <cellStyle name="표준 15 8 5 3" xfId="28363"/>
    <cellStyle name="표준 15 8 6" xfId="7862"/>
    <cellStyle name="표준 15 8 6 2" xfId="16868"/>
    <cellStyle name="표준 15 8 6 2 2" xfId="37744"/>
    <cellStyle name="표준 15 8 6 3" xfId="29006"/>
    <cellStyle name="표준 15 8 7" xfId="8710"/>
    <cellStyle name="표준 15 8 7 2" xfId="17715"/>
    <cellStyle name="표준 15 8 7 2 2" xfId="38591"/>
    <cellStyle name="표준 15 8 7 3" xfId="29853"/>
    <cellStyle name="표준 15 8 8" xfId="9535"/>
    <cellStyle name="표준 15 8 8 2" xfId="18533"/>
    <cellStyle name="표준 15 8 8 2 2" xfId="39409"/>
    <cellStyle name="표준 15 8 8 3" xfId="30671"/>
    <cellStyle name="표준 15 8 9" xfId="10590"/>
    <cellStyle name="표준 15 8 9 2" xfId="19361"/>
    <cellStyle name="표준 15 8 9 2 2" xfId="40237"/>
    <cellStyle name="표준 15 8 9 3" xfId="31501"/>
    <cellStyle name="표준 15 9" xfId="3369"/>
    <cellStyle name="표준 15 9 10" xfId="12832"/>
    <cellStyle name="표준 15 9 10 2" xfId="33709"/>
    <cellStyle name="표준 15 9 11" xfId="24959"/>
    <cellStyle name="표준 15 9 2" xfId="4962"/>
    <cellStyle name="표준 15 9 2 2" xfId="6789"/>
    <cellStyle name="표준 15 9 2 2 2" xfId="15798"/>
    <cellStyle name="표준 15 9 2 2 2 2" xfId="36674"/>
    <cellStyle name="표준 15 9 2 2 3" xfId="27936"/>
    <cellStyle name="표준 15 9 2 3" xfId="13980"/>
    <cellStyle name="표준 15 9 2 3 2" xfId="34856"/>
    <cellStyle name="표준 15 9 2 4" xfId="26118"/>
    <cellStyle name="표준 15 9 3" xfId="5642"/>
    <cellStyle name="표준 15 9 3 2" xfId="14651"/>
    <cellStyle name="표준 15 9 3 2 2" xfId="35527"/>
    <cellStyle name="표준 15 9 3 3" xfId="26789"/>
    <cellStyle name="표준 15 9 4" xfId="7435"/>
    <cellStyle name="표준 15 9 4 2" xfId="16442"/>
    <cellStyle name="표준 15 9 4 2 2" xfId="37318"/>
    <cellStyle name="표준 15 9 4 3" xfId="28580"/>
    <cellStyle name="표준 15 9 5" xfId="8079"/>
    <cellStyle name="표준 15 9 5 2" xfId="17085"/>
    <cellStyle name="표준 15 9 5 2 2" xfId="37961"/>
    <cellStyle name="표준 15 9 5 3" xfId="29223"/>
    <cellStyle name="표준 15 9 6" xfId="8927"/>
    <cellStyle name="표준 15 9 6 2" xfId="17932"/>
    <cellStyle name="표준 15 9 6 2 2" xfId="38808"/>
    <cellStyle name="표준 15 9 6 3" xfId="30070"/>
    <cellStyle name="표준 15 9 7" xfId="9752"/>
    <cellStyle name="표준 15 9 7 2" xfId="18750"/>
    <cellStyle name="표준 15 9 7 2 2" xfId="39626"/>
    <cellStyle name="표준 15 9 7 3" xfId="30888"/>
    <cellStyle name="표준 15 9 8" xfId="10807"/>
    <cellStyle name="표준 15 9 8 2" xfId="19578"/>
    <cellStyle name="표준 15 9 8 2 2" xfId="40454"/>
    <cellStyle name="표준 15 9 8 3" xfId="31718"/>
    <cellStyle name="표준 15 9 9" xfId="11673"/>
    <cellStyle name="표준 15 9 9 2" xfId="20439"/>
    <cellStyle name="표준 15 9 9 2 2" xfId="41315"/>
    <cellStyle name="표준 15 9 9 3" xfId="32579"/>
    <cellStyle name="표준 16" xfId="2926"/>
    <cellStyle name="표준 16 10" xfId="4535"/>
    <cellStyle name="표준 16 10 2" xfId="6369"/>
    <cellStyle name="표준 16 10 2 2" xfId="15378"/>
    <cellStyle name="표준 16 10 2 2 2" xfId="36254"/>
    <cellStyle name="표준 16 10 2 3" xfId="27516"/>
    <cellStyle name="표준 16 10 3" xfId="11032"/>
    <cellStyle name="표준 16 10 3 2" xfId="19802"/>
    <cellStyle name="표준 16 10 3 2 2" xfId="40678"/>
    <cellStyle name="표준 16 10 3 3" xfId="31942"/>
    <cellStyle name="표준 16 10 4" xfId="11897"/>
    <cellStyle name="표준 16 10 4 2" xfId="20663"/>
    <cellStyle name="표준 16 10 4 2 2" xfId="41539"/>
    <cellStyle name="표준 16 10 4 3" xfId="32803"/>
    <cellStyle name="표준 16 10 5" xfId="13560"/>
    <cellStyle name="표준 16 10 5 2" xfId="34436"/>
    <cellStyle name="표준 16 10 6" xfId="25698"/>
    <cellStyle name="표준 16 11" xfId="5212"/>
    <cellStyle name="표준 16 11 2" xfId="14221"/>
    <cellStyle name="표준 16 11 2 2" xfId="35097"/>
    <cellStyle name="표준 16 11 3" xfId="26359"/>
    <cellStyle name="표준 16 12" xfId="7014"/>
    <cellStyle name="표준 16 12 2" xfId="16022"/>
    <cellStyle name="표준 16 12 2 2" xfId="36898"/>
    <cellStyle name="표준 16 12 3" xfId="28160"/>
    <cellStyle name="표준 16 13" xfId="7659"/>
    <cellStyle name="표준 16 13 2" xfId="16665"/>
    <cellStyle name="표준 16 13 2 2" xfId="37541"/>
    <cellStyle name="표준 16 13 3" xfId="28803"/>
    <cellStyle name="표준 16 14" xfId="8507"/>
    <cellStyle name="표준 16 14 2" xfId="17512"/>
    <cellStyle name="표준 16 14 2 2" xfId="38388"/>
    <cellStyle name="표준 16 14 3" xfId="29650"/>
    <cellStyle name="표준 16 15" xfId="9331"/>
    <cellStyle name="표준 16 15 2" xfId="18330"/>
    <cellStyle name="표준 16 15 2 2" xfId="39206"/>
    <cellStyle name="표준 16 15 3" xfId="30468"/>
    <cellStyle name="표준 16 16" xfId="9976"/>
    <cellStyle name="표준 16 17" xfId="10387"/>
    <cellStyle name="표준 16 17 2" xfId="19158"/>
    <cellStyle name="표준 16 17 2 2" xfId="40034"/>
    <cellStyle name="표준 16 17 3" xfId="31298"/>
    <cellStyle name="표준 16 18" xfId="11253"/>
    <cellStyle name="표준 16 18 2" xfId="20019"/>
    <cellStyle name="표준 16 18 2 2" xfId="40895"/>
    <cellStyle name="표준 16 18 3" xfId="32159"/>
    <cellStyle name="표준 16 19" xfId="12401"/>
    <cellStyle name="표준 16 19 2" xfId="33279"/>
    <cellStyle name="표준 16 2" xfId="2927"/>
    <cellStyle name="표준 16 2 10" xfId="10388"/>
    <cellStyle name="표준 16 2 10 2" xfId="19159"/>
    <cellStyle name="표준 16 2 10 2 2" xfId="40035"/>
    <cellStyle name="표준 16 2 10 3" xfId="31299"/>
    <cellStyle name="표준 16 2 11" xfId="11254"/>
    <cellStyle name="표준 16 2 11 2" xfId="20020"/>
    <cellStyle name="표준 16 2 11 2 2" xfId="40896"/>
    <cellStyle name="표준 16 2 11 3" xfId="32160"/>
    <cellStyle name="표준 16 2 12" xfId="12402"/>
    <cellStyle name="표준 16 2 12 2" xfId="33280"/>
    <cellStyle name="표준 16 2 13" xfId="24530"/>
    <cellStyle name="표준 16 2 2" xfId="3145"/>
    <cellStyle name="표준 16 2 2 10" xfId="11464"/>
    <cellStyle name="표준 16 2 2 10 2" xfId="20230"/>
    <cellStyle name="표준 16 2 2 10 2 2" xfId="41106"/>
    <cellStyle name="표준 16 2 2 10 3" xfId="32370"/>
    <cellStyle name="표준 16 2 2 11" xfId="12613"/>
    <cellStyle name="표준 16 2 2 11 2" xfId="33490"/>
    <cellStyle name="표준 16 2 2 12" xfId="24740"/>
    <cellStyle name="표준 16 2 2 2" xfId="3587"/>
    <cellStyle name="표준 16 2 2 2 2" xfId="5860"/>
    <cellStyle name="표준 16 2 2 2 2 2" xfId="14869"/>
    <cellStyle name="표준 16 2 2 2 2 2 2" xfId="35745"/>
    <cellStyle name="표준 16 2 2 2 2 3" xfId="27007"/>
    <cellStyle name="표준 16 2 2 2 3" xfId="13050"/>
    <cellStyle name="표준 16 2 2 2 3 2" xfId="33927"/>
    <cellStyle name="표준 16 2 2 2 4" xfId="25177"/>
    <cellStyle name="표준 16 2 2 3" xfId="4748"/>
    <cellStyle name="표준 16 2 2 3 2" xfId="6580"/>
    <cellStyle name="표준 16 2 2 3 2 2" xfId="15589"/>
    <cellStyle name="표준 16 2 2 3 2 2 2" xfId="36465"/>
    <cellStyle name="표준 16 2 2 3 2 3" xfId="27727"/>
    <cellStyle name="표준 16 2 2 3 3" xfId="13771"/>
    <cellStyle name="표준 16 2 2 3 3 2" xfId="34647"/>
    <cellStyle name="표준 16 2 2 3 4" xfId="25909"/>
    <cellStyle name="표준 16 2 2 4" xfId="5423"/>
    <cellStyle name="표준 16 2 2 4 2" xfId="14432"/>
    <cellStyle name="표준 16 2 2 4 2 2" xfId="35308"/>
    <cellStyle name="표준 16 2 2 4 3" xfId="26570"/>
    <cellStyle name="표준 16 2 2 5" xfId="7226"/>
    <cellStyle name="표준 16 2 2 5 2" xfId="16233"/>
    <cellStyle name="표준 16 2 2 5 2 2" xfId="37109"/>
    <cellStyle name="표준 16 2 2 5 3" xfId="28371"/>
    <cellStyle name="표준 16 2 2 6" xfId="7870"/>
    <cellStyle name="표준 16 2 2 6 2" xfId="16876"/>
    <cellStyle name="표준 16 2 2 6 2 2" xfId="37752"/>
    <cellStyle name="표준 16 2 2 6 3" xfId="29014"/>
    <cellStyle name="표준 16 2 2 7" xfId="8718"/>
    <cellStyle name="표준 16 2 2 7 2" xfId="17723"/>
    <cellStyle name="표준 16 2 2 7 2 2" xfId="38599"/>
    <cellStyle name="표준 16 2 2 7 3" xfId="29861"/>
    <cellStyle name="표준 16 2 2 8" xfId="9543"/>
    <cellStyle name="표준 16 2 2 8 2" xfId="18541"/>
    <cellStyle name="표준 16 2 2 8 2 2" xfId="39417"/>
    <cellStyle name="표준 16 2 2 8 3" xfId="30679"/>
    <cellStyle name="표준 16 2 2 9" xfId="10598"/>
    <cellStyle name="표준 16 2 2 9 2" xfId="19369"/>
    <cellStyle name="표준 16 2 2 9 2 2" xfId="40245"/>
    <cellStyle name="표준 16 2 2 9 3" xfId="31509"/>
    <cellStyle name="표준 16 2 3" xfId="3377"/>
    <cellStyle name="표준 16 2 3 10" xfId="12840"/>
    <cellStyle name="표준 16 2 3 10 2" xfId="33717"/>
    <cellStyle name="표준 16 2 3 11" xfId="24967"/>
    <cellStyle name="표준 16 2 3 2" xfId="4970"/>
    <cellStyle name="표준 16 2 3 2 2" xfId="6797"/>
    <cellStyle name="표준 16 2 3 2 2 2" xfId="15806"/>
    <cellStyle name="표준 16 2 3 2 2 2 2" xfId="36682"/>
    <cellStyle name="표준 16 2 3 2 2 3" xfId="27944"/>
    <cellStyle name="표준 16 2 3 2 3" xfId="13988"/>
    <cellStyle name="표준 16 2 3 2 3 2" xfId="34864"/>
    <cellStyle name="표준 16 2 3 2 4" xfId="26126"/>
    <cellStyle name="표준 16 2 3 3" xfId="5650"/>
    <cellStyle name="표준 16 2 3 3 2" xfId="14659"/>
    <cellStyle name="표준 16 2 3 3 2 2" xfId="35535"/>
    <cellStyle name="표준 16 2 3 3 3" xfId="26797"/>
    <cellStyle name="표준 16 2 3 4" xfId="7443"/>
    <cellStyle name="표준 16 2 3 4 2" xfId="16450"/>
    <cellStyle name="표준 16 2 3 4 2 2" xfId="37326"/>
    <cellStyle name="표준 16 2 3 4 3" xfId="28588"/>
    <cellStyle name="표준 16 2 3 5" xfId="8087"/>
    <cellStyle name="표준 16 2 3 5 2" xfId="17093"/>
    <cellStyle name="표준 16 2 3 5 2 2" xfId="37969"/>
    <cellStyle name="표준 16 2 3 5 3" xfId="29231"/>
    <cellStyle name="표준 16 2 3 6" xfId="8935"/>
    <cellStyle name="표준 16 2 3 6 2" xfId="17940"/>
    <cellStyle name="표준 16 2 3 6 2 2" xfId="38816"/>
    <cellStyle name="표준 16 2 3 6 3" xfId="30078"/>
    <cellStyle name="표준 16 2 3 7" xfId="9760"/>
    <cellStyle name="표준 16 2 3 7 2" xfId="18758"/>
    <cellStyle name="표준 16 2 3 7 2 2" xfId="39634"/>
    <cellStyle name="표준 16 2 3 7 3" xfId="30896"/>
    <cellStyle name="표준 16 2 3 8" xfId="10815"/>
    <cellStyle name="표준 16 2 3 8 2" xfId="19586"/>
    <cellStyle name="표준 16 2 3 8 2 2" xfId="40462"/>
    <cellStyle name="표준 16 2 3 8 3" xfId="31726"/>
    <cellStyle name="표준 16 2 3 9" xfId="11681"/>
    <cellStyle name="표준 16 2 3 9 2" xfId="20447"/>
    <cellStyle name="표준 16 2 3 9 2 2" xfId="41323"/>
    <cellStyle name="표준 16 2 3 9 3" xfId="32587"/>
    <cellStyle name="표준 16 2 4" xfId="4536"/>
    <cellStyle name="표준 16 2 4 2" xfId="6370"/>
    <cellStyle name="표준 16 2 4 2 2" xfId="15379"/>
    <cellStyle name="표준 16 2 4 2 2 2" xfId="36255"/>
    <cellStyle name="표준 16 2 4 2 3" xfId="27517"/>
    <cellStyle name="표준 16 2 4 3" xfId="11033"/>
    <cellStyle name="표준 16 2 4 3 2" xfId="19803"/>
    <cellStyle name="표준 16 2 4 3 2 2" xfId="40679"/>
    <cellStyle name="표준 16 2 4 3 3" xfId="31943"/>
    <cellStyle name="표준 16 2 4 4" xfId="11898"/>
    <cellStyle name="표준 16 2 4 4 2" xfId="20664"/>
    <cellStyle name="표준 16 2 4 4 2 2" xfId="41540"/>
    <cellStyle name="표준 16 2 4 4 3" xfId="32804"/>
    <cellStyle name="표준 16 2 4 5" xfId="13561"/>
    <cellStyle name="표준 16 2 4 5 2" xfId="34437"/>
    <cellStyle name="표준 16 2 4 6" xfId="25699"/>
    <cellStyle name="표준 16 2 5" xfId="5213"/>
    <cellStyle name="표준 16 2 5 2" xfId="14222"/>
    <cellStyle name="표준 16 2 5 2 2" xfId="35098"/>
    <cellStyle name="표준 16 2 5 3" xfId="26360"/>
    <cellStyle name="표준 16 2 6" xfId="7015"/>
    <cellStyle name="표준 16 2 6 2" xfId="16023"/>
    <cellStyle name="표준 16 2 6 2 2" xfId="36899"/>
    <cellStyle name="표준 16 2 6 3" xfId="28161"/>
    <cellStyle name="표준 16 2 7" xfId="7660"/>
    <cellStyle name="표준 16 2 7 2" xfId="16666"/>
    <cellStyle name="표준 16 2 7 2 2" xfId="37542"/>
    <cellStyle name="표준 16 2 7 3" xfId="28804"/>
    <cellStyle name="표준 16 2 8" xfId="8508"/>
    <cellStyle name="표준 16 2 8 2" xfId="17513"/>
    <cellStyle name="표준 16 2 8 2 2" xfId="38389"/>
    <cellStyle name="표준 16 2 8 3" xfId="29651"/>
    <cellStyle name="표준 16 2 9" xfId="9332"/>
    <cellStyle name="표준 16 2 9 2" xfId="18331"/>
    <cellStyle name="표준 16 2 9 2 2" xfId="39207"/>
    <cellStyle name="표준 16 2 9 3" xfId="30469"/>
    <cellStyle name="표준 16 20" xfId="24529"/>
    <cellStyle name="표준 16 3" xfId="2928"/>
    <cellStyle name="표준 16 3 10" xfId="10389"/>
    <cellStyle name="표준 16 3 10 2" xfId="19160"/>
    <cellStyle name="표준 16 3 10 2 2" xfId="40036"/>
    <cellStyle name="표준 16 3 10 3" xfId="31300"/>
    <cellStyle name="표준 16 3 11" xfId="11255"/>
    <cellStyle name="표준 16 3 11 2" xfId="20021"/>
    <cellStyle name="표준 16 3 11 2 2" xfId="40897"/>
    <cellStyle name="표준 16 3 11 3" xfId="32161"/>
    <cellStyle name="표준 16 3 12" xfId="12403"/>
    <cellStyle name="표준 16 3 12 2" xfId="33281"/>
    <cellStyle name="표준 16 3 13" xfId="24531"/>
    <cellStyle name="표준 16 3 2" xfId="3146"/>
    <cellStyle name="표준 16 3 2 10" xfId="11465"/>
    <cellStyle name="표준 16 3 2 10 2" xfId="20231"/>
    <cellStyle name="표준 16 3 2 10 2 2" xfId="41107"/>
    <cellStyle name="표준 16 3 2 10 3" xfId="32371"/>
    <cellStyle name="표준 16 3 2 11" xfId="12614"/>
    <cellStyle name="표준 16 3 2 11 2" xfId="33491"/>
    <cellStyle name="표준 16 3 2 12" xfId="24741"/>
    <cellStyle name="표준 16 3 2 2" xfId="3588"/>
    <cellStyle name="표준 16 3 2 2 2" xfId="5861"/>
    <cellStyle name="표준 16 3 2 2 2 2" xfId="14870"/>
    <cellStyle name="표준 16 3 2 2 2 2 2" xfId="35746"/>
    <cellStyle name="표준 16 3 2 2 2 3" xfId="27008"/>
    <cellStyle name="표준 16 3 2 2 3" xfId="13051"/>
    <cellStyle name="표준 16 3 2 2 3 2" xfId="33928"/>
    <cellStyle name="표준 16 3 2 2 4" xfId="25178"/>
    <cellStyle name="표준 16 3 2 3" xfId="4749"/>
    <cellStyle name="표준 16 3 2 3 2" xfId="6581"/>
    <cellStyle name="표준 16 3 2 3 2 2" xfId="15590"/>
    <cellStyle name="표준 16 3 2 3 2 2 2" xfId="36466"/>
    <cellStyle name="표준 16 3 2 3 2 3" xfId="27728"/>
    <cellStyle name="표준 16 3 2 3 3" xfId="13772"/>
    <cellStyle name="표준 16 3 2 3 3 2" xfId="34648"/>
    <cellStyle name="표준 16 3 2 3 4" xfId="25910"/>
    <cellStyle name="표준 16 3 2 4" xfId="5424"/>
    <cellStyle name="표준 16 3 2 4 2" xfId="14433"/>
    <cellStyle name="표준 16 3 2 4 2 2" xfId="35309"/>
    <cellStyle name="표준 16 3 2 4 3" xfId="26571"/>
    <cellStyle name="표준 16 3 2 5" xfId="7227"/>
    <cellStyle name="표준 16 3 2 5 2" xfId="16234"/>
    <cellStyle name="표준 16 3 2 5 2 2" xfId="37110"/>
    <cellStyle name="표준 16 3 2 5 3" xfId="28372"/>
    <cellStyle name="표준 16 3 2 6" xfId="7871"/>
    <cellStyle name="표준 16 3 2 6 2" xfId="16877"/>
    <cellStyle name="표준 16 3 2 6 2 2" xfId="37753"/>
    <cellStyle name="표준 16 3 2 6 3" xfId="29015"/>
    <cellStyle name="표준 16 3 2 7" xfId="8719"/>
    <cellStyle name="표준 16 3 2 7 2" xfId="17724"/>
    <cellStyle name="표준 16 3 2 7 2 2" xfId="38600"/>
    <cellStyle name="표준 16 3 2 7 3" xfId="29862"/>
    <cellStyle name="표준 16 3 2 8" xfId="9544"/>
    <cellStyle name="표준 16 3 2 8 2" xfId="18542"/>
    <cellStyle name="표준 16 3 2 8 2 2" xfId="39418"/>
    <cellStyle name="표준 16 3 2 8 3" xfId="30680"/>
    <cellStyle name="표준 16 3 2 9" xfId="10599"/>
    <cellStyle name="표준 16 3 2 9 2" xfId="19370"/>
    <cellStyle name="표준 16 3 2 9 2 2" xfId="40246"/>
    <cellStyle name="표준 16 3 2 9 3" xfId="31510"/>
    <cellStyle name="표준 16 3 3" xfId="3378"/>
    <cellStyle name="표준 16 3 3 10" xfId="12841"/>
    <cellStyle name="표준 16 3 3 10 2" xfId="33718"/>
    <cellStyle name="표준 16 3 3 11" xfId="24968"/>
    <cellStyle name="표준 16 3 3 2" xfId="4971"/>
    <cellStyle name="표준 16 3 3 2 2" xfId="6798"/>
    <cellStyle name="표준 16 3 3 2 2 2" xfId="15807"/>
    <cellStyle name="표준 16 3 3 2 2 2 2" xfId="36683"/>
    <cellStyle name="표준 16 3 3 2 2 3" xfId="27945"/>
    <cellStyle name="표준 16 3 3 2 3" xfId="13989"/>
    <cellStyle name="표준 16 3 3 2 3 2" xfId="34865"/>
    <cellStyle name="표준 16 3 3 2 4" xfId="26127"/>
    <cellStyle name="표준 16 3 3 3" xfId="5651"/>
    <cellStyle name="표준 16 3 3 3 2" xfId="14660"/>
    <cellStyle name="표준 16 3 3 3 2 2" xfId="35536"/>
    <cellStyle name="표준 16 3 3 3 3" xfId="26798"/>
    <cellStyle name="표준 16 3 3 4" xfId="7444"/>
    <cellStyle name="표준 16 3 3 4 2" xfId="16451"/>
    <cellStyle name="표준 16 3 3 4 2 2" xfId="37327"/>
    <cellStyle name="표준 16 3 3 4 3" xfId="28589"/>
    <cellStyle name="표준 16 3 3 5" xfId="8088"/>
    <cellStyle name="표준 16 3 3 5 2" xfId="17094"/>
    <cellStyle name="표준 16 3 3 5 2 2" xfId="37970"/>
    <cellStyle name="표준 16 3 3 5 3" xfId="29232"/>
    <cellStyle name="표준 16 3 3 6" xfId="8936"/>
    <cellStyle name="표준 16 3 3 6 2" xfId="17941"/>
    <cellStyle name="표준 16 3 3 6 2 2" xfId="38817"/>
    <cellStyle name="표준 16 3 3 6 3" xfId="30079"/>
    <cellStyle name="표준 16 3 3 7" xfId="9761"/>
    <cellStyle name="표준 16 3 3 7 2" xfId="18759"/>
    <cellStyle name="표준 16 3 3 7 2 2" xfId="39635"/>
    <cellStyle name="표준 16 3 3 7 3" xfId="30897"/>
    <cellStyle name="표준 16 3 3 8" xfId="10816"/>
    <cellStyle name="표준 16 3 3 8 2" xfId="19587"/>
    <cellStyle name="표준 16 3 3 8 2 2" xfId="40463"/>
    <cellStyle name="표준 16 3 3 8 3" xfId="31727"/>
    <cellStyle name="표준 16 3 3 9" xfId="11682"/>
    <cellStyle name="표준 16 3 3 9 2" xfId="20448"/>
    <cellStyle name="표준 16 3 3 9 2 2" xfId="41324"/>
    <cellStyle name="표준 16 3 3 9 3" xfId="32588"/>
    <cellStyle name="표준 16 3 4" xfId="4537"/>
    <cellStyle name="표준 16 3 4 2" xfId="6371"/>
    <cellStyle name="표준 16 3 4 2 2" xfId="15380"/>
    <cellStyle name="표준 16 3 4 2 2 2" xfId="36256"/>
    <cellStyle name="표준 16 3 4 2 3" xfId="27518"/>
    <cellStyle name="표준 16 3 4 3" xfId="11034"/>
    <cellStyle name="표준 16 3 4 3 2" xfId="19804"/>
    <cellStyle name="표준 16 3 4 3 2 2" xfId="40680"/>
    <cellStyle name="표준 16 3 4 3 3" xfId="31944"/>
    <cellStyle name="표준 16 3 4 4" xfId="11899"/>
    <cellStyle name="표준 16 3 4 4 2" xfId="20665"/>
    <cellStyle name="표준 16 3 4 4 2 2" xfId="41541"/>
    <cellStyle name="표준 16 3 4 4 3" xfId="32805"/>
    <cellStyle name="표준 16 3 4 5" xfId="13562"/>
    <cellStyle name="표준 16 3 4 5 2" xfId="34438"/>
    <cellStyle name="표준 16 3 4 6" xfId="25700"/>
    <cellStyle name="표준 16 3 5" xfId="5214"/>
    <cellStyle name="표준 16 3 5 2" xfId="14223"/>
    <cellStyle name="표준 16 3 5 2 2" xfId="35099"/>
    <cellStyle name="표준 16 3 5 3" xfId="26361"/>
    <cellStyle name="표준 16 3 6" xfId="7016"/>
    <cellStyle name="표준 16 3 6 2" xfId="16024"/>
    <cellStyle name="표준 16 3 6 2 2" xfId="36900"/>
    <cellStyle name="표준 16 3 6 3" xfId="28162"/>
    <cellStyle name="표준 16 3 7" xfId="7661"/>
    <cellStyle name="표준 16 3 7 2" xfId="16667"/>
    <cellStyle name="표준 16 3 7 2 2" xfId="37543"/>
    <cellStyle name="표준 16 3 7 3" xfId="28805"/>
    <cellStyle name="표준 16 3 8" xfId="8509"/>
    <cellStyle name="표준 16 3 8 2" xfId="17514"/>
    <cellStyle name="표준 16 3 8 2 2" xfId="38390"/>
    <cellStyle name="표준 16 3 8 3" xfId="29652"/>
    <cellStyle name="표준 16 3 9" xfId="9333"/>
    <cellStyle name="표준 16 3 9 2" xfId="18332"/>
    <cellStyle name="표준 16 3 9 2 2" xfId="39208"/>
    <cellStyle name="표준 16 3 9 3" xfId="30470"/>
    <cellStyle name="표준 16 4" xfId="2929"/>
    <cellStyle name="표준 16 4 10" xfId="10390"/>
    <cellStyle name="표준 16 4 10 2" xfId="19161"/>
    <cellStyle name="표준 16 4 10 2 2" xfId="40037"/>
    <cellStyle name="표준 16 4 10 3" xfId="31301"/>
    <cellStyle name="표준 16 4 11" xfId="11256"/>
    <cellStyle name="표준 16 4 11 2" xfId="20022"/>
    <cellStyle name="표준 16 4 11 2 2" xfId="40898"/>
    <cellStyle name="표준 16 4 11 3" xfId="32162"/>
    <cellStyle name="표준 16 4 12" xfId="12404"/>
    <cellStyle name="표준 16 4 12 2" xfId="33282"/>
    <cellStyle name="표준 16 4 13" xfId="24532"/>
    <cellStyle name="표준 16 4 2" xfId="3147"/>
    <cellStyle name="표준 16 4 2 10" xfId="11466"/>
    <cellStyle name="표준 16 4 2 10 2" xfId="20232"/>
    <cellStyle name="표준 16 4 2 10 2 2" xfId="41108"/>
    <cellStyle name="표준 16 4 2 10 3" xfId="32372"/>
    <cellStyle name="표준 16 4 2 11" xfId="12615"/>
    <cellStyle name="표준 16 4 2 11 2" xfId="33492"/>
    <cellStyle name="표준 16 4 2 12" xfId="24742"/>
    <cellStyle name="표준 16 4 2 2" xfId="3589"/>
    <cellStyle name="표준 16 4 2 2 2" xfId="5862"/>
    <cellStyle name="표준 16 4 2 2 2 2" xfId="14871"/>
    <cellStyle name="표준 16 4 2 2 2 2 2" xfId="35747"/>
    <cellStyle name="표준 16 4 2 2 2 3" xfId="27009"/>
    <cellStyle name="표준 16 4 2 2 3" xfId="13052"/>
    <cellStyle name="표준 16 4 2 2 3 2" xfId="33929"/>
    <cellStyle name="표준 16 4 2 2 4" xfId="25179"/>
    <cellStyle name="표준 16 4 2 3" xfId="4750"/>
    <cellStyle name="표준 16 4 2 3 2" xfId="6582"/>
    <cellStyle name="표준 16 4 2 3 2 2" xfId="15591"/>
    <cellStyle name="표준 16 4 2 3 2 2 2" xfId="36467"/>
    <cellStyle name="표준 16 4 2 3 2 3" xfId="27729"/>
    <cellStyle name="표준 16 4 2 3 3" xfId="13773"/>
    <cellStyle name="표준 16 4 2 3 3 2" xfId="34649"/>
    <cellStyle name="표준 16 4 2 3 4" xfId="25911"/>
    <cellStyle name="표준 16 4 2 4" xfId="5425"/>
    <cellStyle name="표준 16 4 2 4 2" xfId="14434"/>
    <cellStyle name="표준 16 4 2 4 2 2" xfId="35310"/>
    <cellStyle name="표준 16 4 2 4 3" xfId="26572"/>
    <cellStyle name="표준 16 4 2 5" xfId="7228"/>
    <cellStyle name="표준 16 4 2 5 2" xfId="16235"/>
    <cellStyle name="표준 16 4 2 5 2 2" xfId="37111"/>
    <cellStyle name="표준 16 4 2 5 3" xfId="28373"/>
    <cellStyle name="표준 16 4 2 6" xfId="7872"/>
    <cellStyle name="표준 16 4 2 6 2" xfId="16878"/>
    <cellStyle name="표준 16 4 2 6 2 2" xfId="37754"/>
    <cellStyle name="표준 16 4 2 6 3" xfId="29016"/>
    <cellStyle name="표준 16 4 2 7" xfId="8720"/>
    <cellStyle name="표준 16 4 2 7 2" xfId="17725"/>
    <cellStyle name="표준 16 4 2 7 2 2" xfId="38601"/>
    <cellStyle name="표준 16 4 2 7 3" xfId="29863"/>
    <cellStyle name="표준 16 4 2 8" xfId="9545"/>
    <cellStyle name="표준 16 4 2 8 2" xfId="18543"/>
    <cellStyle name="표준 16 4 2 8 2 2" xfId="39419"/>
    <cellStyle name="표준 16 4 2 8 3" xfId="30681"/>
    <cellStyle name="표준 16 4 2 9" xfId="10600"/>
    <cellStyle name="표준 16 4 2 9 2" xfId="19371"/>
    <cellStyle name="표준 16 4 2 9 2 2" xfId="40247"/>
    <cellStyle name="표준 16 4 2 9 3" xfId="31511"/>
    <cellStyle name="표준 16 4 3" xfId="3379"/>
    <cellStyle name="표준 16 4 3 10" xfId="12842"/>
    <cellStyle name="표준 16 4 3 10 2" xfId="33719"/>
    <cellStyle name="표준 16 4 3 11" xfId="24969"/>
    <cellStyle name="표준 16 4 3 2" xfId="4972"/>
    <cellStyle name="표준 16 4 3 2 2" xfId="6799"/>
    <cellStyle name="표준 16 4 3 2 2 2" xfId="15808"/>
    <cellStyle name="표준 16 4 3 2 2 2 2" xfId="36684"/>
    <cellStyle name="표준 16 4 3 2 2 3" xfId="27946"/>
    <cellStyle name="표준 16 4 3 2 3" xfId="13990"/>
    <cellStyle name="표준 16 4 3 2 3 2" xfId="34866"/>
    <cellStyle name="표준 16 4 3 2 4" xfId="26128"/>
    <cellStyle name="표준 16 4 3 3" xfId="5652"/>
    <cellStyle name="표준 16 4 3 3 2" xfId="14661"/>
    <cellStyle name="표준 16 4 3 3 2 2" xfId="35537"/>
    <cellStyle name="표준 16 4 3 3 3" xfId="26799"/>
    <cellStyle name="표준 16 4 3 4" xfId="7445"/>
    <cellStyle name="표준 16 4 3 4 2" xfId="16452"/>
    <cellStyle name="표준 16 4 3 4 2 2" xfId="37328"/>
    <cellStyle name="표준 16 4 3 4 3" xfId="28590"/>
    <cellStyle name="표준 16 4 3 5" xfId="8089"/>
    <cellStyle name="표준 16 4 3 5 2" xfId="17095"/>
    <cellStyle name="표준 16 4 3 5 2 2" xfId="37971"/>
    <cellStyle name="표준 16 4 3 5 3" xfId="29233"/>
    <cellStyle name="표준 16 4 3 6" xfId="8937"/>
    <cellStyle name="표준 16 4 3 6 2" xfId="17942"/>
    <cellStyle name="표준 16 4 3 6 2 2" xfId="38818"/>
    <cellStyle name="표준 16 4 3 6 3" xfId="30080"/>
    <cellStyle name="표준 16 4 3 7" xfId="9762"/>
    <cellStyle name="표준 16 4 3 7 2" xfId="18760"/>
    <cellStyle name="표준 16 4 3 7 2 2" xfId="39636"/>
    <cellStyle name="표준 16 4 3 7 3" xfId="30898"/>
    <cellStyle name="표준 16 4 3 8" xfId="10817"/>
    <cellStyle name="표준 16 4 3 8 2" xfId="19588"/>
    <cellStyle name="표준 16 4 3 8 2 2" xfId="40464"/>
    <cellStyle name="표준 16 4 3 8 3" xfId="31728"/>
    <cellStyle name="표준 16 4 3 9" xfId="11683"/>
    <cellStyle name="표준 16 4 3 9 2" xfId="20449"/>
    <cellStyle name="표준 16 4 3 9 2 2" xfId="41325"/>
    <cellStyle name="표준 16 4 3 9 3" xfId="32589"/>
    <cellStyle name="표준 16 4 4" xfId="4538"/>
    <cellStyle name="표준 16 4 4 2" xfId="6372"/>
    <cellStyle name="표준 16 4 4 2 2" xfId="15381"/>
    <cellStyle name="표준 16 4 4 2 2 2" xfId="36257"/>
    <cellStyle name="표준 16 4 4 2 3" xfId="27519"/>
    <cellStyle name="표준 16 4 4 3" xfId="11035"/>
    <cellStyle name="표준 16 4 4 3 2" xfId="19805"/>
    <cellStyle name="표준 16 4 4 3 2 2" xfId="40681"/>
    <cellStyle name="표준 16 4 4 3 3" xfId="31945"/>
    <cellStyle name="표준 16 4 4 4" xfId="11900"/>
    <cellStyle name="표준 16 4 4 4 2" xfId="20666"/>
    <cellStyle name="표준 16 4 4 4 2 2" xfId="41542"/>
    <cellStyle name="표준 16 4 4 4 3" xfId="32806"/>
    <cellStyle name="표준 16 4 4 5" xfId="13563"/>
    <cellStyle name="표준 16 4 4 5 2" xfId="34439"/>
    <cellStyle name="표준 16 4 4 6" xfId="25701"/>
    <cellStyle name="표준 16 4 5" xfId="5215"/>
    <cellStyle name="표준 16 4 5 2" xfId="14224"/>
    <cellStyle name="표준 16 4 5 2 2" xfId="35100"/>
    <cellStyle name="표준 16 4 5 3" xfId="26362"/>
    <cellStyle name="표준 16 4 6" xfId="7017"/>
    <cellStyle name="표준 16 4 6 2" xfId="16025"/>
    <cellStyle name="표준 16 4 6 2 2" xfId="36901"/>
    <cellStyle name="표준 16 4 6 3" xfId="28163"/>
    <cellStyle name="표준 16 4 7" xfId="7662"/>
    <cellStyle name="표준 16 4 7 2" xfId="16668"/>
    <cellStyle name="표준 16 4 7 2 2" xfId="37544"/>
    <cellStyle name="표준 16 4 7 3" xfId="28806"/>
    <cellStyle name="표준 16 4 8" xfId="8510"/>
    <cellStyle name="표준 16 4 8 2" xfId="17515"/>
    <cellStyle name="표준 16 4 8 2 2" xfId="38391"/>
    <cellStyle name="표준 16 4 8 3" xfId="29653"/>
    <cellStyle name="표준 16 4 9" xfId="9334"/>
    <cellStyle name="표준 16 4 9 2" xfId="18333"/>
    <cellStyle name="표준 16 4 9 2 2" xfId="39209"/>
    <cellStyle name="표준 16 4 9 3" xfId="30471"/>
    <cellStyle name="표준 16 5" xfId="2930"/>
    <cellStyle name="표준 16 5 10" xfId="10391"/>
    <cellStyle name="표준 16 5 10 2" xfId="19162"/>
    <cellStyle name="표준 16 5 10 2 2" xfId="40038"/>
    <cellStyle name="표준 16 5 10 3" xfId="31302"/>
    <cellStyle name="표준 16 5 11" xfId="11257"/>
    <cellStyle name="표준 16 5 11 2" xfId="20023"/>
    <cellStyle name="표준 16 5 11 2 2" xfId="40899"/>
    <cellStyle name="표준 16 5 11 3" xfId="32163"/>
    <cellStyle name="표준 16 5 12" xfId="12405"/>
    <cellStyle name="표준 16 5 12 2" xfId="33283"/>
    <cellStyle name="표준 16 5 13" xfId="24533"/>
    <cellStyle name="표준 16 5 2" xfId="3148"/>
    <cellStyle name="표준 16 5 2 10" xfId="11467"/>
    <cellStyle name="표준 16 5 2 10 2" xfId="20233"/>
    <cellStyle name="표준 16 5 2 10 2 2" xfId="41109"/>
    <cellStyle name="표준 16 5 2 10 3" xfId="32373"/>
    <cellStyle name="표준 16 5 2 11" xfId="12616"/>
    <cellStyle name="표준 16 5 2 11 2" xfId="33493"/>
    <cellStyle name="표준 16 5 2 12" xfId="24743"/>
    <cellStyle name="표준 16 5 2 2" xfId="3590"/>
    <cellStyle name="표준 16 5 2 2 2" xfId="5863"/>
    <cellStyle name="표준 16 5 2 2 2 2" xfId="14872"/>
    <cellStyle name="표준 16 5 2 2 2 2 2" xfId="35748"/>
    <cellStyle name="표준 16 5 2 2 2 3" xfId="27010"/>
    <cellStyle name="표준 16 5 2 2 3" xfId="13053"/>
    <cellStyle name="표준 16 5 2 2 3 2" xfId="33930"/>
    <cellStyle name="표준 16 5 2 2 4" xfId="25180"/>
    <cellStyle name="표준 16 5 2 3" xfId="4751"/>
    <cellStyle name="표준 16 5 2 3 2" xfId="6583"/>
    <cellStyle name="표준 16 5 2 3 2 2" xfId="15592"/>
    <cellStyle name="표준 16 5 2 3 2 2 2" xfId="36468"/>
    <cellStyle name="표준 16 5 2 3 2 3" xfId="27730"/>
    <cellStyle name="표준 16 5 2 3 3" xfId="13774"/>
    <cellStyle name="표준 16 5 2 3 3 2" xfId="34650"/>
    <cellStyle name="표준 16 5 2 3 4" xfId="25912"/>
    <cellStyle name="표준 16 5 2 4" xfId="5426"/>
    <cellStyle name="표준 16 5 2 4 2" xfId="14435"/>
    <cellStyle name="표준 16 5 2 4 2 2" xfId="35311"/>
    <cellStyle name="표준 16 5 2 4 3" xfId="26573"/>
    <cellStyle name="표준 16 5 2 5" xfId="7229"/>
    <cellStyle name="표준 16 5 2 5 2" xfId="16236"/>
    <cellStyle name="표준 16 5 2 5 2 2" xfId="37112"/>
    <cellStyle name="표준 16 5 2 5 3" xfId="28374"/>
    <cellStyle name="표준 16 5 2 6" xfId="7873"/>
    <cellStyle name="표준 16 5 2 6 2" xfId="16879"/>
    <cellStyle name="표준 16 5 2 6 2 2" xfId="37755"/>
    <cellStyle name="표준 16 5 2 6 3" xfId="29017"/>
    <cellStyle name="표준 16 5 2 7" xfId="8721"/>
    <cellStyle name="표준 16 5 2 7 2" xfId="17726"/>
    <cellStyle name="표준 16 5 2 7 2 2" xfId="38602"/>
    <cellStyle name="표준 16 5 2 7 3" xfId="29864"/>
    <cellStyle name="표준 16 5 2 8" xfId="9546"/>
    <cellStyle name="표준 16 5 2 8 2" xfId="18544"/>
    <cellStyle name="표준 16 5 2 8 2 2" xfId="39420"/>
    <cellStyle name="표준 16 5 2 8 3" xfId="30682"/>
    <cellStyle name="표준 16 5 2 9" xfId="10601"/>
    <cellStyle name="표준 16 5 2 9 2" xfId="19372"/>
    <cellStyle name="표준 16 5 2 9 2 2" xfId="40248"/>
    <cellStyle name="표준 16 5 2 9 3" xfId="31512"/>
    <cellStyle name="표준 16 5 3" xfId="3380"/>
    <cellStyle name="표준 16 5 3 10" xfId="12843"/>
    <cellStyle name="표준 16 5 3 10 2" xfId="33720"/>
    <cellStyle name="표준 16 5 3 11" xfId="24970"/>
    <cellStyle name="표준 16 5 3 2" xfId="4973"/>
    <cellStyle name="표준 16 5 3 2 2" xfId="6800"/>
    <cellStyle name="표준 16 5 3 2 2 2" xfId="15809"/>
    <cellStyle name="표준 16 5 3 2 2 2 2" xfId="36685"/>
    <cellStyle name="표준 16 5 3 2 2 3" xfId="27947"/>
    <cellStyle name="표준 16 5 3 2 3" xfId="13991"/>
    <cellStyle name="표준 16 5 3 2 3 2" xfId="34867"/>
    <cellStyle name="표준 16 5 3 2 4" xfId="26129"/>
    <cellStyle name="표준 16 5 3 3" xfId="5653"/>
    <cellStyle name="표준 16 5 3 3 2" xfId="14662"/>
    <cellStyle name="표준 16 5 3 3 2 2" xfId="35538"/>
    <cellStyle name="표준 16 5 3 3 3" xfId="26800"/>
    <cellStyle name="표준 16 5 3 4" xfId="7446"/>
    <cellStyle name="표준 16 5 3 4 2" xfId="16453"/>
    <cellStyle name="표준 16 5 3 4 2 2" xfId="37329"/>
    <cellStyle name="표준 16 5 3 4 3" xfId="28591"/>
    <cellStyle name="표준 16 5 3 5" xfId="8090"/>
    <cellStyle name="표준 16 5 3 5 2" xfId="17096"/>
    <cellStyle name="표준 16 5 3 5 2 2" xfId="37972"/>
    <cellStyle name="표준 16 5 3 5 3" xfId="29234"/>
    <cellStyle name="표준 16 5 3 6" xfId="8938"/>
    <cellStyle name="표준 16 5 3 6 2" xfId="17943"/>
    <cellStyle name="표준 16 5 3 6 2 2" xfId="38819"/>
    <cellStyle name="표준 16 5 3 6 3" xfId="30081"/>
    <cellStyle name="표준 16 5 3 7" xfId="9763"/>
    <cellStyle name="표준 16 5 3 7 2" xfId="18761"/>
    <cellStyle name="표준 16 5 3 7 2 2" xfId="39637"/>
    <cellStyle name="표준 16 5 3 7 3" xfId="30899"/>
    <cellStyle name="표준 16 5 3 8" xfId="10818"/>
    <cellStyle name="표준 16 5 3 8 2" xfId="19589"/>
    <cellStyle name="표준 16 5 3 8 2 2" xfId="40465"/>
    <cellStyle name="표준 16 5 3 8 3" xfId="31729"/>
    <cellStyle name="표준 16 5 3 9" xfId="11684"/>
    <cellStyle name="표준 16 5 3 9 2" xfId="20450"/>
    <cellStyle name="표준 16 5 3 9 2 2" xfId="41326"/>
    <cellStyle name="표준 16 5 3 9 3" xfId="32590"/>
    <cellStyle name="표준 16 5 4" xfId="4539"/>
    <cellStyle name="표준 16 5 4 2" xfId="6373"/>
    <cellStyle name="표준 16 5 4 2 2" xfId="15382"/>
    <cellStyle name="표준 16 5 4 2 2 2" xfId="36258"/>
    <cellStyle name="표준 16 5 4 2 3" xfId="27520"/>
    <cellStyle name="표준 16 5 4 3" xfId="11036"/>
    <cellStyle name="표준 16 5 4 3 2" xfId="19806"/>
    <cellStyle name="표준 16 5 4 3 2 2" xfId="40682"/>
    <cellStyle name="표준 16 5 4 3 3" xfId="31946"/>
    <cellStyle name="표준 16 5 4 4" xfId="11901"/>
    <cellStyle name="표준 16 5 4 4 2" xfId="20667"/>
    <cellStyle name="표준 16 5 4 4 2 2" xfId="41543"/>
    <cellStyle name="표준 16 5 4 4 3" xfId="32807"/>
    <cellStyle name="표준 16 5 4 5" xfId="13564"/>
    <cellStyle name="표준 16 5 4 5 2" xfId="34440"/>
    <cellStyle name="표준 16 5 4 6" xfId="25702"/>
    <cellStyle name="표준 16 5 5" xfId="5216"/>
    <cellStyle name="표준 16 5 5 2" xfId="14225"/>
    <cellStyle name="표준 16 5 5 2 2" xfId="35101"/>
    <cellStyle name="표준 16 5 5 3" xfId="26363"/>
    <cellStyle name="표준 16 5 6" xfId="7018"/>
    <cellStyle name="표준 16 5 6 2" xfId="16026"/>
    <cellStyle name="표준 16 5 6 2 2" xfId="36902"/>
    <cellStyle name="표준 16 5 6 3" xfId="28164"/>
    <cellStyle name="표준 16 5 7" xfId="7663"/>
    <cellStyle name="표준 16 5 7 2" xfId="16669"/>
    <cellStyle name="표준 16 5 7 2 2" xfId="37545"/>
    <cellStyle name="표준 16 5 7 3" xfId="28807"/>
    <cellStyle name="표준 16 5 8" xfId="8511"/>
    <cellStyle name="표준 16 5 8 2" xfId="17516"/>
    <cellStyle name="표준 16 5 8 2 2" xfId="38392"/>
    <cellStyle name="표준 16 5 8 3" xfId="29654"/>
    <cellStyle name="표준 16 5 9" xfId="9335"/>
    <cellStyle name="표준 16 5 9 2" xfId="18334"/>
    <cellStyle name="표준 16 5 9 2 2" xfId="39210"/>
    <cellStyle name="표준 16 5 9 3" xfId="30472"/>
    <cellStyle name="표준 16 6" xfId="2931"/>
    <cellStyle name="표준 16 6 10" xfId="10392"/>
    <cellStyle name="표준 16 6 10 2" xfId="19163"/>
    <cellStyle name="표준 16 6 10 2 2" xfId="40039"/>
    <cellStyle name="표준 16 6 10 3" xfId="31303"/>
    <cellStyle name="표준 16 6 11" xfId="11258"/>
    <cellStyle name="표준 16 6 11 2" xfId="20024"/>
    <cellStyle name="표준 16 6 11 2 2" xfId="40900"/>
    <cellStyle name="표준 16 6 11 3" xfId="32164"/>
    <cellStyle name="표준 16 6 12" xfId="12406"/>
    <cellStyle name="표준 16 6 12 2" xfId="33284"/>
    <cellStyle name="표준 16 6 13" xfId="24534"/>
    <cellStyle name="표준 16 6 2" xfId="3149"/>
    <cellStyle name="표준 16 6 2 10" xfId="11468"/>
    <cellStyle name="표준 16 6 2 10 2" xfId="20234"/>
    <cellStyle name="표준 16 6 2 10 2 2" xfId="41110"/>
    <cellStyle name="표준 16 6 2 10 3" xfId="32374"/>
    <cellStyle name="표준 16 6 2 11" xfId="12617"/>
    <cellStyle name="표준 16 6 2 11 2" xfId="33494"/>
    <cellStyle name="표준 16 6 2 12" xfId="24744"/>
    <cellStyle name="표준 16 6 2 2" xfId="3591"/>
    <cellStyle name="표준 16 6 2 2 2" xfId="5864"/>
    <cellStyle name="표준 16 6 2 2 2 2" xfId="14873"/>
    <cellStyle name="표준 16 6 2 2 2 2 2" xfId="35749"/>
    <cellStyle name="표준 16 6 2 2 2 3" xfId="27011"/>
    <cellStyle name="표준 16 6 2 2 3" xfId="13054"/>
    <cellStyle name="표준 16 6 2 2 3 2" xfId="33931"/>
    <cellStyle name="표준 16 6 2 2 4" xfId="25181"/>
    <cellStyle name="표준 16 6 2 3" xfId="4752"/>
    <cellStyle name="표준 16 6 2 3 2" xfId="6584"/>
    <cellStyle name="표준 16 6 2 3 2 2" xfId="15593"/>
    <cellStyle name="표준 16 6 2 3 2 2 2" xfId="36469"/>
    <cellStyle name="표준 16 6 2 3 2 3" xfId="27731"/>
    <cellStyle name="표준 16 6 2 3 3" xfId="13775"/>
    <cellStyle name="표준 16 6 2 3 3 2" xfId="34651"/>
    <cellStyle name="표준 16 6 2 3 4" xfId="25913"/>
    <cellStyle name="표준 16 6 2 4" xfId="5427"/>
    <cellStyle name="표준 16 6 2 4 2" xfId="14436"/>
    <cellStyle name="표준 16 6 2 4 2 2" xfId="35312"/>
    <cellStyle name="표준 16 6 2 4 3" xfId="26574"/>
    <cellStyle name="표준 16 6 2 5" xfId="7230"/>
    <cellStyle name="표준 16 6 2 5 2" xfId="16237"/>
    <cellStyle name="표준 16 6 2 5 2 2" xfId="37113"/>
    <cellStyle name="표준 16 6 2 5 3" xfId="28375"/>
    <cellStyle name="표준 16 6 2 6" xfId="7874"/>
    <cellStyle name="표준 16 6 2 6 2" xfId="16880"/>
    <cellStyle name="표준 16 6 2 6 2 2" xfId="37756"/>
    <cellStyle name="표준 16 6 2 6 3" xfId="29018"/>
    <cellStyle name="표준 16 6 2 7" xfId="8722"/>
    <cellStyle name="표준 16 6 2 7 2" xfId="17727"/>
    <cellStyle name="표준 16 6 2 7 2 2" xfId="38603"/>
    <cellStyle name="표준 16 6 2 7 3" xfId="29865"/>
    <cellStyle name="표준 16 6 2 8" xfId="9547"/>
    <cellStyle name="표준 16 6 2 8 2" xfId="18545"/>
    <cellStyle name="표준 16 6 2 8 2 2" xfId="39421"/>
    <cellStyle name="표준 16 6 2 8 3" xfId="30683"/>
    <cellStyle name="표준 16 6 2 9" xfId="10602"/>
    <cellStyle name="표준 16 6 2 9 2" xfId="19373"/>
    <cellStyle name="표준 16 6 2 9 2 2" xfId="40249"/>
    <cellStyle name="표준 16 6 2 9 3" xfId="31513"/>
    <cellStyle name="표준 16 6 3" xfId="3381"/>
    <cellStyle name="표준 16 6 3 10" xfId="12844"/>
    <cellStyle name="표준 16 6 3 10 2" xfId="33721"/>
    <cellStyle name="표준 16 6 3 11" xfId="24971"/>
    <cellStyle name="표준 16 6 3 2" xfId="4974"/>
    <cellStyle name="표준 16 6 3 2 2" xfId="6801"/>
    <cellStyle name="표준 16 6 3 2 2 2" xfId="15810"/>
    <cellStyle name="표준 16 6 3 2 2 2 2" xfId="36686"/>
    <cellStyle name="표준 16 6 3 2 2 3" xfId="27948"/>
    <cellStyle name="표준 16 6 3 2 3" xfId="13992"/>
    <cellStyle name="표준 16 6 3 2 3 2" xfId="34868"/>
    <cellStyle name="표준 16 6 3 2 4" xfId="26130"/>
    <cellStyle name="표준 16 6 3 3" xfId="5654"/>
    <cellStyle name="표준 16 6 3 3 2" xfId="14663"/>
    <cellStyle name="표준 16 6 3 3 2 2" xfId="35539"/>
    <cellStyle name="표준 16 6 3 3 3" xfId="26801"/>
    <cellStyle name="표준 16 6 3 4" xfId="7447"/>
    <cellStyle name="표준 16 6 3 4 2" xfId="16454"/>
    <cellStyle name="표준 16 6 3 4 2 2" xfId="37330"/>
    <cellStyle name="표준 16 6 3 4 3" xfId="28592"/>
    <cellStyle name="표준 16 6 3 5" xfId="8091"/>
    <cellStyle name="표준 16 6 3 5 2" xfId="17097"/>
    <cellStyle name="표준 16 6 3 5 2 2" xfId="37973"/>
    <cellStyle name="표준 16 6 3 5 3" xfId="29235"/>
    <cellStyle name="표준 16 6 3 6" xfId="8939"/>
    <cellStyle name="표준 16 6 3 6 2" xfId="17944"/>
    <cellStyle name="표준 16 6 3 6 2 2" xfId="38820"/>
    <cellStyle name="표준 16 6 3 6 3" xfId="30082"/>
    <cellStyle name="표준 16 6 3 7" xfId="9764"/>
    <cellStyle name="표준 16 6 3 7 2" xfId="18762"/>
    <cellStyle name="표준 16 6 3 7 2 2" xfId="39638"/>
    <cellStyle name="표준 16 6 3 7 3" xfId="30900"/>
    <cellStyle name="표준 16 6 3 8" xfId="10819"/>
    <cellStyle name="표준 16 6 3 8 2" xfId="19590"/>
    <cellStyle name="표준 16 6 3 8 2 2" xfId="40466"/>
    <cellStyle name="표준 16 6 3 8 3" xfId="31730"/>
    <cellStyle name="표준 16 6 3 9" xfId="11685"/>
    <cellStyle name="표준 16 6 3 9 2" xfId="20451"/>
    <cellStyle name="표준 16 6 3 9 2 2" xfId="41327"/>
    <cellStyle name="표준 16 6 3 9 3" xfId="32591"/>
    <cellStyle name="표준 16 6 4" xfId="4540"/>
    <cellStyle name="표준 16 6 4 2" xfId="6374"/>
    <cellStyle name="표준 16 6 4 2 2" xfId="15383"/>
    <cellStyle name="표준 16 6 4 2 2 2" xfId="36259"/>
    <cellStyle name="표준 16 6 4 2 3" xfId="27521"/>
    <cellStyle name="표준 16 6 4 3" xfId="11037"/>
    <cellStyle name="표준 16 6 4 3 2" xfId="19807"/>
    <cellStyle name="표준 16 6 4 3 2 2" xfId="40683"/>
    <cellStyle name="표준 16 6 4 3 3" xfId="31947"/>
    <cellStyle name="표준 16 6 4 4" xfId="11902"/>
    <cellStyle name="표준 16 6 4 4 2" xfId="20668"/>
    <cellStyle name="표준 16 6 4 4 2 2" xfId="41544"/>
    <cellStyle name="표준 16 6 4 4 3" xfId="32808"/>
    <cellStyle name="표준 16 6 4 5" xfId="13565"/>
    <cellStyle name="표준 16 6 4 5 2" xfId="34441"/>
    <cellStyle name="표준 16 6 4 6" xfId="25703"/>
    <cellStyle name="표준 16 6 5" xfId="5217"/>
    <cellStyle name="표준 16 6 5 2" xfId="14226"/>
    <cellStyle name="표준 16 6 5 2 2" xfId="35102"/>
    <cellStyle name="표준 16 6 5 3" xfId="26364"/>
    <cellStyle name="표준 16 6 6" xfId="7019"/>
    <cellStyle name="표준 16 6 6 2" xfId="16027"/>
    <cellStyle name="표준 16 6 6 2 2" xfId="36903"/>
    <cellStyle name="표준 16 6 6 3" xfId="28165"/>
    <cellStyle name="표준 16 6 7" xfId="7664"/>
    <cellStyle name="표준 16 6 7 2" xfId="16670"/>
    <cellStyle name="표준 16 6 7 2 2" xfId="37546"/>
    <cellStyle name="표준 16 6 7 3" xfId="28808"/>
    <cellStyle name="표준 16 6 8" xfId="8512"/>
    <cellStyle name="표준 16 6 8 2" xfId="17517"/>
    <cellStyle name="표준 16 6 8 2 2" xfId="38393"/>
    <cellStyle name="표준 16 6 8 3" xfId="29655"/>
    <cellStyle name="표준 16 6 9" xfId="9336"/>
    <cellStyle name="표준 16 6 9 2" xfId="18335"/>
    <cellStyle name="표준 16 6 9 2 2" xfId="39211"/>
    <cellStyle name="표준 16 6 9 3" xfId="30473"/>
    <cellStyle name="표준 16 7" xfId="2932"/>
    <cellStyle name="표준 16 7 10" xfId="10393"/>
    <cellStyle name="표준 16 7 10 2" xfId="19164"/>
    <cellStyle name="표준 16 7 10 2 2" xfId="40040"/>
    <cellStyle name="표준 16 7 10 3" xfId="31304"/>
    <cellStyle name="표준 16 7 11" xfId="11259"/>
    <cellStyle name="표준 16 7 11 2" xfId="20025"/>
    <cellStyle name="표준 16 7 11 2 2" xfId="40901"/>
    <cellStyle name="표준 16 7 11 3" xfId="32165"/>
    <cellStyle name="표준 16 7 12" xfId="12407"/>
    <cellStyle name="표준 16 7 12 2" xfId="33285"/>
    <cellStyle name="표준 16 7 13" xfId="24535"/>
    <cellStyle name="표준 16 7 2" xfId="3150"/>
    <cellStyle name="표준 16 7 2 10" xfId="11469"/>
    <cellStyle name="표준 16 7 2 10 2" xfId="20235"/>
    <cellStyle name="표준 16 7 2 10 2 2" xfId="41111"/>
    <cellStyle name="표준 16 7 2 10 3" xfId="32375"/>
    <cellStyle name="표준 16 7 2 11" xfId="12618"/>
    <cellStyle name="표준 16 7 2 11 2" xfId="33495"/>
    <cellStyle name="표준 16 7 2 12" xfId="24745"/>
    <cellStyle name="표준 16 7 2 2" xfId="3592"/>
    <cellStyle name="표준 16 7 2 2 2" xfId="5865"/>
    <cellStyle name="표준 16 7 2 2 2 2" xfId="14874"/>
    <cellStyle name="표준 16 7 2 2 2 2 2" xfId="35750"/>
    <cellStyle name="표준 16 7 2 2 2 3" xfId="27012"/>
    <cellStyle name="표준 16 7 2 2 3" xfId="13055"/>
    <cellStyle name="표준 16 7 2 2 3 2" xfId="33932"/>
    <cellStyle name="표준 16 7 2 2 4" xfId="25182"/>
    <cellStyle name="표준 16 7 2 3" xfId="4753"/>
    <cellStyle name="표준 16 7 2 3 2" xfId="6585"/>
    <cellStyle name="표준 16 7 2 3 2 2" xfId="15594"/>
    <cellStyle name="표준 16 7 2 3 2 2 2" xfId="36470"/>
    <cellStyle name="표준 16 7 2 3 2 3" xfId="27732"/>
    <cellStyle name="표준 16 7 2 3 3" xfId="13776"/>
    <cellStyle name="표준 16 7 2 3 3 2" xfId="34652"/>
    <cellStyle name="표준 16 7 2 3 4" xfId="25914"/>
    <cellStyle name="표준 16 7 2 4" xfId="5428"/>
    <cellStyle name="표준 16 7 2 4 2" xfId="14437"/>
    <cellStyle name="표준 16 7 2 4 2 2" xfId="35313"/>
    <cellStyle name="표준 16 7 2 4 3" xfId="26575"/>
    <cellStyle name="표준 16 7 2 5" xfId="7231"/>
    <cellStyle name="표준 16 7 2 5 2" xfId="16238"/>
    <cellStyle name="표준 16 7 2 5 2 2" xfId="37114"/>
    <cellStyle name="표준 16 7 2 5 3" xfId="28376"/>
    <cellStyle name="표준 16 7 2 6" xfId="7875"/>
    <cellStyle name="표준 16 7 2 6 2" xfId="16881"/>
    <cellStyle name="표준 16 7 2 6 2 2" xfId="37757"/>
    <cellStyle name="표준 16 7 2 6 3" xfId="29019"/>
    <cellStyle name="표준 16 7 2 7" xfId="8723"/>
    <cellStyle name="표준 16 7 2 7 2" xfId="17728"/>
    <cellStyle name="표준 16 7 2 7 2 2" xfId="38604"/>
    <cellStyle name="표준 16 7 2 7 3" xfId="29866"/>
    <cellStyle name="표준 16 7 2 8" xfId="9548"/>
    <cellStyle name="표준 16 7 2 8 2" xfId="18546"/>
    <cellStyle name="표준 16 7 2 8 2 2" xfId="39422"/>
    <cellStyle name="표준 16 7 2 8 3" xfId="30684"/>
    <cellStyle name="표준 16 7 2 9" xfId="10603"/>
    <cellStyle name="표준 16 7 2 9 2" xfId="19374"/>
    <cellStyle name="표준 16 7 2 9 2 2" xfId="40250"/>
    <cellStyle name="표준 16 7 2 9 3" xfId="31514"/>
    <cellStyle name="표준 16 7 3" xfId="3382"/>
    <cellStyle name="표준 16 7 3 10" xfId="12845"/>
    <cellStyle name="표준 16 7 3 10 2" xfId="33722"/>
    <cellStyle name="표준 16 7 3 11" xfId="24972"/>
    <cellStyle name="표준 16 7 3 2" xfId="4975"/>
    <cellStyle name="표준 16 7 3 2 2" xfId="6802"/>
    <cellStyle name="표준 16 7 3 2 2 2" xfId="15811"/>
    <cellStyle name="표준 16 7 3 2 2 2 2" xfId="36687"/>
    <cellStyle name="표준 16 7 3 2 2 3" xfId="27949"/>
    <cellStyle name="표준 16 7 3 2 3" xfId="13993"/>
    <cellStyle name="표준 16 7 3 2 3 2" xfId="34869"/>
    <cellStyle name="표준 16 7 3 2 4" xfId="26131"/>
    <cellStyle name="표준 16 7 3 3" xfId="5655"/>
    <cellStyle name="표준 16 7 3 3 2" xfId="14664"/>
    <cellStyle name="표준 16 7 3 3 2 2" xfId="35540"/>
    <cellStyle name="표준 16 7 3 3 3" xfId="26802"/>
    <cellStyle name="표준 16 7 3 4" xfId="7448"/>
    <cellStyle name="표준 16 7 3 4 2" xfId="16455"/>
    <cellStyle name="표준 16 7 3 4 2 2" xfId="37331"/>
    <cellStyle name="표준 16 7 3 4 3" xfId="28593"/>
    <cellStyle name="표준 16 7 3 5" xfId="8092"/>
    <cellStyle name="표준 16 7 3 5 2" xfId="17098"/>
    <cellStyle name="표준 16 7 3 5 2 2" xfId="37974"/>
    <cellStyle name="표준 16 7 3 5 3" xfId="29236"/>
    <cellStyle name="표준 16 7 3 6" xfId="8940"/>
    <cellStyle name="표준 16 7 3 6 2" xfId="17945"/>
    <cellStyle name="표준 16 7 3 6 2 2" xfId="38821"/>
    <cellStyle name="표준 16 7 3 6 3" xfId="30083"/>
    <cellStyle name="표준 16 7 3 7" xfId="9765"/>
    <cellStyle name="표준 16 7 3 7 2" xfId="18763"/>
    <cellStyle name="표준 16 7 3 7 2 2" xfId="39639"/>
    <cellStyle name="표준 16 7 3 7 3" xfId="30901"/>
    <cellStyle name="표준 16 7 3 8" xfId="10820"/>
    <cellStyle name="표준 16 7 3 8 2" xfId="19591"/>
    <cellStyle name="표준 16 7 3 8 2 2" xfId="40467"/>
    <cellStyle name="표준 16 7 3 8 3" xfId="31731"/>
    <cellStyle name="표준 16 7 3 9" xfId="11686"/>
    <cellStyle name="표준 16 7 3 9 2" xfId="20452"/>
    <cellStyle name="표준 16 7 3 9 2 2" xfId="41328"/>
    <cellStyle name="표준 16 7 3 9 3" xfId="32592"/>
    <cellStyle name="표준 16 7 4" xfId="4541"/>
    <cellStyle name="표준 16 7 4 2" xfId="6375"/>
    <cellStyle name="표준 16 7 4 2 2" xfId="15384"/>
    <cellStyle name="표준 16 7 4 2 2 2" xfId="36260"/>
    <cellStyle name="표준 16 7 4 2 3" xfId="27522"/>
    <cellStyle name="표준 16 7 4 3" xfId="11038"/>
    <cellStyle name="표준 16 7 4 3 2" xfId="19808"/>
    <cellStyle name="표준 16 7 4 3 2 2" xfId="40684"/>
    <cellStyle name="표준 16 7 4 3 3" xfId="31948"/>
    <cellStyle name="표준 16 7 4 4" xfId="11903"/>
    <cellStyle name="표준 16 7 4 4 2" xfId="20669"/>
    <cellStyle name="표준 16 7 4 4 2 2" xfId="41545"/>
    <cellStyle name="표준 16 7 4 4 3" xfId="32809"/>
    <cellStyle name="표준 16 7 4 5" xfId="13566"/>
    <cellStyle name="표준 16 7 4 5 2" xfId="34442"/>
    <cellStyle name="표준 16 7 4 6" xfId="25704"/>
    <cellStyle name="표준 16 7 5" xfId="5218"/>
    <cellStyle name="표준 16 7 5 2" xfId="14227"/>
    <cellStyle name="표준 16 7 5 2 2" xfId="35103"/>
    <cellStyle name="표준 16 7 5 3" xfId="26365"/>
    <cellStyle name="표준 16 7 6" xfId="7020"/>
    <cellStyle name="표준 16 7 6 2" xfId="16028"/>
    <cellStyle name="표준 16 7 6 2 2" xfId="36904"/>
    <cellStyle name="표준 16 7 6 3" xfId="28166"/>
    <cellStyle name="표준 16 7 7" xfId="7665"/>
    <cellStyle name="표준 16 7 7 2" xfId="16671"/>
    <cellStyle name="표준 16 7 7 2 2" xfId="37547"/>
    <cellStyle name="표준 16 7 7 3" xfId="28809"/>
    <cellStyle name="표준 16 7 8" xfId="8513"/>
    <cellStyle name="표준 16 7 8 2" xfId="17518"/>
    <cellStyle name="표준 16 7 8 2 2" xfId="38394"/>
    <cellStyle name="표준 16 7 8 3" xfId="29656"/>
    <cellStyle name="표준 16 7 9" xfId="9337"/>
    <cellStyle name="표준 16 7 9 2" xfId="18336"/>
    <cellStyle name="표준 16 7 9 2 2" xfId="39212"/>
    <cellStyle name="표준 16 7 9 3" xfId="30474"/>
    <cellStyle name="표준 16 8" xfId="3144"/>
    <cellStyle name="표준 16 8 10" xfId="11463"/>
    <cellStyle name="표준 16 8 10 2" xfId="20229"/>
    <cellStyle name="표준 16 8 10 2 2" xfId="41105"/>
    <cellStyle name="표준 16 8 10 3" xfId="32369"/>
    <cellStyle name="표준 16 8 11" xfId="12612"/>
    <cellStyle name="표준 16 8 11 2" xfId="33489"/>
    <cellStyle name="표준 16 8 12" xfId="24739"/>
    <cellStyle name="표준 16 8 2" xfId="3586"/>
    <cellStyle name="표준 16 8 2 2" xfId="5859"/>
    <cellStyle name="표준 16 8 2 2 2" xfId="14868"/>
    <cellStyle name="표준 16 8 2 2 2 2" xfId="35744"/>
    <cellStyle name="표준 16 8 2 2 3" xfId="27006"/>
    <cellStyle name="표준 16 8 2 3" xfId="13049"/>
    <cellStyle name="표준 16 8 2 3 2" xfId="33926"/>
    <cellStyle name="표준 16 8 2 4" xfId="25176"/>
    <cellStyle name="표준 16 8 3" xfId="4747"/>
    <cellStyle name="표준 16 8 3 2" xfId="6579"/>
    <cellStyle name="표준 16 8 3 2 2" xfId="15588"/>
    <cellStyle name="표준 16 8 3 2 2 2" xfId="36464"/>
    <cellStyle name="표준 16 8 3 2 3" xfId="27726"/>
    <cellStyle name="표준 16 8 3 3" xfId="13770"/>
    <cellStyle name="표준 16 8 3 3 2" xfId="34646"/>
    <cellStyle name="표준 16 8 3 4" xfId="25908"/>
    <cellStyle name="표준 16 8 4" xfId="5422"/>
    <cellStyle name="표준 16 8 4 2" xfId="14431"/>
    <cellStyle name="표준 16 8 4 2 2" xfId="35307"/>
    <cellStyle name="표준 16 8 4 3" xfId="26569"/>
    <cellStyle name="표준 16 8 5" xfId="7225"/>
    <cellStyle name="표준 16 8 5 2" xfId="16232"/>
    <cellStyle name="표준 16 8 5 2 2" xfId="37108"/>
    <cellStyle name="표준 16 8 5 3" xfId="28370"/>
    <cellStyle name="표준 16 8 6" xfId="7869"/>
    <cellStyle name="표준 16 8 6 2" xfId="16875"/>
    <cellStyle name="표준 16 8 6 2 2" xfId="37751"/>
    <cellStyle name="표준 16 8 6 3" xfId="29013"/>
    <cellStyle name="표준 16 8 7" xfId="8717"/>
    <cellStyle name="표준 16 8 7 2" xfId="17722"/>
    <cellStyle name="표준 16 8 7 2 2" xfId="38598"/>
    <cellStyle name="표준 16 8 7 3" xfId="29860"/>
    <cellStyle name="표준 16 8 8" xfId="9542"/>
    <cellStyle name="표준 16 8 8 2" xfId="18540"/>
    <cellStyle name="표준 16 8 8 2 2" xfId="39416"/>
    <cellStyle name="표준 16 8 8 3" xfId="30678"/>
    <cellStyle name="표준 16 8 9" xfId="10597"/>
    <cellStyle name="표준 16 8 9 2" xfId="19368"/>
    <cellStyle name="표준 16 8 9 2 2" xfId="40244"/>
    <cellStyle name="표준 16 8 9 3" xfId="31508"/>
    <cellStyle name="표준 16 9" xfId="3376"/>
    <cellStyle name="표준 16 9 10" xfId="12839"/>
    <cellStyle name="표준 16 9 10 2" xfId="33716"/>
    <cellStyle name="표준 16 9 11" xfId="24966"/>
    <cellStyle name="표준 16 9 2" xfId="4969"/>
    <cellStyle name="표준 16 9 2 2" xfId="6796"/>
    <cellStyle name="표준 16 9 2 2 2" xfId="15805"/>
    <cellStyle name="표준 16 9 2 2 2 2" xfId="36681"/>
    <cellStyle name="표준 16 9 2 2 3" xfId="27943"/>
    <cellStyle name="표준 16 9 2 3" xfId="13987"/>
    <cellStyle name="표준 16 9 2 3 2" xfId="34863"/>
    <cellStyle name="표준 16 9 2 4" xfId="26125"/>
    <cellStyle name="표준 16 9 3" xfId="5649"/>
    <cellStyle name="표준 16 9 3 2" xfId="14658"/>
    <cellStyle name="표준 16 9 3 2 2" xfId="35534"/>
    <cellStyle name="표준 16 9 3 3" xfId="26796"/>
    <cellStyle name="표준 16 9 4" xfId="7442"/>
    <cellStyle name="표준 16 9 4 2" xfId="16449"/>
    <cellStyle name="표준 16 9 4 2 2" xfId="37325"/>
    <cellStyle name="표준 16 9 4 3" xfId="28587"/>
    <cellStyle name="표준 16 9 5" xfId="8086"/>
    <cellStyle name="표준 16 9 5 2" xfId="17092"/>
    <cellStyle name="표준 16 9 5 2 2" xfId="37968"/>
    <cellStyle name="표준 16 9 5 3" xfId="29230"/>
    <cellStyle name="표준 16 9 6" xfId="8934"/>
    <cellStyle name="표준 16 9 6 2" xfId="17939"/>
    <cellStyle name="표준 16 9 6 2 2" xfId="38815"/>
    <cellStyle name="표준 16 9 6 3" xfId="30077"/>
    <cellStyle name="표준 16 9 7" xfId="9759"/>
    <cellStyle name="표준 16 9 7 2" xfId="18757"/>
    <cellStyle name="표준 16 9 7 2 2" xfId="39633"/>
    <cellStyle name="표준 16 9 7 3" xfId="30895"/>
    <cellStyle name="표준 16 9 8" xfId="10814"/>
    <cellStyle name="표준 16 9 8 2" xfId="19585"/>
    <cellStyle name="표준 16 9 8 2 2" xfId="40461"/>
    <cellStyle name="표준 16 9 8 3" xfId="31725"/>
    <cellStyle name="표준 16 9 9" xfId="11680"/>
    <cellStyle name="표준 16 9 9 2" xfId="20446"/>
    <cellStyle name="표준 16 9 9 2 2" xfId="41322"/>
    <cellStyle name="표준 16 9 9 3" xfId="32586"/>
    <cellStyle name="표준 17" xfId="2933"/>
    <cellStyle name="표준 17 10" xfId="4542"/>
    <cellStyle name="표준 17 10 2" xfId="6376"/>
    <cellStyle name="표준 17 10 2 2" xfId="15385"/>
    <cellStyle name="표준 17 10 2 2 2" xfId="36261"/>
    <cellStyle name="표준 17 10 2 3" xfId="27523"/>
    <cellStyle name="표준 17 10 3" xfId="11039"/>
    <cellStyle name="표준 17 10 3 2" xfId="19809"/>
    <cellStyle name="표준 17 10 3 2 2" xfId="40685"/>
    <cellStyle name="표준 17 10 3 3" xfId="31949"/>
    <cellStyle name="표준 17 10 4" xfId="11904"/>
    <cellStyle name="표준 17 10 4 2" xfId="20670"/>
    <cellStyle name="표준 17 10 4 2 2" xfId="41546"/>
    <cellStyle name="표준 17 10 4 3" xfId="32810"/>
    <cellStyle name="표준 17 10 5" xfId="13567"/>
    <cellStyle name="표준 17 10 5 2" xfId="34443"/>
    <cellStyle name="표준 17 10 6" xfId="25705"/>
    <cellStyle name="표준 17 11" xfId="5219"/>
    <cellStyle name="표준 17 11 2" xfId="14228"/>
    <cellStyle name="표준 17 11 2 2" xfId="35104"/>
    <cellStyle name="표준 17 11 3" xfId="26366"/>
    <cellStyle name="표준 17 12" xfId="7021"/>
    <cellStyle name="표준 17 12 2" xfId="16029"/>
    <cellStyle name="표준 17 12 2 2" xfId="36905"/>
    <cellStyle name="표준 17 12 3" xfId="28167"/>
    <cellStyle name="표준 17 13" xfId="7666"/>
    <cellStyle name="표준 17 13 2" xfId="16672"/>
    <cellStyle name="표준 17 13 2 2" xfId="37548"/>
    <cellStyle name="표준 17 13 3" xfId="28810"/>
    <cellStyle name="표준 17 14" xfId="8514"/>
    <cellStyle name="표준 17 14 2" xfId="17519"/>
    <cellStyle name="표준 17 14 2 2" xfId="38395"/>
    <cellStyle name="표준 17 14 3" xfId="29657"/>
    <cellStyle name="표준 17 15" xfId="9338"/>
    <cellStyle name="표준 17 15 2" xfId="18337"/>
    <cellStyle name="표준 17 15 2 2" xfId="39213"/>
    <cellStyle name="표준 17 15 3" xfId="30475"/>
    <cellStyle name="표준 17 16" xfId="10394"/>
    <cellStyle name="표준 17 16 2" xfId="19165"/>
    <cellStyle name="표준 17 16 2 2" xfId="40041"/>
    <cellStyle name="표준 17 16 3" xfId="31305"/>
    <cellStyle name="표준 17 17" xfId="11260"/>
    <cellStyle name="표준 17 17 2" xfId="20026"/>
    <cellStyle name="표준 17 17 2 2" xfId="40902"/>
    <cellStyle name="표준 17 17 3" xfId="32166"/>
    <cellStyle name="표준 17 18" xfId="12408"/>
    <cellStyle name="표준 17 18 2" xfId="33286"/>
    <cellStyle name="표준 17 19" xfId="24232"/>
    <cellStyle name="표준 17 2" xfId="2934"/>
    <cellStyle name="표준 17 2 10" xfId="10395"/>
    <cellStyle name="표준 17 2 10 2" xfId="19166"/>
    <cellStyle name="표준 17 2 10 2 2" xfId="40042"/>
    <cellStyle name="표준 17 2 10 3" xfId="31306"/>
    <cellStyle name="표준 17 2 11" xfId="11261"/>
    <cellStyle name="표준 17 2 11 2" xfId="20027"/>
    <cellStyle name="표준 17 2 11 2 2" xfId="40903"/>
    <cellStyle name="표준 17 2 11 3" xfId="32167"/>
    <cellStyle name="표준 17 2 12" xfId="12409"/>
    <cellStyle name="표준 17 2 12 2" xfId="33287"/>
    <cellStyle name="표준 17 2 13" xfId="24537"/>
    <cellStyle name="표준 17 2 2" xfId="3152"/>
    <cellStyle name="표준 17 2 2 10" xfId="11471"/>
    <cellStyle name="표준 17 2 2 10 2" xfId="20237"/>
    <cellStyle name="표준 17 2 2 10 2 2" xfId="41113"/>
    <cellStyle name="표준 17 2 2 10 3" xfId="32377"/>
    <cellStyle name="표준 17 2 2 11" xfId="12620"/>
    <cellStyle name="표준 17 2 2 11 2" xfId="33497"/>
    <cellStyle name="표준 17 2 2 12" xfId="24747"/>
    <cellStyle name="표준 17 2 2 2" xfId="3594"/>
    <cellStyle name="표준 17 2 2 2 2" xfId="5867"/>
    <cellStyle name="표준 17 2 2 2 2 2" xfId="14876"/>
    <cellStyle name="표준 17 2 2 2 2 2 2" xfId="35752"/>
    <cellStyle name="표준 17 2 2 2 2 3" xfId="27014"/>
    <cellStyle name="표준 17 2 2 2 3" xfId="13057"/>
    <cellStyle name="표준 17 2 2 2 3 2" xfId="33934"/>
    <cellStyle name="표준 17 2 2 2 4" xfId="25184"/>
    <cellStyle name="표준 17 2 2 3" xfId="4755"/>
    <cellStyle name="표준 17 2 2 3 2" xfId="6587"/>
    <cellStyle name="표준 17 2 2 3 2 2" xfId="15596"/>
    <cellStyle name="표준 17 2 2 3 2 2 2" xfId="36472"/>
    <cellStyle name="표준 17 2 2 3 2 3" xfId="27734"/>
    <cellStyle name="표준 17 2 2 3 3" xfId="13778"/>
    <cellStyle name="표준 17 2 2 3 3 2" xfId="34654"/>
    <cellStyle name="표준 17 2 2 3 4" xfId="25916"/>
    <cellStyle name="표준 17 2 2 4" xfId="5430"/>
    <cellStyle name="표준 17 2 2 4 2" xfId="14439"/>
    <cellStyle name="표준 17 2 2 4 2 2" xfId="35315"/>
    <cellStyle name="표준 17 2 2 4 3" xfId="26577"/>
    <cellStyle name="표준 17 2 2 5" xfId="7233"/>
    <cellStyle name="표준 17 2 2 5 2" xfId="16240"/>
    <cellStyle name="표준 17 2 2 5 2 2" xfId="37116"/>
    <cellStyle name="표준 17 2 2 5 3" xfId="28378"/>
    <cellStyle name="표준 17 2 2 6" xfId="7877"/>
    <cellStyle name="표준 17 2 2 6 2" xfId="16883"/>
    <cellStyle name="표준 17 2 2 6 2 2" xfId="37759"/>
    <cellStyle name="표준 17 2 2 6 3" xfId="29021"/>
    <cellStyle name="표준 17 2 2 7" xfId="8725"/>
    <cellStyle name="표준 17 2 2 7 2" xfId="17730"/>
    <cellStyle name="표준 17 2 2 7 2 2" xfId="38606"/>
    <cellStyle name="표준 17 2 2 7 3" xfId="29868"/>
    <cellStyle name="표준 17 2 2 8" xfId="9550"/>
    <cellStyle name="표준 17 2 2 8 2" xfId="18548"/>
    <cellStyle name="표준 17 2 2 8 2 2" xfId="39424"/>
    <cellStyle name="표준 17 2 2 8 3" xfId="30686"/>
    <cellStyle name="표준 17 2 2 9" xfId="10605"/>
    <cellStyle name="표준 17 2 2 9 2" xfId="19376"/>
    <cellStyle name="표준 17 2 2 9 2 2" xfId="40252"/>
    <cellStyle name="표준 17 2 2 9 3" xfId="31516"/>
    <cellStyle name="표준 17 2 3" xfId="3384"/>
    <cellStyle name="표준 17 2 3 10" xfId="12847"/>
    <cellStyle name="표준 17 2 3 10 2" xfId="33724"/>
    <cellStyle name="표준 17 2 3 11" xfId="24974"/>
    <cellStyle name="표준 17 2 3 2" xfId="4977"/>
    <cellStyle name="표준 17 2 3 2 2" xfId="6804"/>
    <cellStyle name="표준 17 2 3 2 2 2" xfId="15813"/>
    <cellStyle name="표준 17 2 3 2 2 2 2" xfId="36689"/>
    <cellStyle name="표준 17 2 3 2 2 3" xfId="27951"/>
    <cellStyle name="표준 17 2 3 2 3" xfId="13995"/>
    <cellStyle name="표준 17 2 3 2 3 2" xfId="34871"/>
    <cellStyle name="표준 17 2 3 2 4" xfId="26133"/>
    <cellStyle name="표준 17 2 3 3" xfId="5657"/>
    <cellStyle name="표준 17 2 3 3 2" xfId="14666"/>
    <cellStyle name="표준 17 2 3 3 2 2" xfId="35542"/>
    <cellStyle name="표준 17 2 3 3 3" xfId="26804"/>
    <cellStyle name="표준 17 2 3 4" xfId="7450"/>
    <cellStyle name="표준 17 2 3 4 2" xfId="16457"/>
    <cellStyle name="표준 17 2 3 4 2 2" xfId="37333"/>
    <cellStyle name="표준 17 2 3 4 3" xfId="28595"/>
    <cellStyle name="표준 17 2 3 5" xfId="8094"/>
    <cellStyle name="표준 17 2 3 5 2" xfId="17100"/>
    <cellStyle name="표준 17 2 3 5 2 2" xfId="37976"/>
    <cellStyle name="표준 17 2 3 5 3" xfId="29238"/>
    <cellStyle name="표준 17 2 3 6" xfId="8942"/>
    <cellStyle name="표준 17 2 3 6 2" xfId="17947"/>
    <cellStyle name="표준 17 2 3 6 2 2" xfId="38823"/>
    <cellStyle name="표준 17 2 3 6 3" xfId="30085"/>
    <cellStyle name="표준 17 2 3 7" xfId="9767"/>
    <cellStyle name="표준 17 2 3 7 2" xfId="18765"/>
    <cellStyle name="표준 17 2 3 7 2 2" xfId="39641"/>
    <cellStyle name="표준 17 2 3 7 3" xfId="30903"/>
    <cellStyle name="표준 17 2 3 8" xfId="10822"/>
    <cellStyle name="표준 17 2 3 8 2" xfId="19593"/>
    <cellStyle name="표준 17 2 3 8 2 2" xfId="40469"/>
    <cellStyle name="표준 17 2 3 8 3" xfId="31733"/>
    <cellStyle name="표준 17 2 3 9" xfId="11688"/>
    <cellStyle name="표준 17 2 3 9 2" xfId="20454"/>
    <cellStyle name="표준 17 2 3 9 2 2" xfId="41330"/>
    <cellStyle name="표준 17 2 3 9 3" xfId="32594"/>
    <cellStyle name="표준 17 2 4" xfId="4543"/>
    <cellStyle name="표준 17 2 4 2" xfId="6377"/>
    <cellStyle name="표준 17 2 4 2 2" xfId="15386"/>
    <cellStyle name="표준 17 2 4 2 2 2" xfId="36262"/>
    <cellStyle name="표준 17 2 4 2 3" xfId="27524"/>
    <cellStyle name="표준 17 2 4 3" xfId="11040"/>
    <cellStyle name="표준 17 2 4 3 2" xfId="19810"/>
    <cellStyle name="표준 17 2 4 3 2 2" xfId="40686"/>
    <cellStyle name="표준 17 2 4 3 3" xfId="31950"/>
    <cellStyle name="표준 17 2 4 4" xfId="11905"/>
    <cellStyle name="표준 17 2 4 4 2" xfId="20671"/>
    <cellStyle name="표준 17 2 4 4 2 2" xfId="41547"/>
    <cellStyle name="표준 17 2 4 4 3" xfId="32811"/>
    <cellStyle name="표준 17 2 4 5" xfId="13568"/>
    <cellStyle name="표준 17 2 4 5 2" xfId="34444"/>
    <cellStyle name="표준 17 2 4 6" xfId="25706"/>
    <cellStyle name="표준 17 2 5" xfId="5220"/>
    <cellStyle name="표준 17 2 5 2" xfId="14229"/>
    <cellStyle name="표준 17 2 5 2 2" xfId="35105"/>
    <cellStyle name="표준 17 2 5 3" xfId="26367"/>
    <cellStyle name="표준 17 2 6" xfId="7022"/>
    <cellStyle name="표준 17 2 6 2" xfId="16030"/>
    <cellStyle name="표준 17 2 6 2 2" xfId="36906"/>
    <cellStyle name="표준 17 2 6 3" xfId="28168"/>
    <cellStyle name="표준 17 2 7" xfId="7667"/>
    <cellStyle name="표준 17 2 7 2" xfId="16673"/>
    <cellStyle name="표준 17 2 7 2 2" xfId="37549"/>
    <cellStyle name="표준 17 2 7 3" xfId="28811"/>
    <cellStyle name="표준 17 2 8" xfId="8515"/>
    <cellStyle name="표준 17 2 8 2" xfId="17520"/>
    <cellStyle name="표준 17 2 8 2 2" xfId="38396"/>
    <cellStyle name="표준 17 2 8 3" xfId="29658"/>
    <cellStyle name="표준 17 2 9" xfId="9339"/>
    <cellStyle name="표준 17 2 9 2" xfId="18338"/>
    <cellStyle name="표준 17 2 9 2 2" xfId="39214"/>
    <cellStyle name="표준 17 2 9 3" xfId="30476"/>
    <cellStyle name="표준 17 20" xfId="24536"/>
    <cellStyle name="표준 17 3" xfId="2935"/>
    <cellStyle name="표준 17 3 10" xfId="10396"/>
    <cellStyle name="표준 17 3 10 2" xfId="19167"/>
    <cellStyle name="표준 17 3 10 2 2" xfId="40043"/>
    <cellStyle name="표준 17 3 10 3" xfId="31307"/>
    <cellStyle name="표준 17 3 11" xfId="11262"/>
    <cellStyle name="표준 17 3 11 2" xfId="20028"/>
    <cellStyle name="표준 17 3 11 2 2" xfId="40904"/>
    <cellStyle name="표준 17 3 11 3" xfId="32168"/>
    <cellStyle name="표준 17 3 12" xfId="12410"/>
    <cellStyle name="표준 17 3 12 2" xfId="33288"/>
    <cellStyle name="표준 17 3 13" xfId="24538"/>
    <cellStyle name="표준 17 3 2" xfId="3153"/>
    <cellStyle name="표준 17 3 2 10" xfId="11472"/>
    <cellStyle name="표준 17 3 2 10 2" xfId="20238"/>
    <cellStyle name="표준 17 3 2 10 2 2" xfId="41114"/>
    <cellStyle name="표준 17 3 2 10 3" xfId="32378"/>
    <cellStyle name="표준 17 3 2 11" xfId="12621"/>
    <cellStyle name="표준 17 3 2 11 2" xfId="33498"/>
    <cellStyle name="표준 17 3 2 12" xfId="24748"/>
    <cellStyle name="표준 17 3 2 2" xfId="3595"/>
    <cellStyle name="표준 17 3 2 2 2" xfId="5868"/>
    <cellStyle name="표준 17 3 2 2 2 2" xfId="14877"/>
    <cellStyle name="표준 17 3 2 2 2 2 2" xfId="35753"/>
    <cellStyle name="표준 17 3 2 2 2 3" xfId="27015"/>
    <cellStyle name="표준 17 3 2 2 3" xfId="13058"/>
    <cellStyle name="표준 17 3 2 2 3 2" xfId="33935"/>
    <cellStyle name="표준 17 3 2 2 4" xfId="25185"/>
    <cellStyle name="표준 17 3 2 3" xfId="4756"/>
    <cellStyle name="표준 17 3 2 3 2" xfId="6588"/>
    <cellStyle name="표준 17 3 2 3 2 2" xfId="15597"/>
    <cellStyle name="표준 17 3 2 3 2 2 2" xfId="36473"/>
    <cellStyle name="표준 17 3 2 3 2 3" xfId="27735"/>
    <cellStyle name="표준 17 3 2 3 3" xfId="13779"/>
    <cellStyle name="표준 17 3 2 3 3 2" xfId="34655"/>
    <cellStyle name="표준 17 3 2 3 4" xfId="25917"/>
    <cellStyle name="표준 17 3 2 4" xfId="5431"/>
    <cellStyle name="표준 17 3 2 4 2" xfId="14440"/>
    <cellStyle name="표준 17 3 2 4 2 2" xfId="35316"/>
    <cellStyle name="표준 17 3 2 4 3" xfId="26578"/>
    <cellStyle name="표준 17 3 2 5" xfId="7234"/>
    <cellStyle name="표준 17 3 2 5 2" xfId="16241"/>
    <cellStyle name="표준 17 3 2 5 2 2" xfId="37117"/>
    <cellStyle name="표준 17 3 2 5 3" xfId="28379"/>
    <cellStyle name="표준 17 3 2 6" xfId="7878"/>
    <cellStyle name="표준 17 3 2 6 2" xfId="16884"/>
    <cellStyle name="표준 17 3 2 6 2 2" xfId="37760"/>
    <cellStyle name="표준 17 3 2 6 3" xfId="29022"/>
    <cellStyle name="표준 17 3 2 7" xfId="8726"/>
    <cellStyle name="표준 17 3 2 7 2" xfId="17731"/>
    <cellStyle name="표준 17 3 2 7 2 2" xfId="38607"/>
    <cellStyle name="표준 17 3 2 7 3" xfId="29869"/>
    <cellStyle name="표준 17 3 2 8" xfId="9551"/>
    <cellStyle name="표준 17 3 2 8 2" xfId="18549"/>
    <cellStyle name="표준 17 3 2 8 2 2" xfId="39425"/>
    <cellStyle name="표준 17 3 2 8 3" xfId="30687"/>
    <cellStyle name="표준 17 3 2 9" xfId="10606"/>
    <cellStyle name="표준 17 3 2 9 2" xfId="19377"/>
    <cellStyle name="표준 17 3 2 9 2 2" xfId="40253"/>
    <cellStyle name="표준 17 3 2 9 3" xfId="31517"/>
    <cellStyle name="표준 17 3 3" xfId="3385"/>
    <cellStyle name="표준 17 3 3 10" xfId="12848"/>
    <cellStyle name="표준 17 3 3 10 2" xfId="33725"/>
    <cellStyle name="표준 17 3 3 11" xfId="24975"/>
    <cellStyle name="표준 17 3 3 2" xfId="4978"/>
    <cellStyle name="표준 17 3 3 2 2" xfId="6805"/>
    <cellStyle name="표준 17 3 3 2 2 2" xfId="15814"/>
    <cellStyle name="표준 17 3 3 2 2 2 2" xfId="36690"/>
    <cellStyle name="표준 17 3 3 2 2 3" xfId="27952"/>
    <cellStyle name="표준 17 3 3 2 3" xfId="13996"/>
    <cellStyle name="표준 17 3 3 2 3 2" xfId="34872"/>
    <cellStyle name="표준 17 3 3 2 4" xfId="26134"/>
    <cellStyle name="표준 17 3 3 3" xfId="5658"/>
    <cellStyle name="표준 17 3 3 3 2" xfId="14667"/>
    <cellStyle name="표준 17 3 3 3 2 2" xfId="35543"/>
    <cellStyle name="표준 17 3 3 3 3" xfId="26805"/>
    <cellStyle name="표준 17 3 3 4" xfId="7451"/>
    <cellStyle name="표준 17 3 3 4 2" xfId="16458"/>
    <cellStyle name="표준 17 3 3 4 2 2" xfId="37334"/>
    <cellStyle name="표준 17 3 3 4 3" xfId="28596"/>
    <cellStyle name="표준 17 3 3 5" xfId="8095"/>
    <cellStyle name="표준 17 3 3 5 2" xfId="17101"/>
    <cellStyle name="표준 17 3 3 5 2 2" xfId="37977"/>
    <cellStyle name="표준 17 3 3 5 3" xfId="29239"/>
    <cellStyle name="표준 17 3 3 6" xfId="8943"/>
    <cellStyle name="표준 17 3 3 6 2" xfId="17948"/>
    <cellStyle name="표준 17 3 3 6 2 2" xfId="38824"/>
    <cellStyle name="표준 17 3 3 6 3" xfId="30086"/>
    <cellStyle name="표준 17 3 3 7" xfId="9768"/>
    <cellStyle name="표준 17 3 3 7 2" xfId="18766"/>
    <cellStyle name="표준 17 3 3 7 2 2" xfId="39642"/>
    <cellStyle name="표준 17 3 3 7 3" xfId="30904"/>
    <cellStyle name="표준 17 3 3 8" xfId="10823"/>
    <cellStyle name="표준 17 3 3 8 2" xfId="19594"/>
    <cellStyle name="표준 17 3 3 8 2 2" xfId="40470"/>
    <cellStyle name="표준 17 3 3 8 3" xfId="31734"/>
    <cellStyle name="표준 17 3 3 9" xfId="11689"/>
    <cellStyle name="표준 17 3 3 9 2" xfId="20455"/>
    <cellStyle name="표준 17 3 3 9 2 2" xfId="41331"/>
    <cellStyle name="표준 17 3 3 9 3" xfId="32595"/>
    <cellStyle name="표준 17 3 4" xfId="4544"/>
    <cellStyle name="표준 17 3 4 2" xfId="6378"/>
    <cellStyle name="표준 17 3 4 2 2" xfId="15387"/>
    <cellStyle name="표준 17 3 4 2 2 2" xfId="36263"/>
    <cellStyle name="표준 17 3 4 2 3" xfId="27525"/>
    <cellStyle name="표준 17 3 4 3" xfId="11041"/>
    <cellStyle name="표준 17 3 4 3 2" xfId="19811"/>
    <cellStyle name="표준 17 3 4 3 2 2" xfId="40687"/>
    <cellStyle name="표준 17 3 4 3 3" xfId="31951"/>
    <cellStyle name="표준 17 3 4 4" xfId="11906"/>
    <cellStyle name="표준 17 3 4 4 2" xfId="20672"/>
    <cellStyle name="표준 17 3 4 4 2 2" xfId="41548"/>
    <cellStyle name="표준 17 3 4 4 3" xfId="32812"/>
    <cellStyle name="표준 17 3 4 5" xfId="13569"/>
    <cellStyle name="표준 17 3 4 5 2" xfId="34445"/>
    <cellStyle name="표준 17 3 4 6" xfId="25707"/>
    <cellStyle name="표준 17 3 5" xfId="5221"/>
    <cellStyle name="표준 17 3 5 2" xfId="14230"/>
    <cellStyle name="표준 17 3 5 2 2" xfId="35106"/>
    <cellStyle name="표준 17 3 5 3" xfId="26368"/>
    <cellStyle name="표준 17 3 6" xfId="7023"/>
    <cellStyle name="표준 17 3 6 2" xfId="16031"/>
    <cellStyle name="표준 17 3 6 2 2" xfId="36907"/>
    <cellStyle name="표준 17 3 6 3" xfId="28169"/>
    <cellStyle name="표준 17 3 7" xfId="7668"/>
    <cellStyle name="표준 17 3 7 2" xfId="16674"/>
    <cellStyle name="표준 17 3 7 2 2" xfId="37550"/>
    <cellStyle name="표준 17 3 7 3" xfId="28812"/>
    <cellStyle name="표준 17 3 8" xfId="8516"/>
    <cellStyle name="표준 17 3 8 2" xfId="17521"/>
    <cellStyle name="표준 17 3 8 2 2" xfId="38397"/>
    <cellStyle name="표준 17 3 8 3" xfId="29659"/>
    <cellStyle name="표준 17 3 9" xfId="9340"/>
    <cellStyle name="표준 17 3 9 2" xfId="18339"/>
    <cellStyle name="표준 17 3 9 2 2" xfId="39215"/>
    <cellStyle name="표준 17 3 9 3" xfId="30477"/>
    <cellStyle name="표준 17 4" xfId="2936"/>
    <cellStyle name="표준 17 4 10" xfId="10397"/>
    <cellStyle name="표준 17 4 10 2" xfId="19168"/>
    <cellStyle name="표준 17 4 10 2 2" xfId="40044"/>
    <cellStyle name="표준 17 4 10 3" xfId="31308"/>
    <cellStyle name="표준 17 4 11" xfId="11263"/>
    <cellStyle name="표준 17 4 11 2" xfId="20029"/>
    <cellStyle name="표준 17 4 11 2 2" xfId="40905"/>
    <cellStyle name="표준 17 4 11 3" xfId="32169"/>
    <cellStyle name="표준 17 4 12" xfId="12411"/>
    <cellStyle name="표준 17 4 12 2" xfId="33289"/>
    <cellStyle name="표준 17 4 13" xfId="24539"/>
    <cellStyle name="표준 17 4 2" xfId="3154"/>
    <cellStyle name="표준 17 4 2 10" xfId="11473"/>
    <cellStyle name="표준 17 4 2 10 2" xfId="20239"/>
    <cellStyle name="표준 17 4 2 10 2 2" xfId="41115"/>
    <cellStyle name="표준 17 4 2 10 3" xfId="32379"/>
    <cellStyle name="표준 17 4 2 11" xfId="12622"/>
    <cellStyle name="표준 17 4 2 11 2" xfId="33499"/>
    <cellStyle name="표준 17 4 2 12" xfId="24749"/>
    <cellStyle name="표준 17 4 2 2" xfId="3596"/>
    <cellStyle name="표준 17 4 2 2 2" xfId="5869"/>
    <cellStyle name="표준 17 4 2 2 2 2" xfId="14878"/>
    <cellStyle name="표준 17 4 2 2 2 2 2" xfId="35754"/>
    <cellStyle name="표준 17 4 2 2 2 3" xfId="27016"/>
    <cellStyle name="표준 17 4 2 2 3" xfId="13059"/>
    <cellStyle name="표준 17 4 2 2 3 2" xfId="33936"/>
    <cellStyle name="표준 17 4 2 2 4" xfId="25186"/>
    <cellStyle name="표준 17 4 2 3" xfId="4757"/>
    <cellStyle name="표준 17 4 2 3 2" xfId="6589"/>
    <cellStyle name="표준 17 4 2 3 2 2" xfId="15598"/>
    <cellStyle name="표준 17 4 2 3 2 2 2" xfId="36474"/>
    <cellStyle name="표준 17 4 2 3 2 3" xfId="27736"/>
    <cellStyle name="표준 17 4 2 3 3" xfId="13780"/>
    <cellStyle name="표준 17 4 2 3 3 2" xfId="34656"/>
    <cellStyle name="표준 17 4 2 3 4" xfId="25918"/>
    <cellStyle name="표준 17 4 2 4" xfId="5432"/>
    <cellStyle name="표준 17 4 2 4 2" xfId="14441"/>
    <cellStyle name="표준 17 4 2 4 2 2" xfId="35317"/>
    <cellStyle name="표준 17 4 2 4 3" xfId="26579"/>
    <cellStyle name="표준 17 4 2 5" xfId="7235"/>
    <cellStyle name="표준 17 4 2 5 2" xfId="16242"/>
    <cellStyle name="표준 17 4 2 5 2 2" xfId="37118"/>
    <cellStyle name="표준 17 4 2 5 3" xfId="28380"/>
    <cellStyle name="표준 17 4 2 6" xfId="7879"/>
    <cellStyle name="표준 17 4 2 6 2" xfId="16885"/>
    <cellStyle name="표준 17 4 2 6 2 2" xfId="37761"/>
    <cellStyle name="표준 17 4 2 6 3" xfId="29023"/>
    <cellStyle name="표준 17 4 2 7" xfId="8727"/>
    <cellStyle name="표준 17 4 2 7 2" xfId="17732"/>
    <cellStyle name="표준 17 4 2 7 2 2" xfId="38608"/>
    <cellStyle name="표준 17 4 2 7 3" xfId="29870"/>
    <cellStyle name="표준 17 4 2 8" xfId="9552"/>
    <cellStyle name="표준 17 4 2 8 2" xfId="18550"/>
    <cellStyle name="표준 17 4 2 8 2 2" xfId="39426"/>
    <cellStyle name="표준 17 4 2 8 3" xfId="30688"/>
    <cellStyle name="표준 17 4 2 9" xfId="10607"/>
    <cellStyle name="표준 17 4 2 9 2" xfId="19378"/>
    <cellStyle name="표준 17 4 2 9 2 2" xfId="40254"/>
    <cellStyle name="표준 17 4 2 9 3" xfId="31518"/>
    <cellStyle name="표준 17 4 3" xfId="3386"/>
    <cellStyle name="표준 17 4 3 10" xfId="12849"/>
    <cellStyle name="표준 17 4 3 10 2" xfId="33726"/>
    <cellStyle name="표준 17 4 3 11" xfId="24976"/>
    <cellStyle name="표준 17 4 3 2" xfId="4979"/>
    <cellStyle name="표준 17 4 3 2 2" xfId="6806"/>
    <cellStyle name="표준 17 4 3 2 2 2" xfId="15815"/>
    <cellStyle name="표준 17 4 3 2 2 2 2" xfId="36691"/>
    <cellStyle name="표준 17 4 3 2 2 3" xfId="27953"/>
    <cellStyle name="표준 17 4 3 2 3" xfId="13997"/>
    <cellStyle name="표준 17 4 3 2 3 2" xfId="34873"/>
    <cellStyle name="표준 17 4 3 2 4" xfId="26135"/>
    <cellStyle name="표준 17 4 3 3" xfId="5659"/>
    <cellStyle name="표준 17 4 3 3 2" xfId="14668"/>
    <cellStyle name="표준 17 4 3 3 2 2" xfId="35544"/>
    <cellStyle name="표준 17 4 3 3 3" xfId="26806"/>
    <cellStyle name="표준 17 4 3 4" xfId="7452"/>
    <cellStyle name="표준 17 4 3 4 2" xfId="16459"/>
    <cellStyle name="표준 17 4 3 4 2 2" xfId="37335"/>
    <cellStyle name="표준 17 4 3 4 3" xfId="28597"/>
    <cellStyle name="표준 17 4 3 5" xfId="8096"/>
    <cellStyle name="표준 17 4 3 5 2" xfId="17102"/>
    <cellStyle name="표준 17 4 3 5 2 2" xfId="37978"/>
    <cellStyle name="표준 17 4 3 5 3" xfId="29240"/>
    <cellStyle name="표준 17 4 3 6" xfId="8944"/>
    <cellStyle name="표준 17 4 3 6 2" xfId="17949"/>
    <cellStyle name="표준 17 4 3 6 2 2" xfId="38825"/>
    <cellStyle name="표준 17 4 3 6 3" xfId="30087"/>
    <cellStyle name="표준 17 4 3 7" xfId="9769"/>
    <cellStyle name="표준 17 4 3 7 2" xfId="18767"/>
    <cellStyle name="표준 17 4 3 7 2 2" xfId="39643"/>
    <cellStyle name="표준 17 4 3 7 3" xfId="30905"/>
    <cellStyle name="표준 17 4 3 8" xfId="10824"/>
    <cellStyle name="표준 17 4 3 8 2" xfId="19595"/>
    <cellStyle name="표준 17 4 3 8 2 2" xfId="40471"/>
    <cellStyle name="표준 17 4 3 8 3" xfId="31735"/>
    <cellStyle name="표준 17 4 3 9" xfId="11690"/>
    <cellStyle name="표준 17 4 3 9 2" xfId="20456"/>
    <cellStyle name="표준 17 4 3 9 2 2" xfId="41332"/>
    <cellStyle name="표준 17 4 3 9 3" xfId="32596"/>
    <cellStyle name="표준 17 4 4" xfId="4545"/>
    <cellStyle name="표준 17 4 4 2" xfId="6379"/>
    <cellStyle name="표준 17 4 4 2 2" xfId="15388"/>
    <cellStyle name="표준 17 4 4 2 2 2" xfId="36264"/>
    <cellStyle name="표준 17 4 4 2 3" xfId="27526"/>
    <cellStyle name="표준 17 4 4 3" xfId="11042"/>
    <cellStyle name="표준 17 4 4 3 2" xfId="19812"/>
    <cellStyle name="표준 17 4 4 3 2 2" xfId="40688"/>
    <cellStyle name="표준 17 4 4 3 3" xfId="31952"/>
    <cellStyle name="표준 17 4 4 4" xfId="11907"/>
    <cellStyle name="표준 17 4 4 4 2" xfId="20673"/>
    <cellStyle name="표준 17 4 4 4 2 2" xfId="41549"/>
    <cellStyle name="표준 17 4 4 4 3" xfId="32813"/>
    <cellStyle name="표준 17 4 4 5" xfId="13570"/>
    <cellStyle name="표준 17 4 4 5 2" xfId="34446"/>
    <cellStyle name="표준 17 4 4 6" xfId="25708"/>
    <cellStyle name="표준 17 4 5" xfId="5222"/>
    <cellStyle name="표준 17 4 5 2" xfId="14231"/>
    <cellStyle name="표준 17 4 5 2 2" xfId="35107"/>
    <cellStyle name="표준 17 4 5 3" xfId="26369"/>
    <cellStyle name="표준 17 4 6" xfId="7024"/>
    <cellStyle name="표준 17 4 6 2" xfId="16032"/>
    <cellStyle name="표준 17 4 6 2 2" xfId="36908"/>
    <cellStyle name="표준 17 4 6 3" xfId="28170"/>
    <cellStyle name="표준 17 4 7" xfId="7669"/>
    <cellStyle name="표준 17 4 7 2" xfId="16675"/>
    <cellStyle name="표준 17 4 7 2 2" xfId="37551"/>
    <cellStyle name="표준 17 4 7 3" xfId="28813"/>
    <cellStyle name="표준 17 4 8" xfId="8517"/>
    <cellStyle name="표준 17 4 8 2" xfId="17522"/>
    <cellStyle name="표준 17 4 8 2 2" xfId="38398"/>
    <cellStyle name="표준 17 4 8 3" xfId="29660"/>
    <cellStyle name="표준 17 4 9" xfId="9341"/>
    <cellStyle name="표준 17 4 9 2" xfId="18340"/>
    <cellStyle name="표준 17 4 9 2 2" xfId="39216"/>
    <cellStyle name="표준 17 4 9 3" xfId="30478"/>
    <cellStyle name="표준 17 5" xfId="2937"/>
    <cellStyle name="표준 17 5 10" xfId="10398"/>
    <cellStyle name="표준 17 5 10 2" xfId="19169"/>
    <cellStyle name="표준 17 5 10 2 2" xfId="40045"/>
    <cellStyle name="표준 17 5 10 3" xfId="31309"/>
    <cellStyle name="표준 17 5 11" xfId="11264"/>
    <cellStyle name="표준 17 5 11 2" xfId="20030"/>
    <cellStyle name="표준 17 5 11 2 2" xfId="40906"/>
    <cellStyle name="표준 17 5 11 3" xfId="32170"/>
    <cellStyle name="표준 17 5 12" xfId="12412"/>
    <cellStyle name="표준 17 5 12 2" xfId="33290"/>
    <cellStyle name="표준 17 5 13" xfId="24540"/>
    <cellStyle name="표준 17 5 2" xfId="3155"/>
    <cellStyle name="표준 17 5 2 10" xfId="11474"/>
    <cellStyle name="표준 17 5 2 10 2" xfId="20240"/>
    <cellStyle name="표준 17 5 2 10 2 2" xfId="41116"/>
    <cellStyle name="표준 17 5 2 10 3" xfId="32380"/>
    <cellStyle name="표준 17 5 2 11" xfId="12623"/>
    <cellStyle name="표준 17 5 2 11 2" xfId="33500"/>
    <cellStyle name="표준 17 5 2 12" xfId="24750"/>
    <cellStyle name="표준 17 5 2 2" xfId="3597"/>
    <cellStyle name="표준 17 5 2 2 2" xfId="5870"/>
    <cellStyle name="표준 17 5 2 2 2 2" xfId="14879"/>
    <cellStyle name="표준 17 5 2 2 2 2 2" xfId="35755"/>
    <cellStyle name="표준 17 5 2 2 2 3" xfId="27017"/>
    <cellStyle name="표준 17 5 2 2 3" xfId="13060"/>
    <cellStyle name="표준 17 5 2 2 3 2" xfId="33937"/>
    <cellStyle name="표준 17 5 2 2 4" xfId="25187"/>
    <cellStyle name="표준 17 5 2 3" xfId="4758"/>
    <cellStyle name="표준 17 5 2 3 2" xfId="6590"/>
    <cellStyle name="표준 17 5 2 3 2 2" xfId="15599"/>
    <cellStyle name="표준 17 5 2 3 2 2 2" xfId="36475"/>
    <cellStyle name="표준 17 5 2 3 2 3" xfId="27737"/>
    <cellStyle name="표준 17 5 2 3 3" xfId="13781"/>
    <cellStyle name="표준 17 5 2 3 3 2" xfId="34657"/>
    <cellStyle name="표준 17 5 2 3 4" xfId="25919"/>
    <cellStyle name="표준 17 5 2 4" xfId="5433"/>
    <cellStyle name="표준 17 5 2 4 2" xfId="14442"/>
    <cellStyle name="표준 17 5 2 4 2 2" xfId="35318"/>
    <cellStyle name="표준 17 5 2 4 3" xfId="26580"/>
    <cellStyle name="표준 17 5 2 5" xfId="7236"/>
    <cellStyle name="표준 17 5 2 5 2" xfId="16243"/>
    <cellStyle name="표준 17 5 2 5 2 2" xfId="37119"/>
    <cellStyle name="표준 17 5 2 5 3" xfId="28381"/>
    <cellStyle name="표준 17 5 2 6" xfId="7880"/>
    <cellStyle name="표준 17 5 2 6 2" xfId="16886"/>
    <cellStyle name="표준 17 5 2 6 2 2" xfId="37762"/>
    <cellStyle name="표준 17 5 2 6 3" xfId="29024"/>
    <cellStyle name="표준 17 5 2 7" xfId="8728"/>
    <cellStyle name="표준 17 5 2 7 2" xfId="17733"/>
    <cellStyle name="표준 17 5 2 7 2 2" xfId="38609"/>
    <cellStyle name="표준 17 5 2 7 3" xfId="29871"/>
    <cellStyle name="표준 17 5 2 8" xfId="9553"/>
    <cellStyle name="표준 17 5 2 8 2" xfId="18551"/>
    <cellStyle name="표준 17 5 2 8 2 2" xfId="39427"/>
    <cellStyle name="표준 17 5 2 8 3" xfId="30689"/>
    <cellStyle name="표준 17 5 2 9" xfId="10608"/>
    <cellStyle name="표준 17 5 2 9 2" xfId="19379"/>
    <cellStyle name="표준 17 5 2 9 2 2" xfId="40255"/>
    <cellStyle name="표준 17 5 2 9 3" xfId="31519"/>
    <cellStyle name="표준 17 5 3" xfId="3387"/>
    <cellStyle name="표준 17 5 3 10" xfId="12850"/>
    <cellStyle name="표준 17 5 3 10 2" xfId="33727"/>
    <cellStyle name="표준 17 5 3 11" xfId="24977"/>
    <cellStyle name="표준 17 5 3 2" xfId="4980"/>
    <cellStyle name="표준 17 5 3 2 2" xfId="6807"/>
    <cellStyle name="표준 17 5 3 2 2 2" xfId="15816"/>
    <cellStyle name="표준 17 5 3 2 2 2 2" xfId="36692"/>
    <cellStyle name="표준 17 5 3 2 2 3" xfId="27954"/>
    <cellStyle name="표준 17 5 3 2 3" xfId="13998"/>
    <cellStyle name="표준 17 5 3 2 3 2" xfId="34874"/>
    <cellStyle name="표준 17 5 3 2 4" xfId="26136"/>
    <cellStyle name="표준 17 5 3 3" xfId="5660"/>
    <cellStyle name="표준 17 5 3 3 2" xfId="14669"/>
    <cellStyle name="표준 17 5 3 3 2 2" xfId="35545"/>
    <cellStyle name="표준 17 5 3 3 3" xfId="26807"/>
    <cellStyle name="표준 17 5 3 4" xfId="7453"/>
    <cellStyle name="표준 17 5 3 4 2" xfId="16460"/>
    <cellStyle name="표준 17 5 3 4 2 2" xfId="37336"/>
    <cellStyle name="표준 17 5 3 4 3" xfId="28598"/>
    <cellStyle name="표준 17 5 3 5" xfId="8097"/>
    <cellStyle name="표준 17 5 3 5 2" xfId="17103"/>
    <cellStyle name="표준 17 5 3 5 2 2" xfId="37979"/>
    <cellStyle name="표준 17 5 3 5 3" xfId="29241"/>
    <cellStyle name="표준 17 5 3 6" xfId="8945"/>
    <cellStyle name="표준 17 5 3 6 2" xfId="17950"/>
    <cellStyle name="표준 17 5 3 6 2 2" xfId="38826"/>
    <cellStyle name="표준 17 5 3 6 3" xfId="30088"/>
    <cellStyle name="표준 17 5 3 7" xfId="9770"/>
    <cellStyle name="표준 17 5 3 7 2" xfId="18768"/>
    <cellStyle name="표준 17 5 3 7 2 2" xfId="39644"/>
    <cellStyle name="표준 17 5 3 7 3" xfId="30906"/>
    <cellStyle name="표준 17 5 3 8" xfId="10825"/>
    <cellStyle name="표준 17 5 3 8 2" xfId="19596"/>
    <cellStyle name="표준 17 5 3 8 2 2" xfId="40472"/>
    <cellStyle name="표준 17 5 3 8 3" xfId="31736"/>
    <cellStyle name="표준 17 5 3 9" xfId="11691"/>
    <cellStyle name="표준 17 5 3 9 2" xfId="20457"/>
    <cellStyle name="표준 17 5 3 9 2 2" xfId="41333"/>
    <cellStyle name="표준 17 5 3 9 3" xfId="32597"/>
    <cellStyle name="표준 17 5 4" xfId="4546"/>
    <cellStyle name="표준 17 5 4 2" xfId="6380"/>
    <cellStyle name="표준 17 5 4 2 2" xfId="15389"/>
    <cellStyle name="표준 17 5 4 2 2 2" xfId="36265"/>
    <cellStyle name="표준 17 5 4 2 3" xfId="27527"/>
    <cellStyle name="표준 17 5 4 3" xfId="11043"/>
    <cellStyle name="표준 17 5 4 3 2" xfId="19813"/>
    <cellStyle name="표준 17 5 4 3 2 2" xfId="40689"/>
    <cellStyle name="표준 17 5 4 3 3" xfId="31953"/>
    <cellStyle name="표준 17 5 4 4" xfId="11908"/>
    <cellStyle name="표준 17 5 4 4 2" xfId="20674"/>
    <cellStyle name="표준 17 5 4 4 2 2" xfId="41550"/>
    <cellStyle name="표준 17 5 4 4 3" xfId="32814"/>
    <cellStyle name="표준 17 5 4 5" xfId="13571"/>
    <cellStyle name="표준 17 5 4 5 2" xfId="34447"/>
    <cellStyle name="표준 17 5 4 6" xfId="25709"/>
    <cellStyle name="표준 17 5 5" xfId="5223"/>
    <cellStyle name="표준 17 5 5 2" xfId="14232"/>
    <cellStyle name="표준 17 5 5 2 2" xfId="35108"/>
    <cellStyle name="표준 17 5 5 3" xfId="26370"/>
    <cellStyle name="표준 17 5 6" xfId="7025"/>
    <cellStyle name="표준 17 5 6 2" xfId="16033"/>
    <cellStyle name="표준 17 5 6 2 2" xfId="36909"/>
    <cellStyle name="표준 17 5 6 3" xfId="28171"/>
    <cellStyle name="표준 17 5 7" xfId="7670"/>
    <cellStyle name="표준 17 5 7 2" xfId="16676"/>
    <cellStyle name="표준 17 5 7 2 2" xfId="37552"/>
    <cellStyle name="표준 17 5 7 3" xfId="28814"/>
    <cellStyle name="표준 17 5 8" xfId="8518"/>
    <cellStyle name="표준 17 5 8 2" xfId="17523"/>
    <cellStyle name="표준 17 5 8 2 2" xfId="38399"/>
    <cellStyle name="표준 17 5 8 3" xfId="29661"/>
    <cellStyle name="표준 17 5 9" xfId="9342"/>
    <cellStyle name="표준 17 5 9 2" xfId="18341"/>
    <cellStyle name="표준 17 5 9 2 2" xfId="39217"/>
    <cellStyle name="표준 17 5 9 3" xfId="30479"/>
    <cellStyle name="표준 17 6" xfId="2938"/>
    <cellStyle name="표준 17 6 10" xfId="10399"/>
    <cellStyle name="표준 17 6 10 2" xfId="19170"/>
    <cellStyle name="표준 17 6 10 2 2" xfId="40046"/>
    <cellStyle name="표준 17 6 10 3" xfId="31310"/>
    <cellStyle name="표준 17 6 11" xfId="11265"/>
    <cellStyle name="표준 17 6 11 2" xfId="20031"/>
    <cellStyle name="표준 17 6 11 2 2" xfId="40907"/>
    <cellStyle name="표준 17 6 11 3" xfId="32171"/>
    <cellStyle name="표준 17 6 12" xfId="12413"/>
    <cellStyle name="표준 17 6 12 2" xfId="33291"/>
    <cellStyle name="표준 17 6 13" xfId="24541"/>
    <cellStyle name="표준 17 6 2" xfId="3156"/>
    <cellStyle name="표준 17 6 2 10" xfId="11475"/>
    <cellStyle name="표준 17 6 2 10 2" xfId="20241"/>
    <cellStyle name="표준 17 6 2 10 2 2" xfId="41117"/>
    <cellStyle name="표준 17 6 2 10 3" xfId="32381"/>
    <cellStyle name="표준 17 6 2 11" xfId="12624"/>
    <cellStyle name="표준 17 6 2 11 2" xfId="33501"/>
    <cellStyle name="표준 17 6 2 12" xfId="24751"/>
    <cellStyle name="표준 17 6 2 2" xfId="3598"/>
    <cellStyle name="표준 17 6 2 2 2" xfId="5871"/>
    <cellStyle name="표준 17 6 2 2 2 2" xfId="14880"/>
    <cellStyle name="표준 17 6 2 2 2 2 2" xfId="35756"/>
    <cellStyle name="표준 17 6 2 2 2 3" xfId="27018"/>
    <cellStyle name="표준 17 6 2 2 3" xfId="13061"/>
    <cellStyle name="표준 17 6 2 2 3 2" xfId="33938"/>
    <cellStyle name="표준 17 6 2 2 4" xfId="25188"/>
    <cellStyle name="표준 17 6 2 3" xfId="4759"/>
    <cellStyle name="표준 17 6 2 3 2" xfId="6591"/>
    <cellStyle name="표준 17 6 2 3 2 2" xfId="15600"/>
    <cellStyle name="표준 17 6 2 3 2 2 2" xfId="36476"/>
    <cellStyle name="표준 17 6 2 3 2 3" xfId="27738"/>
    <cellStyle name="표준 17 6 2 3 3" xfId="13782"/>
    <cellStyle name="표준 17 6 2 3 3 2" xfId="34658"/>
    <cellStyle name="표준 17 6 2 3 4" xfId="25920"/>
    <cellStyle name="표준 17 6 2 4" xfId="5434"/>
    <cellStyle name="표준 17 6 2 4 2" xfId="14443"/>
    <cellStyle name="표준 17 6 2 4 2 2" xfId="35319"/>
    <cellStyle name="표준 17 6 2 4 3" xfId="26581"/>
    <cellStyle name="표준 17 6 2 5" xfId="7237"/>
    <cellStyle name="표준 17 6 2 5 2" xfId="16244"/>
    <cellStyle name="표준 17 6 2 5 2 2" xfId="37120"/>
    <cellStyle name="표준 17 6 2 5 3" xfId="28382"/>
    <cellStyle name="표준 17 6 2 6" xfId="7881"/>
    <cellStyle name="표준 17 6 2 6 2" xfId="16887"/>
    <cellStyle name="표준 17 6 2 6 2 2" xfId="37763"/>
    <cellStyle name="표준 17 6 2 6 3" xfId="29025"/>
    <cellStyle name="표준 17 6 2 7" xfId="8729"/>
    <cellStyle name="표준 17 6 2 7 2" xfId="17734"/>
    <cellStyle name="표준 17 6 2 7 2 2" xfId="38610"/>
    <cellStyle name="표준 17 6 2 7 3" xfId="29872"/>
    <cellStyle name="표준 17 6 2 8" xfId="9554"/>
    <cellStyle name="표준 17 6 2 8 2" xfId="18552"/>
    <cellStyle name="표준 17 6 2 8 2 2" xfId="39428"/>
    <cellStyle name="표준 17 6 2 8 3" xfId="30690"/>
    <cellStyle name="표준 17 6 2 9" xfId="10609"/>
    <cellStyle name="표준 17 6 2 9 2" xfId="19380"/>
    <cellStyle name="표준 17 6 2 9 2 2" xfId="40256"/>
    <cellStyle name="표준 17 6 2 9 3" xfId="31520"/>
    <cellStyle name="표준 17 6 3" xfId="3388"/>
    <cellStyle name="표준 17 6 3 10" xfId="12851"/>
    <cellStyle name="표준 17 6 3 10 2" xfId="33728"/>
    <cellStyle name="표준 17 6 3 11" xfId="24978"/>
    <cellStyle name="표준 17 6 3 2" xfId="4981"/>
    <cellStyle name="표준 17 6 3 2 2" xfId="6808"/>
    <cellStyle name="표준 17 6 3 2 2 2" xfId="15817"/>
    <cellStyle name="표준 17 6 3 2 2 2 2" xfId="36693"/>
    <cellStyle name="표준 17 6 3 2 2 3" xfId="27955"/>
    <cellStyle name="표준 17 6 3 2 3" xfId="13999"/>
    <cellStyle name="표준 17 6 3 2 3 2" xfId="34875"/>
    <cellStyle name="표준 17 6 3 2 4" xfId="26137"/>
    <cellStyle name="표준 17 6 3 3" xfId="5661"/>
    <cellStyle name="표준 17 6 3 3 2" xfId="14670"/>
    <cellStyle name="표준 17 6 3 3 2 2" xfId="35546"/>
    <cellStyle name="표준 17 6 3 3 3" xfId="26808"/>
    <cellStyle name="표준 17 6 3 4" xfId="7454"/>
    <cellStyle name="표준 17 6 3 4 2" xfId="16461"/>
    <cellStyle name="표준 17 6 3 4 2 2" xfId="37337"/>
    <cellStyle name="표준 17 6 3 4 3" xfId="28599"/>
    <cellStyle name="표준 17 6 3 5" xfId="8098"/>
    <cellStyle name="표준 17 6 3 5 2" xfId="17104"/>
    <cellStyle name="표준 17 6 3 5 2 2" xfId="37980"/>
    <cellStyle name="표준 17 6 3 5 3" xfId="29242"/>
    <cellStyle name="표준 17 6 3 6" xfId="8946"/>
    <cellStyle name="표준 17 6 3 6 2" xfId="17951"/>
    <cellStyle name="표준 17 6 3 6 2 2" xfId="38827"/>
    <cellStyle name="표준 17 6 3 6 3" xfId="30089"/>
    <cellStyle name="표준 17 6 3 7" xfId="9771"/>
    <cellStyle name="표준 17 6 3 7 2" xfId="18769"/>
    <cellStyle name="표준 17 6 3 7 2 2" xfId="39645"/>
    <cellStyle name="표준 17 6 3 7 3" xfId="30907"/>
    <cellStyle name="표준 17 6 3 8" xfId="10826"/>
    <cellStyle name="표준 17 6 3 8 2" xfId="19597"/>
    <cellStyle name="표준 17 6 3 8 2 2" xfId="40473"/>
    <cellStyle name="표준 17 6 3 8 3" xfId="31737"/>
    <cellStyle name="표준 17 6 3 9" xfId="11692"/>
    <cellStyle name="표준 17 6 3 9 2" xfId="20458"/>
    <cellStyle name="표준 17 6 3 9 2 2" xfId="41334"/>
    <cellStyle name="표준 17 6 3 9 3" xfId="32598"/>
    <cellStyle name="표준 17 6 4" xfId="4547"/>
    <cellStyle name="표준 17 6 4 2" xfId="6381"/>
    <cellStyle name="표준 17 6 4 2 2" xfId="15390"/>
    <cellStyle name="표준 17 6 4 2 2 2" xfId="36266"/>
    <cellStyle name="표준 17 6 4 2 3" xfId="27528"/>
    <cellStyle name="표준 17 6 4 3" xfId="11044"/>
    <cellStyle name="표준 17 6 4 3 2" xfId="19814"/>
    <cellStyle name="표준 17 6 4 3 2 2" xfId="40690"/>
    <cellStyle name="표준 17 6 4 3 3" xfId="31954"/>
    <cellStyle name="표준 17 6 4 4" xfId="11909"/>
    <cellStyle name="표준 17 6 4 4 2" xfId="20675"/>
    <cellStyle name="표준 17 6 4 4 2 2" xfId="41551"/>
    <cellStyle name="표준 17 6 4 4 3" xfId="32815"/>
    <cellStyle name="표준 17 6 4 5" xfId="13572"/>
    <cellStyle name="표준 17 6 4 5 2" xfId="34448"/>
    <cellStyle name="표준 17 6 4 6" xfId="25710"/>
    <cellStyle name="표준 17 6 5" xfId="5224"/>
    <cellStyle name="표준 17 6 5 2" xfId="14233"/>
    <cellStyle name="표준 17 6 5 2 2" xfId="35109"/>
    <cellStyle name="표준 17 6 5 3" xfId="26371"/>
    <cellStyle name="표준 17 6 6" xfId="7026"/>
    <cellStyle name="표준 17 6 6 2" xfId="16034"/>
    <cellStyle name="표준 17 6 6 2 2" xfId="36910"/>
    <cellStyle name="표준 17 6 6 3" xfId="28172"/>
    <cellStyle name="표준 17 6 7" xfId="7671"/>
    <cellStyle name="표준 17 6 7 2" xfId="16677"/>
    <cellStyle name="표준 17 6 7 2 2" xfId="37553"/>
    <cellStyle name="표준 17 6 7 3" xfId="28815"/>
    <cellStyle name="표준 17 6 8" xfId="8519"/>
    <cellStyle name="표준 17 6 8 2" xfId="17524"/>
    <cellStyle name="표준 17 6 8 2 2" xfId="38400"/>
    <cellStyle name="표준 17 6 8 3" xfId="29662"/>
    <cellStyle name="표준 17 6 9" xfId="9343"/>
    <cellStyle name="표준 17 6 9 2" xfId="18342"/>
    <cellStyle name="표준 17 6 9 2 2" xfId="39218"/>
    <cellStyle name="표준 17 6 9 3" xfId="30480"/>
    <cellStyle name="표준 17 7" xfId="2939"/>
    <cellStyle name="표준 17 7 10" xfId="10400"/>
    <cellStyle name="표준 17 7 10 2" xfId="19171"/>
    <cellStyle name="표준 17 7 10 2 2" xfId="40047"/>
    <cellStyle name="표준 17 7 10 3" xfId="31311"/>
    <cellStyle name="표준 17 7 11" xfId="11266"/>
    <cellStyle name="표준 17 7 11 2" xfId="20032"/>
    <cellStyle name="표준 17 7 11 2 2" xfId="40908"/>
    <cellStyle name="표준 17 7 11 3" xfId="32172"/>
    <cellStyle name="표준 17 7 12" xfId="12414"/>
    <cellStyle name="표준 17 7 12 2" xfId="33292"/>
    <cellStyle name="표준 17 7 13" xfId="24542"/>
    <cellStyle name="표준 17 7 2" xfId="3157"/>
    <cellStyle name="표준 17 7 2 10" xfId="11476"/>
    <cellStyle name="표준 17 7 2 10 2" xfId="20242"/>
    <cellStyle name="표준 17 7 2 10 2 2" xfId="41118"/>
    <cellStyle name="표준 17 7 2 10 3" xfId="32382"/>
    <cellStyle name="표준 17 7 2 11" xfId="12625"/>
    <cellStyle name="표준 17 7 2 11 2" xfId="33502"/>
    <cellStyle name="표준 17 7 2 12" xfId="24752"/>
    <cellStyle name="표준 17 7 2 2" xfId="3599"/>
    <cellStyle name="표준 17 7 2 2 2" xfId="5872"/>
    <cellStyle name="표준 17 7 2 2 2 2" xfId="14881"/>
    <cellStyle name="표준 17 7 2 2 2 2 2" xfId="35757"/>
    <cellStyle name="표준 17 7 2 2 2 3" xfId="27019"/>
    <cellStyle name="표준 17 7 2 2 3" xfId="13062"/>
    <cellStyle name="표준 17 7 2 2 3 2" xfId="33939"/>
    <cellStyle name="표준 17 7 2 2 4" xfId="25189"/>
    <cellStyle name="표준 17 7 2 3" xfId="4760"/>
    <cellStyle name="표준 17 7 2 3 2" xfId="6592"/>
    <cellStyle name="표준 17 7 2 3 2 2" xfId="15601"/>
    <cellStyle name="표준 17 7 2 3 2 2 2" xfId="36477"/>
    <cellStyle name="표준 17 7 2 3 2 3" xfId="27739"/>
    <cellStyle name="표준 17 7 2 3 3" xfId="13783"/>
    <cellStyle name="표준 17 7 2 3 3 2" xfId="34659"/>
    <cellStyle name="표준 17 7 2 3 4" xfId="25921"/>
    <cellStyle name="표준 17 7 2 4" xfId="5435"/>
    <cellStyle name="표준 17 7 2 4 2" xfId="14444"/>
    <cellStyle name="표준 17 7 2 4 2 2" xfId="35320"/>
    <cellStyle name="표준 17 7 2 4 3" xfId="26582"/>
    <cellStyle name="표준 17 7 2 5" xfId="7238"/>
    <cellStyle name="표준 17 7 2 5 2" xfId="16245"/>
    <cellStyle name="표준 17 7 2 5 2 2" xfId="37121"/>
    <cellStyle name="표준 17 7 2 5 3" xfId="28383"/>
    <cellStyle name="표준 17 7 2 6" xfId="7882"/>
    <cellStyle name="표준 17 7 2 6 2" xfId="16888"/>
    <cellStyle name="표준 17 7 2 6 2 2" xfId="37764"/>
    <cellStyle name="표준 17 7 2 6 3" xfId="29026"/>
    <cellStyle name="표준 17 7 2 7" xfId="8730"/>
    <cellStyle name="표준 17 7 2 7 2" xfId="17735"/>
    <cellStyle name="표준 17 7 2 7 2 2" xfId="38611"/>
    <cellStyle name="표준 17 7 2 7 3" xfId="29873"/>
    <cellStyle name="표준 17 7 2 8" xfId="9555"/>
    <cellStyle name="표준 17 7 2 8 2" xfId="18553"/>
    <cellStyle name="표준 17 7 2 8 2 2" xfId="39429"/>
    <cellStyle name="표준 17 7 2 8 3" xfId="30691"/>
    <cellStyle name="표준 17 7 2 9" xfId="10610"/>
    <cellStyle name="표준 17 7 2 9 2" xfId="19381"/>
    <cellStyle name="표준 17 7 2 9 2 2" xfId="40257"/>
    <cellStyle name="표준 17 7 2 9 3" xfId="31521"/>
    <cellStyle name="표준 17 7 3" xfId="3389"/>
    <cellStyle name="표준 17 7 3 10" xfId="12852"/>
    <cellStyle name="표준 17 7 3 10 2" xfId="33729"/>
    <cellStyle name="표준 17 7 3 11" xfId="24979"/>
    <cellStyle name="표준 17 7 3 2" xfId="4982"/>
    <cellStyle name="표준 17 7 3 2 2" xfId="6809"/>
    <cellStyle name="표준 17 7 3 2 2 2" xfId="15818"/>
    <cellStyle name="표준 17 7 3 2 2 2 2" xfId="36694"/>
    <cellStyle name="표준 17 7 3 2 2 3" xfId="27956"/>
    <cellStyle name="표준 17 7 3 2 3" xfId="14000"/>
    <cellStyle name="표준 17 7 3 2 3 2" xfId="34876"/>
    <cellStyle name="표준 17 7 3 2 4" xfId="26138"/>
    <cellStyle name="표준 17 7 3 3" xfId="5662"/>
    <cellStyle name="표준 17 7 3 3 2" xfId="14671"/>
    <cellStyle name="표준 17 7 3 3 2 2" xfId="35547"/>
    <cellStyle name="표준 17 7 3 3 3" xfId="26809"/>
    <cellStyle name="표준 17 7 3 4" xfId="7455"/>
    <cellStyle name="표준 17 7 3 4 2" xfId="16462"/>
    <cellStyle name="표준 17 7 3 4 2 2" xfId="37338"/>
    <cellStyle name="표준 17 7 3 4 3" xfId="28600"/>
    <cellStyle name="표준 17 7 3 5" xfId="8099"/>
    <cellStyle name="표준 17 7 3 5 2" xfId="17105"/>
    <cellStyle name="표준 17 7 3 5 2 2" xfId="37981"/>
    <cellStyle name="표준 17 7 3 5 3" xfId="29243"/>
    <cellStyle name="표준 17 7 3 6" xfId="8947"/>
    <cellStyle name="표준 17 7 3 6 2" xfId="17952"/>
    <cellStyle name="표준 17 7 3 6 2 2" xfId="38828"/>
    <cellStyle name="표준 17 7 3 6 3" xfId="30090"/>
    <cellStyle name="표준 17 7 3 7" xfId="9772"/>
    <cellStyle name="표준 17 7 3 7 2" xfId="18770"/>
    <cellStyle name="표준 17 7 3 7 2 2" xfId="39646"/>
    <cellStyle name="표준 17 7 3 7 3" xfId="30908"/>
    <cellStyle name="표준 17 7 3 8" xfId="10827"/>
    <cellStyle name="표준 17 7 3 8 2" xfId="19598"/>
    <cellStyle name="표준 17 7 3 8 2 2" xfId="40474"/>
    <cellStyle name="표준 17 7 3 8 3" xfId="31738"/>
    <cellStyle name="표준 17 7 3 9" xfId="11693"/>
    <cellStyle name="표준 17 7 3 9 2" xfId="20459"/>
    <cellStyle name="표준 17 7 3 9 2 2" xfId="41335"/>
    <cellStyle name="표준 17 7 3 9 3" xfId="32599"/>
    <cellStyle name="표준 17 7 4" xfId="4548"/>
    <cellStyle name="표준 17 7 4 2" xfId="6382"/>
    <cellStyle name="표준 17 7 4 2 2" xfId="15391"/>
    <cellStyle name="표준 17 7 4 2 2 2" xfId="36267"/>
    <cellStyle name="표준 17 7 4 2 3" xfId="27529"/>
    <cellStyle name="표준 17 7 4 3" xfId="11045"/>
    <cellStyle name="표준 17 7 4 3 2" xfId="19815"/>
    <cellStyle name="표준 17 7 4 3 2 2" xfId="40691"/>
    <cellStyle name="표준 17 7 4 3 3" xfId="31955"/>
    <cellStyle name="표준 17 7 4 4" xfId="11910"/>
    <cellStyle name="표준 17 7 4 4 2" xfId="20676"/>
    <cellStyle name="표준 17 7 4 4 2 2" xfId="41552"/>
    <cellStyle name="표준 17 7 4 4 3" xfId="32816"/>
    <cellStyle name="표준 17 7 4 5" xfId="13573"/>
    <cellStyle name="표준 17 7 4 5 2" xfId="34449"/>
    <cellStyle name="표준 17 7 4 6" xfId="25711"/>
    <cellStyle name="표준 17 7 5" xfId="5225"/>
    <cellStyle name="표준 17 7 5 2" xfId="14234"/>
    <cellStyle name="표준 17 7 5 2 2" xfId="35110"/>
    <cellStyle name="표준 17 7 5 3" xfId="26372"/>
    <cellStyle name="표준 17 7 6" xfId="7027"/>
    <cellStyle name="표준 17 7 6 2" xfId="16035"/>
    <cellStyle name="표준 17 7 6 2 2" xfId="36911"/>
    <cellStyle name="표준 17 7 6 3" xfId="28173"/>
    <cellStyle name="표준 17 7 7" xfId="7672"/>
    <cellStyle name="표준 17 7 7 2" xfId="16678"/>
    <cellStyle name="표준 17 7 7 2 2" xfId="37554"/>
    <cellStyle name="표준 17 7 7 3" xfId="28816"/>
    <cellStyle name="표준 17 7 8" xfId="8520"/>
    <cellStyle name="표준 17 7 8 2" xfId="17525"/>
    <cellStyle name="표준 17 7 8 2 2" xfId="38401"/>
    <cellStyle name="표준 17 7 8 3" xfId="29663"/>
    <cellStyle name="표준 17 7 9" xfId="9344"/>
    <cellStyle name="표준 17 7 9 2" xfId="18343"/>
    <cellStyle name="표준 17 7 9 2 2" xfId="39219"/>
    <cellStyle name="표준 17 7 9 3" xfId="30481"/>
    <cellStyle name="표준 17 8" xfId="3151"/>
    <cellStyle name="표준 17 8 10" xfId="11470"/>
    <cellStyle name="표준 17 8 10 2" xfId="20236"/>
    <cellStyle name="표준 17 8 10 2 2" xfId="41112"/>
    <cellStyle name="표준 17 8 10 3" xfId="32376"/>
    <cellStyle name="표준 17 8 11" xfId="12619"/>
    <cellStyle name="표준 17 8 11 2" xfId="33496"/>
    <cellStyle name="표준 17 8 12" xfId="24746"/>
    <cellStyle name="표준 17 8 2" xfId="3593"/>
    <cellStyle name="표준 17 8 2 2" xfId="5866"/>
    <cellStyle name="표준 17 8 2 2 2" xfId="14875"/>
    <cellStyle name="표준 17 8 2 2 2 2" xfId="35751"/>
    <cellStyle name="표준 17 8 2 2 3" xfId="27013"/>
    <cellStyle name="표준 17 8 2 3" xfId="13056"/>
    <cellStyle name="표준 17 8 2 3 2" xfId="33933"/>
    <cellStyle name="표준 17 8 2 4" xfId="25183"/>
    <cellStyle name="표준 17 8 3" xfId="4754"/>
    <cellStyle name="표준 17 8 3 2" xfId="6586"/>
    <cellStyle name="표준 17 8 3 2 2" xfId="15595"/>
    <cellStyle name="표준 17 8 3 2 2 2" xfId="36471"/>
    <cellStyle name="표준 17 8 3 2 3" xfId="27733"/>
    <cellStyle name="표준 17 8 3 3" xfId="13777"/>
    <cellStyle name="표준 17 8 3 3 2" xfId="34653"/>
    <cellStyle name="표준 17 8 3 4" xfId="25915"/>
    <cellStyle name="표준 17 8 4" xfId="5429"/>
    <cellStyle name="표준 17 8 4 2" xfId="14438"/>
    <cellStyle name="표준 17 8 4 2 2" xfId="35314"/>
    <cellStyle name="표준 17 8 4 3" xfId="26576"/>
    <cellStyle name="표준 17 8 5" xfId="7232"/>
    <cellStyle name="표준 17 8 5 2" xfId="16239"/>
    <cellStyle name="표준 17 8 5 2 2" xfId="37115"/>
    <cellStyle name="표준 17 8 5 3" xfId="28377"/>
    <cellStyle name="표준 17 8 6" xfId="7876"/>
    <cellStyle name="표준 17 8 6 2" xfId="16882"/>
    <cellStyle name="표준 17 8 6 2 2" xfId="37758"/>
    <cellStyle name="표준 17 8 6 3" xfId="29020"/>
    <cellStyle name="표준 17 8 7" xfId="8724"/>
    <cellStyle name="표준 17 8 7 2" xfId="17729"/>
    <cellStyle name="표준 17 8 7 2 2" xfId="38605"/>
    <cellStyle name="표준 17 8 7 3" xfId="29867"/>
    <cellStyle name="표준 17 8 8" xfId="9549"/>
    <cellStyle name="표준 17 8 8 2" xfId="18547"/>
    <cellStyle name="표준 17 8 8 2 2" xfId="39423"/>
    <cellStyle name="표준 17 8 8 3" xfId="30685"/>
    <cellStyle name="표준 17 8 9" xfId="10604"/>
    <cellStyle name="표준 17 8 9 2" xfId="19375"/>
    <cellStyle name="표준 17 8 9 2 2" xfId="40251"/>
    <cellStyle name="표준 17 8 9 3" xfId="31515"/>
    <cellStyle name="표준 17 9" xfId="3383"/>
    <cellStyle name="표준 17 9 10" xfId="12846"/>
    <cellStyle name="표준 17 9 10 2" xfId="33723"/>
    <cellStyle name="표준 17 9 11" xfId="24973"/>
    <cellStyle name="표준 17 9 2" xfId="4976"/>
    <cellStyle name="표준 17 9 2 2" xfId="6803"/>
    <cellStyle name="표준 17 9 2 2 2" xfId="15812"/>
    <cellStyle name="표준 17 9 2 2 2 2" xfId="36688"/>
    <cellStyle name="표준 17 9 2 2 3" xfId="27950"/>
    <cellStyle name="표준 17 9 2 3" xfId="13994"/>
    <cellStyle name="표준 17 9 2 3 2" xfId="34870"/>
    <cellStyle name="표준 17 9 2 4" xfId="26132"/>
    <cellStyle name="표준 17 9 3" xfId="5656"/>
    <cellStyle name="표준 17 9 3 2" xfId="14665"/>
    <cellStyle name="표준 17 9 3 2 2" xfId="35541"/>
    <cellStyle name="표준 17 9 3 3" xfId="26803"/>
    <cellStyle name="표준 17 9 4" xfId="7449"/>
    <cellStyle name="표준 17 9 4 2" xfId="16456"/>
    <cellStyle name="표준 17 9 4 2 2" xfId="37332"/>
    <cellStyle name="표준 17 9 4 3" xfId="28594"/>
    <cellStyle name="표준 17 9 5" xfId="8093"/>
    <cellStyle name="표준 17 9 5 2" xfId="17099"/>
    <cellStyle name="표준 17 9 5 2 2" xfId="37975"/>
    <cellStyle name="표준 17 9 5 3" xfId="29237"/>
    <cellStyle name="표준 17 9 6" xfId="8941"/>
    <cellStyle name="표준 17 9 6 2" xfId="17946"/>
    <cellStyle name="표준 17 9 6 2 2" xfId="38822"/>
    <cellStyle name="표준 17 9 6 3" xfId="30084"/>
    <cellStyle name="표준 17 9 7" xfId="9766"/>
    <cellStyle name="표준 17 9 7 2" xfId="18764"/>
    <cellStyle name="표준 17 9 7 2 2" xfId="39640"/>
    <cellStyle name="표준 17 9 7 3" xfId="30902"/>
    <cellStyle name="표준 17 9 8" xfId="10821"/>
    <cellStyle name="표준 17 9 8 2" xfId="19592"/>
    <cellStyle name="표준 17 9 8 2 2" xfId="40468"/>
    <cellStyle name="표준 17 9 8 3" xfId="31732"/>
    <cellStyle name="표준 17 9 9" xfId="11687"/>
    <cellStyle name="표준 17 9 9 2" xfId="20453"/>
    <cellStyle name="표준 17 9 9 2 2" xfId="41329"/>
    <cellStyle name="표준 17 9 9 3" xfId="32593"/>
    <cellStyle name="표준 18" xfId="2940"/>
    <cellStyle name="표준 18 10" xfId="4549"/>
    <cellStyle name="표준 18 10 2" xfId="6383"/>
    <cellStyle name="표준 18 10 2 2" xfId="15392"/>
    <cellStyle name="표준 18 10 2 2 2" xfId="36268"/>
    <cellStyle name="표준 18 10 2 3" xfId="27530"/>
    <cellStyle name="표준 18 10 3" xfId="11046"/>
    <cellStyle name="표준 18 10 3 2" xfId="19816"/>
    <cellStyle name="표준 18 10 3 2 2" xfId="40692"/>
    <cellStyle name="표준 18 10 3 3" xfId="31956"/>
    <cellStyle name="표준 18 10 4" xfId="11911"/>
    <cellStyle name="표준 18 10 4 2" xfId="20677"/>
    <cellStyle name="표준 18 10 4 2 2" xfId="41553"/>
    <cellStyle name="표준 18 10 4 3" xfId="32817"/>
    <cellStyle name="표준 18 10 5" xfId="13574"/>
    <cellStyle name="표준 18 10 5 2" xfId="34450"/>
    <cellStyle name="표준 18 10 6" xfId="25712"/>
    <cellStyle name="표준 18 11" xfId="5226"/>
    <cellStyle name="표준 18 11 2" xfId="14235"/>
    <cellStyle name="표준 18 11 2 2" xfId="35111"/>
    <cellStyle name="표준 18 11 3" xfId="26373"/>
    <cellStyle name="표준 18 12" xfId="7028"/>
    <cellStyle name="표준 18 12 2" xfId="16036"/>
    <cellStyle name="표준 18 12 2 2" xfId="36912"/>
    <cellStyle name="표준 18 12 3" xfId="28174"/>
    <cellStyle name="표준 18 13" xfId="7673"/>
    <cellStyle name="표준 18 13 2" xfId="16679"/>
    <cellStyle name="표준 18 13 2 2" xfId="37555"/>
    <cellStyle name="표준 18 13 3" xfId="28817"/>
    <cellStyle name="표준 18 14" xfId="8521"/>
    <cellStyle name="표준 18 14 2" xfId="17526"/>
    <cellStyle name="표준 18 14 2 2" xfId="38402"/>
    <cellStyle name="표준 18 14 3" xfId="29664"/>
    <cellStyle name="표준 18 15" xfId="9345"/>
    <cellStyle name="표준 18 15 2" xfId="18344"/>
    <cellStyle name="표준 18 15 2 2" xfId="39220"/>
    <cellStyle name="표준 18 15 3" xfId="30482"/>
    <cellStyle name="표준 18 16" xfId="10401"/>
    <cellStyle name="표준 18 16 2" xfId="19172"/>
    <cellStyle name="표준 18 16 2 2" xfId="40048"/>
    <cellStyle name="표준 18 16 3" xfId="31312"/>
    <cellStyle name="표준 18 17" xfId="11267"/>
    <cellStyle name="표준 18 17 2" xfId="20033"/>
    <cellStyle name="표준 18 17 2 2" xfId="40909"/>
    <cellStyle name="표준 18 17 3" xfId="32173"/>
    <cellStyle name="표준 18 18" xfId="12415"/>
    <cellStyle name="표준 18 18 2" xfId="33293"/>
    <cellStyle name="표준 18 19" xfId="24233"/>
    <cellStyle name="표준 18 2" xfId="2941"/>
    <cellStyle name="표준 18 2 10" xfId="10402"/>
    <cellStyle name="표준 18 2 10 2" xfId="19173"/>
    <cellStyle name="표준 18 2 10 2 2" xfId="40049"/>
    <cellStyle name="표준 18 2 10 3" xfId="31313"/>
    <cellStyle name="표준 18 2 11" xfId="11268"/>
    <cellStyle name="표준 18 2 11 2" xfId="20034"/>
    <cellStyle name="표준 18 2 11 2 2" xfId="40910"/>
    <cellStyle name="표준 18 2 11 3" xfId="32174"/>
    <cellStyle name="표준 18 2 12" xfId="12416"/>
    <cellStyle name="표준 18 2 12 2" xfId="33294"/>
    <cellStyle name="표준 18 2 13" xfId="24544"/>
    <cellStyle name="표준 18 2 2" xfId="3159"/>
    <cellStyle name="표준 18 2 2 10" xfId="11478"/>
    <cellStyle name="표준 18 2 2 10 2" xfId="20244"/>
    <cellStyle name="표준 18 2 2 10 2 2" xfId="41120"/>
    <cellStyle name="표준 18 2 2 10 3" xfId="32384"/>
    <cellStyle name="표준 18 2 2 11" xfId="12627"/>
    <cellStyle name="표준 18 2 2 11 2" xfId="33504"/>
    <cellStyle name="표준 18 2 2 12" xfId="24754"/>
    <cellStyle name="표준 18 2 2 2" xfId="3601"/>
    <cellStyle name="표준 18 2 2 2 2" xfId="5874"/>
    <cellStyle name="표준 18 2 2 2 2 2" xfId="14883"/>
    <cellStyle name="표준 18 2 2 2 2 2 2" xfId="35759"/>
    <cellStyle name="표준 18 2 2 2 2 3" xfId="27021"/>
    <cellStyle name="표준 18 2 2 2 3" xfId="13064"/>
    <cellStyle name="표준 18 2 2 2 3 2" xfId="33941"/>
    <cellStyle name="표준 18 2 2 2 4" xfId="25191"/>
    <cellStyle name="표준 18 2 2 3" xfId="4762"/>
    <cellStyle name="표준 18 2 2 3 2" xfId="6594"/>
    <cellStyle name="표준 18 2 2 3 2 2" xfId="15603"/>
    <cellStyle name="표준 18 2 2 3 2 2 2" xfId="36479"/>
    <cellStyle name="표준 18 2 2 3 2 3" xfId="27741"/>
    <cellStyle name="표준 18 2 2 3 3" xfId="13785"/>
    <cellStyle name="표준 18 2 2 3 3 2" xfId="34661"/>
    <cellStyle name="표준 18 2 2 3 4" xfId="25923"/>
    <cellStyle name="표준 18 2 2 4" xfId="5437"/>
    <cellStyle name="표준 18 2 2 4 2" xfId="14446"/>
    <cellStyle name="표준 18 2 2 4 2 2" xfId="35322"/>
    <cellStyle name="표준 18 2 2 4 3" xfId="26584"/>
    <cellStyle name="표준 18 2 2 5" xfId="7240"/>
    <cellStyle name="표준 18 2 2 5 2" xfId="16247"/>
    <cellStyle name="표준 18 2 2 5 2 2" xfId="37123"/>
    <cellStyle name="표준 18 2 2 5 3" xfId="28385"/>
    <cellStyle name="표준 18 2 2 6" xfId="7884"/>
    <cellStyle name="표준 18 2 2 6 2" xfId="16890"/>
    <cellStyle name="표준 18 2 2 6 2 2" xfId="37766"/>
    <cellStyle name="표준 18 2 2 6 3" xfId="29028"/>
    <cellStyle name="표준 18 2 2 7" xfId="8732"/>
    <cellStyle name="표준 18 2 2 7 2" xfId="17737"/>
    <cellStyle name="표준 18 2 2 7 2 2" xfId="38613"/>
    <cellStyle name="표준 18 2 2 7 3" xfId="29875"/>
    <cellStyle name="표준 18 2 2 8" xfId="9557"/>
    <cellStyle name="표준 18 2 2 8 2" xfId="18555"/>
    <cellStyle name="표준 18 2 2 8 2 2" xfId="39431"/>
    <cellStyle name="표준 18 2 2 8 3" xfId="30693"/>
    <cellStyle name="표준 18 2 2 9" xfId="10612"/>
    <cellStyle name="표준 18 2 2 9 2" xfId="19383"/>
    <cellStyle name="표준 18 2 2 9 2 2" xfId="40259"/>
    <cellStyle name="표준 18 2 2 9 3" xfId="31523"/>
    <cellStyle name="표준 18 2 3" xfId="3391"/>
    <cellStyle name="표준 18 2 3 10" xfId="12854"/>
    <cellStyle name="표준 18 2 3 10 2" xfId="33731"/>
    <cellStyle name="표준 18 2 3 11" xfId="24981"/>
    <cellStyle name="표준 18 2 3 2" xfId="4984"/>
    <cellStyle name="표준 18 2 3 2 2" xfId="6811"/>
    <cellStyle name="표준 18 2 3 2 2 2" xfId="15820"/>
    <cellStyle name="표준 18 2 3 2 2 2 2" xfId="36696"/>
    <cellStyle name="표준 18 2 3 2 2 3" xfId="27958"/>
    <cellStyle name="표준 18 2 3 2 3" xfId="14002"/>
    <cellStyle name="표준 18 2 3 2 3 2" xfId="34878"/>
    <cellStyle name="표준 18 2 3 2 4" xfId="26140"/>
    <cellStyle name="표준 18 2 3 3" xfId="5664"/>
    <cellStyle name="표준 18 2 3 3 2" xfId="14673"/>
    <cellStyle name="표준 18 2 3 3 2 2" xfId="35549"/>
    <cellStyle name="표준 18 2 3 3 3" xfId="26811"/>
    <cellStyle name="표준 18 2 3 4" xfId="7457"/>
    <cellStyle name="표준 18 2 3 4 2" xfId="16464"/>
    <cellStyle name="표준 18 2 3 4 2 2" xfId="37340"/>
    <cellStyle name="표준 18 2 3 4 3" xfId="28602"/>
    <cellStyle name="표준 18 2 3 5" xfId="8101"/>
    <cellStyle name="표준 18 2 3 5 2" xfId="17107"/>
    <cellStyle name="표준 18 2 3 5 2 2" xfId="37983"/>
    <cellStyle name="표준 18 2 3 5 3" xfId="29245"/>
    <cellStyle name="표준 18 2 3 6" xfId="8949"/>
    <cellStyle name="표준 18 2 3 6 2" xfId="17954"/>
    <cellStyle name="표준 18 2 3 6 2 2" xfId="38830"/>
    <cellStyle name="표준 18 2 3 6 3" xfId="30092"/>
    <cellStyle name="표준 18 2 3 7" xfId="9774"/>
    <cellStyle name="표준 18 2 3 7 2" xfId="18772"/>
    <cellStyle name="표준 18 2 3 7 2 2" xfId="39648"/>
    <cellStyle name="표준 18 2 3 7 3" xfId="30910"/>
    <cellStyle name="표준 18 2 3 8" xfId="10829"/>
    <cellStyle name="표준 18 2 3 8 2" xfId="19600"/>
    <cellStyle name="표준 18 2 3 8 2 2" xfId="40476"/>
    <cellStyle name="표준 18 2 3 8 3" xfId="31740"/>
    <cellStyle name="표준 18 2 3 9" xfId="11695"/>
    <cellStyle name="표준 18 2 3 9 2" xfId="20461"/>
    <cellStyle name="표준 18 2 3 9 2 2" xfId="41337"/>
    <cellStyle name="표준 18 2 3 9 3" xfId="32601"/>
    <cellStyle name="표준 18 2 4" xfId="4550"/>
    <cellStyle name="표준 18 2 4 2" xfId="6384"/>
    <cellStyle name="표준 18 2 4 2 2" xfId="15393"/>
    <cellStyle name="표준 18 2 4 2 2 2" xfId="36269"/>
    <cellStyle name="표준 18 2 4 2 3" xfId="27531"/>
    <cellStyle name="표준 18 2 4 3" xfId="11047"/>
    <cellStyle name="표준 18 2 4 3 2" xfId="19817"/>
    <cellStyle name="표준 18 2 4 3 2 2" xfId="40693"/>
    <cellStyle name="표준 18 2 4 3 3" xfId="31957"/>
    <cellStyle name="표준 18 2 4 4" xfId="11912"/>
    <cellStyle name="표준 18 2 4 4 2" xfId="20678"/>
    <cellStyle name="표준 18 2 4 4 2 2" xfId="41554"/>
    <cellStyle name="표준 18 2 4 4 3" xfId="32818"/>
    <cellStyle name="표준 18 2 4 5" xfId="13575"/>
    <cellStyle name="표준 18 2 4 5 2" xfId="34451"/>
    <cellStyle name="표준 18 2 4 6" xfId="25713"/>
    <cellStyle name="표준 18 2 5" xfId="5227"/>
    <cellStyle name="표준 18 2 5 2" xfId="14236"/>
    <cellStyle name="표준 18 2 5 2 2" xfId="35112"/>
    <cellStyle name="표준 18 2 5 3" xfId="26374"/>
    <cellStyle name="표준 18 2 6" xfId="7029"/>
    <cellStyle name="표준 18 2 6 2" xfId="16037"/>
    <cellStyle name="표준 18 2 6 2 2" xfId="36913"/>
    <cellStyle name="표준 18 2 6 3" xfId="28175"/>
    <cellStyle name="표준 18 2 7" xfId="7674"/>
    <cellStyle name="표준 18 2 7 2" xfId="16680"/>
    <cellStyle name="표준 18 2 7 2 2" xfId="37556"/>
    <cellStyle name="표준 18 2 7 3" xfId="28818"/>
    <cellStyle name="표준 18 2 8" xfId="8522"/>
    <cellStyle name="표준 18 2 8 2" xfId="17527"/>
    <cellStyle name="표준 18 2 8 2 2" xfId="38403"/>
    <cellStyle name="표준 18 2 8 3" xfId="29665"/>
    <cellStyle name="표준 18 2 9" xfId="9346"/>
    <cellStyle name="표준 18 2 9 2" xfId="18345"/>
    <cellStyle name="표준 18 2 9 2 2" xfId="39221"/>
    <cellStyle name="표준 18 2 9 3" xfId="30483"/>
    <cellStyle name="표준 18 20" xfId="24543"/>
    <cellStyle name="표준 18 3" xfId="2942"/>
    <cellStyle name="표준 18 3 10" xfId="10403"/>
    <cellStyle name="표준 18 3 10 2" xfId="19174"/>
    <cellStyle name="표준 18 3 10 2 2" xfId="40050"/>
    <cellStyle name="표준 18 3 10 3" xfId="31314"/>
    <cellStyle name="표준 18 3 11" xfId="11269"/>
    <cellStyle name="표준 18 3 11 2" xfId="20035"/>
    <cellStyle name="표준 18 3 11 2 2" xfId="40911"/>
    <cellStyle name="표준 18 3 11 3" xfId="32175"/>
    <cellStyle name="표준 18 3 12" xfId="12417"/>
    <cellStyle name="표준 18 3 12 2" xfId="33295"/>
    <cellStyle name="표준 18 3 13" xfId="24545"/>
    <cellStyle name="표준 18 3 2" xfId="3160"/>
    <cellStyle name="표준 18 3 2 10" xfId="11479"/>
    <cellStyle name="표준 18 3 2 10 2" xfId="20245"/>
    <cellStyle name="표준 18 3 2 10 2 2" xfId="41121"/>
    <cellStyle name="표준 18 3 2 10 3" xfId="32385"/>
    <cellStyle name="표준 18 3 2 11" xfId="12628"/>
    <cellStyle name="표준 18 3 2 11 2" xfId="33505"/>
    <cellStyle name="표준 18 3 2 12" xfId="24755"/>
    <cellStyle name="표준 18 3 2 2" xfId="3602"/>
    <cellStyle name="표준 18 3 2 2 2" xfId="5875"/>
    <cellStyle name="표준 18 3 2 2 2 2" xfId="14884"/>
    <cellStyle name="표준 18 3 2 2 2 2 2" xfId="35760"/>
    <cellStyle name="표준 18 3 2 2 2 3" xfId="27022"/>
    <cellStyle name="표준 18 3 2 2 3" xfId="13065"/>
    <cellStyle name="표준 18 3 2 2 3 2" xfId="33942"/>
    <cellStyle name="표준 18 3 2 2 4" xfId="25192"/>
    <cellStyle name="표준 18 3 2 3" xfId="4763"/>
    <cellStyle name="표준 18 3 2 3 2" xfId="6595"/>
    <cellStyle name="표준 18 3 2 3 2 2" xfId="15604"/>
    <cellStyle name="표준 18 3 2 3 2 2 2" xfId="36480"/>
    <cellStyle name="표준 18 3 2 3 2 3" xfId="27742"/>
    <cellStyle name="표준 18 3 2 3 3" xfId="13786"/>
    <cellStyle name="표준 18 3 2 3 3 2" xfId="34662"/>
    <cellStyle name="표준 18 3 2 3 4" xfId="25924"/>
    <cellStyle name="표준 18 3 2 4" xfId="5438"/>
    <cellStyle name="표준 18 3 2 4 2" xfId="14447"/>
    <cellStyle name="표준 18 3 2 4 2 2" xfId="35323"/>
    <cellStyle name="표준 18 3 2 4 3" xfId="26585"/>
    <cellStyle name="표준 18 3 2 5" xfId="7241"/>
    <cellStyle name="표준 18 3 2 5 2" xfId="16248"/>
    <cellStyle name="표준 18 3 2 5 2 2" xfId="37124"/>
    <cellStyle name="표준 18 3 2 5 3" xfId="28386"/>
    <cellStyle name="표준 18 3 2 6" xfId="7885"/>
    <cellStyle name="표준 18 3 2 6 2" xfId="16891"/>
    <cellStyle name="표준 18 3 2 6 2 2" xfId="37767"/>
    <cellStyle name="표준 18 3 2 6 3" xfId="29029"/>
    <cellStyle name="표준 18 3 2 7" xfId="8733"/>
    <cellStyle name="표준 18 3 2 7 2" xfId="17738"/>
    <cellStyle name="표준 18 3 2 7 2 2" xfId="38614"/>
    <cellStyle name="표준 18 3 2 7 3" xfId="29876"/>
    <cellStyle name="표준 18 3 2 8" xfId="9558"/>
    <cellStyle name="표준 18 3 2 8 2" xfId="18556"/>
    <cellStyle name="표준 18 3 2 8 2 2" xfId="39432"/>
    <cellStyle name="표준 18 3 2 8 3" xfId="30694"/>
    <cellStyle name="표준 18 3 2 9" xfId="10613"/>
    <cellStyle name="표준 18 3 2 9 2" xfId="19384"/>
    <cellStyle name="표준 18 3 2 9 2 2" xfId="40260"/>
    <cellStyle name="표준 18 3 2 9 3" xfId="31524"/>
    <cellStyle name="표준 18 3 3" xfId="3392"/>
    <cellStyle name="표준 18 3 3 10" xfId="12855"/>
    <cellStyle name="표준 18 3 3 10 2" xfId="33732"/>
    <cellStyle name="표준 18 3 3 11" xfId="24982"/>
    <cellStyle name="표준 18 3 3 2" xfId="4985"/>
    <cellStyle name="표준 18 3 3 2 2" xfId="6812"/>
    <cellStyle name="표준 18 3 3 2 2 2" xfId="15821"/>
    <cellStyle name="표준 18 3 3 2 2 2 2" xfId="36697"/>
    <cellStyle name="표준 18 3 3 2 2 3" xfId="27959"/>
    <cellStyle name="표준 18 3 3 2 3" xfId="14003"/>
    <cellStyle name="표준 18 3 3 2 3 2" xfId="34879"/>
    <cellStyle name="표준 18 3 3 2 4" xfId="26141"/>
    <cellStyle name="표준 18 3 3 3" xfId="5665"/>
    <cellStyle name="표준 18 3 3 3 2" xfId="14674"/>
    <cellStyle name="표준 18 3 3 3 2 2" xfId="35550"/>
    <cellStyle name="표준 18 3 3 3 3" xfId="26812"/>
    <cellStyle name="표준 18 3 3 4" xfId="7458"/>
    <cellStyle name="표준 18 3 3 4 2" xfId="16465"/>
    <cellStyle name="표준 18 3 3 4 2 2" xfId="37341"/>
    <cellStyle name="표준 18 3 3 4 3" xfId="28603"/>
    <cellStyle name="표준 18 3 3 5" xfId="8102"/>
    <cellStyle name="표준 18 3 3 5 2" xfId="17108"/>
    <cellStyle name="표준 18 3 3 5 2 2" xfId="37984"/>
    <cellStyle name="표준 18 3 3 5 3" xfId="29246"/>
    <cellStyle name="표준 18 3 3 6" xfId="8950"/>
    <cellStyle name="표준 18 3 3 6 2" xfId="17955"/>
    <cellStyle name="표준 18 3 3 6 2 2" xfId="38831"/>
    <cellStyle name="표준 18 3 3 6 3" xfId="30093"/>
    <cellStyle name="표준 18 3 3 7" xfId="9775"/>
    <cellStyle name="표준 18 3 3 7 2" xfId="18773"/>
    <cellStyle name="표준 18 3 3 7 2 2" xfId="39649"/>
    <cellStyle name="표준 18 3 3 7 3" xfId="30911"/>
    <cellStyle name="표준 18 3 3 8" xfId="10830"/>
    <cellStyle name="표준 18 3 3 8 2" xfId="19601"/>
    <cellStyle name="표준 18 3 3 8 2 2" xfId="40477"/>
    <cellStyle name="표준 18 3 3 8 3" xfId="31741"/>
    <cellStyle name="표준 18 3 3 9" xfId="11696"/>
    <cellStyle name="표준 18 3 3 9 2" xfId="20462"/>
    <cellStyle name="표준 18 3 3 9 2 2" xfId="41338"/>
    <cellStyle name="표준 18 3 3 9 3" xfId="32602"/>
    <cellStyle name="표준 18 3 4" xfId="4551"/>
    <cellStyle name="표준 18 3 4 2" xfId="6385"/>
    <cellStyle name="표준 18 3 4 2 2" xfId="15394"/>
    <cellStyle name="표준 18 3 4 2 2 2" xfId="36270"/>
    <cellStyle name="표준 18 3 4 2 3" xfId="27532"/>
    <cellStyle name="표준 18 3 4 3" xfId="11048"/>
    <cellStyle name="표준 18 3 4 3 2" xfId="19818"/>
    <cellStyle name="표준 18 3 4 3 2 2" xfId="40694"/>
    <cellStyle name="표준 18 3 4 3 3" xfId="31958"/>
    <cellStyle name="표준 18 3 4 4" xfId="11913"/>
    <cellStyle name="표준 18 3 4 4 2" xfId="20679"/>
    <cellStyle name="표준 18 3 4 4 2 2" xfId="41555"/>
    <cellStyle name="표준 18 3 4 4 3" xfId="32819"/>
    <cellStyle name="표준 18 3 4 5" xfId="13576"/>
    <cellStyle name="표준 18 3 4 5 2" xfId="34452"/>
    <cellStyle name="표준 18 3 4 6" xfId="25714"/>
    <cellStyle name="표준 18 3 5" xfId="5228"/>
    <cellStyle name="표준 18 3 5 2" xfId="14237"/>
    <cellStyle name="표준 18 3 5 2 2" xfId="35113"/>
    <cellStyle name="표준 18 3 5 3" xfId="26375"/>
    <cellStyle name="표준 18 3 6" xfId="7030"/>
    <cellStyle name="표준 18 3 6 2" xfId="16038"/>
    <cellStyle name="표준 18 3 6 2 2" xfId="36914"/>
    <cellStyle name="표준 18 3 6 3" xfId="28176"/>
    <cellStyle name="표준 18 3 7" xfId="7675"/>
    <cellStyle name="표준 18 3 7 2" xfId="16681"/>
    <cellStyle name="표준 18 3 7 2 2" xfId="37557"/>
    <cellStyle name="표준 18 3 7 3" xfId="28819"/>
    <cellStyle name="표준 18 3 8" xfId="8523"/>
    <cellStyle name="표준 18 3 8 2" xfId="17528"/>
    <cellStyle name="표준 18 3 8 2 2" xfId="38404"/>
    <cellStyle name="표준 18 3 8 3" xfId="29666"/>
    <cellStyle name="표준 18 3 9" xfId="9347"/>
    <cellStyle name="표준 18 3 9 2" xfId="18346"/>
    <cellStyle name="표준 18 3 9 2 2" xfId="39222"/>
    <cellStyle name="표준 18 3 9 3" xfId="30484"/>
    <cellStyle name="표준 18 4" xfId="2943"/>
    <cellStyle name="표준 18 4 10" xfId="10404"/>
    <cellStyle name="표준 18 4 10 2" xfId="19175"/>
    <cellStyle name="표준 18 4 10 2 2" xfId="40051"/>
    <cellStyle name="표준 18 4 10 3" xfId="31315"/>
    <cellStyle name="표준 18 4 11" xfId="11270"/>
    <cellStyle name="표준 18 4 11 2" xfId="20036"/>
    <cellStyle name="표준 18 4 11 2 2" xfId="40912"/>
    <cellStyle name="표준 18 4 11 3" xfId="32176"/>
    <cellStyle name="표준 18 4 12" xfId="12418"/>
    <cellStyle name="표준 18 4 12 2" xfId="33296"/>
    <cellStyle name="표준 18 4 13" xfId="24546"/>
    <cellStyle name="표준 18 4 2" xfId="3161"/>
    <cellStyle name="표준 18 4 2 10" xfId="11480"/>
    <cellStyle name="표준 18 4 2 10 2" xfId="20246"/>
    <cellStyle name="표준 18 4 2 10 2 2" xfId="41122"/>
    <cellStyle name="표준 18 4 2 10 3" xfId="32386"/>
    <cellStyle name="표준 18 4 2 11" xfId="12629"/>
    <cellStyle name="표준 18 4 2 11 2" xfId="33506"/>
    <cellStyle name="표준 18 4 2 12" xfId="24756"/>
    <cellStyle name="표준 18 4 2 2" xfId="3603"/>
    <cellStyle name="표준 18 4 2 2 2" xfId="5876"/>
    <cellStyle name="표준 18 4 2 2 2 2" xfId="14885"/>
    <cellStyle name="표준 18 4 2 2 2 2 2" xfId="35761"/>
    <cellStyle name="표준 18 4 2 2 2 3" xfId="27023"/>
    <cellStyle name="표준 18 4 2 2 3" xfId="13066"/>
    <cellStyle name="표준 18 4 2 2 3 2" xfId="33943"/>
    <cellStyle name="표준 18 4 2 2 4" xfId="25193"/>
    <cellStyle name="표준 18 4 2 3" xfId="4764"/>
    <cellStyle name="표준 18 4 2 3 2" xfId="6596"/>
    <cellStyle name="표준 18 4 2 3 2 2" xfId="15605"/>
    <cellStyle name="표준 18 4 2 3 2 2 2" xfId="36481"/>
    <cellStyle name="표준 18 4 2 3 2 3" xfId="27743"/>
    <cellStyle name="표준 18 4 2 3 3" xfId="13787"/>
    <cellStyle name="표준 18 4 2 3 3 2" xfId="34663"/>
    <cellStyle name="표준 18 4 2 3 4" xfId="25925"/>
    <cellStyle name="표준 18 4 2 4" xfId="5439"/>
    <cellStyle name="표준 18 4 2 4 2" xfId="14448"/>
    <cellStyle name="표준 18 4 2 4 2 2" xfId="35324"/>
    <cellStyle name="표준 18 4 2 4 3" xfId="26586"/>
    <cellStyle name="표준 18 4 2 5" xfId="7242"/>
    <cellStyle name="표준 18 4 2 5 2" xfId="16249"/>
    <cellStyle name="표준 18 4 2 5 2 2" xfId="37125"/>
    <cellStyle name="표준 18 4 2 5 3" xfId="28387"/>
    <cellStyle name="표준 18 4 2 6" xfId="7886"/>
    <cellStyle name="표준 18 4 2 6 2" xfId="16892"/>
    <cellStyle name="표준 18 4 2 6 2 2" xfId="37768"/>
    <cellStyle name="표준 18 4 2 6 3" xfId="29030"/>
    <cellStyle name="표준 18 4 2 7" xfId="8734"/>
    <cellStyle name="표준 18 4 2 7 2" xfId="17739"/>
    <cellStyle name="표준 18 4 2 7 2 2" xfId="38615"/>
    <cellStyle name="표준 18 4 2 7 3" xfId="29877"/>
    <cellStyle name="표준 18 4 2 8" xfId="9559"/>
    <cellStyle name="표준 18 4 2 8 2" xfId="18557"/>
    <cellStyle name="표준 18 4 2 8 2 2" xfId="39433"/>
    <cellStyle name="표준 18 4 2 8 3" xfId="30695"/>
    <cellStyle name="표준 18 4 2 9" xfId="10614"/>
    <cellStyle name="표준 18 4 2 9 2" xfId="19385"/>
    <cellStyle name="표준 18 4 2 9 2 2" xfId="40261"/>
    <cellStyle name="표준 18 4 2 9 3" xfId="31525"/>
    <cellStyle name="표준 18 4 3" xfId="3393"/>
    <cellStyle name="표준 18 4 3 10" xfId="12856"/>
    <cellStyle name="표준 18 4 3 10 2" xfId="33733"/>
    <cellStyle name="표준 18 4 3 11" xfId="24983"/>
    <cellStyle name="표준 18 4 3 2" xfId="4986"/>
    <cellStyle name="표준 18 4 3 2 2" xfId="6813"/>
    <cellStyle name="표준 18 4 3 2 2 2" xfId="15822"/>
    <cellStyle name="표준 18 4 3 2 2 2 2" xfId="36698"/>
    <cellStyle name="표준 18 4 3 2 2 3" xfId="27960"/>
    <cellStyle name="표준 18 4 3 2 3" xfId="14004"/>
    <cellStyle name="표준 18 4 3 2 3 2" xfId="34880"/>
    <cellStyle name="표준 18 4 3 2 4" xfId="26142"/>
    <cellStyle name="표준 18 4 3 3" xfId="5666"/>
    <cellStyle name="표준 18 4 3 3 2" xfId="14675"/>
    <cellStyle name="표준 18 4 3 3 2 2" xfId="35551"/>
    <cellStyle name="표준 18 4 3 3 3" xfId="26813"/>
    <cellStyle name="표준 18 4 3 4" xfId="7459"/>
    <cellStyle name="표준 18 4 3 4 2" xfId="16466"/>
    <cellStyle name="표준 18 4 3 4 2 2" xfId="37342"/>
    <cellStyle name="표준 18 4 3 4 3" xfId="28604"/>
    <cellStyle name="표준 18 4 3 5" xfId="8103"/>
    <cellStyle name="표준 18 4 3 5 2" xfId="17109"/>
    <cellStyle name="표준 18 4 3 5 2 2" xfId="37985"/>
    <cellStyle name="표준 18 4 3 5 3" xfId="29247"/>
    <cellStyle name="표준 18 4 3 6" xfId="8951"/>
    <cellStyle name="표준 18 4 3 6 2" xfId="17956"/>
    <cellStyle name="표준 18 4 3 6 2 2" xfId="38832"/>
    <cellStyle name="표준 18 4 3 6 3" xfId="30094"/>
    <cellStyle name="표준 18 4 3 7" xfId="9776"/>
    <cellStyle name="표준 18 4 3 7 2" xfId="18774"/>
    <cellStyle name="표준 18 4 3 7 2 2" xfId="39650"/>
    <cellStyle name="표준 18 4 3 7 3" xfId="30912"/>
    <cellStyle name="표준 18 4 3 8" xfId="10831"/>
    <cellStyle name="표준 18 4 3 8 2" xfId="19602"/>
    <cellStyle name="표준 18 4 3 8 2 2" xfId="40478"/>
    <cellStyle name="표준 18 4 3 8 3" xfId="31742"/>
    <cellStyle name="표준 18 4 3 9" xfId="11697"/>
    <cellStyle name="표준 18 4 3 9 2" xfId="20463"/>
    <cellStyle name="표준 18 4 3 9 2 2" xfId="41339"/>
    <cellStyle name="표준 18 4 3 9 3" xfId="32603"/>
    <cellStyle name="표준 18 4 4" xfId="4552"/>
    <cellStyle name="표준 18 4 4 2" xfId="6386"/>
    <cellStyle name="표준 18 4 4 2 2" xfId="15395"/>
    <cellStyle name="표준 18 4 4 2 2 2" xfId="36271"/>
    <cellStyle name="표준 18 4 4 2 3" xfId="27533"/>
    <cellStyle name="표준 18 4 4 3" xfId="11049"/>
    <cellStyle name="표준 18 4 4 3 2" xfId="19819"/>
    <cellStyle name="표준 18 4 4 3 2 2" xfId="40695"/>
    <cellStyle name="표준 18 4 4 3 3" xfId="31959"/>
    <cellStyle name="표준 18 4 4 4" xfId="11914"/>
    <cellStyle name="표준 18 4 4 4 2" xfId="20680"/>
    <cellStyle name="표준 18 4 4 4 2 2" xfId="41556"/>
    <cellStyle name="표준 18 4 4 4 3" xfId="32820"/>
    <cellStyle name="표준 18 4 4 5" xfId="13577"/>
    <cellStyle name="표준 18 4 4 5 2" xfId="34453"/>
    <cellStyle name="표준 18 4 4 6" xfId="25715"/>
    <cellStyle name="표준 18 4 5" xfId="5229"/>
    <cellStyle name="표준 18 4 5 2" xfId="14238"/>
    <cellStyle name="표준 18 4 5 2 2" xfId="35114"/>
    <cellStyle name="표준 18 4 5 3" xfId="26376"/>
    <cellStyle name="표준 18 4 6" xfId="7031"/>
    <cellStyle name="표준 18 4 6 2" xfId="16039"/>
    <cellStyle name="표준 18 4 6 2 2" xfId="36915"/>
    <cellStyle name="표준 18 4 6 3" xfId="28177"/>
    <cellStyle name="표준 18 4 7" xfId="7676"/>
    <cellStyle name="표준 18 4 7 2" xfId="16682"/>
    <cellStyle name="표준 18 4 7 2 2" xfId="37558"/>
    <cellStyle name="표준 18 4 7 3" xfId="28820"/>
    <cellStyle name="표준 18 4 8" xfId="8524"/>
    <cellStyle name="표준 18 4 8 2" xfId="17529"/>
    <cellStyle name="표준 18 4 8 2 2" xfId="38405"/>
    <cellStyle name="표준 18 4 8 3" xfId="29667"/>
    <cellStyle name="표준 18 4 9" xfId="9348"/>
    <cellStyle name="표준 18 4 9 2" xfId="18347"/>
    <cellStyle name="표준 18 4 9 2 2" xfId="39223"/>
    <cellStyle name="표준 18 4 9 3" xfId="30485"/>
    <cellStyle name="표준 18 5" xfId="2944"/>
    <cellStyle name="표준 18 5 10" xfId="10405"/>
    <cellStyle name="표준 18 5 10 2" xfId="19176"/>
    <cellStyle name="표준 18 5 10 2 2" xfId="40052"/>
    <cellStyle name="표준 18 5 10 3" xfId="31316"/>
    <cellStyle name="표준 18 5 11" xfId="11271"/>
    <cellStyle name="표준 18 5 11 2" xfId="20037"/>
    <cellStyle name="표준 18 5 11 2 2" xfId="40913"/>
    <cellStyle name="표준 18 5 11 3" xfId="32177"/>
    <cellStyle name="표준 18 5 12" xfId="12419"/>
    <cellStyle name="표준 18 5 12 2" xfId="33297"/>
    <cellStyle name="표준 18 5 13" xfId="24547"/>
    <cellStyle name="표준 18 5 2" xfId="3162"/>
    <cellStyle name="표준 18 5 2 10" xfId="11481"/>
    <cellStyle name="표준 18 5 2 10 2" xfId="20247"/>
    <cellStyle name="표준 18 5 2 10 2 2" xfId="41123"/>
    <cellStyle name="표준 18 5 2 10 3" xfId="32387"/>
    <cellStyle name="표준 18 5 2 11" xfId="12630"/>
    <cellStyle name="표준 18 5 2 11 2" xfId="33507"/>
    <cellStyle name="표준 18 5 2 12" xfId="24757"/>
    <cellStyle name="표준 18 5 2 2" xfId="3604"/>
    <cellStyle name="표준 18 5 2 2 2" xfId="5877"/>
    <cellStyle name="표준 18 5 2 2 2 2" xfId="14886"/>
    <cellStyle name="표준 18 5 2 2 2 2 2" xfId="35762"/>
    <cellStyle name="표준 18 5 2 2 2 3" xfId="27024"/>
    <cellStyle name="표준 18 5 2 2 3" xfId="13067"/>
    <cellStyle name="표준 18 5 2 2 3 2" xfId="33944"/>
    <cellStyle name="표준 18 5 2 2 4" xfId="25194"/>
    <cellStyle name="표준 18 5 2 3" xfId="4765"/>
    <cellStyle name="표준 18 5 2 3 2" xfId="6597"/>
    <cellStyle name="표준 18 5 2 3 2 2" xfId="15606"/>
    <cellStyle name="표준 18 5 2 3 2 2 2" xfId="36482"/>
    <cellStyle name="표준 18 5 2 3 2 3" xfId="27744"/>
    <cellStyle name="표준 18 5 2 3 3" xfId="13788"/>
    <cellStyle name="표준 18 5 2 3 3 2" xfId="34664"/>
    <cellStyle name="표준 18 5 2 3 4" xfId="25926"/>
    <cellStyle name="표준 18 5 2 4" xfId="5440"/>
    <cellStyle name="표준 18 5 2 4 2" xfId="14449"/>
    <cellStyle name="표준 18 5 2 4 2 2" xfId="35325"/>
    <cellStyle name="표준 18 5 2 4 3" xfId="26587"/>
    <cellStyle name="표준 18 5 2 5" xfId="7243"/>
    <cellStyle name="표준 18 5 2 5 2" xfId="16250"/>
    <cellStyle name="표준 18 5 2 5 2 2" xfId="37126"/>
    <cellStyle name="표준 18 5 2 5 3" xfId="28388"/>
    <cellStyle name="표준 18 5 2 6" xfId="7887"/>
    <cellStyle name="표준 18 5 2 6 2" xfId="16893"/>
    <cellStyle name="표준 18 5 2 6 2 2" xfId="37769"/>
    <cellStyle name="표준 18 5 2 6 3" xfId="29031"/>
    <cellStyle name="표준 18 5 2 7" xfId="8735"/>
    <cellStyle name="표준 18 5 2 7 2" xfId="17740"/>
    <cellStyle name="표준 18 5 2 7 2 2" xfId="38616"/>
    <cellStyle name="표준 18 5 2 7 3" xfId="29878"/>
    <cellStyle name="표준 18 5 2 8" xfId="9560"/>
    <cellStyle name="표준 18 5 2 8 2" xfId="18558"/>
    <cellStyle name="표준 18 5 2 8 2 2" xfId="39434"/>
    <cellStyle name="표준 18 5 2 8 3" xfId="30696"/>
    <cellStyle name="표준 18 5 2 9" xfId="10615"/>
    <cellStyle name="표준 18 5 2 9 2" xfId="19386"/>
    <cellStyle name="표준 18 5 2 9 2 2" xfId="40262"/>
    <cellStyle name="표준 18 5 2 9 3" xfId="31526"/>
    <cellStyle name="표준 18 5 3" xfId="3394"/>
    <cellStyle name="표준 18 5 3 10" xfId="12857"/>
    <cellStyle name="표준 18 5 3 10 2" xfId="33734"/>
    <cellStyle name="표준 18 5 3 11" xfId="24984"/>
    <cellStyle name="표준 18 5 3 2" xfId="4987"/>
    <cellStyle name="표준 18 5 3 2 2" xfId="6814"/>
    <cellStyle name="표준 18 5 3 2 2 2" xfId="15823"/>
    <cellStyle name="표준 18 5 3 2 2 2 2" xfId="36699"/>
    <cellStyle name="표준 18 5 3 2 2 3" xfId="27961"/>
    <cellStyle name="표준 18 5 3 2 3" xfId="14005"/>
    <cellStyle name="표준 18 5 3 2 3 2" xfId="34881"/>
    <cellStyle name="표준 18 5 3 2 4" xfId="26143"/>
    <cellStyle name="표준 18 5 3 3" xfId="5667"/>
    <cellStyle name="표준 18 5 3 3 2" xfId="14676"/>
    <cellStyle name="표준 18 5 3 3 2 2" xfId="35552"/>
    <cellStyle name="표준 18 5 3 3 3" xfId="26814"/>
    <cellStyle name="표준 18 5 3 4" xfId="7460"/>
    <cellStyle name="표준 18 5 3 4 2" xfId="16467"/>
    <cellStyle name="표준 18 5 3 4 2 2" xfId="37343"/>
    <cellStyle name="표준 18 5 3 4 3" xfId="28605"/>
    <cellStyle name="표준 18 5 3 5" xfId="8104"/>
    <cellStyle name="표준 18 5 3 5 2" xfId="17110"/>
    <cellStyle name="표준 18 5 3 5 2 2" xfId="37986"/>
    <cellStyle name="표준 18 5 3 5 3" xfId="29248"/>
    <cellStyle name="표준 18 5 3 6" xfId="8952"/>
    <cellStyle name="표준 18 5 3 6 2" xfId="17957"/>
    <cellStyle name="표준 18 5 3 6 2 2" xfId="38833"/>
    <cellStyle name="표준 18 5 3 6 3" xfId="30095"/>
    <cellStyle name="표준 18 5 3 7" xfId="9777"/>
    <cellStyle name="표준 18 5 3 7 2" xfId="18775"/>
    <cellStyle name="표준 18 5 3 7 2 2" xfId="39651"/>
    <cellStyle name="표준 18 5 3 7 3" xfId="30913"/>
    <cellStyle name="표준 18 5 3 8" xfId="10832"/>
    <cellStyle name="표준 18 5 3 8 2" xfId="19603"/>
    <cellStyle name="표준 18 5 3 8 2 2" xfId="40479"/>
    <cellStyle name="표준 18 5 3 8 3" xfId="31743"/>
    <cellStyle name="표준 18 5 3 9" xfId="11698"/>
    <cellStyle name="표준 18 5 3 9 2" xfId="20464"/>
    <cellStyle name="표준 18 5 3 9 2 2" xfId="41340"/>
    <cellStyle name="표준 18 5 3 9 3" xfId="32604"/>
    <cellStyle name="표준 18 5 4" xfId="4553"/>
    <cellStyle name="표준 18 5 4 2" xfId="6387"/>
    <cellStyle name="표준 18 5 4 2 2" xfId="15396"/>
    <cellStyle name="표준 18 5 4 2 2 2" xfId="36272"/>
    <cellStyle name="표준 18 5 4 2 3" xfId="27534"/>
    <cellStyle name="표준 18 5 4 3" xfId="11050"/>
    <cellStyle name="표준 18 5 4 3 2" xfId="19820"/>
    <cellStyle name="표준 18 5 4 3 2 2" xfId="40696"/>
    <cellStyle name="표준 18 5 4 3 3" xfId="31960"/>
    <cellStyle name="표준 18 5 4 4" xfId="11915"/>
    <cellStyle name="표준 18 5 4 4 2" xfId="20681"/>
    <cellStyle name="표준 18 5 4 4 2 2" xfId="41557"/>
    <cellStyle name="표준 18 5 4 4 3" xfId="32821"/>
    <cellStyle name="표준 18 5 4 5" xfId="13578"/>
    <cellStyle name="표준 18 5 4 5 2" xfId="34454"/>
    <cellStyle name="표준 18 5 4 6" xfId="25716"/>
    <cellStyle name="표준 18 5 5" xfId="5230"/>
    <cellStyle name="표준 18 5 5 2" xfId="14239"/>
    <cellStyle name="표준 18 5 5 2 2" xfId="35115"/>
    <cellStyle name="표준 18 5 5 3" xfId="26377"/>
    <cellStyle name="표준 18 5 6" xfId="7032"/>
    <cellStyle name="표준 18 5 6 2" xfId="16040"/>
    <cellStyle name="표준 18 5 6 2 2" xfId="36916"/>
    <cellStyle name="표준 18 5 6 3" xfId="28178"/>
    <cellStyle name="표준 18 5 7" xfId="7677"/>
    <cellStyle name="표준 18 5 7 2" xfId="16683"/>
    <cellStyle name="표준 18 5 7 2 2" xfId="37559"/>
    <cellStyle name="표준 18 5 7 3" xfId="28821"/>
    <cellStyle name="표준 18 5 8" xfId="8525"/>
    <cellStyle name="표준 18 5 8 2" xfId="17530"/>
    <cellStyle name="표준 18 5 8 2 2" xfId="38406"/>
    <cellStyle name="표준 18 5 8 3" xfId="29668"/>
    <cellStyle name="표준 18 5 9" xfId="9349"/>
    <cellStyle name="표준 18 5 9 2" xfId="18348"/>
    <cellStyle name="표준 18 5 9 2 2" xfId="39224"/>
    <cellStyle name="표준 18 5 9 3" xfId="30486"/>
    <cellStyle name="표준 18 6" xfId="2945"/>
    <cellStyle name="표준 18 6 10" xfId="10406"/>
    <cellStyle name="표준 18 6 10 2" xfId="19177"/>
    <cellStyle name="표준 18 6 10 2 2" xfId="40053"/>
    <cellStyle name="표준 18 6 10 3" xfId="31317"/>
    <cellStyle name="표준 18 6 11" xfId="11272"/>
    <cellStyle name="표준 18 6 11 2" xfId="20038"/>
    <cellStyle name="표준 18 6 11 2 2" xfId="40914"/>
    <cellStyle name="표준 18 6 11 3" xfId="32178"/>
    <cellStyle name="표준 18 6 12" xfId="12420"/>
    <cellStyle name="표준 18 6 12 2" xfId="33298"/>
    <cellStyle name="표준 18 6 13" xfId="24548"/>
    <cellStyle name="표준 18 6 2" xfId="3163"/>
    <cellStyle name="표준 18 6 2 10" xfId="11482"/>
    <cellStyle name="표준 18 6 2 10 2" xfId="20248"/>
    <cellStyle name="표준 18 6 2 10 2 2" xfId="41124"/>
    <cellStyle name="표준 18 6 2 10 3" xfId="32388"/>
    <cellStyle name="표준 18 6 2 11" xfId="12631"/>
    <cellStyle name="표준 18 6 2 11 2" xfId="33508"/>
    <cellStyle name="표준 18 6 2 12" xfId="24758"/>
    <cellStyle name="표준 18 6 2 2" xfId="3605"/>
    <cellStyle name="표준 18 6 2 2 2" xfId="5878"/>
    <cellStyle name="표준 18 6 2 2 2 2" xfId="14887"/>
    <cellStyle name="표준 18 6 2 2 2 2 2" xfId="35763"/>
    <cellStyle name="표준 18 6 2 2 2 3" xfId="27025"/>
    <cellStyle name="표준 18 6 2 2 3" xfId="13068"/>
    <cellStyle name="표준 18 6 2 2 3 2" xfId="33945"/>
    <cellStyle name="표준 18 6 2 2 4" xfId="25195"/>
    <cellStyle name="표준 18 6 2 3" xfId="4766"/>
    <cellStyle name="표준 18 6 2 3 2" xfId="6598"/>
    <cellStyle name="표준 18 6 2 3 2 2" xfId="15607"/>
    <cellStyle name="표준 18 6 2 3 2 2 2" xfId="36483"/>
    <cellStyle name="표준 18 6 2 3 2 3" xfId="27745"/>
    <cellStyle name="표준 18 6 2 3 3" xfId="13789"/>
    <cellStyle name="표준 18 6 2 3 3 2" xfId="34665"/>
    <cellStyle name="표준 18 6 2 3 4" xfId="25927"/>
    <cellStyle name="표준 18 6 2 4" xfId="5441"/>
    <cellStyle name="표준 18 6 2 4 2" xfId="14450"/>
    <cellStyle name="표준 18 6 2 4 2 2" xfId="35326"/>
    <cellStyle name="표준 18 6 2 4 3" xfId="26588"/>
    <cellStyle name="표준 18 6 2 5" xfId="7244"/>
    <cellStyle name="표준 18 6 2 5 2" xfId="16251"/>
    <cellStyle name="표준 18 6 2 5 2 2" xfId="37127"/>
    <cellStyle name="표준 18 6 2 5 3" xfId="28389"/>
    <cellStyle name="표준 18 6 2 6" xfId="7888"/>
    <cellStyle name="표준 18 6 2 6 2" xfId="16894"/>
    <cellStyle name="표준 18 6 2 6 2 2" xfId="37770"/>
    <cellStyle name="표준 18 6 2 6 3" xfId="29032"/>
    <cellStyle name="표준 18 6 2 7" xfId="8736"/>
    <cellStyle name="표준 18 6 2 7 2" xfId="17741"/>
    <cellStyle name="표준 18 6 2 7 2 2" xfId="38617"/>
    <cellStyle name="표준 18 6 2 7 3" xfId="29879"/>
    <cellStyle name="표준 18 6 2 8" xfId="9561"/>
    <cellStyle name="표준 18 6 2 8 2" xfId="18559"/>
    <cellStyle name="표준 18 6 2 8 2 2" xfId="39435"/>
    <cellStyle name="표준 18 6 2 8 3" xfId="30697"/>
    <cellStyle name="표준 18 6 2 9" xfId="10616"/>
    <cellStyle name="표준 18 6 2 9 2" xfId="19387"/>
    <cellStyle name="표준 18 6 2 9 2 2" xfId="40263"/>
    <cellStyle name="표준 18 6 2 9 3" xfId="31527"/>
    <cellStyle name="표준 18 6 3" xfId="3395"/>
    <cellStyle name="표준 18 6 3 10" xfId="12858"/>
    <cellStyle name="표준 18 6 3 10 2" xfId="33735"/>
    <cellStyle name="표준 18 6 3 11" xfId="24985"/>
    <cellStyle name="표준 18 6 3 2" xfId="4988"/>
    <cellStyle name="표준 18 6 3 2 2" xfId="6815"/>
    <cellStyle name="표준 18 6 3 2 2 2" xfId="15824"/>
    <cellStyle name="표준 18 6 3 2 2 2 2" xfId="36700"/>
    <cellStyle name="표준 18 6 3 2 2 3" xfId="27962"/>
    <cellStyle name="표준 18 6 3 2 3" xfId="14006"/>
    <cellStyle name="표준 18 6 3 2 3 2" xfId="34882"/>
    <cellStyle name="표준 18 6 3 2 4" xfId="26144"/>
    <cellStyle name="표준 18 6 3 3" xfId="5668"/>
    <cellStyle name="표준 18 6 3 3 2" xfId="14677"/>
    <cellStyle name="표준 18 6 3 3 2 2" xfId="35553"/>
    <cellStyle name="표준 18 6 3 3 3" xfId="26815"/>
    <cellStyle name="표준 18 6 3 4" xfId="7461"/>
    <cellStyle name="표준 18 6 3 4 2" xfId="16468"/>
    <cellStyle name="표준 18 6 3 4 2 2" xfId="37344"/>
    <cellStyle name="표준 18 6 3 4 3" xfId="28606"/>
    <cellStyle name="표준 18 6 3 5" xfId="8105"/>
    <cellStyle name="표준 18 6 3 5 2" xfId="17111"/>
    <cellStyle name="표준 18 6 3 5 2 2" xfId="37987"/>
    <cellStyle name="표준 18 6 3 5 3" xfId="29249"/>
    <cellStyle name="표준 18 6 3 6" xfId="8953"/>
    <cellStyle name="표준 18 6 3 6 2" xfId="17958"/>
    <cellStyle name="표준 18 6 3 6 2 2" xfId="38834"/>
    <cellStyle name="표준 18 6 3 6 3" xfId="30096"/>
    <cellStyle name="표준 18 6 3 7" xfId="9778"/>
    <cellStyle name="표준 18 6 3 7 2" xfId="18776"/>
    <cellStyle name="표준 18 6 3 7 2 2" xfId="39652"/>
    <cellStyle name="표준 18 6 3 7 3" xfId="30914"/>
    <cellStyle name="표준 18 6 3 8" xfId="10833"/>
    <cellStyle name="표준 18 6 3 8 2" xfId="19604"/>
    <cellStyle name="표준 18 6 3 8 2 2" xfId="40480"/>
    <cellStyle name="표준 18 6 3 8 3" xfId="31744"/>
    <cellStyle name="표준 18 6 3 9" xfId="11699"/>
    <cellStyle name="표준 18 6 3 9 2" xfId="20465"/>
    <cellStyle name="표준 18 6 3 9 2 2" xfId="41341"/>
    <cellStyle name="표준 18 6 3 9 3" xfId="32605"/>
    <cellStyle name="표준 18 6 4" xfId="4554"/>
    <cellStyle name="표준 18 6 4 2" xfId="6388"/>
    <cellStyle name="표준 18 6 4 2 2" xfId="15397"/>
    <cellStyle name="표준 18 6 4 2 2 2" xfId="36273"/>
    <cellStyle name="표준 18 6 4 2 3" xfId="27535"/>
    <cellStyle name="표준 18 6 4 3" xfId="11051"/>
    <cellStyle name="표준 18 6 4 3 2" xfId="19821"/>
    <cellStyle name="표준 18 6 4 3 2 2" xfId="40697"/>
    <cellStyle name="표준 18 6 4 3 3" xfId="31961"/>
    <cellStyle name="표준 18 6 4 4" xfId="11916"/>
    <cellStyle name="표준 18 6 4 4 2" xfId="20682"/>
    <cellStyle name="표준 18 6 4 4 2 2" xfId="41558"/>
    <cellStyle name="표준 18 6 4 4 3" xfId="32822"/>
    <cellStyle name="표준 18 6 4 5" xfId="13579"/>
    <cellStyle name="표준 18 6 4 5 2" xfId="34455"/>
    <cellStyle name="표준 18 6 4 6" xfId="25717"/>
    <cellStyle name="표준 18 6 5" xfId="5231"/>
    <cellStyle name="표준 18 6 5 2" xfId="14240"/>
    <cellStyle name="표준 18 6 5 2 2" xfId="35116"/>
    <cellStyle name="표준 18 6 5 3" xfId="26378"/>
    <cellStyle name="표준 18 6 6" xfId="7033"/>
    <cellStyle name="표준 18 6 6 2" xfId="16041"/>
    <cellStyle name="표준 18 6 6 2 2" xfId="36917"/>
    <cellStyle name="표준 18 6 6 3" xfId="28179"/>
    <cellStyle name="표준 18 6 7" xfId="7678"/>
    <cellStyle name="표준 18 6 7 2" xfId="16684"/>
    <cellStyle name="표준 18 6 7 2 2" xfId="37560"/>
    <cellStyle name="표준 18 6 7 3" xfId="28822"/>
    <cellStyle name="표준 18 6 8" xfId="8526"/>
    <cellStyle name="표준 18 6 8 2" xfId="17531"/>
    <cellStyle name="표준 18 6 8 2 2" xfId="38407"/>
    <cellStyle name="표준 18 6 8 3" xfId="29669"/>
    <cellStyle name="표준 18 6 9" xfId="9350"/>
    <cellStyle name="표준 18 6 9 2" xfId="18349"/>
    <cellStyle name="표준 18 6 9 2 2" xfId="39225"/>
    <cellStyle name="표준 18 6 9 3" xfId="30487"/>
    <cellStyle name="표준 18 7" xfId="2946"/>
    <cellStyle name="표준 18 7 10" xfId="10407"/>
    <cellStyle name="표준 18 7 10 2" xfId="19178"/>
    <cellStyle name="표준 18 7 10 2 2" xfId="40054"/>
    <cellStyle name="표준 18 7 10 3" xfId="31318"/>
    <cellStyle name="표준 18 7 11" xfId="11273"/>
    <cellStyle name="표준 18 7 11 2" xfId="20039"/>
    <cellStyle name="표준 18 7 11 2 2" xfId="40915"/>
    <cellStyle name="표준 18 7 11 3" xfId="32179"/>
    <cellStyle name="표준 18 7 12" xfId="12421"/>
    <cellStyle name="표준 18 7 12 2" xfId="33299"/>
    <cellStyle name="표준 18 7 13" xfId="24549"/>
    <cellStyle name="표준 18 7 2" xfId="3164"/>
    <cellStyle name="표준 18 7 2 10" xfId="11483"/>
    <cellStyle name="표준 18 7 2 10 2" xfId="20249"/>
    <cellStyle name="표준 18 7 2 10 2 2" xfId="41125"/>
    <cellStyle name="표준 18 7 2 10 3" xfId="32389"/>
    <cellStyle name="표준 18 7 2 11" xfId="12632"/>
    <cellStyle name="표준 18 7 2 11 2" xfId="33509"/>
    <cellStyle name="표준 18 7 2 12" xfId="24759"/>
    <cellStyle name="표준 18 7 2 2" xfId="3606"/>
    <cellStyle name="표준 18 7 2 2 2" xfId="5879"/>
    <cellStyle name="표준 18 7 2 2 2 2" xfId="14888"/>
    <cellStyle name="표준 18 7 2 2 2 2 2" xfId="35764"/>
    <cellStyle name="표준 18 7 2 2 2 3" xfId="27026"/>
    <cellStyle name="표준 18 7 2 2 3" xfId="13069"/>
    <cellStyle name="표준 18 7 2 2 3 2" xfId="33946"/>
    <cellStyle name="표준 18 7 2 2 4" xfId="25196"/>
    <cellStyle name="표준 18 7 2 3" xfId="4767"/>
    <cellStyle name="표준 18 7 2 3 2" xfId="6599"/>
    <cellStyle name="표준 18 7 2 3 2 2" xfId="15608"/>
    <cellStyle name="표준 18 7 2 3 2 2 2" xfId="36484"/>
    <cellStyle name="표준 18 7 2 3 2 3" xfId="27746"/>
    <cellStyle name="표준 18 7 2 3 3" xfId="13790"/>
    <cellStyle name="표준 18 7 2 3 3 2" xfId="34666"/>
    <cellStyle name="표준 18 7 2 3 4" xfId="25928"/>
    <cellStyle name="표준 18 7 2 4" xfId="5442"/>
    <cellStyle name="표준 18 7 2 4 2" xfId="14451"/>
    <cellStyle name="표준 18 7 2 4 2 2" xfId="35327"/>
    <cellStyle name="표준 18 7 2 4 3" xfId="26589"/>
    <cellStyle name="표준 18 7 2 5" xfId="7245"/>
    <cellStyle name="표준 18 7 2 5 2" xfId="16252"/>
    <cellStyle name="표준 18 7 2 5 2 2" xfId="37128"/>
    <cellStyle name="표준 18 7 2 5 3" xfId="28390"/>
    <cellStyle name="표준 18 7 2 6" xfId="7889"/>
    <cellStyle name="표준 18 7 2 6 2" xfId="16895"/>
    <cellStyle name="표준 18 7 2 6 2 2" xfId="37771"/>
    <cellStyle name="표준 18 7 2 6 3" xfId="29033"/>
    <cellStyle name="표준 18 7 2 7" xfId="8737"/>
    <cellStyle name="표준 18 7 2 7 2" xfId="17742"/>
    <cellStyle name="표준 18 7 2 7 2 2" xfId="38618"/>
    <cellStyle name="표준 18 7 2 7 3" xfId="29880"/>
    <cellStyle name="표준 18 7 2 8" xfId="9562"/>
    <cellStyle name="표준 18 7 2 8 2" xfId="18560"/>
    <cellStyle name="표준 18 7 2 8 2 2" xfId="39436"/>
    <cellStyle name="표준 18 7 2 8 3" xfId="30698"/>
    <cellStyle name="표준 18 7 2 9" xfId="10617"/>
    <cellStyle name="표준 18 7 2 9 2" xfId="19388"/>
    <cellStyle name="표준 18 7 2 9 2 2" xfId="40264"/>
    <cellStyle name="표준 18 7 2 9 3" xfId="31528"/>
    <cellStyle name="표준 18 7 3" xfId="3396"/>
    <cellStyle name="표준 18 7 3 10" xfId="12859"/>
    <cellStyle name="표준 18 7 3 10 2" xfId="33736"/>
    <cellStyle name="표준 18 7 3 11" xfId="24986"/>
    <cellStyle name="표준 18 7 3 2" xfId="4989"/>
    <cellStyle name="표준 18 7 3 2 2" xfId="6816"/>
    <cellStyle name="표준 18 7 3 2 2 2" xfId="15825"/>
    <cellStyle name="표준 18 7 3 2 2 2 2" xfId="36701"/>
    <cellStyle name="표준 18 7 3 2 2 3" xfId="27963"/>
    <cellStyle name="표준 18 7 3 2 3" xfId="14007"/>
    <cellStyle name="표준 18 7 3 2 3 2" xfId="34883"/>
    <cellStyle name="표준 18 7 3 2 4" xfId="26145"/>
    <cellStyle name="표준 18 7 3 3" xfId="5669"/>
    <cellStyle name="표준 18 7 3 3 2" xfId="14678"/>
    <cellStyle name="표준 18 7 3 3 2 2" xfId="35554"/>
    <cellStyle name="표준 18 7 3 3 3" xfId="26816"/>
    <cellStyle name="표준 18 7 3 4" xfId="7462"/>
    <cellStyle name="표준 18 7 3 4 2" xfId="16469"/>
    <cellStyle name="표준 18 7 3 4 2 2" xfId="37345"/>
    <cellStyle name="표준 18 7 3 4 3" xfId="28607"/>
    <cellStyle name="표준 18 7 3 5" xfId="8106"/>
    <cellStyle name="표준 18 7 3 5 2" xfId="17112"/>
    <cellStyle name="표준 18 7 3 5 2 2" xfId="37988"/>
    <cellStyle name="표준 18 7 3 5 3" xfId="29250"/>
    <cellStyle name="표준 18 7 3 6" xfId="8954"/>
    <cellStyle name="표준 18 7 3 6 2" xfId="17959"/>
    <cellStyle name="표준 18 7 3 6 2 2" xfId="38835"/>
    <cellStyle name="표준 18 7 3 6 3" xfId="30097"/>
    <cellStyle name="표준 18 7 3 7" xfId="9779"/>
    <cellStyle name="표준 18 7 3 7 2" xfId="18777"/>
    <cellStyle name="표준 18 7 3 7 2 2" xfId="39653"/>
    <cellStyle name="표준 18 7 3 7 3" xfId="30915"/>
    <cellStyle name="표준 18 7 3 8" xfId="10834"/>
    <cellStyle name="표준 18 7 3 8 2" xfId="19605"/>
    <cellStyle name="표준 18 7 3 8 2 2" xfId="40481"/>
    <cellStyle name="표준 18 7 3 8 3" xfId="31745"/>
    <cellStyle name="표준 18 7 3 9" xfId="11700"/>
    <cellStyle name="표준 18 7 3 9 2" xfId="20466"/>
    <cellStyle name="표준 18 7 3 9 2 2" xfId="41342"/>
    <cellStyle name="표준 18 7 3 9 3" xfId="32606"/>
    <cellStyle name="표준 18 7 4" xfId="4555"/>
    <cellStyle name="표준 18 7 4 2" xfId="6389"/>
    <cellStyle name="표준 18 7 4 2 2" xfId="15398"/>
    <cellStyle name="표준 18 7 4 2 2 2" xfId="36274"/>
    <cellStyle name="표준 18 7 4 2 3" xfId="27536"/>
    <cellStyle name="표준 18 7 4 3" xfId="11052"/>
    <cellStyle name="표준 18 7 4 3 2" xfId="19822"/>
    <cellStyle name="표준 18 7 4 3 2 2" xfId="40698"/>
    <cellStyle name="표준 18 7 4 3 3" xfId="31962"/>
    <cellStyle name="표준 18 7 4 4" xfId="11917"/>
    <cellStyle name="표준 18 7 4 4 2" xfId="20683"/>
    <cellStyle name="표준 18 7 4 4 2 2" xfId="41559"/>
    <cellStyle name="표준 18 7 4 4 3" xfId="32823"/>
    <cellStyle name="표준 18 7 4 5" xfId="13580"/>
    <cellStyle name="표준 18 7 4 5 2" xfId="34456"/>
    <cellStyle name="표준 18 7 4 6" xfId="25718"/>
    <cellStyle name="표준 18 7 5" xfId="5232"/>
    <cellStyle name="표준 18 7 5 2" xfId="14241"/>
    <cellStyle name="표준 18 7 5 2 2" xfId="35117"/>
    <cellStyle name="표준 18 7 5 3" xfId="26379"/>
    <cellStyle name="표준 18 7 6" xfId="7034"/>
    <cellStyle name="표준 18 7 6 2" xfId="16042"/>
    <cellStyle name="표준 18 7 6 2 2" xfId="36918"/>
    <cellStyle name="표준 18 7 6 3" xfId="28180"/>
    <cellStyle name="표준 18 7 7" xfId="7679"/>
    <cellStyle name="표준 18 7 7 2" xfId="16685"/>
    <cellStyle name="표준 18 7 7 2 2" xfId="37561"/>
    <cellStyle name="표준 18 7 7 3" xfId="28823"/>
    <cellStyle name="표준 18 7 8" xfId="8527"/>
    <cellStyle name="표준 18 7 8 2" xfId="17532"/>
    <cellStyle name="표준 18 7 8 2 2" xfId="38408"/>
    <cellStyle name="표준 18 7 8 3" xfId="29670"/>
    <cellStyle name="표준 18 7 9" xfId="9351"/>
    <cellStyle name="표준 18 7 9 2" xfId="18350"/>
    <cellStyle name="표준 18 7 9 2 2" xfId="39226"/>
    <cellStyle name="표준 18 7 9 3" xfId="30488"/>
    <cellStyle name="표준 18 8" xfId="3158"/>
    <cellStyle name="표준 18 8 10" xfId="11477"/>
    <cellStyle name="표준 18 8 10 2" xfId="20243"/>
    <cellStyle name="표준 18 8 10 2 2" xfId="41119"/>
    <cellStyle name="표준 18 8 10 3" xfId="32383"/>
    <cellStyle name="표준 18 8 11" xfId="12626"/>
    <cellStyle name="표준 18 8 11 2" xfId="33503"/>
    <cellStyle name="표준 18 8 12" xfId="24753"/>
    <cellStyle name="표준 18 8 2" xfId="3600"/>
    <cellStyle name="표준 18 8 2 2" xfId="5873"/>
    <cellStyle name="표준 18 8 2 2 2" xfId="14882"/>
    <cellStyle name="표준 18 8 2 2 2 2" xfId="35758"/>
    <cellStyle name="표준 18 8 2 2 3" xfId="27020"/>
    <cellStyle name="표준 18 8 2 3" xfId="13063"/>
    <cellStyle name="표준 18 8 2 3 2" xfId="33940"/>
    <cellStyle name="표준 18 8 2 4" xfId="25190"/>
    <cellStyle name="표준 18 8 3" xfId="4761"/>
    <cellStyle name="표준 18 8 3 2" xfId="6593"/>
    <cellStyle name="표준 18 8 3 2 2" xfId="15602"/>
    <cellStyle name="표준 18 8 3 2 2 2" xfId="36478"/>
    <cellStyle name="표준 18 8 3 2 3" xfId="27740"/>
    <cellStyle name="표준 18 8 3 3" xfId="13784"/>
    <cellStyle name="표준 18 8 3 3 2" xfId="34660"/>
    <cellStyle name="표준 18 8 3 4" xfId="25922"/>
    <cellStyle name="표준 18 8 4" xfId="5436"/>
    <cellStyle name="표준 18 8 4 2" xfId="14445"/>
    <cellStyle name="표준 18 8 4 2 2" xfId="35321"/>
    <cellStyle name="표준 18 8 4 3" xfId="26583"/>
    <cellStyle name="표준 18 8 5" xfId="7239"/>
    <cellStyle name="표준 18 8 5 2" xfId="16246"/>
    <cellStyle name="표준 18 8 5 2 2" xfId="37122"/>
    <cellStyle name="표준 18 8 5 3" xfId="28384"/>
    <cellStyle name="표준 18 8 6" xfId="7883"/>
    <cellStyle name="표준 18 8 6 2" xfId="16889"/>
    <cellStyle name="표준 18 8 6 2 2" xfId="37765"/>
    <cellStyle name="표준 18 8 6 3" xfId="29027"/>
    <cellStyle name="표준 18 8 7" xfId="8731"/>
    <cellStyle name="표준 18 8 7 2" xfId="17736"/>
    <cellStyle name="표준 18 8 7 2 2" xfId="38612"/>
    <cellStyle name="표준 18 8 7 3" xfId="29874"/>
    <cellStyle name="표준 18 8 8" xfId="9556"/>
    <cellStyle name="표준 18 8 8 2" xfId="18554"/>
    <cellStyle name="표준 18 8 8 2 2" xfId="39430"/>
    <cellStyle name="표준 18 8 8 3" xfId="30692"/>
    <cellStyle name="표준 18 8 9" xfId="10611"/>
    <cellStyle name="표준 18 8 9 2" xfId="19382"/>
    <cellStyle name="표준 18 8 9 2 2" xfId="40258"/>
    <cellStyle name="표준 18 8 9 3" xfId="31522"/>
    <cellStyle name="표준 18 9" xfId="3390"/>
    <cellStyle name="표준 18 9 10" xfId="12853"/>
    <cellStyle name="표준 18 9 10 2" xfId="33730"/>
    <cellStyle name="표준 18 9 11" xfId="24980"/>
    <cellStyle name="표준 18 9 2" xfId="4983"/>
    <cellStyle name="표준 18 9 2 2" xfId="6810"/>
    <cellStyle name="표준 18 9 2 2 2" xfId="15819"/>
    <cellStyle name="표준 18 9 2 2 2 2" xfId="36695"/>
    <cellStyle name="표준 18 9 2 2 3" xfId="27957"/>
    <cellStyle name="표준 18 9 2 3" xfId="14001"/>
    <cellStyle name="표준 18 9 2 3 2" xfId="34877"/>
    <cellStyle name="표준 18 9 2 4" xfId="26139"/>
    <cellStyle name="표준 18 9 3" xfId="5663"/>
    <cellStyle name="표준 18 9 3 2" xfId="14672"/>
    <cellStyle name="표준 18 9 3 2 2" xfId="35548"/>
    <cellStyle name="표준 18 9 3 3" xfId="26810"/>
    <cellStyle name="표준 18 9 4" xfId="7456"/>
    <cellStyle name="표준 18 9 4 2" xfId="16463"/>
    <cellStyle name="표준 18 9 4 2 2" xfId="37339"/>
    <cellStyle name="표준 18 9 4 3" xfId="28601"/>
    <cellStyle name="표준 18 9 5" xfId="8100"/>
    <cellStyle name="표준 18 9 5 2" xfId="17106"/>
    <cellStyle name="표준 18 9 5 2 2" xfId="37982"/>
    <cellStyle name="표준 18 9 5 3" xfId="29244"/>
    <cellStyle name="표준 18 9 6" xfId="8948"/>
    <cellStyle name="표준 18 9 6 2" xfId="17953"/>
    <cellStyle name="표준 18 9 6 2 2" xfId="38829"/>
    <cellStyle name="표준 18 9 6 3" xfId="30091"/>
    <cellStyle name="표준 18 9 7" xfId="9773"/>
    <cellStyle name="표준 18 9 7 2" xfId="18771"/>
    <cellStyle name="표준 18 9 7 2 2" xfId="39647"/>
    <cellStyle name="표준 18 9 7 3" xfId="30909"/>
    <cellStyle name="표준 18 9 8" xfId="10828"/>
    <cellStyle name="표준 18 9 8 2" xfId="19599"/>
    <cellStyle name="표준 18 9 8 2 2" xfId="40475"/>
    <cellStyle name="표준 18 9 8 3" xfId="31739"/>
    <cellStyle name="표준 18 9 9" xfId="11694"/>
    <cellStyle name="표준 18 9 9 2" xfId="20460"/>
    <cellStyle name="표준 18 9 9 2 2" xfId="41336"/>
    <cellStyle name="표준 18 9 9 3" xfId="32600"/>
    <cellStyle name="표준 19" xfId="2947"/>
    <cellStyle name="표준 19 10" xfId="4556"/>
    <cellStyle name="표준 19 10 2" xfId="6390"/>
    <cellStyle name="표준 19 10 2 2" xfId="15399"/>
    <cellStyle name="표준 19 10 2 2 2" xfId="36275"/>
    <cellStyle name="표준 19 10 2 3" xfId="27537"/>
    <cellStyle name="표준 19 10 3" xfId="11053"/>
    <cellStyle name="표준 19 10 3 2" xfId="19823"/>
    <cellStyle name="표준 19 10 3 2 2" xfId="40699"/>
    <cellStyle name="표준 19 10 3 3" xfId="31963"/>
    <cellStyle name="표준 19 10 4" xfId="11918"/>
    <cellStyle name="표준 19 10 4 2" xfId="20684"/>
    <cellStyle name="표준 19 10 4 2 2" xfId="41560"/>
    <cellStyle name="표준 19 10 4 3" xfId="32824"/>
    <cellStyle name="표준 19 10 5" xfId="13581"/>
    <cellStyle name="표준 19 10 5 2" xfId="34457"/>
    <cellStyle name="표준 19 10 6" xfId="25719"/>
    <cellStyle name="표준 19 11" xfId="5233"/>
    <cellStyle name="표준 19 11 2" xfId="14242"/>
    <cellStyle name="표준 19 11 2 2" xfId="35118"/>
    <cellStyle name="표준 19 11 3" xfId="26380"/>
    <cellStyle name="표준 19 12" xfId="7035"/>
    <cellStyle name="표준 19 12 2" xfId="16043"/>
    <cellStyle name="표준 19 12 2 2" xfId="36919"/>
    <cellStyle name="표준 19 12 3" xfId="28181"/>
    <cellStyle name="표준 19 13" xfId="7680"/>
    <cellStyle name="표준 19 13 2" xfId="16686"/>
    <cellStyle name="표준 19 13 2 2" xfId="37562"/>
    <cellStyle name="표준 19 13 3" xfId="28824"/>
    <cellStyle name="표준 19 14" xfId="8528"/>
    <cellStyle name="표준 19 14 2" xfId="17533"/>
    <cellStyle name="표준 19 14 2 2" xfId="38409"/>
    <cellStyle name="표준 19 14 3" xfId="29671"/>
    <cellStyle name="표준 19 15" xfId="9352"/>
    <cellStyle name="표준 19 15 2" xfId="18351"/>
    <cellStyle name="표준 19 15 2 2" xfId="39227"/>
    <cellStyle name="표준 19 15 3" xfId="30489"/>
    <cellStyle name="표준 19 16" xfId="10408"/>
    <cellStyle name="표준 19 16 2" xfId="19179"/>
    <cellStyle name="표준 19 16 2 2" xfId="40055"/>
    <cellStyle name="표준 19 16 3" xfId="31319"/>
    <cellStyle name="표준 19 17" xfId="11274"/>
    <cellStyle name="표준 19 17 2" xfId="20040"/>
    <cellStyle name="표준 19 17 2 2" xfId="40916"/>
    <cellStyle name="표준 19 17 3" xfId="32180"/>
    <cellStyle name="표준 19 18" xfId="12422"/>
    <cellStyle name="표준 19 18 2" xfId="33300"/>
    <cellStyle name="표준 19 19" xfId="24550"/>
    <cellStyle name="표준 19 2" xfId="2948"/>
    <cellStyle name="표준 19 2 10" xfId="10409"/>
    <cellStyle name="표준 19 2 10 2" xfId="19180"/>
    <cellStyle name="표준 19 2 10 2 2" xfId="40056"/>
    <cellStyle name="표준 19 2 10 3" xfId="31320"/>
    <cellStyle name="표준 19 2 11" xfId="11275"/>
    <cellStyle name="표준 19 2 11 2" xfId="20041"/>
    <cellStyle name="표준 19 2 11 2 2" xfId="40917"/>
    <cellStyle name="표준 19 2 11 3" xfId="32181"/>
    <cellStyle name="표준 19 2 12" xfId="12423"/>
    <cellStyle name="표준 19 2 12 2" xfId="33301"/>
    <cellStyle name="표준 19 2 13" xfId="24551"/>
    <cellStyle name="표준 19 2 2" xfId="3166"/>
    <cellStyle name="표준 19 2 2 10" xfId="11485"/>
    <cellStyle name="표준 19 2 2 10 2" xfId="20251"/>
    <cellStyle name="표준 19 2 2 10 2 2" xfId="41127"/>
    <cellStyle name="표준 19 2 2 10 3" xfId="32391"/>
    <cellStyle name="표준 19 2 2 11" xfId="12634"/>
    <cellStyle name="표준 19 2 2 11 2" xfId="33511"/>
    <cellStyle name="표준 19 2 2 12" xfId="24761"/>
    <cellStyle name="표준 19 2 2 2" xfId="3608"/>
    <cellStyle name="표준 19 2 2 2 2" xfId="5881"/>
    <cellStyle name="표준 19 2 2 2 2 2" xfId="14890"/>
    <cellStyle name="표준 19 2 2 2 2 2 2" xfId="35766"/>
    <cellStyle name="표준 19 2 2 2 2 3" xfId="27028"/>
    <cellStyle name="표준 19 2 2 2 3" xfId="13071"/>
    <cellStyle name="표준 19 2 2 2 3 2" xfId="33948"/>
    <cellStyle name="표준 19 2 2 2 4" xfId="25198"/>
    <cellStyle name="표준 19 2 2 3" xfId="4769"/>
    <cellStyle name="표준 19 2 2 3 2" xfId="6601"/>
    <cellStyle name="표준 19 2 2 3 2 2" xfId="15610"/>
    <cellStyle name="표준 19 2 2 3 2 2 2" xfId="36486"/>
    <cellStyle name="표준 19 2 2 3 2 3" xfId="27748"/>
    <cellStyle name="표준 19 2 2 3 3" xfId="13792"/>
    <cellStyle name="표준 19 2 2 3 3 2" xfId="34668"/>
    <cellStyle name="표준 19 2 2 3 4" xfId="25930"/>
    <cellStyle name="표준 19 2 2 4" xfId="5444"/>
    <cellStyle name="표준 19 2 2 4 2" xfId="14453"/>
    <cellStyle name="표준 19 2 2 4 2 2" xfId="35329"/>
    <cellStyle name="표준 19 2 2 4 3" xfId="26591"/>
    <cellStyle name="표준 19 2 2 5" xfId="7247"/>
    <cellStyle name="표준 19 2 2 5 2" xfId="16254"/>
    <cellStyle name="표준 19 2 2 5 2 2" xfId="37130"/>
    <cellStyle name="표준 19 2 2 5 3" xfId="28392"/>
    <cellStyle name="표준 19 2 2 6" xfId="7891"/>
    <cellStyle name="표준 19 2 2 6 2" xfId="16897"/>
    <cellStyle name="표준 19 2 2 6 2 2" xfId="37773"/>
    <cellStyle name="표준 19 2 2 6 3" xfId="29035"/>
    <cellStyle name="표준 19 2 2 7" xfId="8739"/>
    <cellStyle name="표준 19 2 2 7 2" xfId="17744"/>
    <cellStyle name="표준 19 2 2 7 2 2" xfId="38620"/>
    <cellStyle name="표준 19 2 2 7 3" xfId="29882"/>
    <cellStyle name="표준 19 2 2 8" xfId="9564"/>
    <cellStyle name="표준 19 2 2 8 2" xfId="18562"/>
    <cellStyle name="표준 19 2 2 8 2 2" xfId="39438"/>
    <cellStyle name="표준 19 2 2 8 3" xfId="30700"/>
    <cellStyle name="표준 19 2 2 9" xfId="10619"/>
    <cellStyle name="표준 19 2 2 9 2" xfId="19390"/>
    <cellStyle name="표준 19 2 2 9 2 2" xfId="40266"/>
    <cellStyle name="표준 19 2 2 9 3" xfId="31530"/>
    <cellStyle name="표준 19 2 3" xfId="3398"/>
    <cellStyle name="표준 19 2 3 10" xfId="12861"/>
    <cellStyle name="표준 19 2 3 10 2" xfId="33738"/>
    <cellStyle name="표준 19 2 3 11" xfId="24988"/>
    <cellStyle name="표준 19 2 3 2" xfId="4991"/>
    <cellStyle name="표준 19 2 3 2 2" xfId="6818"/>
    <cellStyle name="표준 19 2 3 2 2 2" xfId="15827"/>
    <cellStyle name="표준 19 2 3 2 2 2 2" xfId="36703"/>
    <cellStyle name="표준 19 2 3 2 2 3" xfId="27965"/>
    <cellStyle name="표준 19 2 3 2 3" xfId="14009"/>
    <cellStyle name="표준 19 2 3 2 3 2" xfId="34885"/>
    <cellStyle name="표준 19 2 3 2 4" xfId="26147"/>
    <cellStyle name="표준 19 2 3 3" xfId="5671"/>
    <cellStyle name="표준 19 2 3 3 2" xfId="14680"/>
    <cellStyle name="표준 19 2 3 3 2 2" xfId="35556"/>
    <cellStyle name="표준 19 2 3 3 3" xfId="26818"/>
    <cellStyle name="표준 19 2 3 4" xfId="7464"/>
    <cellStyle name="표준 19 2 3 4 2" xfId="16471"/>
    <cellStyle name="표준 19 2 3 4 2 2" xfId="37347"/>
    <cellStyle name="표준 19 2 3 4 3" xfId="28609"/>
    <cellStyle name="표준 19 2 3 5" xfId="8108"/>
    <cellStyle name="표준 19 2 3 5 2" xfId="17114"/>
    <cellStyle name="표준 19 2 3 5 2 2" xfId="37990"/>
    <cellStyle name="표준 19 2 3 5 3" xfId="29252"/>
    <cellStyle name="표준 19 2 3 6" xfId="8956"/>
    <cellStyle name="표준 19 2 3 6 2" xfId="17961"/>
    <cellStyle name="표준 19 2 3 6 2 2" xfId="38837"/>
    <cellStyle name="표준 19 2 3 6 3" xfId="30099"/>
    <cellStyle name="표준 19 2 3 7" xfId="9781"/>
    <cellStyle name="표준 19 2 3 7 2" xfId="18779"/>
    <cellStyle name="표준 19 2 3 7 2 2" xfId="39655"/>
    <cellStyle name="표준 19 2 3 7 3" xfId="30917"/>
    <cellStyle name="표준 19 2 3 8" xfId="10836"/>
    <cellStyle name="표준 19 2 3 8 2" xfId="19607"/>
    <cellStyle name="표준 19 2 3 8 2 2" xfId="40483"/>
    <cellStyle name="표준 19 2 3 8 3" xfId="31747"/>
    <cellStyle name="표준 19 2 3 9" xfId="11702"/>
    <cellStyle name="표준 19 2 3 9 2" xfId="20468"/>
    <cellStyle name="표준 19 2 3 9 2 2" xfId="41344"/>
    <cellStyle name="표준 19 2 3 9 3" xfId="32608"/>
    <cellStyle name="표준 19 2 4" xfId="4557"/>
    <cellStyle name="표준 19 2 4 2" xfId="6391"/>
    <cellStyle name="표준 19 2 4 2 2" xfId="15400"/>
    <cellStyle name="표준 19 2 4 2 2 2" xfId="36276"/>
    <cellStyle name="표준 19 2 4 2 3" xfId="27538"/>
    <cellStyle name="표준 19 2 4 3" xfId="11054"/>
    <cellStyle name="표준 19 2 4 3 2" xfId="19824"/>
    <cellStyle name="표준 19 2 4 3 2 2" xfId="40700"/>
    <cellStyle name="표준 19 2 4 3 3" xfId="31964"/>
    <cellStyle name="표준 19 2 4 4" xfId="11919"/>
    <cellStyle name="표준 19 2 4 4 2" xfId="20685"/>
    <cellStyle name="표준 19 2 4 4 2 2" xfId="41561"/>
    <cellStyle name="표준 19 2 4 4 3" xfId="32825"/>
    <cellStyle name="표준 19 2 4 5" xfId="13582"/>
    <cellStyle name="표준 19 2 4 5 2" xfId="34458"/>
    <cellStyle name="표준 19 2 4 6" xfId="25720"/>
    <cellStyle name="표준 19 2 5" xfId="5234"/>
    <cellStyle name="표준 19 2 5 2" xfId="14243"/>
    <cellStyle name="표준 19 2 5 2 2" xfId="35119"/>
    <cellStyle name="표준 19 2 5 3" xfId="26381"/>
    <cellStyle name="표준 19 2 6" xfId="7036"/>
    <cellStyle name="표준 19 2 6 2" xfId="16044"/>
    <cellStyle name="표준 19 2 6 2 2" xfId="36920"/>
    <cellStyle name="표준 19 2 6 3" xfId="28182"/>
    <cellStyle name="표준 19 2 7" xfId="7681"/>
    <cellStyle name="표준 19 2 7 2" xfId="16687"/>
    <cellStyle name="표준 19 2 7 2 2" xfId="37563"/>
    <cellStyle name="표준 19 2 7 3" xfId="28825"/>
    <cellStyle name="표준 19 2 8" xfId="8529"/>
    <cellStyle name="표준 19 2 8 2" xfId="17534"/>
    <cellStyle name="표준 19 2 8 2 2" xfId="38410"/>
    <cellStyle name="표준 19 2 8 3" xfId="29672"/>
    <cellStyle name="표준 19 2 9" xfId="9353"/>
    <cellStyle name="표준 19 2 9 2" xfId="18352"/>
    <cellStyle name="표준 19 2 9 2 2" xfId="39228"/>
    <cellStyle name="표준 19 2 9 3" xfId="30490"/>
    <cellStyle name="표준 19 3" xfId="2949"/>
    <cellStyle name="표준 19 3 10" xfId="10410"/>
    <cellStyle name="표준 19 3 10 2" xfId="19181"/>
    <cellStyle name="표준 19 3 10 2 2" xfId="40057"/>
    <cellStyle name="표준 19 3 10 3" xfId="31321"/>
    <cellStyle name="표준 19 3 11" xfId="11276"/>
    <cellStyle name="표준 19 3 11 2" xfId="20042"/>
    <cellStyle name="표준 19 3 11 2 2" xfId="40918"/>
    <cellStyle name="표준 19 3 11 3" xfId="32182"/>
    <cellStyle name="표준 19 3 12" xfId="12424"/>
    <cellStyle name="표준 19 3 12 2" xfId="33302"/>
    <cellStyle name="표준 19 3 13" xfId="24552"/>
    <cellStyle name="표준 19 3 2" xfId="3167"/>
    <cellStyle name="표준 19 3 2 10" xfId="11486"/>
    <cellStyle name="표준 19 3 2 10 2" xfId="20252"/>
    <cellStyle name="표준 19 3 2 10 2 2" xfId="41128"/>
    <cellStyle name="표준 19 3 2 10 3" xfId="32392"/>
    <cellStyle name="표준 19 3 2 11" xfId="12635"/>
    <cellStyle name="표준 19 3 2 11 2" xfId="33512"/>
    <cellStyle name="표준 19 3 2 12" xfId="24762"/>
    <cellStyle name="표준 19 3 2 2" xfId="3609"/>
    <cellStyle name="표준 19 3 2 2 2" xfId="5882"/>
    <cellStyle name="표준 19 3 2 2 2 2" xfId="14891"/>
    <cellStyle name="표준 19 3 2 2 2 2 2" xfId="35767"/>
    <cellStyle name="표준 19 3 2 2 2 3" xfId="27029"/>
    <cellStyle name="표준 19 3 2 2 3" xfId="13072"/>
    <cellStyle name="표준 19 3 2 2 3 2" xfId="33949"/>
    <cellStyle name="표준 19 3 2 2 4" xfId="25199"/>
    <cellStyle name="표준 19 3 2 3" xfId="4770"/>
    <cellStyle name="표준 19 3 2 3 2" xfId="6602"/>
    <cellStyle name="표준 19 3 2 3 2 2" xfId="15611"/>
    <cellStyle name="표준 19 3 2 3 2 2 2" xfId="36487"/>
    <cellStyle name="표준 19 3 2 3 2 3" xfId="27749"/>
    <cellStyle name="표준 19 3 2 3 3" xfId="13793"/>
    <cellStyle name="표준 19 3 2 3 3 2" xfId="34669"/>
    <cellStyle name="표준 19 3 2 3 4" xfId="25931"/>
    <cellStyle name="표준 19 3 2 4" xfId="5445"/>
    <cellStyle name="표준 19 3 2 4 2" xfId="14454"/>
    <cellStyle name="표준 19 3 2 4 2 2" xfId="35330"/>
    <cellStyle name="표준 19 3 2 4 3" xfId="26592"/>
    <cellStyle name="표준 19 3 2 5" xfId="7248"/>
    <cellStyle name="표준 19 3 2 5 2" xfId="16255"/>
    <cellStyle name="표준 19 3 2 5 2 2" xfId="37131"/>
    <cellStyle name="표준 19 3 2 5 3" xfId="28393"/>
    <cellStyle name="표준 19 3 2 6" xfId="7892"/>
    <cellStyle name="표준 19 3 2 6 2" xfId="16898"/>
    <cellStyle name="표준 19 3 2 6 2 2" xfId="37774"/>
    <cellStyle name="표준 19 3 2 6 3" xfId="29036"/>
    <cellStyle name="표준 19 3 2 7" xfId="8740"/>
    <cellStyle name="표준 19 3 2 7 2" xfId="17745"/>
    <cellStyle name="표준 19 3 2 7 2 2" xfId="38621"/>
    <cellStyle name="표준 19 3 2 7 3" xfId="29883"/>
    <cellStyle name="표준 19 3 2 8" xfId="9565"/>
    <cellStyle name="표준 19 3 2 8 2" xfId="18563"/>
    <cellStyle name="표준 19 3 2 8 2 2" xfId="39439"/>
    <cellStyle name="표준 19 3 2 8 3" xfId="30701"/>
    <cellStyle name="표준 19 3 2 9" xfId="10620"/>
    <cellStyle name="표준 19 3 2 9 2" xfId="19391"/>
    <cellStyle name="표준 19 3 2 9 2 2" xfId="40267"/>
    <cellStyle name="표준 19 3 2 9 3" xfId="31531"/>
    <cellStyle name="표준 19 3 3" xfId="3399"/>
    <cellStyle name="표준 19 3 3 10" xfId="12862"/>
    <cellStyle name="표준 19 3 3 10 2" xfId="33739"/>
    <cellStyle name="표준 19 3 3 11" xfId="24989"/>
    <cellStyle name="표준 19 3 3 2" xfId="4992"/>
    <cellStyle name="표준 19 3 3 2 2" xfId="6819"/>
    <cellStyle name="표준 19 3 3 2 2 2" xfId="15828"/>
    <cellStyle name="표준 19 3 3 2 2 2 2" xfId="36704"/>
    <cellStyle name="표준 19 3 3 2 2 3" xfId="27966"/>
    <cellStyle name="표준 19 3 3 2 3" xfId="14010"/>
    <cellStyle name="표준 19 3 3 2 3 2" xfId="34886"/>
    <cellStyle name="표준 19 3 3 2 4" xfId="26148"/>
    <cellStyle name="표준 19 3 3 3" xfId="5672"/>
    <cellStyle name="표준 19 3 3 3 2" xfId="14681"/>
    <cellStyle name="표준 19 3 3 3 2 2" xfId="35557"/>
    <cellStyle name="표준 19 3 3 3 3" xfId="26819"/>
    <cellStyle name="표준 19 3 3 4" xfId="7465"/>
    <cellStyle name="표준 19 3 3 4 2" xfId="16472"/>
    <cellStyle name="표준 19 3 3 4 2 2" xfId="37348"/>
    <cellStyle name="표준 19 3 3 4 3" xfId="28610"/>
    <cellStyle name="표준 19 3 3 5" xfId="8109"/>
    <cellStyle name="표준 19 3 3 5 2" xfId="17115"/>
    <cellStyle name="표준 19 3 3 5 2 2" xfId="37991"/>
    <cellStyle name="표준 19 3 3 5 3" xfId="29253"/>
    <cellStyle name="표준 19 3 3 6" xfId="8957"/>
    <cellStyle name="표준 19 3 3 6 2" xfId="17962"/>
    <cellStyle name="표준 19 3 3 6 2 2" xfId="38838"/>
    <cellStyle name="표준 19 3 3 6 3" xfId="30100"/>
    <cellStyle name="표준 19 3 3 7" xfId="9782"/>
    <cellStyle name="표준 19 3 3 7 2" xfId="18780"/>
    <cellStyle name="표준 19 3 3 7 2 2" xfId="39656"/>
    <cellStyle name="표준 19 3 3 7 3" xfId="30918"/>
    <cellStyle name="표준 19 3 3 8" xfId="10837"/>
    <cellStyle name="표준 19 3 3 8 2" xfId="19608"/>
    <cellStyle name="표준 19 3 3 8 2 2" xfId="40484"/>
    <cellStyle name="표준 19 3 3 8 3" xfId="31748"/>
    <cellStyle name="표준 19 3 3 9" xfId="11703"/>
    <cellStyle name="표준 19 3 3 9 2" xfId="20469"/>
    <cellStyle name="표준 19 3 3 9 2 2" xfId="41345"/>
    <cellStyle name="표준 19 3 3 9 3" xfId="32609"/>
    <cellStyle name="표준 19 3 4" xfId="4558"/>
    <cellStyle name="표준 19 3 4 2" xfId="6392"/>
    <cellStyle name="표준 19 3 4 2 2" xfId="15401"/>
    <cellStyle name="표준 19 3 4 2 2 2" xfId="36277"/>
    <cellStyle name="표준 19 3 4 2 3" xfId="27539"/>
    <cellStyle name="표준 19 3 4 3" xfId="11055"/>
    <cellStyle name="표준 19 3 4 3 2" xfId="19825"/>
    <cellStyle name="표준 19 3 4 3 2 2" xfId="40701"/>
    <cellStyle name="표준 19 3 4 3 3" xfId="31965"/>
    <cellStyle name="표준 19 3 4 4" xfId="11920"/>
    <cellStyle name="표준 19 3 4 4 2" xfId="20686"/>
    <cellStyle name="표준 19 3 4 4 2 2" xfId="41562"/>
    <cellStyle name="표준 19 3 4 4 3" xfId="32826"/>
    <cellStyle name="표준 19 3 4 5" xfId="13583"/>
    <cellStyle name="표준 19 3 4 5 2" xfId="34459"/>
    <cellStyle name="표준 19 3 4 6" xfId="25721"/>
    <cellStyle name="표준 19 3 5" xfId="5235"/>
    <cellStyle name="표준 19 3 5 2" xfId="14244"/>
    <cellStyle name="표준 19 3 5 2 2" xfId="35120"/>
    <cellStyle name="표준 19 3 5 3" xfId="26382"/>
    <cellStyle name="표준 19 3 6" xfId="7037"/>
    <cellStyle name="표준 19 3 6 2" xfId="16045"/>
    <cellStyle name="표준 19 3 6 2 2" xfId="36921"/>
    <cellStyle name="표준 19 3 6 3" xfId="28183"/>
    <cellStyle name="표준 19 3 7" xfId="7682"/>
    <cellStyle name="표준 19 3 7 2" xfId="16688"/>
    <cellStyle name="표준 19 3 7 2 2" xfId="37564"/>
    <cellStyle name="표준 19 3 7 3" xfId="28826"/>
    <cellStyle name="표준 19 3 8" xfId="8530"/>
    <cellStyle name="표준 19 3 8 2" xfId="17535"/>
    <cellStyle name="표준 19 3 8 2 2" xfId="38411"/>
    <cellStyle name="표준 19 3 8 3" xfId="29673"/>
    <cellStyle name="표준 19 3 9" xfId="9354"/>
    <cellStyle name="표준 19 3 9 2" xfId="18353"/>
    <cellStyle name="표준 19 3 9 2 2" xfId="39229"/>
    <cellStyle name="표준 19 3 9 3" xfId="30491"/>
    <cellStyle name="표준 19 4" xfId="2950"/>
    <cellStyle name="표준 19 4 10" xfId="10411"/>
    <cellStyle name="표준 19 4 10 2" xfId="19182"/>
    <cellStyle name="표준 19 4 10 2 2" xfId="40058"/>
    <cellStyle name="표준 19 4 10 3" xfId="31322"/>
    <cellStyle name="표준 19 4 11" xfId="11277"/>
    <cellStyle name="표준 19 4 11 2" xfId="20043"/>
    <cellStyle name="표준 19 4 11 2 2" xfId="40919"/>
    <cellStyle name="표준 19 4 11 3" xfId="32183"/>
    <cellStyle name="표준 19 4 12" xfId="12425"/>
    <cellStyle name="표준 19 4 12 2" xfId="33303"/>
    <cellStyle name="표준 19 4 13" xfId="24553"/>
    <cellStyle name="표준 19 4 2" xfId="3168"/>
    <cellStyle name="표준 19 4 2 10" xfId="11487"/>
    <cellStyle name="표준 19 4 2 10 2" xfId="20253"/>
    <cellStyle name="표준 19 4 2 10 2 2" xfId="41129"/>
    <cellStyle name="표준 19 4 2 10 3" xfId="32393"/>
    <cellStyle name="표준 19 4 2 11" xfId="12636"/>
    <cellStyle name="표준 19 4 2 11 2" xfId="33513"/>
    <cellStyle name="표준 19 4 2 12" xfId="24763"/>
    <cellStyle name="표준 19 4 2 2" xfId="3610"/>
    <cellStyle name="표준 19 4 2 2 2" xfId="5883"/>
    <cellStyle name="표준 19 4 2 2 2 2" xfId="14892"/>
    <cellStyle name="표준 19 4 2 2 2 2 2" xfId="35768"/>
    <cellStyle name="표준 19 4 2 2 2 3" xfId="27030"/>
    <cellStyle name="표준 19 4 2 2 3" xfId="13073"/>
    <cellStyle name="표준 19 4 2 2 3 2" xfId="33950"/>
    <cellStyle name="표준 19 4 2 2 4" xfId="25200"/>
    <cellStyle name="표준 19 4 2 3" xfId="4771"/>
    <cellStyle name="표준 19 4 2 3 2" xfId="6603"/>
    <cellStyle name="표준 19 4 2 3 2 2" xfId="15612"/>
    <cellStyle name="표준 19 4 2 3 2 2 2" xfId="36488"/>
    <cellStyle name="표준 19 4 2 3 2 3" xfId="27750"/>
    <cellStyle name="표준 19 4 2 3 3" xfId="13794"/>
    <cellStyle name="표준 19 4 2 3 3 2" xfId="34670"/>
    <cellStyle name="표준 19 4 2 3 4" xfId="25932"/>
    <cellStyle name="표준 19 4 2 4" xfId="5446"/>
    <cellStyle name="표준 19 4 2 4 2" xfId="14455"/>
    <cellStyle name="표준 19 4 2 4 2 2" xfId="35331"/>
    <cellStyle name="표준 19 4 2 4 3" xfId="26593"/>
    <cellStyle name="표준 19 4 2 5" xfId="7249"/>
    <cellStyle name="표준 19 4 2 5 2" xfId="16256"/>
    <cellStyle name="표준 19 4 2 5 2 2" xfId="37132"/>
    <cellStyle name="표준 19 4 2 5 3" xfId="28394"/>
    <cellStyle name="표준 19 4 2 6" xfId="7893"/>
    <cellStyle name="표준 19 4 2 6 2" xfId="16899"/>
    <cellStyle name="표준 19 4 2 6 2 2" xfId="37775"/>
    <cellStyle name="표준 19 4 2 6 3" xfId="29037"/>
    <cellStyle name="표준 19 4 2 7" xfId="8741"/>
    <cellStyle name="표준 19 4 2 7 2" xfId="17746"/>
    <cellStyle name="표준 19 4 2 7 2 2" xfId="38622"/>
    <cellStyle name="표준 19 4 2 7 3" xfId="29884"/>
    <cellStyle name="표준 19 4 2 8" xfId="9566"/>
    <cellStyle name="표준 19 4 2 8 2" xfId="18564"/>
    <cellStyle name="표준 19 4 2 8 2 2" xfId="39440"/>
    <cellStyle name="표준 19 4 2 8 3" xfId="30702"/>
    <cellStyle name="표준 19 4 2 9" xfId="10621"/>
    <cellStyle name="표준 19 4 2 9 2" xfId="19392"/>
    <cellStyle name="표준 19 4 2 9 2 2" xfId="40268"/>
    <cellStyle name="표준 19 4 2 9 3" xfId="31532"/>
    <cellStyle name="표준 19 4 3" xfId="3400"/>
    <cellStyle name="표준 19 4 3 10" xfId="12863"/>
    <cellStyle name="표준 19 4 3 10 2" xfId="33740"/>
    <cellStyle name="표준 19 4 3 11" xfId="24990"/>
    <cellStyle name="표준 19 4 3 2" xfId="4993"/>
    <cellStyle name="표준 19 4 3 2 2" xfId="6820"/>
    <cellStyle name="표준 19 4 3 2 2 2" xfId="15829"/>
    <cellStyle name="표준 19 4 3 2 2 2 2" xfId="36705"/>
    <cellStyle name="표준 19 4 3 2 2 3" xfId="27967"/>
    <cellStyle name="표준 19 4 3 2 3" xfId="14011"/>
    <cellStyle name="표준 19 4 3 2 3 2" xfId="34887"/>
    <cellStyle name="표준 19 4 3 2 4" xfId="26149"/>
    <cellStyle name="표준 19 4 3 3" xfId="5673"/>
    <cellStyle name="표준 19 4 3 3 2" xfId="14682"/>
    <cellStyle name="표준 19 4 3 3 2 2" xfId="35558"/>
    <cellStyle name="표준 19 4 3 3 3" xfId="26820"/>
    <cellStyle name="표준 19 4 3 4" xfId="7466"/>
    <cellStyle name="표준 19 4 3 4 2" xfId="16473"/>
    <cellStyle name="표준 19 4 3 4 2 2" xfId="37349"/>
    <cellStyle name="표준 19 4 3 4 3" xfId="28611"/>
    <cellStyle name="표준 19 4 3 5" xfId="8110"/>
    <cellStyle name="표준 19 4 3 5 2" xfId="17116"/>
    <cellStyle name="표준 19 4 3 5 2 2" xfId="37992"/>
    <cellStyle name="표준 19 4 3 5 3" xfId="29254"/>
    <cellStyle name="표준 19 4 3 6" xfId="8958"/>
    <cellStyle name="표준 19 4 3 6 2" xfId="17963"/>
    <cellStyle name="표준 19 4 3 6 2 2" xfId="38839"/>
    <cellStyle name="표준 19 4 3 6 3" xfId="30101"/>
    <cellStyle name="표준 19 4 3 7" xfId="9783"/>
    <cellStyle name="표준 19 4 3 7 2" xfId="18781"/>
    <cellStyle name="표준 19 4 3 7 2 2" xfId="39657"/>
    <cellStyle name="표준 19 4 3 7 3" xfId="30919"/>
    <cellStyle name="표준 19 4 3 8" xfId="10838"/>
    <cellStyle name="표준 19 4 3 8 2" xfId="19609"/>
    <cellStyle name="표준 19 4 3 8 2 2" xfId="40485"/>
    <cellStyle name="표준 19 4 3 8 3" xfId="31749"/>
    <cellStyle name="표준 19 4 3 9" xfId="11704"/>
    <cellStyle name="표준 19 4 3 9 2" xfId="20470"/>
    <cellStyle name="표준 19 4 3 9 2 2" xfId="41346"/>
    <cellStyle name="표준 19 4 3 9 3" xfId="32610"/>
    <cellStyle name="표준 19 4 4" xfId="4559"/>
    <cellStyle name="표준 19 4 4 2" xfId="6393"/>
    <cellStyle name="표준 19 4 4 2 2" xfId="15402"/>
    <cellStyle name="표준 19 4 4 2 2 2" xfId="36278"/>
    <cellStyle name="표준 19 4 4 2 3" xfId="27540"/>
    <cellStyle name="표준 19 4 4 3" xfId="11056"/>
    <cellStyle name="표준 19 4 4 3 2" xfId="19826"/>
    <cellStyle name="표준 19 4 4 3 2 2" xfId="40702"/>
    <cellStyle name="표준 19 4 4 3 3" xfId="31966"/>
    <cellStyle name="표준 19 4 4 4" xfId="11921"/>
    <cellStyle name="표준 19 4 4 4 2" xfId="20687"/>
    <cellStyle name="표준 19 4 4 4 2 2" xfId="41563"/>
    <cellStyle name="표준 19 4 4 4 3" xfId="32827"/>
    <cellStyle name="표준 19 4 4 5" xfId="13584"/>
    <cellStyle name="표준 19 4 4 5 2" xfId="34460"/>
    <cellStyle name="표준 19 4 4 6" xfId="25722"/>
    <cellStyle name="표준 19 4 5" xfId="5236"/>
    <cellStyle name="표준 19 4 5 2" xfId="14245"/>
    <cellStyle name="표준 19 4 5 2 2" xfId="35121"/>
    <cellStyle name="표준 19 4 5 3" xfId="26383"/>
    <cellStyle name="표준 19 4 6" xfId="7038"/>
    <cellStyle name="표준 19 4 6 2" xfId="16046"/>
    <cellStyle name="표준 19 4 6 2 2" xfId="36922"/>
    <cellStyle name="표준 19 4 6 3" xfId="28184"/>
    <cellStyle name="표준 19 4 7" xfId="7683"/>
    <cellStyle name="표준 19 4 7 2" xfId="16689"/>
    <cellStyle name="표준 19 4 7 2 2" xfId="37565"/>
    <cellStyle name="표준 19 4 7 3" xfId="28827"/>
    <cellStyle name="표준 19 4 8" xfId="8531"/>
    <cellStyle name="표준 19 4 8 2" xfId="17536"/>
    <cellStyle name="표준 19 4 8 2 2" xfId="38412"/>
    <cellStyle name="표준 19 4 8 3" xfId="29674"/>
    <cellStyle name="표준 19 4 9" xfId="9355"/>
    <cellStyle name="표준 19 4 9 2" xfId="18354"/>
    <cellStyle name="표준 19 4 9 2 2" xfId="39230"/>
    <cellStyle name="표준 19 4 9 3" xfId="30492"/>
    <cellStyle name="표준 19 5" xfId="2951"/>
    <cellStyle name="표준 19 5 10" xfId="10412"/>
    <cellStyle name="표준 19 5 10 2" xfId="19183"/>
    <cellStyle name="표준 19 5 10 2 2" xfId="40059"/>
    <cellStyle name="표준 19 5 10 3" xfId="31323"/>
    <cellStyle name="표준 19 5 11" xfId="11278"/>
    <cellStyle name="표준 19 5 11 2" xfId="20044"/>
    <cellStyle name="표준 19 5 11 2 2" xfId="40920"/>
    <cellStyle name="표준 19 5 11 3" xfId="32184"/>
    <cellStyle name="표준 19 5 12" xfId="12426"/>
    <cellStyle name="표준 19 5 12 2" xfId="33304"/>
    <cellStyle name="표준 19 5 13" xfId="24554"/>
    <cellStyle name="표준 19 5 2" xfId="3169"/>
    <cellStyle name="표준 19 5 2 10" xfId="11488"/>
    <cellStyle name="표준 19 5 2 10 2" xfId="20254"/>
    <cellStyle name="표준 19 5 2 10 2 2" xfId="41130"/>
    <cellStyle name="표준 19 5 2 10 3" xfId="32394"/>
    <cellStyle name="표준 19 5 2 11" xfId="12637"/>
    <cellStyle name="표준 19 5 2 11 2" xfId="33514"/>
    <cellStyle name="표준 19 5 2 12" xfId="24764"/>
    <cellStyle name="표준 19 5 2 2" xfId="3611"/>
    <cellStyle name="표준 19 5 2 2 2" xfId="5884"/>
    <cellStyle name="표준 19 5 2 2 2 2" xfId="14893"/>
    <cellStyle name="표준 19 5 2 2 2 2 2" xfId="35769"/>
    <cellStyle name="표준 19 5 2 2 2 3" xfId="27031"/>
    <cellStyle name="표준 19 5 2 2 3" xfId="13074"/>
    <cellStyle name="표준 19 5 2 2 3 2" xfId="33951"/>
    <cellStyle name="표준 19 5 2 2 4" xfId="25201"/>
    <cellStyle name="표준 19 5 2 3" xfId="4772"/>
    <cellStyle name="표준 19 5 2 3 2" xfId="6604"/>
    <cellStyle name="표준 19 5 2 3 2 2" xfId="15613"/>
    <cellStyle name="표준 19 5 2 3 2 2 2" xfId="36489"/>
    <cellStyle name="표준 19 5 2 3 2 3" xfId="27751"/>
    <cellStyle name="표준 19 5 2 3 3" xfId="13795"/>
    <cellStyle name="표준 19 5 2 3 3 2" xfId="34671"/>
    <cellStyle name="표준 19 5 2 3 4" xfId="25933"/>
    <cellStyle name="표준 19 5 2 4" xfId="5447"/>
    <cellStyle name="표준 19 5 2 4 2" xfId="14456"/>
    <cellStyle name="표준 19 5 2 4 2 2" xfId="35332"/>
    <cellStyle name="표준 19 5 2 4 3" xfId="26594"/>
    <cellStyle name="표준 19 5 2 5" xfId="7250"/>
    <cellStyle name="표준 19 5 2 5 2" xfId="16257"/>
    <cellStyle name="표준 19 5 2 5 2 2" xfId="37133"/>
    <cellStyle name="표준 19 5 2 5 3" xfId="28395"/>
    <cellStyle name="표준 19 5 2 6" xfId="7894"/>
    <cellStyle name="표준 19 5 2 6 2" xfId="16900"/>
    <cellStyle name="표준 19 5 2 6 2 2" xfId="37776"/>
    <cellStyle name="표준 19 5 2 6 3" xfId="29038"/>
    <cellStyle name="표준 19 5 2 7" xfId="8742"/>
    <cellStyle name="표준 19 5 2 7 2" xfId="17747"/>
    <cellStyle name="표준 19 5 2 7 2 2" xfId="38623"/>
    <cellStyle name="표준 19 5 2 7 3" xfId="29885"/>
    <cellStyle name="표준 19 5 2 8" xfId="9567"/>
    <cellStyle name="표준 19 5 2 8 2" xfId="18565"/>
    <cellStyle name="표준 19 5 2 8 2 2" xfId="39441"/>
    <cellStyle name="표준 19 5 2 8 3" xfId="30703"/>
    <cellStyle name="표준 19 5 2 9" xfId="10622"/>
    <cellStyle name="표준 19 5 2 9 2" xfId="19393"/>
    <cellStyle name="표준 19 5 2 9 2 2" xfId="40269"/>
    <cellStyle name="표준 19 5 2 9 3" xfId="31533"/>
    <cellStyle name="표준 19 5 3" xfId="3401"/>
    <cellStyle name="표준 19 5 3 10" xfId="12864"/>
    <cellStyle name="표준 19 5 3 10 2" xfId="33741"/>
    <cellStyle name="표준 19 5 3 11" xfId="24991"/>
    <cellStyle name="표준 19 5 3 2" xfId="4994"/>
    <cellStyle name="표준 19 5 3 2 2" xfId="6821"/>
    <cellStyle name="표준 19 5 3 2 2 2" xfId="15830"/>
    <cellStyle name="표준 19 5 3 2 2 2 2" xfId="36706"/>
    <cellStyle name="표준 19 5 3 2 2 3" xfId="27968"/>
    <cellStyle name="표준 19 5 3 2 3" xfId="14012"/>
    <cellStyle name="표준 19 5 3 2 3 2" xfId="34888"/>
    <cellStyle name="표준 19 5 3 2 4" xfId="26150"/>
    <cellStyle name="표준 19 5 3 3" xfId="5674"/>
    <cellStyle name="표준 19 5 3 3 2" xfId="14683"/>
    <cellStyle name="표준 19 5 3 3 2 2" xfId="35559"/>
    <cellStyle name="표준 19 5 3 3 3" xfId="26821"/>
    <cellStyle name="표준 19 5 3 4" xfId="7467"/>
    <cellStyle name="표준 19 5 3 4 2" xfId="16474"/>
    <cellStyle name="표준 19 5 3 4 2 2" xfId="37350"/>
    <cellStyle name="표준 19 5 3 4 3" xfId="28612"/>
    <cellStyle name="표준 19 5 3 5" xfId="8111"/>
    <cellStyle name="표준 19 5 3 5 2" xfId="17117"/>
    <cellStyle name="표준 19 5 3 5 2 2" xfId="37993"/>
    <cellStyle name="표준 19 5 3 5 3" xfId="29255"/>
    <cellStyle name="표준 19 5 3 6" xfId="8959"/>
    <cellStyle name="표준 19 5 3 6 2" xfId="17964"/>
    <cellStyle name="표준 19 5 3 6 2 2" xfId="38840"/>
    <cellStyle name="표준 19 5 3 6 3" xfId="30102"/>
    <cellStyle name="표준 19 5 3 7" xfId="9784"/>
    <cellStyle name="표준 19 5 3 7 2" xfId="18782"/>
    <cellStyle name="표준 19 5 3 7 2 2" xfId="39658"/>
    <cellStyle name="표준 19 5 3 7 3" xfId="30920"/>
    <cellStyle name="표준 19 5 3 8" xfId="10839"/>
    <cellStyle name="표준 19 5 3 8 2" xfId="19610"/>
    <cellStyle name="표준 19 5 3 8 2 2" xfId="40486"/>
    <cellStyle name="표준 19 5 3 8 3" xfId="31750"/>
    <cellStyle name="표준 19 5 3 9" xfId="11705"/>
    <cellStyle name="표준 19 5 3 9 2" xfId="20471"/>
    <cellStyle name="표준 19 5 3 9 2 2" xfId="41347"/>
    <cellStyle name="표준 19 5 3 9 3" xfId="32611"/>
    <cellStyle name="표준 19 5 4" xfId="4560"/>
    <cellStyle name="표준 19 5 4 2" xfId="6394"/>
    <cellStyle name="표준 19 5 4 2 2" xfId="15403"/>
    <cellStyle name="표준 19 5 4 2 2 2" xfId="36279"/>
    <cellStyle name="표준 19 5 4 2 3" xfId="27541"/>
    <cellStyle name="표준 19 5 4 3" xfId="11057"/>
    <cellStyle name="표준 19 5 4 3 2" xfId="19827"/>
    <cellStyle name="표준 19 5 4 3 2 2" xfId="40703"/>
    <cellStyle name="표준 19 5 4 3 3" xfId="31967"/>
    <cellStyle name="표준 19 5 4 4" xfId="11922"/>
    <cellStyle name="표준 19 5 4 4 2" xfId="20688"/>
    <cellStyle name="표준 19 5 4 4 2 2" xfId="41564"/>
    <cellStyle name="표준 19 5 4 4 3" xfId="32828"/>
    <cellStyle name="표준 19 5 4 5" xfId="13585"/>
    <cellStyle name="표준 19 5 4 5 2" xfId="34461"/>
    <cellStyle name="표준 19 5 4 6" xfId="25723"/>
    <cellStyle name="표준 19 5 5" xfId="5237"/>
    <cellStyle name="표준 19 5 5 2" xfId="14246"/>
    <cellStyle name="표준 19 5 5 2 2" xfId="35122"/>
    <cellStyle name="표준 19 5 5 3" xfId="26384"/>
    <cellStyle name="표준 19 5 6" xfId="7039"/>
    <cellStyle name="표준 19 5 6 2" xfId="16047"/>
    <cellStyle name="표준 19 5 6 2 2" xfId="36923"/>
    <cellStyle name="표준 19 5 6 3" xfId="28185"/>
    <cellStyle name="표준 19 5 7" xfId="7684"/>
    <cellStyle name="표준 19 5 7 2" xfId="16690"/>
    <cellStyle name="표준 19 5 7 2 2" xfId="37566"/>
    <cellStyle name="표준 19 5 7 3" xfId="28828"/>
    <cellStyle name="표준 19 5 8" xfId="8532"/>
    <cellStyle name="표준 19 5 8 2" xfId="17537"/>
    <cellStyle name="표준 19 5 8 2 2" xfId="38413"/>
    <cellStyle name="표준 19 5 8 3" xfId="29675"/>
    <cellStyle name="표준 19 5 9" xfId="9356"/>
    <cellStyle name="표준 19 5 9 2" xfId="18355"/>
    <cellStyle name="표준 19 5 9 2 2" xfId="39231"/>
    <cellStyle name="표준 19 5 9 3" xfId="30493"/>
    <cellStyle name="표준 19 6" xfId="2952"/>
    <cellStyle name="표준 19 6 10" xfId="10413"/>
    <cellStyle name="표준 19 6 10 2" xfId="19184"/>
    <cellStyle name="표준 19 6 10 2 2" xfId="40060"/>
    <cellStyle name="표준 19 6 10 3" xfId="31324"/>
    <cellStyle name="표준 19 6 11" xfId="11279"/>
    <cellStyle name="표준 19 6 11 2" xfId="20045"/>
    <cellStyle name="표준 19 6 11 2 2" xfId="40921"/>
    <cellStyle name="표준 19 6 11 3" xfId="32185"/>
    <cellStyle name="표준 19 6 12" xfId="12427"/>
    <cellStyle name="표준 19 6 12 2" xfId="33305"/>
    <cellStyle name="표준 19 6 13" xfId="24555"/>
    <cellStyle name="표준 19 6 2" xfId="3170"/>
    <cellStyle name="표준 19 6 2 10" xfId="11489"/>
    <cellStyle name="표준 19 6 2 10 2" xfId="20255"/>
    <cellStyle name="표준 19 6 2 10 2 2" xfId="41131"/>
    <cellStyle name="표준 19 6 2 10 3" xfId="32395"/>
    <cellStyle name="표준 19 6 2 11" xfId="12638"/>
    <cellStyle name="표준 19 6 2 11 2" xfId="33515"/>
    <cellStyle name="표준 19 6 2 12" xfId="24765"/>
    <cellStyle name="표준 19 6 2 2" xfId="3612"/>
    <cellStyle name="표준 19 6 2 2 2" xfId="5885"/>
    <cellStyle name="표준 19 6 2 2 2 2" xfId="14894"/>
    <cellStyle name="표준 19 6 2 2 2 2 2" xfId="35770"/>
    <cellStyle name="표준 19 6 2 2 2 3" xfId="27032"/>
    <cellStyle name="표준 19 6 2 2 3" xfId="13075"/>
    <cellStyle name="표준 19 6 2 2 3 2" xfId="33952"/>
    <cellStyle name="표준 19 6 2 2 4" xfId="25202"/>
    <cellStyle name="표준 19 6 2 3" xfId="4773"/>
    <cellStyle name="표준 19 6 2 3 2" xfId="6605"/>
    <cellStyle name="표준 19 6 2 3 2 2" xfId="15614"/>
    <cellStyle name="표준 19 6 2 3 2 2 2" xfId="36490"/>
    <cellStyle name="표준 19 6 2 3 2 3" xfId="27752"/>
    <cellStyle name="표준 19 6 2 3 3" xfId="13796"/>
    <cellStyle name="표준 19 6 2 3 3 2" xfId="34672"/>
    <cellStyle name="표준 19 6 2 3 4" xfId="25934"/>
    <cellStyle name="표준 19 6 2 4" xfId="5448"/>
    <cellStyle name="표준 19 6 2 4 2" xfId="14457"/>
    <cellStyle name="표준 19 6 2 4 2 2" xfId="35333"/>
    <cellStyle name="표준 19 6 2 4 3" xfId="26595"/>
    <cellStyle name="표준 19 6 2 5" xfId="7251"/>
    <cellStyle name="표준 19 6 2 5 2" xfId="16258"/>
    <cellStyle name="표준 19 6 2 5 2 2" xfId="37134"/>
    <cellStyle name="표준 19 6 2 5 3" xfId="28396"/>
    <cellStyle name="표준 19 6 2 6" xfId="7895"/>
    <cellStyle name="표준 19 6 2 6 2" xfId="16901"/>
    <cellStyle name="표준 19 6 2 6 2 2" xfId="37777"/>
    <cellStyle name="표준 19 6 2 6 3" xfId="29039"/>
    <cellStyle name="표준 19 6 2 7" xfId="8743"/>
    <cellStyle name="표준 19 6 2 7 2" xfId="17748"/>
    <cellStyle name="표준 19 6 2 7 2 2" xfId="38624"/>
    <cellStyle name="표준 19 6 2 7 3" xfId="29886"/>
    <cellStyle name="표준 19 6 2 8" xfId="9568"/>
    <cellStyle name="표준 19 6 2 8 2" xfId="18566"/>
    <cellStyle name="표준 19 6 2 8 2 2" xfId="39442"/>
    <cellStyle name="표준 19 6 2 8 3" xfId="30704"/>
    <cellStyle name="표준 19 6 2 9" xfId="10623"/>
    <cellStyle name="표준 19 6 2 9 2" xfId="19394"/>
    <cellStyle name="표준 19 6 2 9 2 2" xfId="40270"/>
    <cellStyle name="표준 19 6 2 9 3" xfId="31534"/>
    <cellStyle name="표준 19 6 3" xfId="3402"/>
    <cellStyle name="표준 19 6 3 10" xfId="12865"/>
    <cellStyle name="표준 19 6 3 10 2" xfId="33742"/>
    <cellStyle name="표준 19 6 3 11" xfId="24992"/>
    <cellStyle name="표준 19 6 3 2" xfId="4995"/>
    <cellStyle name="표준 19 6 3 2 2" xfId="6822"/>
    <cellStyle name="표준 19 6 3 2 2 2" xfId="15831"/>
    <cellStyle name="표준 19 6 3 2 2 2 2" xfId="36707"/>
    <cellStyle name="표준 19 6 3 2 2 3" xfId="27969"/>
    <cellStyle name="표준 19 6 3 2 3" xfId="14013"/>
    <cellStyle name="표준 19 6 3 2 3 2" xfId="34889"/>
    <cellStyle name="표준 19 6 3 2 4" xfId="26151"/>
    <cellStyle name="표준 19 6 3 3" xfId="5675"/>
    <cellStyle name="표준 19 6 3 3 2" xfId="14684"/>
    <cellStyle name="표준 19 6 3 3 2 2" xfId="35560"/>
    <cellStyle name="표준 19 6 3 3 3" xfId="26822"/>
    <cellStyle name="표준 19 6 3 4" xfId="7468"/>
    <cellStyle name="표준 19 6 3 4 2" xfId="16475"/>
    <cellStyle name="표준 19 6 3 4 2 2" xfId="37351"/>
    <cellStyle name="표준 19 6 3 4 3" xfId="28613"/>
    <cellStyle name="표준 19 6 3 5" xfId="8112"/>
    <cellStyle name="표준 19 6 3 5 2" xfId="17118"/>
    <cellStyle name="표준 19 6 3 5 2 2" xfId="37994"/>
    <cellStyle name="표준 19 6 3 5 3" xfId="29256"/>
    <cellStyle name="표준 19 6 3 6" xfId="8960"/>
    <cellStyle name="표준 19 6 3 6 2" xfId="17965"/>
    <cellStyle name="표준 19 6 3 6 2 2" xfId="38841"/>
    <cellStyle name="표준 19 6 3 6 3" xfId="30103"/>
    <cellStyle name="표준 19 6 3 7" xfId="9785"/>
    <cellStyle name="표준 19 6 3 7 2" xfId="18783"/>
    <cellStyle name="표준 19 6 3 7 2 2" xfId="39659"/>
    <cellStyle name="표준 19 6 3 7 3" xfId="30921"/>
    <cellStyle name="표준 19 6 3 8" xfId="10840"/>
    <cellStyle name="표준 19 6 3 8 2" xfId="19611"/>
    <cellStyle name="표준 19 6 3 8 2 2" xfId="40487"/>
    <cellStyle name="표준 19 6 3 8 3" xfId="31751"/>
    <cellStyle name="표준 19 6 3 9" xfId="11706"/>
    <cellStyle name="표준 19 6 3 9 2" xfId="20472"/>
    <cellStyle name="표준 19 6 3 9 2 2" xfId="41348"/>
    <cellStyle name="표준 19 6 3 9 3" xfId="32612"/>
    <cellStyle name="표준 19 6 4" xfId="4561"/>
    <cellStyle name="표준 19 6 4 2" xfId="6395"/>
    <cellStyle name="표준 19 6 4 2 2" xfId="15404"/>
    <cellStyle name="표준 19 6 4 2 2 2" xfId="36280"/>
    <cellStyle name="표준 19 6 4 2 3" xfId="27542"/>
    <cellStyle name="표준 19 6 4 3" xfId="11058"/>
    <cellStyle name="표준 19 6 4 3 2" xfId="19828"/>
    <cellStyle name="표준 19 6 4 3 2 2" xfId="40704"/>
    <cellStyle name="표준 19 6 4 3 3" xfId="31968"/>
    <cellStyle name="표준 19 6 4 4" xfId="11923"/>
    <cellStyle name="표준 19 6 4 4 2" xfId="20689"/>
    <cellStyle name="표준 19 6 4 4 2 2" xfId="41565"/>
    <cellStyle name="표준 19 6 4 4 3" xfId="32829"/>
    <cellStyle name="표준 19 6 4 5" xfId="13586"/>
    <cellStyle name="표준 19 6 4 5 2" xfId="34462"/>
    <cellStyle name="표준 19 6 4 6" xfId="25724"/>
    <cellStyle name="표준 19 6 5" xfId="5238"/>
    <cellStyle name="표준 19 6 5 2" xfId="14247"/>
    <cellStyle name="표준 19 6 5 2 2" xfId="35123"/>
    <cellStyle name="표준 19 6 5 3" xfId="26385"/>
    <cellStyle name="표준 19 6 6" xfId="7040"/>
    <cellStyle name="표준 19 6 6 2" xfId="16048"/>
    <cellStyle name="표준 19 6 6 2 2" xfId="36924"/>
    <cellStyle name="표준 19 6 6 3" xfId="28186"/>
    <cellStyle name="표준 19 6 7" xfId="7685"/>
    <cellStyle name="표준 19 6 7 2" xfId="16691"/>
    <cellStyle name="표준 19 6 7 2 2" xfId="37567"/>
    <cellStyle name="표준 19 6 7 3" xfId="28829"/>
    <cellStyle name="표준 19 6 8" xfId="8533"/>
    <cellStyle name="표준 19 6 8 2" xfId="17538"/>
    <cellStyle name="표준 19 6 8 2 2" xfId="38414"/>
    <cellStyle name="표준 19 6 8 3" xfId="29676"/>
    <cellStyle name="표준 19 6 9" xfId="9357"/>
    <cellStyle name="표준 19 6 9 2" xfId="18356"/>
    <cellStyle name="표준 19 6 9 2 2" xfId="39232"/>
    <cellStyle name="표준 19 6 9 3" xfId="30494"/>
    <cellStyle name="표준 19 7" xfId="2953"/>
    <cellStyle name="표준 19 7 10" xfId="10414"/>
    <cellStyle name="표준 19 7 10 2" xfId="19185"/>
    <cellStyle name="표준 19 7 10 2 2" xfId="40061"/>
    <cellStyle name="표준 19 7 10 3" xfId="31325"/>
    <cellStyle name="표준 19 7 11" xfId="11280"/>
    <cellStyle name="표준 19 7 11 2" xfId="20046"/>
    <cellStyle name="표준 19 7 11 2 2" xfId="40922"/>
    <cellStyle name="표준 19 7 11 3" xfId="32186"/>
    <cellStyle name="표준 19 7 12" xfId="12428"/>
    <cellStyle name="표준 19 7 12 2" xfId="33306"/>
    <cellStyle name="표준 19 7 13" xfId="24556"/>
    <cellStyle name="표준 19 7 2" xfId="3171"/>
    <cellStyle name="표준 19 7 2 10" xfId="11490"/>
    <cellStyle name="표준 19 7 2 10 2" xfId="20256"/>
    <cellStyle name="표준 19 7 2 10 2 2" xfId="41132"/>
    <cellStyle name="표준 19 7 2 10 3" xfId="32396"/>
    <cellStyle name="표준 19 7 2 11" xfId="12639"/>
    <cellStyle name="표준 19 7 2 11 2" xfId="33516"/>
    <cellStyle name="표준 19 7 2 12" xfId="24766"/>
    <cellStyle name="표준 19 7 2 2" xfId="3613"/>
    <cellStyle name="표준 19 7 2 2 2" xfId="5886"/>
    <cellStyle name="표준 19 7 2 2 2 2" xfId="14895"/>
    <cellStyle name="표준 19 7 2 2 2 2 2" xfId="35771"/>
    <cellStyle name="표준 19 7 2 2 2 3" xfId="27033"/>
    <cellStyle name="표준 19 7 2 2 3" xfId="13076"/>
    <cellStyle name="표준 19 7 2 2 3 2" xfId="33953"/>
    <cellStyle name="표준 19 7 2 2 4" xfId="25203"/>
    <cellStyle name="표준 19 7 2 3" xfId="4774"/>
    <cellStyle name="표준 19 7 2 3 2" xfId="6606"/>
    <cellStyle name="표준 19 7 2 3 2 2" xfId="15615"/>
    <cellStyle name="표준 19 7 2 3 2 2 2" xfId="36491"/>
    <cellStyle name="표준 19 7 2 3 2 3" xfId="27753"/>
    <cellStyle name="표준 19 7 2 3 3" xfId="13797"/>
    <cellStyle name="표준 19 7 2 3 3 2" xfId="34673"/>
    <cellStyle name="표준 19 7 2 3 4" xfId="25935"/>
    <cellStyle name="표준 19 7 2 4" xfId="5449"/>
    <cellStyle name="표준 19 7 2 4 2" xfId="14458"/>
    <cellStyle name="표준 19 7 2 4 2 2" xfId="35334"/>
    <cellStyle name="표준 19 7 2 4 3" xfId="26596"/>
    <cellStyle name="표준 19 7 2 5" xfId="7252"/>
    <cellStyle name="표준 19 7 2 5 2" xfId="16259"/>
    <cellStyle name="표준 19 7 2 5 2 2" xfId="37135"/>
    <cellStyle name="표준 19 7 2 5 3" xfId="28397"/>
    <cellStyle name="표준 19 7 2 6" xfId="7896"/>
    <cellStyle name="표준 19 7 2 6 2" xfId="16902"/>
    <cellStyle name="표준 19 7 2 6 2 2" xfId="37778"/>
    <cellStyle name="표준 19 7 2 6 3" xfId="29040"/>
    <cellStyle name="표준 19 7 2 7" xfId="8744"/>
    <cellStyle name="표준 19 7 2 7 2" xfId="17749"/>
    <cellStyle name="표준 19 7 2 7 2 2" xfId="38625"/>
    <cellStyle name="표준 19 7 2 7 3" xfId="29887"/>
    <cellStyle name="표준 19 7 2 8" xfId="9569"/>
    <cellStyle name="표준 19 7 2 8 2" xfId="18567"/>
    <cellStyle name="표준 19 7 2 8 2 2" xfId="39443"/>
    <cellStyle name="표준 19 7 2 8 3" xfId="30705"/>
    <cellStyle name="표준 19 7 2 9" xfId="10624"/>
    <cellStyle name="표준 19 7 2 9 2" xfId="19395"/>
    <cellStyle name="표준 19 7 2 9 2 2" xfId="40271"/>
    <cellStyle name="표준 19 7 2 9 3" xfId="31535"/>
    <cellStyle name="표준 19 7 3" xfId="3403"/>
    <cellStyle name="표준 19 7 3 10" xfId="12866"/>
    <cellStyle name="표준 19 7 3 10 2" xfId="33743"/>
    <cellStyle name="표준 19 7 3 11" xfId="24993"/>
    <cellStyle name="표준 19 7 3 2" xfId="4996"/>
    <cellStyle name="표준 19 7 3 2 2" xfId="6823"/>
    <cellStyle name="표준 19 7 3 2 2 2" xfId="15832"/>
    <cellStyle name="표준 19 7 3 2 2 2 2" xfId="36708"/>
    <cellStyle name="표준 19 7 3 2 2 3" xfId="27970"/>
    <cellStyle name="표준 19 7 3 2 3" xfId="14014"/>
    <cellStyle name="표준 19 7 3 2 3 2" xfId="34890"/>
    <cellStyle name="표준 19 7 3 2 4" xfId="26152"/>
    <cellStyle name="표준 19 7 3 3" xfId="5676"/>
    <cellStyle name="표준 19 7 3 3 2" xfId="14685"/>
    <cellStyle name="표준 19 7 3 3 2 2" xfId="35561"/>
    <cellStyle name="표준 19 7 3 3 3" xfId="26823"/>
    <cellStyle name="표준 19 7 3 4" xfId="7469"/>
    <cellStyle name="표준 19 7 3 4 2" xfId="16476"/>
    <cellStyle name="표준 19 7 3 4 2 2" xfId="37352"/>
    <cellStyle name="표준 19 7 3 4 3" xfId="28614"/>
    <cellStyle name="표준 19 7 3 5" xfId="8113"/>
    <cellStyle name="표준 19 7 3 5 2" xfId="17119"/>
    <cellStyle name="표준 19 7 3 5 2 2" xfId="37995"/>
    <cellStyle name="표준 19 7 3 5 3" xfId="29257"/>
    <cellStyle name="표준 19 7 3 6" xfId="8961"/>
    <cellStyle name="표준 19 7 3 6 2" xfId="17966"/>
    <cellStyle name="표준 19 7 3 6 2 2" xfId="38842"/>
    <cellStyle name="표준 19 7 3 6 3" xfId="30104"/>
    <cellStyle name="표준 19 7 3 7" xfId="9786"/>
    <cellStyle name="표준 19 7 3 7 2" xfId="18784"/>
    <cellStyle name="표준 19 7 3 7 2 2" xfId="39660"/>
    <cellStyle name="표준 19 7 3 7 3" xfId="30922"/>
    <cellStyle name="표준 19 7 3 8" xfId="10841"/>
    <cellStyle name="표준 19 7 3 8 2" xfId="19612"/>
    <cellStyle name="표준 19 7 3 8 2 2" xfId="40488"/>
    <cellStyle name="표준 19 7 3 8 3" xfId="31752"/>
    <cellStyle name="표준 19 7 3 9" xfId="11707"/>
    <cellStyle name="표준 19 7 3 9 2" xfId="20473"/>
    <cellStyle name="표준 19 7 3 9 2 2" xfId="41349"/>
    <cellStyle name="표준 19 7 3 9 3" xfId="32613"/>
    <cellStyle name="표준 19 7 4" xfId="4562"/>
    <cellStyle name="표준 19 7 4 2" xfId="6396"/>
    <cellStyle name="표준 19 7 4 2 2" xfId="15405"/>
    <cellStyle name="표준 19 7 4 2 2 2" xfId="36281"/>
    <cellStyle name="표준 19 7 4 2 3" xfId="27543"/>
    <cellStyle name="표준 19 7 4 3" xfId="11059"/>
    <cellStyle name="표준 19 7 4 3 2" xfId="19829"/>
    <cellStyle name="표준 19 7 4 3 2 2" xfId="40705"/>
    <cellStyle name="표준 19 7 4 3 3" xfId="31969"/>
    <cellStyle name="표준 19 7 4 4" xfId="11924"/>
    <cellStyle name="표준 19 7 4 4 2" xfId="20690"/>
    <cellStyle name="표준 19 7 4 4 2 2" xfId="41566"/>
    <cellStyle name="표준 19 7 4 4 3" xfId="32830"/>
    <cellStyle name="표준 19 7 4 5" xfId="13587"/>
    <cellStyle name="표준 19 7 4 5 2" xfId="34463"/>
    <cellStyle name="표준 19 7 4 6" xfId="25725"/>
    <cellStyle name="표준 19 7 5" xfId="5239"/>
    <cellStyle name="표준 19 7 5 2" xfId="14248"/>
    <cellStyle name="표준 19 7 5 2 2" xfId="35124"/>
    <cellStyle name="표준 19 7 5 3" xfId="26386"/>
    <cellStyle name="표준 19 7 6" xfId="7041"/>
    <cellStyle name="표준 19 7 6 2" xfId="16049"/>
    <cellStyle name="표준 19 7 6 2 2" xfId="36925"/>
    <cellStyle name="표준 19 7 6 3" xfId="28187"/>
    <cellStyle name="표준 19 7 7" xfId="7686"/>
    <cellStyle name="표준 19 7 7 2" xfId="16692"/>
    <cellStyle name="표준 19 7 7 2 2" xfId="37568"/>
    <cellStyle name="표준 19 7 7 3" xfId="28830"/>
    <cellStyle name="표준 19 7 8" xfId="8534"/>
    <cellStyle name="표준 19 7 8 2" xfId="17539"/>
    <cellStyle name="표준 19 7 8 2 2" xfId="38415"/>
    <cellStyle name="표준 19 7 8 3" xfId="29677"/>
    <cellStyle name="표준 19 7 9" xfId="9358"/>
    <cellStyle name="표준 19 7 9 2" xfId="18357"/>
    <cellStyle name="표준 19 7 9 2 2" xfId="39233"/>
    <cellStyle name="표준 19 7 9 3" xfId="30495"/>
    <cellStyle name="표준 19 8" xfId="3165"/>
    <cellStyle name="표준 19 8 10" xfId="11484"/>
    <cellStyle name="표준 19 8 10 2" xfId="20250"/>
    <cellStyle name="표준 19 8 10 2 2" xfId="41126"/>
    <cellStyle name="표준 19 8 10 3" xfId="32390"/>
    <cellStyle name="표준 19 8 11" xfId="12633"/>
    <cellStyle name="표준 19 8 11 2" xfId="33510"/>
    <cellStyle name="표준 19 8 12" xfId="24760"/>
    <cellStyle name="표준 19 8 2" xfId="3607"/>
    <cellStyle name="표준 19 8 2 2" xfId="5880"/>
    <cellStyle name="표준 19 8 2 2 2" xfId="14889"/>
    <cellStyle name="표준 19 8 2 2 2 2" xfId="35765"/>
    <cellStyle name="표준 19 8 2 2 3" xfId="27027"/>
    <cellStyle name="표준 19 8 2 3" xfId="13070"/>
    <cellStyle name="표준 19 8 2 3 2" xfId="33947"/>
    <cellStyle name="표준 19 8 2 4" xfId="25197"/>
    <cellStyle name="표준 19 8 3" xfId="4768"/>
    <cellStyle name="표준 19 8 3 2" xfId="6600"/>
    <cellStyle name="표준 19 8 3 2 2" xfId="15609"/>
    <cellStyle name="표준 19 8 3 2 2 2" xfId="36485"/>
    <cellStyle name="표준 19 8 3 2 3" xfId="27747"/>
    <cellStyle name="표준 19 8 3 3" xfId="13791"/>
    <cellStyle name="표준 19 8 3 3 2" xfId="34667"/>
    <cellStyle name="표준 19 8 3 4" xfId="25929"/>
    <cellStyle name="표준 19 8 4" xfId="5443"/>
    <cellStyle name="표준 19 8 4 2" xfId="14452"/>
    <cellStyle name="표준 19 8 4 2 2" xfId="35328"/>
    <cellStyle name="표준 19 8 4 3" xfId="26590"/>
    <cellStyle name="표준 19 8 5" xfId="7246"/>
    <cellStyle name="표준 19 8 5 2" xfId="16253"/>
    <cellStyle name="표준 19 8 5 2 2" xfId="37129"/>
    <cellStyle name="표준 19 8 5 3" xfId="28391"/>
    <cellStyle name="표준 19 8 6" xfId="7890"/>
    <cellStyle name="표준 19 8 6 2" xfId="16896"/>
    <cellStyle name="표준 19 8 6 2 2" xfId="37772"/>
    <cellStyle name="표준 19 8 6 3" xfId="29034"/>
    <cellStyle name="표준 19 8 7" xfId="8738"/>
    <cellStyle name="표준 19 8 7 2" xfId="17743"/>
    <cellStyle name="표준 19 8 7 2 2" xfId="38619"/>
    <cellStyle name="표준 19 8 7 3" xfId="29881"/>
    <cellStyle name="표준 19 8 8" xfId="9563"/>
    <cellStyle name="표준 19 8 8 2" xfId="18561"/>
    <cellStyle name="표준 19 8 8 2 2" xfId="39437"/>
    <cellStyle name="표준 19 8 8 3" xfId="30699"/>
    <cellStyle name="표준 19 8 9" xfId="10618"/>
    <cellStyle name="표준 19 8 9 2" xfId="19389"/>
    <cellStyle name="표준 19 8 9 2 2" xfId="40265"/>
    <cellStyle name="표준 19 8 9 3" xfId="31529"/>
    <cellStyle name="표준 19 9" xfId="3397"/>
    <cellStyle name="표준 19 9 10" xfId="12860"/>
    <cellStyle name="표준 19 9 10 2" xfId="33737"/>
    <cellStyle name="표준 19 9 11" xfId="24987"/>
    <cellStyle name="표준 19 9 2" xfId="4990"/>
    <cellStyle name="표준 19 9 2 2" xfId="6817"/>
    <cellStyle name="표준 19 9 2 2 2" xfId="15826"/>
    <cellStyle name="표준 19 9 2 2 2 2" xfId="36702"/>
    <cellStyle name="표준 19 9 2 2 3" xfId="27964"/>
    <cellStyle name="표준 19 9 2 3" xfId="14008"/>
    <cellStyle name="표준 19 9 2 3 2" xfId="34884"/>
    <cellStyle name="표준 19 9 2 4" xfId="26146"/>
    <cellStyle name="표준 19 9 3" xfId="5670"/>
    <cellStyle name="표준 19 9 3 2" xfId="14679"/>
    <cellStyle name="표준 19 9 3 2 2" xfId="35555"/>
    <cellStyle name="표준 19 9 3 3" xfId="26817"/>
    <cellStyle name="표준 19 9 4" xfId="7463"/>
    <cellStyle name="표준 19 9 4 2" xfId="16470"/>
    <cellStyle name="표준 19 9 4 2 2" xfId="37346"/>
    <cellStyle name="표준 19 9 4 3" xfId="28608"/>
    <cellStyle name="표준 19 9 5" xfId="8107"/>
    <cellStyle name="표준 19 9 5 2" xfId="17113"/>
    <cellStyle name="표준 19 9 5 2 2" xfId="37989"/>
    <cellStyle name="표준 19 9 5 3" xfId="29251"/>
    <cellStyle name="표준 19 9 6" xfId="8955"/>
    <cellStyle name="표준 19 9 6 2" xfId="17960"/>
    <cellStyle name="표준 19 9 6 2 2" xfId="38836"/>
    <cellStyle name="표준 19 9 6 3" xfId="30098"/>
    <cellStyle name="표준 19 9 7" xfId="9780"/>
    <cellStyle name="표준 19 9 7 2" xfId="18778"/>
    <cellStyle name="표준 19 9 7 2 2" xfId="39654"/>
    <cellStyle name="표준 19 9 7 3" xfId="30916"/>
    <cellStyle name="표준 19 9 8" xfId="10835"/>
    <cellStyle name="표준 19 9 8 2" xfId="19606"/>
    <cellStyle name="표준 19 9 8 2 2" xfId="40482"/>
    <cellStyle name="표준 19 9 8 3" xfId="31746"/>
    <cellStyle name="표준 19 9 9" xfId="11701"/>
    <cellStyle name="표준 19 9 9 2" xfId="20467"/>
    <cellStyle name="표준 19 9 9 2 2" xfId="41343"/>
    <cellStyle name="표준 19 9 9 3" xfId="32607"/>
    <cellStyle name="표준 2" xfId="5"/>
    <cellStyle name="표준 2 10" xfId="3989"/>
    <cellStyle name="표준 2 10 2" xfId="6141"/>
    <cellStyle name="표준 2 10 2 2" xfId="9978"/>
    <cellStyle name="표준 2 10 2 3" xfId="15150"/>
    <cellStyle name="표준 2 10 2 3 2" xfId="36026"/>
    <cellStyle name="표준 2 10 2 4" xfId="27288"/>
    <cellStyle name="표준 2 10 3" xfId="9118"/>
    <cellStyle name="표준 2 10 3 2" xfId="18122"/>
    <cellStyle name="표준 2 10 3 2 2" xfId="38998"/>
    <cellStyle name="표준 2 10 3 3" xfId="30260"/>
    <cellStyle name="표준 2 10 4" xfId="9935"/>
    <cellStyle name="표준 2 10 4 2" xfId="18932"/>
    <cellStyle name="표준 2 10 4 2 2" xfId="39808"/>
    <cellStyle name="표준 2 10 4 3" xfId="31070"/>
    <cellStyle name="표준 2 10 5" xfId="9977"/>
    <cellStyle name="표준 2 10 6" xfId="13332"/>
    <cellStyle name="표준 2 10 6 2" xfId="34208"/>
    <cellStyle name="표준 2 10 7" xfId="25470"/>
    <cellStyle name="표준 2 11" xfId="3988"/>
    <cellStyle name="표준 2 11 2" xfId="6140"/>
    <cellStyle name="표준 2 11 2 2" xfId="9980"/>
    <cellStyle name="표준 2 11 2 3" xfId="15149"/>
    <cellStyle name="표준 2 11 2 3 2" xfId="36025"/>
    <cellStyle name="표준 2 11 2 4" xfId="27287"/>
    <cellStyle name="표준 2 11 3" xfId="9119"/>
    <cellStyle name="표준 2 11 3 2" xfId="18123"/>
    <cellStyle name="표준 2 11 3 2 2" xfId="38999"/>
    <cellStyle name="표준 2 11 3 3" xfId="30261"/>
    <cellStyle name="표준 2 11 4" xfId="9934"/>
    <cellStyle name="표준 2 11 4 2" xfId="18931"/>
    <cellStyle name="표준 2 11 4 2 2" xfId="39807"/>
    <cellStyle name="표준 2 11 4 3" xfId="31069"/>
    <cellStyle name="표준 2 11 5" xfId="9979"/>
    <cellStyle name="표준 2 11 6" xfId="13331"/>
    <cellStyle name="표준 2 11 6 2" xfId="34207"/>
    <cellStyle name="표준 2 11 7" xfId="25469"/>
    <cellStyle name="표준 2 12" xfId="3987"/>
    <cellStyle name="표준 2 12 2" xfId="6139"/>
    <cellStyle name="표준 2 12 2 2" xfId="9982"/>
    <cellStyle name="표준 2 12 2 3" xfId="15148"/>
    <cellStyle name="표준 2 12 2 3 2" xfId="36024"/>
    <cellStyle name="표준 2 12 2 4" xfId="27286"/>
    <cellStyle name="표준 2 12 3" xfId="9120"/>
    <cellStyle name="표준 2 12 3 2" xfId="18124"/>
    <cellStyle name="표준 2 12 3 2 2" xfId="39000"/>
    <cellStyle name="표준 2 12 3 3" xfId="30262"/>
    <cellStyle name="표준 2 12 4" xfId="9933"/>
    <cellStyle name="표준 2 12 4 2" xfId="18930"/>
    <cellStyle name="표준 2 12 4 2 2" xfId="39806"/>
    <cellStyle name="표준 2 12 4 3" xfId="31068"/>
    <cellStyle name="표준 2 12 5" xfId="9981"/>
    <cellStyle name="표준 2 12 6" xfId="13330"/>
    <cellStyle name="표준 2 12 6 2" xfId="34206"/>
    <cellStyle name="표준 2 12 7" xfId="25468"/>
    <cellStyle name="표준 2 13" xfId="3986"/>
    <cellStyle name="표준 2 13 2" xfId="3985"/>
    <cellStyle name="표준 2 13 2 10" xfId="9209"/>
    <cellStyle name="표준 2 13 2 10 2" xfId="18211"/>
    <cellStyle name="표준 2 13 2 10 2 2" xfId="39087"/>
    <cellStyle name="표준 2 13 2 10 3" xfId="30349"/>
    <cellStyle name="표준 2 13 2 11" xfId="9983"/>
    <cellStyle name="표준 2 13 2 12" xfId="13329"/>
    <cellStyle name="표준 2 13 2 12 2" xfId="34205"/>
    <cellStyle name="표준 2 13 2 13" xfId="25467"/>
    <cellStyle name="표준 2 13 2 2" xfId="3984"/>
    <cellStyle name="표준 2 13 2 3" xfId="3983"/>
    <cellStyle name="표준 2 13 2 4" xfId="3982"/>
    <cellStyle name="표준 2 13 2 5" xfId="3981"/>
    <cellStyle name="표준 2 13 2 6" xfId="3980"/>
    <cellStyle name="표준 2 13 2 7" xfId="3979"/>
    <cellStyle name="표준 2 13 2 8" xfId="6138"/>
    <cellStyle name="표준 2 13 2 8 2" xfId="9984"/>
    <cellStyle name="표준 2 13 2 8 3" xfId="15147"/>
    <cellStyle name="표준 2 13 2 8 3 2" xfId="36023"/>
    <cellStyle name="표준 2 13 2 8 4" xfId="27285"/>
    <cellStyle name="표준 2 13 2 9" xfId="9121"/>
    <cellStyle name="표준 2 13 2 9 2" xfId="18125"/>
    <cellStyle name="표준 2 13 2 9 2 2" xfId="39001"/>
    <cellStyle name="표준 2 13 2 9 3" xfId="30263"/>
    <cellStyle name="표준 2 13 3" xfId="3978"/>
    <cellStyle name="표준 2 13 4" xfId="3977"/>
    <cellStyle name="표준 2 13 5" xfId="3976"/>
    <cellStyle name="표준 2 13 5 2" xfId="6137"/>
    <cellStyle name="표준 2 13 5 2 2" xfId="9986"/>
    <cellStyle name="표준 2 13 5 2 3" xfId="15146"/>
    <cellStyle name="표준 2 13 5 2 3 2" xfId="36022"/>
    <cellStyle name="표준 2 13 5 2 4" xfId="27284"/>
    <cellStyle name="표준 2 13 5 3" xfId="9122"/>
    <cellStyle name="표준 2 13 5 3 2" xfId="18126"/>
    <cellStyle name="표준 2 13 5 3 2 2" xfId="39002"/>
    <cellStyle name="표준 2 13 5 3 3" xfId="30264"/>
    <cellStyle name="표준 2 13 5 4" xfId="9210"/>
    <cellStyle name="표준 2 13 5 4 2" xfId="18212"/>
    <cellStyle name="표준 2 13 5 4 2 2" xfId="39088"/>
    <cellStyle name="표준 2 13 5 4 3" xfId="30350"/>
    <cellStyle name="표준 2 13 5 5" xfId="9985"/>
    <cellStyle name="표준 2 13 5 6" xfId="13328"/>
    <cellStyle name="표준 2 13 5 6 2" xfId="34204"/>
    <cellStyle name="표준 2 13 5 7" xfId="25466"/>
    <cellStyle name="표준 2 13 6" xfId="3975"/>
    <cellStyle name="표준 2 13 6 2" xfId="6136"/>
    <cellStyle name="표준 2 13 6 2 2" xfId="9988"/>
    <cellStyle name="표준 2 13 6 2 3" xfId="15145"/>
    <cellStyle name="표준 2 13 6 2 3 2" xfId="36021"/>
    <cellStyle name="표준 2 13 6 2 4" xfId="27283"/>
    <cellStyle name="표준 2 13 6 3" xfId="9123"/>
    <cellStyle name="표준 2 13 6 3 2" xfId="18127"/>
    <cellStyle name="표준 2 13 6 3 2 2" xfId="39003"/>
    <cellStyle name="표준 2 13 6 3 3" xfId="30265"/>
    <cellStyle name="표준 2 13 6 4" xfId="9211"/>
    <cellStyle name="표준 2 13 6 4 2" xfId="18213"/>
    <cellStyle name="표준 2 13 6 4 2 2" xfId="39089"/>
    <cellStyle name="표준 2 13 6 4 3" xfId="30351"/>
    <cellStyle name="표준 2 13 6 5" xfId="9987"/>
    <cellStyle name="표준 2 13 6 6" xfId="13327"/>
    <cellStyle name="표준 2 13 6 6 2" xfId="34203"/>
    <cellStyle name="표준 2 13 6 7" xfId="25465"/>
    <cellStyle name="표준 2 13 7" xfId="3974"/>
    <cellStyle name="표준 2 13 7 2" xfId="6135"/>
    <cellStyle name="표준 2 13 7 2 2" xfId="9990"/>
    <cellStyle name="표준 2 13 7 2 3" xfId="15144"/>
    <cellStyle name="표준 2 13 7 2 3 2" xfId="36020"/>
    <cellStyle name="표준 2 13 7 2 4" xfId="27282"/>
    <cellStyle name="표준 2 13 7 3" xfId="9124"/>
    <cellStyle name="표준 2 13 7 3 2" xfId="18128"/>
    <cellStyle name="표준 2 13 7 3 2 2" xfId="39004"/>
    <cellStyle name="표준 2 13 7 3 3" xfId="30266"/>
    <cellStyle name="표준 2 13 7 4" xfId="9212"/>
    <cellStyle name="표준 2 13 7 4 2" xfId="18214"/>
    <cellStyle name="표준 2 13 7 4 2 2" xfId="39090"/>
    <cellStyle name="표준 2 13 7 4 3" xfId="30352"/>
    <cellStyle name="표준 2 13 7 5" xfId="9989"/>
    <cellStyle name="표준 2 13 7 6" xfId="13326"/>
    <cellStyle name="표준 2 13 7 6 2" xfId="34202"/>
    <cellStyle name="표준 2 13 7 7" xfId="25464"/>
    <cellStyle name="표준 2 13 8" xfId="3973"/>
    <cellStyle name="표준 2 13 8 2" xfId="6134"/>
    <cellStyle name="표준 2 13 8 2 2" xfId="9992"/>
    <cellStyle name="표준 2 13 8 2 3" xfId="15143"/>
    <cellStyle name="표준 2 13 8 2 3 2" xfId="36019"/>
    <cellStyle name="표준 2 13 8 2 4" xfId="27281"/>
    <cellStyle name="표준 2 13 8 3" xfId="9125"/>
    <cellStyle name="표준 2 13 8 3 2" xfId="18129"/>
    <cellStyle name="표준 2 13 8 3 2 2" xfId="39005"/>
    <cellStyle name="표준 2 13 8 3 3" xfId="30267"/>
    <cellStyle name="표준 2 13 8 4" xfId="9213"/>
    <cellStyle name="표준 2 13 8 4 2" xfId="18215"/>
    <cellStyle name="표준 2 13 8 4 2 2" xfId="39091"/>
    <cellStyle name="표준 2 13 8 4 3" xfId="30353"/>
    <cellStyle name="표준 2 13 8 5" xfId="9991"/>
    <cellStyle name="표준 2 13 8 6" xfId="13325"/>
    <cellStyle name="표준 2 13 8 6 2" xfId="34201"/>
    <cellStyle name="표준 2 13 8 7" xfId="25463"/>
    <cellStyle name="표준 2 13 9" xfId="3972"/>
    <cellStyle name="표준 2 13 9 2" xfId="6133"/>
    <cellStyle name="표준 2 13 9 2 2" xfId="9994"/>
    <cellStyle name="표준 2 13 9 2 3" xfId="15142"/>
    <cellStyle name="표준 2 13 9 2 3 2" xfId="36018"/>
    <cellStyle name="표준 2 13 9 2 4" xfId="27280"/>
    <cellStyle name="표준 2 13 9 3" xfId="9126"/>
    <cellStyle name="표준 2 13 9 3 2" xfId="18130"/>
    <cellStyle name="표준 2 13 9 3 2 2" xfId="39006"/>
    <cellStyle name="표준 2 13 9 3 3" xfId="30268"/>
    <cellStyle name="표준 2 13 9 4" xfId="9214"/>
    <cellStyle name="표준 2 13 9 4 2" xfId="18216"/>
    <cellStyle name="표준 2 13 9 4 2 2" xfId="39092"/>
    <cellStyle name="표준 2 13 9 4 3" xfId="30354"/>
    <cellStyle name="표준 2 13 9 5" xfId="9993"/>
    <cellStyle name="표준 2 13 9 6" xfId="13324"/>
    <cellStyle name="표준 2 13 9 6 2" xfId="34200"/>
    <cellStyle name="표준 2 13 9 7" xfId="25462"/>
    <cellStyle name="표준 2 14" xfId="3971"/>
    <cellStyle name="표준 2 15" xfId="3970"/>
    <cellStyle name="표준 2 16" xfId="3969"/>
    <cellStyle name="표준 2 17" xfId="3968"/>
    <cellStyle name="표준 2 18" xfId="3967"/>
    <cellStyle name="표준 2 19" xfId="3966"/>
    <cellStyle name="표준 2 19 2" xfId="6132"/>
    <cellStyle name="표준 2 19 2 2" xfId="9996"/>
    <cellStyle name="표준 2 19 2 3" xfId="15141"/>
    <cellStyle name="표준 2 19 2 3 2" xfId="36017"/>
    <cellStyle name="표준 2 19 2 4" xfId="27279"/>
    <cellStyle name="표준 2 19 3" xfId="9127"/>
    <cellStyle name="표준 2 19 3 2" xfId="18131"/>
    <cellStyle name="표준 2 19 3 2 2" xfId="39007"/>
    <cellStyle name="표준 2 19 3 3" xfId="30269"/>
    <cellStyle name="표준 2 19 4" xfId="9215"/>
    <cellStyle name="표준 2 19 4 2" xfId="18217"/>
    <cellStyle name="표준 2 19 4 2 2" xfId="39093"/>
    <cellStyle name="표준 2 19 4 3" xfId="30355"/>
    <cellStyle name="표준 2 19 5" xfId="9995"/>
    <cellStyle name="표준 2 19 6" xfId="13323"/>
    <cellStyle name="표준 2 19 6 2" xfId="34199"/>
    <cellStyle name="표준 2 19 7" xfId="25461"/>
    <cellStyle name="표준 2 2" xfId="1191"/>
    <cellStyle name="표준 2 2 10" xfId="3965"/>
    <cellStyle name="표준 2 2 10 2" xfId="6131"/>
    <cellStyle name="표준 2 2 10 2 2" xfId="9998"/>
    <cellStyle name="표준 2 2 10 2 3" xfId="15140"/>
    <cellStyle name="표준 2 2 10 2 3 2" xfId="36016"/>
    <cellStyle name="표준 2 2 10 2 4" xfId="27278"/>
    <cellStyle name="표준 2 2 10 3" xfId="9128"/>
    <cellStyle name="표준 2 2 10 3 2" xfId="18132"/>
    <cellStyle name="표준 2 2 10 3 2 2" xfId="39008"/>
    <cellStyle name="표준 2 2 10 3 3" xfId="30270"/>
    <cellStyle name="표준 2 2 10 4" xfId="9216"/>
    <cellStyle name="표준 2 2 10 4 2" xfId="18218"/>
    <cellStyle name="표준 2 2 10 4 2 2" xfId="39094"/>
    <cellStyle name="표준 2 2 10 4 3" xfId="30356"/>
    <cellStyle name="표준 2 2 10 5" xfId="9997"/>
    <cellStyle name="표준 2 2 10 6" xfId="13322"/>
    <cellStyle name="표준 2 2 10 6 2" xfId="34198"/>
    <cellStyle name="표준 2 2 10 7" xfId="25460"/>
    <cellStyle name="표준 2 2 11" xfId="3964"/>
    <cellStyle name="표준 2 2 11 2" xfId="6130"/>
    <cellStyle name="표준 2 2 11 2 2" xfId="10000"/>
    <cellStyle name="표준 2 2 11 2 3" xfId="15139"/>
    <cellStyle name="표준 2 2 11 2 3 2" xfId="36015"/>
    <cellStyle name="표준 2 2 11 2 4" xfId="27277"/>
    <cellStyle name="표준 2 2 11 3" xfId="9129"/>
    <cellStyle name="표준 2 2 11 3 2" xfId="18133"/>
    <cellStyle name="표준 2 2 11 3 2 2" xfId="39009"/>
    <cellStyle name="표준 2 2 11 3 3" xfId="30271"/>
    <cellStyle name="표준 2 2 11 4" xfId="9217"/>
    <cellStyle name="표준 2 2 11 4 2" xfId="18219"/>
    <cellStyle name="표준 2 2 11 4 2 2" xfId="39095"/>
    <cellStyle name="표준 2 2 11 4 3" xfId="30357"/>
    <cellStyle name="표준 2 2 11 5" xfId="9999"/>
    <cellStyle name="표준 2 2 11 6" xfId="13321"/>
    <cellStyle name="표준 2 2 11 6 2" xfId="34197"/>
    <cellStyle name="표준 2 2 11 7" xfId="25459"/>
    <cellStyle name="표준 2 2 12" xfId="3963"/>
    <cellStyle name="표준 2 2 12 2" xfId="6129"/>
    <cellStyle name="표준 2 2 12 2 2" xfId="10002"/>
    <cellStyle name="표준 2 2 12 2 3" xfId="15138"/>
    <cellStyle name="표준 2 2 12 2 3 2" xfId="36014"/>
    <cellStyle name="표준 2 2 12 2 4" xfId="27276"/>
    <cellStyle name="표준 2 2 12 3" xfId="9130"/>
    <cellStyle name="표준 2 2 12 3 2" xfId="18134"/>
    <cellStyle name="표준 2 2 12 3 2 2" xfId="39010"/>
    <cellStyle name="표준 2 2 12 3 3" xfId="30272"/>
    <cellStyle name="표준 2 2 12 4" xfId="9218"/>
    <cellStyle name="표준 2 2 12 4 2" xfId="18220"/>
    <cellStyle name="표준 2 2 12 4 2 2" xfId="39096"/>
    <cellStyle name="표준 2 2 12 4 3" xfId="30358"/>
    <cellStyle name="표준 2 2 12 5" xfId="10001"/>
    <cellStyle name="표준 2 2 12 6" xfId="13320"/>
    <cellStyle name="표준 2 2 12 6 2" xfId="34196"/>
    <cellStyle name="표준 2 2 12 7" xfId="25458"/>
    <cellStyle name="표준 2 2 13" xfId="3962"/>
    <cellStyle name="표준 2 2 13 2" xfId="6128"/>
    <cellStyle name="표준 2 2 13 2 2" xfId="10004"/>
    <cellStyle name="표준 2 2 13 2 3" xfId="15137"/>
    <cellStyle name="표준 2 2 13 2 3 2" xfId="36013"/>
    <cellStyle name="표준 2 2 13 2 4" xfId="27275"/>
    <cellStyle name="표준 2 2 13 3" xfId="9131"/>
    <cellStyle name="표준 2 2 13 3 2" xfId="18135"/>
    <cellStyle name="표준 2 2 13 3 2 2" xfId="39011"/>
    <cellStyle name="표준 2 2 13 3 3" xfId="30273"/>
    <cellStyle name="표준 2 2 13 4" xfId="9219"/>
    <cellStyle name="표준 2 2 13 4 2" xfId="18221"/>
    <cellStyle name="표준 2 2 13 4 2 2" xfId="39097"/>
    <cellStyle name="표준 2 2 13 4 3" xfId="30359"/>
    <cellStyle name="표준 2 2 13 5" xfId="10003"/>
    <cellStyle name="표준 2 2 13 6" xfId="13319"/>
    <cellStyle name="표준 2 2 13 6 2" xfId="34195"/>
    <cellStyle name="표준 2 2 13 7" xfId="25457"/>
    <cellStyle name="표준 2 2 14" xfId="3961"/>
    <cellStyle name="표준 2 2 14 2" xfId="6127"/>
    <cellStyle name="표준 2 2 14 2 2" xfId="10006"/>
    <cellStyle name="표준 2 2 14 2 3" xfId="15136"/>
    <cellStyle name="표준 2 2 14 2 3 2" xfId="36012"/>
    <cellStyle name="표준 2 2 14 2 4" xfId="27274"/>
    <cellStyle name="표준 2 2 14 3" xfId="9132"/>
    <cellStyle name="표준 2 2 14 3 2" xfId="18136"/>
    <cellStyle name="표준 2 2 14 3 2 2" xfId="39012"/>
    <cellStyle name="표준 2 2 14 3 3" xfId="30274"/>
    <cellStyle name="표준 2 2 14 4" xfId="9220"/>
    <cellStyle name="표준 2 2 14 4 2" xfId="18222"/>
    <cellStyle name="표준 2 2 14 4 2 2" xfId="39098"/>
    <cellStyle name="표준 2 2 14 4 3" xfId="30360"/>
    <cellStyle name="표준 2 2 14 5" xfId="10005"/>
    <cellStyle name="표준 2 2 14 6" xfId="13318"/>
    <cellStyle name="표준 2 2 14 6 2" xfId="34194"/>
    <cellStyle name="표준 2 2 14 7" xfId="25456"/>
    <cellStyle name="표준 2 2 15" xfId="3960"/>
    <cellStyle name="표준 2 2 15 10" xfId="9221"/>
    <cellStyle name="표준 2 2 15 10 2" xfId="18223"/>
    <cellStyle name="표준 2 2 15 10 2 2" xfId="39099"/>
    <cellStyle name="표준 2 2 15 10 3" xfId="30361"/>
    <cellStyle name="표준 2 2 15 11" xfId="10007"/>
    <cellStyle name="표준 2 2 15 12" xfId="13317"/>
    <cellStyle name="표준 2 2 15 12 2" xfId="34193"/>
    <cellStyle name="표준 2 2 15 13" xfId="25455"/>
    <cellStyle name="표준 2 2 15 2" xfId="3959"/>
    <cellStyle name="표준 2 2 15 3" xfId="3958"/>
    <cellStyle name="표준 2 2 15 4" xfId="3957"/>
    <cellStyle name="표준 2 2 15 5" xfId="3956"/>
    <cellStyle name="표준 2 2 15 6" xfId="3955"/>
    <cellStyle name="표준 2 2 15 7" xfId="3954"/>
    <cellStyle name="표준 2 2 15 8" xfId="6126"/>
    <cellStyle name="표준 2 2 15 8 2" xfId="10008"/>
    <cellStyle name="표준 2 2 15 8 3" xfId="15135"/>
    <cellStyle name="표준 2 2 15 8 3 2" xfId="36011"/>
    <cellStyle name="표준 2 2 15 8 4" xfId="27273"/>
    <cellStyle name="표준 2 2 15 9" xfId="9133"/>
    <cellStyle name="표준 2 2 15 9 2" xfId="18137"/>
    <cellStyle name="표준 2 2 15 9 2 2" xfId="39013"/>
    <cellStyle name="표준 2 2 15 9 3" xfId="30275"/>
    <cellStyle name="표준 2 2 16" xfId="3953"/>
    <cellStyle name="표준 2 2 17" xfId="3952"/>
    <cellStyle name="표준 2 2 17 2" xfId="6125"/>
    <cellStyle name="표준 2 2 17 2 2" xfId="10010"/>
    <cellStyle name="표준 2 2 17 2 3" xfId="15134"/>
    <cellStyle name="표준 2 2 17 2 3 2" xfId="36010"/>
    <cellStyle name="표준 2 2 17 2 4" xfId="27272"/>
    <cellStyle name="표준 2 2 17 3" xfId="9134"/>
    <cellStyle name="표준 2 2 17 3 2" xfId="18138"/>
    <cellStyle name="표준 2 2 17 3 2 2" xfId="39014"/>
    <cellStyle name="표준 2 2 17 3 3" xfId="30276"/>
    <cellStyle name="표준 2 2 17 4" xfId="9222"/>
    <cellStyle name="표준 2 2 17 4 2" xfId="18224"/>
    <cellStyle name="표준 2 2 17 4 2 2" xfId="39100"/>
    <cellStyle name="표준 2 2 17 4 3" xfId="30362"/>
    <cellStyle name="표준 2 2 17 5" xfId="10009"/>
    <cellStyle name="표준 2 2 17 6" xfId="13316"/>
    <cellStyle name="표준 2 2 17 6 2" xfId="34192"/>
    <cellStyle name="표준 2 2 17 7" xfId="25454"/>
    <cellStyle name="표준 2 2 18" xfId="3951"/>
    <cellStyle name="표준 2 2 18 2" xfId="6124"/>
    <cellStyle name="표준 2 2 18 2 2" xfId="10012"/>
    <cellStyle name="표준 2 2 18 2 3" xfId="15133"/>
    <cellStyle name="표준 2 2 18 2 3 2" xfId="36009"/>
    <cellStyle name="표준 2 2 18 2 4" xfId="27271"/>
    <cellStyle name="표준 2 2 18 3" xfId="9135"/>
    <cellStyle name="표준 2 2 18 3 2" xfId="18139"/>
    <cellStyle name="표준 2 2 18 3 2 2" xfId="39015"/>
    <cellStyle name="표준 2 2 18 3 3" xfId="30277"/>
    <cellStyle name="표준 2 2 18 4" xfId="9223"/>
    <cellStyle name="표준 2 2 18 4 2" xfId="18225"/>
    <cellStyle name="표준 2 2 18 4 2 2" xfId="39101"/>
    <cellStyle name="표준 2 2 18 4 3" xfId="30363"/>
    <cellStyle name="표준 2 2 18 5" xfId="10011"/>
    <cellStyle name="표준 2 2 18 6" xfId="13315"/>
    <cellStyle name="표준 2 2 18 6 2" xfId="34191"/>
    <cellStyle name="표준 2 2 18 7" xfId="25453"/>
    <cellStyle name="표준 2 2 19" xfId="3950"/>
    <cellStyle name="표준 2 2 19 2" xfId="6123"/>
    <cellStyle name="표준 2 2 19 2 2" xfId="10014"/>
    <cellStyle name="표준 2 2 19 2 3" xfId="15132"/>
    <cellStyle name="표준 2 2 19 2 3 2" xfId="36008"/>
    <cellStyle name="표준 2 2 19 2 4" xfId="27270"/>
    <cellStyle name="표준 2 2 19 3" xfId="9136"/>
    <cellStyle name="표준 2 2 19 3 2" xfId="18140"/>
    <cellStyle name="표준 2 2 19 3 2 2" xfId="39016"/>
    <cellStyle name="표준 2 2 19 3 3" xfId="30278"/>
    <cellStyle name="표준 2 2 19 4" xfId="9224"/>
    <cellStyle name="표준 2 2 19 4 2" xfId="18226"/>
    <cellStyle name="표준 2 2 19 4 2 2" xfId="39102"/>
    <cellStyle name="표준 2 2 19 4 3" xfId="30364"/>
    <cellStyle name="표준 2 2 19 5" xfId="10013"/>
    <cellStyle name="표준 2 2 19 6" xfId="13314"/>
    <cellStyle name="표준 2 2 19 6 2" xfId="34190"/>
    <cellStyle name="표준 2 2 19 7" xfId="25452"/>
    <cellStyle name="표준 2 2 2" xfId="3173"/>
    <cellStyle name="표준 2 2 2 10" xfId="3949"/>
    <cellStyle name="표준 2 2 2 10 2" xfId="6122"/>
    <cellStyle name="표준 2 2 2 10 2 2" xfId="10017"/>
    <cellStyle name="표준 2 2 2 10 2 3" xfId="15131"/>
    <cellStyle name="표준 2 2 2 10 2 3 2" xfId="36007"/>
    <cellStyle name="표준 2 2 2 10 2 4" xfId="27269"/>
    <cellStyle name="표준 2 2 2 10 3" xfId="9138"/>
    <cellStyle name="표준 2 2 2 10 3 2" xfId="18142"/>
    <cellStyle name="표준 2 2 2 10 3 2 2" xfId="39018"/>
    <cellStyle name="표준 2 2 2 10 3 3" xfId="30280"/>
    <cellStyle name="표준 2 2 2 10 4" xfId="9225"/>
    <cellStyle name="표준 2 2 2 10 4 2" xfId="18227"/>
    <cellStyle name="표준 2 2 2 10 4 2 2" xfId="39103"/>
    <cellStyle name="표준 2 2 2 10 4 3" xfId="30365"/>
    <cellStyle name="표준 2 2 2 10 5" xfId="10016"/>
    <cellStyle name="표준 2 2 2 10 6" xfId="13313"/>
    <cellStyle name="표준 2 2 2 10 6 2" xfId="34189"/>
    <cellStyle name="표준 2 2 2 10 7" xfId="25451"/>
    <cellStyle name="표준 2 2 2 11" xfId="3948"/>
    <cellStyle name="표준 2 2 2 12" xfId="3947"/>
    <cellStyle name="표준 2 2 2 13" xfId="3946"/>
    <cellStyle name="표준 2 2 2 14" xfId="3945"/>
    <cellStyle name="표준 2 2 2 15" xfId="3944"/>
    <cellStyle name="표준 2 2 2 16" xfId="5451"/>
    <cellStyle name="표준 2 2 2 16 2" xfId="10018"/>
    <cellStyle name="표준 2 2 2 16 3" xfId="14460"/>
    <cellStyle name="표준 2 2 2 16 3 2" xfId="35336"/>
    <cellStyle name="표준 2 2 2 16 4" xfId="26598"/>
    <cellStyle name="표준 2 2 2 17" xfId="7254"/>
    <cellStyle name="표준 2 2 2 17 2" xfId="16261"/>
    <cellStyle name="표준 2 2 2 17 2 2" xfId="37137"/>
    <cellStyle name="표준 2 2 2 17 3" xfId="28399"/>
    <cellStyle name="표준 2 2 2 18" xfId="7898"/>
    <cellStyle name="표준 2 2 2 18 2" xfId="16904"/>
    <cellStyle name="표준 2 2 2 18 2 2" xfId="37780"/>
    <cellStyle name="표준 2 2 2 18 3" xfId="29042"/>
    <cellStyle name="표준 2 2 2 19" xfId="8746"/>
    <cellStyle name="표준 2 2 2 19 2" xfId="17751"/>
    <cellStyle name="표준 2 2 2 19 2 2" xfId="38627"/>
    <cellStyle name="표준 2 2 2 19 3" xfId="29889"/>
    <cellStyle name="표준 2 2 2 2" xfId="3615"/>
    <cellStyle name="표준 2 2 2 2 10" xfId="3943"/>
    <cellStyle name="표준 2 2 2 2 11" xfId="5888"/>
    <cellStyle name="표준 2 2 2 2 11 2" xfId="14897"/>
    <cellStyle name="표준 2 2 2 2 11 2 2" xfId="35773"/>
    <cellStyle name="표준 2 2 2 2 11 3" xfId="27035"/>
    <cellStyle name="표준 2 2 2 2 12" xfId="13078"/>
    <cellStyle name="표준 2 2 2 2 12 2" xfId="33955"/>
    <cellStyle name="표준 2 2 2 2 13" xfId="25205"/>
    <cellStyle name="표준 2 2 2 2 2" xfId="3942"/>
    <cellStyle name="표준 2 2 2 2 2 10" xfId="9226"/>
    <cellStyle name="표준 2 2 2 2 2 10 2" xfId="18228"/>
    <cellStyle name="표준 2 2 2 2 2 10 2 2" xfId="39104"/>
    <cellStyle name="표준 2 2 2 2 2 10 3" xfId="30366"/>
    <cellStyle name="표준 2 2 2 2 2 11" xfId="10019"/>
    <cellStyle name="표준 2 2 2 2 2 12" xfId="13312"/>
    <cellStyle name="표준 2 2 2 2 2 12 2" xfId="34188"/>
    <cellStyle name="표준 2 2 2 2 2 13" xfId="25450"/>
    <cellStyle name="표준 2 2 2 2 2 2" xfId="3941"/>
    <cellStyle name="표준 2 2 2 2 2 3" xfId="3940"/>
    <cellStyle name="표준 2 2 2 2 2 4" xfId="3939"/>
    <cellStyle name="표준 2 2 2 2 2 5" xfId="3938"/>
    <cellStyle name="표준 2 2 2 2 2 6" xfId="3937"/>
    <cellStyle name="표준 2 2 2 2 2 7" xfId="3936"/>
    <cellStyle name="표준 2 2 2 2 2 8" xfId="6121"/>
    <cellStyle name="표준 2 2 2 2 2 8 2" xfId="10020"/>
    <cellStyle name="표준 2 2 2 2 2 8 3" xfId="15130"/>
    <cellStyle name="표준 2 2 2 2 2 8 3 2" xfId="36006"/>
    <cellStyle name="표준 2 2 2 2 2 8 4" xfId="27268"/>
    <cellStyle name="표준 2 2 2 2 2 9" xfId="9139"/>
    <cellStyle name="표준 2 2 2 2 2 9 2" xfId="18143"/>
    <cellStyle name="표준 2 2 2 2 2 9 2 2" xfId="39019"/>
    <cellStyle name="표준 2 2 2 2 2 9 3" xfId="30281"/>
    <cellStyle name="표준 2 2 2 2 3" xfId="3935"/>
    <cellStyle name="표준 2 2 2 2 4" xfId="3934"/>
    <cellStyle name="표준 2 2 2 2 5" xfId="3933"/>
    <cellStyle name="표준 2 2 2 2 5 2" xfId="6120"/>
    <cellStyle name="표준 2 2 2 2 5 2 2" xfId="10022"/>
    <cellStyle name="표준 2 2 2 2 5 2 3" xfId="15129"/>
    <cellStyle name="표준 2 2 2 2 5 2 3 2" xfId="36005"/>
    <cellStyle name="표준 2 2 2 2 5 2 4" xfId="27267"/>
    <cellStyle name="표준 2 2 2 2 5 3" xfId="9140"/>
    <cellStyle name="표준 2 2 2 2 5 3 2" xfId="18144"/>
    <cellStyle name="표준 2 2 2 2 5 3 2 2" xfId="39020"/>
    <cellStyle name="표준 2 2 2 2 5 3 3" xfId="30282"/>
    <cellStyle name="표준 2 2 2 2 5 4" xfId="9228"/>
    <cellStyle name="표준 2 2 2 2 5 4 2" xfId="18229"/>
    <cellStyle name="표준 2 2 2 2 5 4 2 2" xfId="39105"/>
    <cellStyle name="표준 2 2 2 2 5 4 3" xfId="30367"/>
    <cellStyle name="표준 2 2 2 2 5 5" xfId="10021"/>
    <cellStyle name="표준 2 2 2 2 5 6" xfId="13311"/>
    <cellStyle name="표준 2 2 2 2 5 6 2" xfId="34187"/>
    <cellStyle name="표준 2 2 2 2 5 7" xfId="25449"/>
    <cellStyle name="표준 2 2 2 2 6" xfId="3932"/>
    <cellStyle name="표준 2 2 2 2 6 2" xfId="6119"/>
    <cellStyle name="표준 2 2 2 2 6 2 2" xfId="10024"/>
    <cellStyle name="표준 2 2 2 2 6 2 3" xfId="15128"/>
    <cellStyle name="표준 2 2 2 2 6 2 3 2" xfId="36004"/>
    <cellStyle name="표준 2 2 2 2 6 2 4" xfId="27266"/>
    <cellStyle name="표준 2 2 2 2 6 3" xfId="9141"/>
    <cellStyle name="표준 2 2 2 2 6 3 2" xfId="18145"/>
    <cellStyle name="표준 2 2 2 2 6 3 2 2" xfId="39021"/>
    <cellStyle name="표준 2 2 2 2 6 3 3" xfId="30283"/>
    <cellStyle name="표준 2 2 2 2 6 4" xfId="9229"/>
    <cellStyle name="표준 2 2 2 2 6 4 2" xfId="18230"/>
    <cellStyle name="표준 2 2 2 2 6 4 2 2" xfId="39106"/>
    <cellStyle name="표준 2 2 2 2 6 4 3" xfId="30368"/>
    <cellStyle name="표준 2 2 2 2 6 5" xfId="10023"/>
    <cellStyle name="표준 2 2 2 2 6 6" xfId="13310"/>
    <cellStyle name="표준 2 2 2 2 6 6 2" xfId="34186"/>
    <cellStyle name="표준 2 2 2 2 6 7" xfId="25448"/>
    <cellStyle name="표준 2 2 2 2 7" xfId="3931"/>
    <cellStyle name="표준 2 2 2 2 7 2" xfId="6118"/>
    <cellStyle name="표준 2 2 2 2 7 2 2" xfId="10026"/>
    <cellStyle name="표준 2 2 2 2 7 2 3" xfId="15127"/>
    <cellStyle name="표준 2 2 2 2 7 2 3 2" xfId="36003"/>
    <cellStyle name="표준 2 2 2 2 7 2 4" xfId="27265"/>
    <cellStyle name="표준 2 2 2 2 7 3" xfId="9142"/>
    <cellStyle name="표준 2 2 2 2 7 3 2" xfId="18146"/>
    <cellStyle name="표준 2 2 2 2 7 3 2 2" xfId="39022"/>
    <cellStyle name="표준 2 2 2 2 7 3 3" xfId="30284"/>
    <cellStyle name="표준 2 2 2 2 7 4" xfId="9230"/>
    <cellStyle name="표준 2 2 2 2 7 4 2" xfId="18231"/>
    <cellStyle name="표준 2 2 2 2 7 4 2 2" xfId="39107"/>
    <cellStyle name="표준 2 2 2 2 7 4 3" xfId="30369"/>
    <cellStyle name="표준 2 2 2 2 7 5" xfId="10025"/>
    <cellStyle name="표준 2 2 2 2 7 6" xfId="13309"/>
    <cellStyle name="표준 2 2 2 2 7 6 2" xfId="34185"/>
    <cellStyle name="표준 2 2 2 2 7 7" xfId="25447"/>
    <cellStyle name="표준 2 2 2 2 8" xfId="3930"/>
    <cellStyle name="표준 2 2 2 2 8 2" xfId="6117"/>
    <cellStyle name="표준 2 2 2 2 8 2 2" xfId="10028"/>
    <cellStyle name="표준 2 2 2 2 8 2 3" xfId="15126"/>
    <cellStyle name="표준 2 2 2 2 8 2 3 2" xfId="36002"/>
    <cellStyle name="표준 2 2 2 2 8 2 4" xfId="27264"/>
    <cellStyle name="표준 2 2 2 2 8 3" xfId="9143"/>
    <cellStyle name="표준 2 2 2 2 8 3 2" xfId="18147"/>
    <cellStyle name="표준 2 2 2 2 8 3 2 2" xfId="39023"/>
    <cellStyle name="표준 2 2 2 2 8 3 3" xfId="30285"/>
    <cellStyle name="표준 2 2 2 2 8 4" xfId="9231"/>
    <cellStyle name="표준 2 2 2 2 8 4 2" xfId="18232"/>
    <cellStyle name="표준 2 2 2 2 8 4 2 2" xfId="39108"/>
    <cellStyle name="표준 2 2 2 2 8 4 3" xfId="30370"/>
    <cellStyle name="표준 2 2 2 2 8 5" xfId="10027"/>
    <cellStyle name="표준 2 2 2 2 8 6" xfId="13308"/>
    <cellStyle name="표준 2 2 2 2 8 6 2" xfId="34184"/>
    <cellStyle name="표준 2 2 2 2 8 7" xfId="25446"/>
    <cellStyle name="표준 2 2 2 2 9" xfId="3929"/>
    <cellStyle name="표준 2 2 2 2 9 2" xfId="6116"/>
    <cellStyle name="표준 2 2 2 2 9 2 2" xfId="10030"/>
    <cellStyle name="표준 2 2 2 2 9 2 3" xfId="15125"/>
    <cellStyle name="표준 2 2 2 2 9 2 3 2" xfId="36001"/>
    <cellStyle name="표준 2 2 2 2 9 2 4" xfId="27263"/>
    <cellStyle name="표준 2 2 2 2 9 3" xfId="9144"/>
    <cellStyle name="표준 2 2 2 2 9 3 2" xfId="18148"/>
    <cellStyle name="표준 2 2 2 2 9 3 2 2" xfId="39024"/>
    <cellStyle name="표준 2 2 2 2 9 3 3" xfId="30286"/>
    <cellStyle name="표준 2 2 2 2 9 4" xfId="9232"/>
    <cellStyle name="표준 2 2 2 2 9 4 2" xfId="18233"/>
    <cellStyle name="표준 2 2 2 2 9 4 2 2" xfId="39109"/>
    <cellStyle name="표준 2 2 2 2 9 4 3" xfId="30371"/>
    <cellStyle name="표준 2 2 2 2 9 5" xfId="10029"/>
    <cellStyle name="표준 2 2 2 2 9 6" xfId="13307"/>
    <cellStyle name="표준 2 2 2 2 9 6 2" xfId="34183"/>
    <cellStyle name="표준 2 2 2 2 9 7" xfId="25445"/>
    <cellStyle name="표준 2 2 2 20" xfId="9137"/>
    <cellStyle name="표준 2 2 2 20 2" xfId="18141"/>
    <cellStyle name="표준 2 2 2 20 2 2" xfId="39017"/>
    <cellStyle name="표준 2 2 2 20 3" xfId="30279"/>
    <cellStyle name="표준 2 2 2 21" xfId="9571"/>
    <cellStyle name="표준 2 2 2 21 2" xfId="18569"/>
    <cellStyle name="표준 2 2 2 21 2 2" xfId="39445"/>
    <cellStyle name="표준 2 2 2 21 3" xfId="30707"/>
    <cellStyle name="표준 2 2 2 22" xfId="10015"/>
    <cellStyle name="표준 2 2 2 23" xfId="10626"/>
    <cellStyle name="표준 2 2 2 23 2" xfId="19397"/>
    <cellStyle name="표준 2 2 2 23 2 2" xfId="40273"/>
    <cellStyle name="표준 2 2 2 23 3" xfId="31537"/>
    <cellStyle name="표준 2 2 2 24" xfId="11492"/>
    <cellStyle name="표준 2 2 2 24 2" xfId="20258"/>
    <cellStyle name="표준 2 2 2 24 2 2" xfId="41134"/>
    <cellStyle name="표준 2 2 2 24 3" xfId="32398"/>
    <cellStyle name="표준 2 2 2 25" xfId="12641"/>
    <cellStyle name="표준 2 2 2 25 2" xfId="33518"/>
    <cellStyle name="표준 2 2 2 26" xfId="24768"/>
    <cellStyle name="표준 2 2 2 3" xfId="4776"/>
    <cellStyle name="표준 2 2 2 3 2" xfId="3928"/>
    <cellStyle name="표준 2 2 2 3 3" xfId="6608"/>
    <cellStyle name="표준 2 2 2 3 3 2" xfId="15617"/>
    <cellStyle name="표준 2 2 2 3 3 2 2" xfId="36493"/>
    <cellStyle name="표준 2 2 2 3 3 3" xfId="27755"/>
    <cellStyle name="표준 2 2 2 3 4" xfId="13799"/>
    <cellStyle name="표준 2 2 2 3 4 2" xfId="34675"/>
    <cellStyle name="표준 2 2 2 3 5" xfId="25937"/>
    <cellStyle name="표준 2 2 2 4" xfId="3927"/>
    <cellStyle name="표준 2 2 2 5" xfId="3926"/>
    <cellStyle name="표준 2 2 2 6" xfId="3925"/>
    <cellStyle name="표준 2 2 2 7" xfId="3924"/>
    <cellStyle name="표준 2 2 2 8" xfId="3923"/>
    <cellStyle name="표준 2 2 2 9" xfId="3922"/>
    <cellStyle name="표준 2 2 2 9 2" xfId="3921"/>
    <cellStyle name="표준 2 2 2 9 2 2" xfId="6115"/>
    <cellStyle name="표준 2 2 2 9 2 2 2" xfId="10032"/>
    <cellStyle name="표준 2 2 2 9 2 2 3" xfId="15124"/>
    <cellStyle name="표준 2 2 2 9 2 2 3 2" xfId="36000"/>
    <cellStyle name="표준 2 2 2 9 2 2 4" xfId="27262"/>
    <cellStyle name="표준 2 2 2 9 2 3" xfId="9145"/>
    <cellStyle name="표준 2 2 2 9 2 3 2" xfId="18149"/>
    <cellStyle name="표준 2 2 2 9 2 3 2 2" xfId="39025"/>
    <cellStyle name="표준 2 2 2 9 2 3 3" xfId="30287"/>
    <cellStyle name="표준 2 2 2 9 2 4" xfId="9234"/>
    <cellStyle name="표준 2 2 2 9 2 4 2" xfId="18234"/>
    <cellStyle name="표준 2 2 2 9 2 4 2 2" xfId="39110"/>
    <cellStyle name="표준 2 2 2 9 2 4 3" xfId="30372"/>
    <cellStyle name="표준 2 2 2 9 2 5" xfId="10031"/>
    <cellStyle name="표준 2 2 2 9 2 6" xfId="13306"/>
    <cellStyle name="표준 2 2 2 9 2 6 2" xfId="34182"/>
    <cellStyle name="표준 2 2 2 9 2 7" xfId="25444"/>
    <cellStyle name="표준 2 2 2 9 3" xfId="3920"/>
    <cellStyle name="표준 2 2 2 9 3 2" xfId="6114"/>
    <cellStyle name="표준 2 2 2 9 3 2 2" xfId="10034"/>
    <cellStyle name="표준 2 2 2 9 3 2 3" xfId="15123"/>
    <cellStyle name="표준 2 2 2 9 3 2 3 2" xfId="35999"/>
    <cellStyle name="표준 2 2 2 9 3 2 4" xfId="27261"/>
    <cellStyle name="표준 2 2 2 9 3 3" xfId="9146"/>
    <cellStyle name="표준 2 2 2 9 3 3 2" xfId="18150"/>
    <cellStyle name="표준 2 2 2 9 3 3 2 2" xfId="39026"/>
    <cellStyle name="표준 2 2 2 9 3 3 3" xfId="30288"/>
    <cellStyle name="표준 2 2 2 9 3 4" xfId="9235"/>
    <cellStyle name="표준 2 2 2 9 3 4 2" xfId="18235"/>
    <cellStyle name="표준 2 2 2 9 3 4 2 2" xfId="39111"/>
    <cellStyle name="표준 2 2 2 9 3 4 3" xfId="30373"/>
    <cellStyle name="표준 2 2 2 9 3 5" xfId="10033"/>
    <cellStyle name="표준 2 2 2 9 3 6" xfId="13305"/>
    <cellStyle name="표준 2 2 2 9 3 6 2" xfId="34181"/>
    <cellStyle name="표준 2 2 2 9 3 7" xfId="25443"/>
    <cellStyle name="표준 2 2 2 9 4" xfId="3919"/>
    <cellStyle name="표준 2 2 2 9 4 2" xfId="6113"/>
    <cellStyle name="표준 2 2 2 9 4 2 2" xfId="10036"/>
    <cellStyle name="표준 2 2 2 9 4 2 3" xfId="15122"/>
    <cellStyle name="표준 2 2 2 9 4 2 3 2" xfId="35998"/>
    <cellStyle name="표준 2 2 2 9 4 2 4" xfId="27260"/>
    <cellStyle name="표준 2 2 2 9 4 3" xfId="9147"/>
    <cellStyle name="표준 2 2 2 9 4 3 2" xfId="18151"/>
    <cellStyle name="표준 2 2 2 9 4 3 2 2" xfId="39027"/>
    <cellStyle name="표준 2 2 2 9 4 3 3" xfId="30289"/>
    <cellStyle name="표준 2 2 2 9 4 4" xfId="9236"/>
    <cellStyle name="표준 2 2 2 9 4 4 2" xfId="18236"/>
    <cellStyle name="표준 2 2 2 9 4 4 2 2" xfId="39112"/>
    <cellStyle name="표준 2 2 2 9 4 4 3" xfId="30374"/>
    <cellStyle name="표준 2 2 2 9 4 5" xfId="10035"/>
    <cellStyle name="표준 2 2 2 9 4 6" xfId="13304"/>
    <cellStyle name="표준 2 2 2 9 4 6 2" xfId="34180"/>
    <cellStyle name="표준 2 2 2 9 4 7" xfId="25442"/>
    <cellStyle name="표준 2 2 2 9 5" xfId="3918"/>
    <cellStyle name="표준 2 2 2 9 5 2" xfId="6112"/>
    <cellStyle name="표준 2 2 2 9 5 2 2" xfId="10038"/>
    <cellStyle name="표준 2 2 2 9 5 2 3" xfId="15121"/>
    <cellStyle name="표준 2 2 2 9 5 2 3 2" xfId="35997"/>
    <cellStyle name="표준 2 2 2 9 5 2 4" xfId="27259"/>
    <cellStyle name="표준 2 2 2 9 5 3" xfId="9148"/>
    <cellStyle name="표준 2 2 2 9 5 3 2" xfId="18152"/>
    <cellStyle name="표준 2 2 2 9 5 3 2 2" xfId="39028"/>
    <cellStyle name="표준 2 2 2 9 5 3 3" xfId="30290"/>
    <cellStyle name="표준 2 2 2 9 5 4" xfId="9237"/>
    <cellStyle name="표준 2 2 2 9 5 4 2" xfId="18237"/>
    <cellStyle name="표준 2 2 2 9 5 4 2 2" xfId="39113"/>
    <cellStyle name="표준 2 2 2 9 5 4 3" xfId="30375"/>
    <cellStyle name="표준 2 2 2 9 5 5" xfId="10037"/>
    <cellStyle name="표준 2 2 2 9 5 6" xfId="13303"/>
    <cellStyle name="표준 2 2 2 9 5 6 2" xfId="34179"/>
    <cellStyle name="표준 2 2 2 9 5 7" xfId="25441"/>
    <cellStyle name="표준 2 2 2 9 6" xfId="3917"/>
    <cellStyle name="표준 2 2 2 9 6 2" xfId="6111"/>
    <cellStyle name="표준 2 2 2 9 6 2 2" xfId="10040"/>
    <cellStyle name="표준 2 2 2 9 6 2 3" xfId="15120"/>
    <cellStyle name="표준 2 2 2 9 6 2 3 2" xfId="35996"/>
    <cellStyle name="표준 2 2 2 9 6 2 4" xfId="27258"/>
    <cellStyle name="표준 2 2 2 9 6 3" xfId="9149"/>
    <cellStyle name="표준 2 2 2 9 6 3 2" xfId="18153"/>
    <cellStyle name="표준 2 2 2 9 6 3 2 2" xfId="39029"/>
    <cellStyle name="표준 2 2 2 9 6 3 3" xfId="30291"/>
    <cellStyle name="표준 2 2 2 9 6 4" xfId="9238"/>
    <cellStyle name="표준 2 2 2 9 6 4 2" xfId="18238"/>
    <cellStyle name="표준 2 2 2 9 6 4 2 2" xfId="39114"/>
    <cellStyle name="표준 2 2 2 9 6 4 3" xfId="30376"/>
    <cellStyle name="표준 2 2 2 9 6 5" xfId="10039"/>
    <cellStyle name="표준 2 2 2 9 6 6" xfId="13302"/>
    <cellStyle name="표준 2 2 2 9 6 6 2" xfId="34178"/>
    <cellStyle name="표준 2 2 2 9 6 7" xfId="25440"/>
    <cellStyle name="표준 2 2 2 9 7" xfId="3916"/>
    <cellStyle name="표준 2 2 2 9 7 2" xfId="6110"/>
    <cellStyle name="표준 2 2 2 9 7 2 2" xfId="10042"/>
    <cellStyle name="표준 2 2 2 9 7 2 3" xfId="15119"/>
    <cellStyle name="표준 2 2 2 9 7 2 3 2" xfId="35995"/>
    <cellStyle name="표준 2 2 2 9 7 2 4" xfId="27257"/>
    <cellStyle name="표준 2 2 2 9 7 3" xfId="9150"/>
    <cellStyle name="표준 2 2 2 9 7 3 2" xfId="18154"/>
    <cellStyle name="표준 2 2 2 9 7 3 2 2" xfId="39030"/>
    <cellStyle name="표준 2 2 2 9 7 3 3" xfId="30292"/>
    <cellStyle name="표준 2 2 2 9 7 4" xfId="9239"/>
    <cellStyle name="표준 2 2 2 9 7 4 2" xfId="18239"/>
    <cellStyle name="표준 2 2 2 9 7 4 2 2" xfId="39115"/>
    <cellStyle name="표준 2 2 2 9 7 4 3" xfId="30377"/>
    <cellStyle name="표준 2 2 2 9 7 5" xfId="10041"/>
    <cellStyle name="표준 2 2 2 9 7 6" xfId="13301"/>
    <cellStyle name="표준 2 2 2 9 7 6 2" xfId="34177"/>
    <cellStyle name="표준 2 2 2 9 7 7" xfId="25439"/>
    <cellStyle name="표준 2 2 20" xfId="3915"/>
    <cellStyle name="표준 2 2 20 2" xfId="6109"/>
    <cellStyle name="표준 2 2 20 2 2" xfId="10044"/>
    <cellStyle name="표준 2 2 20 2 3" xfId="15118"/>
    <cellStyle name="표준 2 2 20 2 3 2" xfId="35994"/>
    <cellStyle name="표준 2 2 20 2 4" xfId="27256"/>
    <cellStyle name="표준 2 2 20 3" xfId="9151"/>
    <cellStyle name="표준 2 2 20 3 2" xfId="18155"/>
    <cellStyle name="표준 2 2 20 3 2 2" xfId="39031"/>
    <cellStyle name="표준 2 2 20 3 3" xfId="30293"/>
    <cellStyle name="표준 2 2 20 4" xfId="9240"/>
    <cellStyle name="표준 2 2 20 4 2" xfId="18240"/>
    <cellStyle name="표준 2 2 20 4 2 2" xfId="39116"/>
    <cellStyle name="표준 2 2 20 4 3" xfId="30378"/>
    <cellStyle name="표준 2 2 20 5" xfId="10043"/>
    <cellStyle name="표준 2 2 20 6" xfId="13300"/>
    <cellStyle name="표준 2 2 20 6 2" xfId="34176"/>
    <cellStyle name="표준 2 2 20 7" xfId="25438"/>
    <cellStyle name="표준 2 2 21" xfId="3914"/>
    <cellStyle name="표준 2 2 21 2" xfId="6108"/>
    <cellStyle name="표준 2 2 21 2 2" xfId="10046"/>
    <cellStyle name="표준 2 2 21 2 3" xfId="15117"/>
    <cellStyle name="표준 2 2 21 2 3 2" xfId="35993"/>
    <cellStyle name="표준 2 2 21 2 4" xfId="27255"/>
    <cellStyle name="표준 2 2 21 3" xfId="9152"/>
    <cellStyle name="표준 2 2 21 3 2" xfId="18156"/>
    <cellStyle name="표준 2 2 21 3 2 2" xfId="39032"/>
    <cellStyle name="표준 2 2 21 3 3" xfId="30294"/>
    <cellStyle name="표준 2 2 21 4" xfId="9241"/>
    <cellStyle name="표준 2 2 21 4 2" xfId="18241"/>
    <cellStyle name="표준 2 2 21 4 2 2" xfId="39117"/>
    <cellStyle name="표준 2 2 21 4 3" xfId="30379"/>
    <cellStyle name="표준 2 2 21 5" xfId="10045"/>
    <cellStyle name="표준 2 2 21 6" xfId="13299"/>
    <cellStyle name="표준 2 2 21 6 2" xfId="34175"/>
    <cellStyle name="표준 2 2 21 7" xfId="25437"/>
    <cellStyle name="표준 2 2 22" xfId="4923"/>
    <cellStyle name="표준 2 2 23" xfId="7043"/>
    <cellStyle name="표준 2 2 23 2" xfId="16051"/>
    <cellStyle name="표준 2 2 23 2 2" xfId="36927"/>
    <cellStyle name="표준 2 2 23 3" xfId="28189"/>
    <cellStyle name="표준 2 2 24" xfId="7688"/>
    <cellStyle name="표준 2 2 24 2" xfId="16694"/>
    <cellStyle name="표준 2 2 24 2 2" xfId="37570"/>
    <cellStyle name="표준 2 2 24 3" xfId="28832"/>
    <cellStyle name="표준 2 2 25" xfId="8536"/>
    <cellStyle name="표준 2 2 25 2" xfId="17541"/>
    <cellStyle name="표준 2 2 25 2 2" xfId="38417"/>
    <cellStyle name="표준 2 2 25 3" xfId="29679"/>
    <cellStyle name="표준 2 2 26" xfId="9360"/>
    <cellStyle name="표준 2 2 26 2" xfId="18359"/>
    <cellStyle name="표준 2 2 26 2 2" xfId="39235"/>
    <cellStyle name="표준 2 2 26 3" xfId="30497"/>
    <cellStyle name="표준 2 2 27" xfId="10416"/>
    <cellStyle name="표준 2 2 27 2" xfId="19187"/>
    <cellStyle name="표준 2 2 27 2 2" xfId="40063"/>
    <cellStyle name="표준 2 2 27 3" xfId="31327"/>
    <cellStyle name="표준 2 2 28" xfId="11282"/>
    <cellStyle name="표준 2 2 28 2" xfId="20048"/>
    <cellStyle name="표준 2 2 28 2 2" xfId="40924"/>
    <cellStyle name="표준 2 2 28 3" xfId="32188"/>
    <cellStyle name="표준 2 2 29" xfId="12192"/>
    <cellStyle name="표준 2 2 3" xfId="2955"/>
    <cellStyle name="표준 2 2 3 10" xfId="11709"/>
    <cellStyle name="표준 2 2 3 10 2" xfId="20475"/>
    <cellStyle name="표준 2 2 3 10 2 2" xfId="41351"/>
    <cellStyle name="표준 2 2 3 10 3" xfId="32615"/>
    <cellStyle name="표준 2 2 3 11" xfId="12430"/>
    <cellStyle name="표준 2 2 3 11 2" xfId="33308"/>
    <cellStyle name="표준 2 2 3 12" xfId="24558"/>
    <cellStyle name="표준 2 2 3 2" xfId="4998"/>
    <cellStyle name="표준 2 2 3 2 2" xfId="6825"/>
    <cellStyle name="표준 2 2 3 2 2 2" xfId="15834"/>
    <cellStyle name="표준 2 2 3 2 2 2 2" xfId="36710"/>
    <cellStyle name="표준 2 2 3 2 2 3" xfId="27972"/>
    <cellStyle name="표준 2 2 3 2 3" xfId="14016"/>
    <cellStyle name="표준 2 2 3 2 3 2" xfId="34892"/>
    <cellStyle name="표준 2 2 3 2 4" xfId="26154"/>
    <cellStyle name="표준 2 2 3 3" xfId="3913"/>
    <cellStyle name="표준 2 2 3 4" xfId="5241"/>
    <cellStyle name="표준 2 2 3 4 2" xfId="14250"/>
    <cellStyle name="표준 2 2 3 4 2 2" xfId="35126"/>
    <cellStyle name="표준 2 2 3 4 3" xfId="26388"/>
    <cellStyle name="표준 2 2 3 5" xfId="7471"/>
    <cellStyle name="표준 2 2 3 5 2" xfId="16478"/>
    <cellStyle name="표준 2 2 3 5 2 2" xfId="37354"/>
    <cellStyle name="표준 2 2 3 5 3" xfId="28616"/>
    <cellStyle name="표준 2 2 3 6" xfId="8115"/>
    <cellStyle name="표준 2 2 3 6 2" xfId="17121"/>
    <cellStyle name="표준 2 2 3 6 2 2" xfId="37997"/>
    <cellStyle name="표준 2 2 3 6 3" xfId="29259"/>
    <cellStyle name="표준 2 2 3 7" xfId="8963"/>
    <cellStyle name="표준 2 2 3 7 2" xfId="17968"/>
    <cellStyle name="표준 2 2 3 7 2 2" xfId="38844"/>
    <cellStyle name="표준 2 2 3 7 3" xfId="30106"/>
    <cellStyle name="표준 2 2 3 8" xfId="9788"/>
    <cellStyle name="표준 2 2 3 8 2" xfId="18786"/>
    <cellStyle name="표준 2 2 3 8 2 2" xfId="39662"/>
    <cellStyle name="표준 2 2 3 8 3" xfId="30924"/>
    <cellStyle name="표준 2 2 3 9" xfId="10843"/>
    <cellStyle name="표준 2 2 3 9 2" xfId="19614"/>
    <cellStyle name="표준 2 2 3 9 2 2" xfId="40490"/>
    <cellStyle name="표준 2 2 3 9 3" xfId="31754"/>
    <cellStyle name="표준 2 2 4" xfId="3405"/>
    <cellStyle name="표준 2 2 4 2" xfId="3912"/>
    <cellStyle name="표준 2 2 4 3" xfId="5678"/>
    <cellStyle name="표준 2 2 4 3 2" xfId="14687"/>
    <cellStyle name="표준 2 2 4 3 2 2" xfId="35563"/>
    <cellStyle name="표준 2 2 4 3 3" xfId="26825"/>
    <cellStyle name="표준 2 2 4 4" xfId="11061"/>
    <cellStyle name="표준 2 2 4 4 2" xfId="19831"/>
    <cellStyle name="표준 2 2 4 4 2 2" xfId="40707"/>
    <cellStyle name="표준 2 2 4 4 3" xfId="31971"/>
    <cellStyle name="표준 2 2 4 5" xfId="11926"/>
    <cellStyle name="표준 2 2 4 5 2" xfId="20692"/>
    <cellStyle name="표준 2 2 4 5 2 2" xfId="41568"/>
    <cellStyle name="표준 2 2 4 5 3" xfId="32832"/>
    <cellStyle name="표준 2 2 4 6" xfId="12868"/>
    <cellStyle name="표준 2 2 4 6 2" xfId="33745"/>
    <cellStyle name="표준 2 2 4 7" xfId="24995"/>
    <cellStyle name="표준 2 2 5" xfId="4564"/>
    <cellStyle name="표준 2 2 5 2" xfId="3911"/>
    <cellStyle name="표준 2 2 5 3" xfId="6398"/>
    <cellStyle name="표준 2 2 5 3 2" xfId="15407"/>
    <cellStyle name="표준 2 2 5 3 2 2" xfId="36283"/>
    <cellStyle name="표준 2 2 5 3 3" xfId="27545"/>
    <cellStyle name="표준 2 2 5 4" xfId="13589"/>
    <cellStyle name="표준 2 2 5 4 2" xfId="34465"/>
    <cellStyle name="표준 2 2 5 5" xfId="25727"/>
    <cellStyle name="표준 2 2 6" xfId="3910"/>
    <cellStyle name="표준 2 2 7" xfId="3909"/>
    <cellStyle name="표준 2 2 8" xfId="3908"/>
    <cellStyle name="표준 2 2 9" xfId="3907"/>
    <cellStyle name="표준 2 2 9 10" xfId="6107"/>
    <cellStyle name="표준 2 2 9 10 2" xfId="10048"/>
    <cellStyle name="표준 2 2 9 10 3" xfId="15116"/>
    <cellStyle name="표준 2 2 9 10 3 2" xfId="35992"/>
    <cellStyle name="표준 2 2 9 10 4" xfId="27254"/>
    <cellStyle name="표준 2 2 9 11" xfId="9153"/>
    <cellStyle name="표준 2 2 9 11 2" xfId="18157"/>
    <cellStyle name="표준 2 2 9 11 2 2" xfId="39033"/>
    <cellStyle name="표준 2 2 9 11 3" xfId="30295"/>
    <cellStyle name="표준 2 2 9 12" xfId="9242"/>
    <cellStyle name="표준 2 2 9 12 2" xfId="18242"/>
    <cellStyle name="표준 2 2 9 12 2 2" xfId="39118"/>
    <cellStyle name="표준 2 2 9 12 3" xfId="30380"/>
    <cellStyle name="표준 2 2 9 13" xfId="10047"/>
    <cellStyle name="표준 2 2 9 14" xfId="13298"/>
    <cellStyle name="표준 2 2 9 14 2" xfId="34174"/>
    <cellStyle name="표준 2 2 9 15" xfId="25436"/>
    <cellStyle name="표준 2 2 9 2" xfId="3906"/>
    <cellStyle name="표준 2 2 9 2 2" xfId="3905"/>
    <cellStyle name="표준 2 2 9 2 2 2" xfId="6106"/>
    <cellStyle name="표준 2 2 9 2 2 2 2" xfId="10050"/>
    <cellStyle name="표준 2 2 9 2 2 2 3" xfId="15115"/>
    <cellStyle name="표준 2 2 9 2 2 2 3 2" xfId="35991"/>
    <cellStyle name="표준 2 2 9 2 2 2 4" xfId="27253"/>
    <cellStyle name="표준 2 2 9 2 2 3" xfId="9154"/>
    <cellStyle name="표준 2 2 9 2 2 3 2" xfId="18158"/>
    <cellStyle name="표준 2 2 9 2 2 3 2 2" xfId="39034"/>
    <cellStyle name="표준 2 2 9 2 2 3 3" xfId="30296"/>
    <cellStyle name="표준 2 2 9 2 2 4" xfId="9243"/>
    <cellStyle name="표준 2 2 9 2 2 4 2" xfId="18243"/>
    <cellStyle name="표준 2 2 9 2 2 4 2 2" xfId="39119"/>
    <cellStyle name="표준 2 2 9 2 2 4 3" xfId="30381"/>
    <cellStyle name="표준 2 2 9 2 2 5" xfId="10049"/>
    <cellStyle name="표준 2 2 9 2 2 6" xfId="13297"/>
    <cellStyle name="표준 2 2 9 2 2 6 2" xfId="34173"/>
    <cellStyle name="표준 2 2 9 2 2 7" xfId="25435"/>
    <cellStyle name="표준 2 2 9 2 3" xfId="3904"/>
    <cellStyle name="표준 2 2 9 2 3 2" xfId="6105"/>
    <cellStyle name="표준 2 2 9 2 3 2 2" xfId="10052"/>
    <cellStyle name="표준 2 2 9 2 3 2 3" xfId="15114"/>
    <cellStyle name="표준 2 2 9 2 3 2 3 2" xfId="35990"/>
    <cellStyle name="표준 2 2 9 2 3 2 4" xfId="27252"/>
    <cellStyle name="표준 2 2 9 2 3 3" xfId="9155"/>
    <cellStyle name="표준 2 2 9 2 3 3 2" xfId="18159"/>
    <cellStyle name="표준 2 2 9 2 3 3 2 2" xfId="39035"/>
    <cellStyle name="표준 2 2 9 2 3 3 3" xfId="30297"/>
    <cellStyle name="표준 2 2 9 2 3 4" xfId="9244"/>
    <cellStyle name="표준 2 2 9 2 3 4 2" xfId="18244"/>
    <cellStyle name="표준 2 2 9 2 3 4 2 2" xfId="39120"/>
    <cellStyle name="표준 2 2 9 2 3 4 3" xfId="30382"/>
    <cellStyle name="표준 2 2 9 2 3 5" xfId="10051"/>
    <cellStyle name="표준 2 2 9 2 3 6" xfId="13296"/>
    <cellStyle name="표준 2 2 9 2 3 6 2" xfId="34172"/>
    <cellStyle name="표준 2 2 9 2 3 7" xfId="25434"/>
    <cellStyle name="표준 2 2 9 2 4" xfId="3903"/>
    <cellStyle name="표준 2 2 9 2 4 2" xfId="6104"/>
    <cellStyle name="표준 2 2 9 2 4 2 2" xfId="10054"/>
    <cellStyle name="표준 2 2 9 2 4 2 3" xfId="15113"/>
    <cellStyle name="표준 2 2 9 2 4 2 3 2" xfId="35989"/>
    <cellStyle name="표준 2 2 9 2 4 2 4" xfId="27251"/>
    <cellStyle name="표준 2 2 9 2 4 3" xfId="9156"/>
    <cellStyle name="표준 2 2 9 2 4 3 2" xfId="18160"/>
    <cellStyle name="표준 2 2 9 2 4 3 2 2" xfId="39036"/>
    <cellStyle name="표준 2 2 9 2 4 3 3" xfId="30298"/>
    <cellStyle name="표준 2 2 9 2 4 4" xfId="9245"/>
    <cellStyle name="표준 2 2 9 2 4 4 2" xfId="18245"/>
    <cellStyle name="표준 2 2 9 2 4 4 2 2" xfId="39121"/>
    <cellStyle name="표준 2 2 9 2 4 4 3" xfId="30383"/>
    <cellStyle name="표준 2 2 9 2 4 5" xfId="10053"/>
    <cellStyle name="표준 2 2 9 2 4 6" xfId="13295"/>
    <cellStyle name="표준 2 2 9 2 4 6 2" xfId="34171"/>
    <cellStyle name="표준 2 2 9 2 4 7" xfId="25433"/>
    <cellStyle name="표준 2 2 9 2 5" xfId="3902"/>
    <cellStyle name="표준 2 2 9 2 5 2" xfId="6103"/>
    <cellStyle name="표준 2 2 9 2 5 2 2" xfId="10056"/>
    <cellStyle name="표준 2 2 9 2 5 2 3" xfId="15112"/>
    <cellStyle name="표준 2 2 9 2 5 2 3 2" xfId="35988"/>
    <cellStyle name="표준 2 2 9 2 5 2 4" xfId="27250"/>
    <cellStyle name="표준 2 2 9 2 5 3" xfId="9157"/>
    <cellStyle name="표준 2 2 9 2 5 3 2" xfId="18161"/>
    <cellStyle name="표준 2 2 9 2 5 3 2 2" xfId="39037"/>
    <cellStyle name="표준 2 2 9 2 5 3 3" xfId="30299"/>
    <cellStyle name="표준 2 2 9 2 5 4" xfId="9246"/>
    <cellStyle name="표준 2 2 9 2 5 4 2" xfId="18246"/>
    <cellStyle name="표준 2 2 9 2 5 4 2 2" xfId="39122"/>
    <cellStyle name="표준 2 2 9 2 5 4 3" xfId="30384"/>
    <cellStyle name="표준 2 2 9 2 5 5" xfId="10055"/>
    <cellStyle name="표준 2 2 9 2 5 6" xfId="13294"/>
    <cellStyle name="표준 2 2 9 2 5 6 2" xfId="34170"/>
    <cellStyle name="표준 2 2 9 2 5 7" xfId="25432"/>
    <cellStyle name="표준 2 2 9 2 6" xfId="3901"/>
    <cellStyle name="표준 2 2 9 2 6 2" xfId="6102"/>
    <cellStyle name="표준 2 2 9 2 6 2 2" xfId="10058"/>
    <cellStyle name="표준 2 2 9 2 6 2 3" xfId="15111"/>
    <cellStyle name="표준 2 2 9 2 6 2 3 2" xfId="35987"/>
    <cellStyle name="표준 2 2 9 2 6 2 4" xfId="27249"/>
    <cellStyle name="표준 2 2 9 2 6 3" xfId="9158"/>
    <cellStyle name="표준 2 2 9 2 6 3 2" xfId="18162"/>
    <cellStyle name="표준 2 2 9 2 6 3 2 2" xfId="39038"/>
    <cellStyle name="표준 2 2 9 2 6 3 3" xfId="30300"/>
    <cellStyle name="표준 2 2 9 2 6 4" xfId="9247"/>
    <cellStyle name="표준 2 2 9 2 6 4 2" xfId="18247"/>
    <cellStyle name="표준 2 2 9 2 6 4 2 2" xfId="39123"/>
    <cellStyle name="표준 2 2 9 2 6 4 3" xfId="30385"/>
    <cellStyle name="표준 2 2 9 2 6 5" xfId="10057"/>
    <cellStyle name="표준 2 2 9 2 6 6" xfId="13293"/>
    <cellStyle name="표준 2 2 9 2 6 6 2" xfId="34169"/>
    <cellStyle name="표준 2 2 9 2 6 7" xfId="25431"/>
    <cellStyle name="표준 2 2 9 2 7" xfId="3900"/>
    <cellStyle name="표준 2 2 9 2 7 2" xfId="6101"/>
    <cellStyle name="표준 2 2 9 2 7 2 2" xfId="10060"/>
    <cellStyle name="표준 2 2 9 2 7 2 3" xfId="15110"/>
    <cellStyle name="표준 2 2 9 2 7 2 3 2" xfId="35986"/>
    <cellStyle name="표준 2 2 9 2 7 2 4" xfId="27248"/>
    <cellStyle name="표준 2 2 9 2 7 3" xfId="9159"/>
    <cellStyle name="표준 2 2 9 2 7 3 2" xfId="18163"/>
    <cellStyle name="표준 2 2 9 2 7 3 2 2" xfId="39039"/>
    <cellStyle name="표준 2 2 9 2 7 3 3" xfId="30301"/>
    <cellStyle name="표준 2 2 9 2 7 4" xfId="9248"/>
    <cellStyle name="표준 2 2 9 2 7 4 2" xfId="18248"/>
    <cellStyle name="표준 2 2 9 2 7 4 2 2" xfId="39124"/>
    <cellStyle name="표준 2 2 9 2 7 4 3" xfId="30386"/>
    <cellStyle name="표준 2 2 9 2 7 5" xfId="10059"/>
    <cellStyle name="표준 2 2 9 2 7 6" xfId="13292"/>
    <cellStyle name="표준 2 2 9 2 7 6 2" xfId="34168"/>
    <cellStyle name="표준 2 2 9 2 7 7" xfId="25430"/>
    <cellStyle name="표준 2 2 9 3" xfId="3899"/>
    <cellStyle name="표준 2 2 9 3 2" xfId="6100"/>
    <cellStyle name="표준 2 2 9 3 2 2" xfId="10062"/>
    <cellStyle name="표준 2 2 9 3 2 3" xfId="15109"/>
    <cellStyle name="표준 2 2 9 3 2 3 2" xfId="35985"/>
    <cellStyle name="표준 2 2 9 3 2 4" xfId="27247"/>
    <cellStyle name="표준 2 2 9 3 3" xfId="9160"/>
    <cellStyle name="표준 2 2 9 3 3 2" xfId="18164"/>
    <cellStyle name="표준 2 2 9 3 3 2 2" xfId="39040"/>
    <cellStyle name="표준 2 2 9 3 3 3" xfId="30302"/>
    <cellStyle name="표준 2 2 9 3 4" xfId="9249"/>
    <cellStyle name="표준 2 2 9 3 4 2" xfId="18249"/>
    <cellStyle name="표준 2 2 9 3 4 2 2" xfId="39125"/>
    <cellStyle name="표준 2 2 9 3 4 3" xfId="30387"/>
    <cellStyle name="표준 2 2 9 3 5" xfId="10061"/>
    <cellStyle name="표준 2 2 9 3 6" xfId="13291"/>
    <cellStyle name="표준 2 2 9 3 6 2" xfId="34167"/>
    <cellStyle name="표준 2 2 9 3 7" xfId="25429"/>
    <cellStyle name="표준 2 2 9 4" xfId="3898"/>
    <cellStyle name="표준 2 2 9 4 2" xfId="6099"/>
    <cellStyle name="표준 2 2 9 4 2 2" xfId="10064"/>
    <cellStyle name="표준 2 2 9 4 2 3" xfId="15108"/>
    <cellStyle name="표준 2 2 9 4 2 3 2" xfId="35984"/>
    <cellStyle name="표준 2 2 9 4 2 4" xfId="27246"/>
    <cellStyle name="표준 2 2 9 4 3" xfId="9161"/>
    <cellStyle name="표준 2 2 9 4 3 2" xfId="18165"/>
    <cellStyle name="표준 2 2 9 4 3 2 2" xfId="39041"/>
    <cellStyle name="표준 2 2 9 4 3 3" xfId="30303"/>
    <cellStyle name="표준 2 2 9 4 4" xfId="9250"/>
    <cellStyle name="표준 2 2 9 4 4 2" xfId="18250"/>
    <cellStyle name="표준 2 2 9 4 4 2 2" xfId="39126"/>
    <cellStyle name="표준 2 2 9 4 4 3" xfId="30388"/>
    <cellStyle name="표준 2 2 9 4 5" xfId="10063"/>
    <cellStyle name="표준 2 2 9 4 6" xfId="13290"/>
    <cellStyle name="표준 2 2 9 4 6 2" xfId="34166"/>
    <cellStyle name="표준 2 2 9 4 7" xfId="25428"/>
    <cellStyle name="표준 2 2 9 5" xfId="3897"/>
    <cellStyle name="표준 2 2 9 6" xfId="3896"/>
    <cellStyle name="표준 2 2 9 7" xfId="3895"/>
    <cellStyle name="표준 2 2 9 8" xfId="3894"/>
    <cellStyle name="표준 2 2 9 9" xfId="3893"/>
    <cellStyle name="표준 2 20" xfId="3892"/>
    <cellStyle name="표준 2 20 2" xfId="6098"/>
    <cellStyle name="표준 2 20 2 2" xfId="10066"/>
    <cellStyle name="표준 2 20 2 3" xfId="15107"/>
    <cellStyle name="표준 2 20 2 3 2" xfId="35983"/>
    <cellStyle name="표준 2 20 2 4" xfId="27245"/>
    <cellStyle name="표준 2 20 3" xfId="9162"/>
    <cellStyle name="표준 2 20 3 2" xfId="18166"/>
    <cellStyle name="표준 2 20 3 2 2" xfId="39042"/>
    <cellStyle name="표준 2 20 3 3" xfId="30304"/>
    <cellStyle name="표준 2 20 4" xfId="9251"/>
    <cellStyle name="표준 2 20 4 2" xfId="18251"/>
    <cellStyle name="표준 2 20 4 2 2" xfId="39127"/>
    <cellStyle name="표준 2 20 4 3" xfId="30389"/>
    <cellStyle name="표준 2 20 5" xfId="10065"/>
    <cellStyle name="표준 2 20 6" xfId="13289"/>
    <cellStyle name="표준 2 20 6 2" xfId="34165"/>
    <cellStyle name="표준 2 20 7" xfId="25427"/>
    <cellStyle name="표준 2 21" xfId="3846"/>
    <cellStyle name="표준 2 22" xfId="4873"/>
    <cellStyle name="표준 2 23" xfId="7042"/>
    <cellStyle name="표준 2 23 2" xfId="10067"/>
    <cellStyle name="표준 2 23 3" xfId="16050"/>
    <cellStyle name="표준 2 23 3 2" xfId="36926"/>
    <cellStyle name="표준 2 23 4" xfId="28188"/>
    <cellStyle name="표준 2 24" xfId="7687"/>
    <cellStyle name="표준 2 24 2" xfId="16693"/>
    <cellStyle name="표준 2 24 2 2" xfId="37569"/>
    <cellStyle name="표준 2 24 3" xfId="28831"/>
    <cellStyle name="표준 2 25" xfId="8535"/>
    <cellStyle name="표준 2 25 2" xfId="17540"/>
    <cellStyle name="표준 2 25 2 2" xfId="38416"/>
    <cellStyle name="표준 2 25 3" xfId="29678"/>
    <cellStyle name="표준 2 26" xfId="9359"/>
    <cellStyle name="표준 2 26 2" xfId="18358"/>
    <cellStyle name="표준 2 26 2 2" xfId="39234"/>
    <cellStyle name="표준 2 26 3" xfId="30496"/>
    <cellStyle name="표준 2 27" xfId="10415"/>
    <cellStyle name="표준 2 27 2" xfId="19186"/>
    <cellStyle name="표준 2 27 2 2" xfId="40062"/>
    <cellStyle name="표준 2 27 3" xfId="31326"/>
    <cellStyle name="표준 2 28" xfId="11281"/>
    <cellStyle name="표준 2 28 2" xfId="20047"/>
    <cellStyle name="표준 2 28 2 2" xfId="40923"/>
    <cellStyle name="표준 2 28 3" xfId="32187"/>
    <cellStyle name="표준 2 29" xfId="24294"/>
    <cellStyle name="표준 2 3" xfId="1197"/>
    <cellStyle name="표준 2 3 10" xfId="10625"/>
    <cellStyle name="표준 2 3 10 2" xfId="19396"/>
    <cellStyle name="표준 2 3 10 2 2" xfId="40272"/>
    <cellStyle name="표준 2 3 10 3" xfId="31536"/>
    <cellStyle name="표준 2 3 11" xfId="11491"/>
    <cellStyle name="표준 2 3 11 2" xfId="20257"/>
    <cellStyle name="표준 2 3 11 2 2" xfId="41133"/>
    <cellStyle name="표준 2 3 11 3" xfId="32397"/>
    <cellStyle name="표준 2 3 12" xfId="12197"/>
    <cellStyle name="표준 2 3 2" xfId="3172"/>
    <cellStyle name="표준 2 3 2 2" xfId="5450"/>
    <cellStyle name="표준 2 3 2 2 2" xfId="14459"/>
    <cellStyle name="표준 2 3 2 2 2 2" xfId="35335"/>
    <cellStyle name="표준 2 3 2 2 3" xfId="26597"/>
    <cellStyle name="표준 2 3 2 3" xfId="10068"/>
    <cellStyle name="표준 2 3 2 4" xfId="12640"/>
    <cellStyle name="표준 2 3 2 4 2" xfId="33517"/>
    <cellStyle name="표준 2 3 2 5" xfId="24767"/>
    <cellStyle name="표준 2 3 3" xfId="3614"/>
    <cellStyle name="표준 2 3 3 2" xfId="5887"/>
    <cellStyle name="표준 2 3 3 2 2" xfId="14896"/>
    <cellStyle name="표준 2 3 3 2 2 2" xfId="35772"/>
    <cellStyle name="표준 2 3 3 2 3" xfId="27034"/>
    <cellStyle name="표준 2 3 3 3" xfId="13077"/>
    <cellStyle name="표준 2 3 3 3 2" xfId="33954"/>
    <cellStyle name="표준 2 3 3 4" xfId="25204"/>
    <cellStyle name="표준 2 3 4" xfId="4775"/>
    <cellStyle name="표준 2 3 4 2" xfId="6607"/>
    <cellStyle name="표준 2 3 4 2 2" xfId="15616"/>
    <cellStyle name="표준 2 3 4 2 2 2" xfId="36492"/>
    <cellStyle name="표준 2 3 4 2 3" xfId="27754"/>
    <cellStyle name="표준 2 3 4 3" xfId="13798"/>
    <cellStyle name="표준 2 3 4 3 2" xfId="34674"/>
    <cellStyle name="표준 2 3 4 4" xfId="25936"/>
    <cellStyle name="표준 2 3 5" xfId="3891"/>
    <cellStyle name="표준 2 3 6" xfId="7253"/>
    <cellStyle name="표준 2 3 6 2" xfId="16260"/>
    <cellStyle name="표준 2 3 6 2 2" xfId="37136"/>
    <cellStyle name="표준 2 3 6 3" xfId="28398"/>
    <cellStyle name="표준 2 3 7" xfId="7897"/>
    <cellStyle name="표준 2 3 7 2" xfId="16903"/>
    <cellStyle name="표준 2 3 7 2 2" xfId="37779"/>
    <cellStyle name="표준 2 3 7 3" xfId="29041"/>
    <cellStyle name="표준 2 3 8" xfId="8745"/>
    <cellStyle name="표준 2 3 8 2" xfId="17750"/>
    <cellStyle name="표준 2 3 8 2 2" xfId="38626"/>
    <cellStyle name="표준 2 3 8 3" xfId="29888"/>
    <cellStyle name="표준 2 3 9" xfId="9570"/>
    <cellStyle name="표준 2 3 9 2" xfId="18568"/>
    <cellStyle name="표준 2 3 9 2 2" xfId="39444"/>
    <cellStyle name="표준 2 3 9 3" xfId="30706"/>
    <cellStyle name="표준 2 4" xfId="2954"/>
    <cellStyle name="표준 2 4 10" xfId="11708"/>
    <cellStyle name="표준 2 4 10 2" xfId="20474"/>
    <cellStyle name="표준 2 4 10 2 2" xfId="41350"/>
    <cellStyle name="표준 2 4 10 3" xfId="32614"/>
    <cellStyle name="표준 2 4 11" xfId="12429"/>
    <cellStyle name="표준 2 4 11 2" xfId="33307"/>
    <cellStyle name="표준 2 4 12" xfId="24557"/>
    <cellStyle name="표준 2 4 2" xfId="4997"/>
    <cellStyle name="표준 2 4 2 2" xfId="6824"/>
    <cellStyle name="표준 2 4 2 2 2" xfId="15833"/>
    <cellStyle name="표준 2 4 2 2 2 2" xfId="36709"/>
    <cellStyle name="표준 2 4 2 2 3" xfId="27971"/>
    <cellStyle name="표준 2 4 2 3" xfId="10069"/>
    <cellStyle name="표준 2 4 2 4" xfId="14015"/>
    <cellStyle name="표준 2 4 2 4 2" xfId="34891"/>
    <cellStyle name="표준 2 4 2 5" xfId="26153"/>
    <cellStyle name="표준 2 4 3" xfId="3890"/>
    <cellStyle name="표준 2 4 4" xfId="5240"/>
    <cellStyle name="표준 2 4 4 2" xfId="14249"/>
    <cellStyle name="표준 2 4 4 2 2" xfId="35125"/>
    <cellStyle name="표준 2 4 4 3" xfId="26387"/>
    <cellStyle name="표준 2 4 5" xfId="7470"/>
    <cellStyle name="표준 2 4 5 2" xfId="16477"/>
    <cellStyle name="표준 2 4 5 2 2" xfId="37353"/>
    <cellStyle name="표준 2 4 5 3" xfId="28615"/>
    <cellStyle name="표준 2 4 6" xfId="8114"/>
    <cellStyle name="표준 2 4 6 2" xfId="17120"/>
    <cellStyle name="표준 2 4 6 2 2" xfId="37996"/>
    <cellStyle name="표준 2 4 6 3" xfId="29258"/>
    <cellStyle name="표준 2 4 7" xfId="8962"/>
    <cellStyle name="표준 2 4 7 2" xfId="17967"/>
    <cellStyle name="표준 2 4 7 2 2" xfId="38843"/>
    <cellStyle name="표준 2 4 7 3" xfId="30105"/>
    <cellStyle name="표준 2 4 8" xfId="9787"/>
    <cellStyle name="표준 2 4 8 2" xfId="18785"/>
    <cellStyle name="표준 2 4 8 2 2" xfId="39661"/>
    <cellStyle name="표준 2 4 8 3" xfId="30923"/>
    <cellStyle name="표준 2 4 9" xfId="10842"/>
    <cellStyle name="표준 2 4 9 2" xfId="19613"/>
    <cellStyle name="표준 2 4 9 2 2" xfId="40489"/>
    <cellStyle name="표준 2 4 9 3" xfId="31753"/>
    <cellStyle name="표준 2 5" xfId="3404"/>
    <cellStyle name="표준 2 5 2" xfId="3889"/>
    <cellStyle name="표준 2 5 2 2" xfId="10070"/>
    <cellStyle name="표준 2 5 3" xfId="5677"/>
    <cellStyle name="표준 2 5 3 2" xfId="14686"/>
    <cellStyle name="표준 2 5 3 2 2" xfId="35562"/>
    <cellStyle name="표준 2 5 3 3" xfId="26824"/>
    <cellStyle name="표준 2 5 4" xfId="11060"/>
    <cellStyle name="표준 2 5 4 2" xfId="19830"/>
    <cellStyle name="표준 2 5 4 2 2" xfId="40706"/>
    <cellStyle name="표준 2 5 4 3" xfId="31970"/>
    <cellStyle name="표준 2 5 5" xfId="11925"/>
    <cellStyle name="표준 2 5 5 2" xfId="20691"/>
    <cellStyle name="표준 2 5 5 2 2" xfId="41567"/>
    <cellStyle name="표준 2 5 5 3" xfId="32831"/>
    <cellStyle name="표준 2 5 6" xfId="12867"/>
    <cellStyle name="표준 2 5 6 2" xfId="33744"/>
    <cellStyle name="표준 2 5 7" xfId="24994"/>
    <cellStyle name="표준 2 6" xfId="4563"/>
    <cellStyle name="표준 2 6 2" xfId="3888"/>
    <cellStyle name="표준 2 6 2 2" xfId="10071"/>
    <cellStyle name="표준 2 6 3" xfId="6397"/>
    <cellStyle name="표준 2 6 3 2" xfId="15406"/>
    <cellStyle name="표준 2 6 3 2 2" xfId="36282"/>
    <cellStyle name="표준 2 6 3 3" xfId="27544"/>
    <cellStyle name="표준 2 6 4" xfId="13588"/>
    <cellStyle name="표준 2 6 4 2" xfId="34464"/>
    <cellStyle name="표준 2 6 5" xfId="25726"/>
    <cellStyle name="표준 2 7" xfId="3887"/>
    <cellStyle name="표준 2 7 10" xfId="3886"/>
    <cellStyle name="표준 2 7 11" xfId="3885"/>
    <cellStyle name="표준 2 7 11 2" xfId="6097"/>
    <cellStyle name="표준 2 7 11 2 2" xfId="10073"/>
    <cellStyle name="표준 2 7 11 2 3" xfId="15106"/>
    <cellStyle name="표준 2 7 11 2 3 2" xfId="35982"/>
    <cellStyle name="표준 2 7 11 2 4" xfId="27244"/>
    <cellStyle name="표준 2 7 11 3" xfId="9163"/>
    <cellStyle name="표준 2 7 11 3 2" xfId="18167"/>
    <cellStyle name="표준 2 7 11 3 2 2" xfId="39043"/>
    <cellStyle name="표준 2 7 11 3 3" xfId="30305"/>
    <cellStyle name="표준 2 7 11 4" xfId="9252"/>
    <cellStyle name="표준 2 7 11 4 2" xfId="18252"/>
    <cellStyle name="표준 2 7 11 4 2 2" xfId="39128"/>
    <cellStyle name="표준 2 7 11 4 3" xfId="30390"/>
    <cellStyle name="표준 2 7 11 5" xfId="10072"/>
    <cellStyle name="표준 2 7 11 6" xfId="13288"/>
    <cellStyle name="표준 2 7 11 6 2" xfId="34164"/>
    <cellStyle name="표준 2 7 11 7" xfId="25426"/>
    <cellStyle name="표준 2 7 12" xfId="3884"/>
    <cellStyle name="표준 2 7 12 2" xfId="6096"/>
    <cellStyle name="표준 2 7 12 2 2" xfId="10075"/>
    <cellStyle name="표준 2 7 12 2 3" xfId="15105"/>
    <cellStyle name="표준 2 7 12 2 3 2" xfId="35981"/>
    <cellStyle name="표준 2 7 12 2 4" xfId="27243"/>
    <cellStyle name="표준 2 7 12 3" xfId="9164"/>
    <cellStyle name="표준 2 7 12 3 2" xfId="18168"/>
    <cellStyle name="표준 2 7 12 3 2 2" xfId="39044"/>
    <cellStyle name="표준 2 7 12 3 3" xfId="30306"/>
    <cellStyle name="표준 2 7 12 4" xfId="9253"/>
    <cellStyle name="표준 2 7 12 4 2" xfId="18253"/>
    <cellStyle name="표준 2 7 12 4 2 2" xfId="39129"/>
    <cellStyle name="표준 2 7 12 4 3" xfId="30391"/>
    <cellStyle name="표준 2 7 12 5" xfId="10074"/>
    <cellStyle name="표준 2 7 12 6" xfId="13287"/>
    <cellStyle name="표준 2 7 12 6 2" xfId="34163"/>
    <cellStyle name="표준 2 7 12 7" xfId="25425"/>
    <cellStyle name="표준 2 7 13" xfId="3883"/>
    <cellStyle name="표준 2 7 13 2" xfId="6095"/>
    <cellStyle name="표준 2 7 13 2 2" xfId="10077"/>
    <cellStyle name="표준 2 7 13 2 3" xfId="15104"/>
    <cellStyle name="표준 2 7 13 2 3 2" xfId="35980"/>
    <cellStyle name="표준 2 7 13 2 4" xfId="27242"/>
    <cellStyle name="표준 2 7 13 3" xfId="9165"/>
    <cellStyle name="표준 2 7 13 3 2" xfId="18169"/>
    <cellStyle name="표준 2 7 13 3 2 2" xfId="39045"/>
    <cellStyle name="표준 2 7 13 3 3" xfId="30307"/>
    <cellStyle name="표준 2 7 13 4" xfId="9254"/>
    <cellStyle name="표준 2 7 13 4 2" xfId="18254"/>
    <cellStyle name="표준 2 7 13 4 2 2" xfId="39130"/>
    <cellStyle name="표준 2 7 13 4 3" xfId="30392"/>
    <cellStyle name="표준 2 7 13 5" xfId="10076"/>
    <cellStyle name="표준 2 7 13 6" xfId="13286"/>
    <cellStyle name="표준 2 7 13 6 2" xfId="34162"/>
    <cellStyle name="표준 2 7 13 7" xfId="25424"/>
    <cellStyle name="표준 2 7 14" xfId="3882"/>
    <cellStyle name="표준 2 7 14 2" xfId="6094"/>
    <cellStyle name="표준 2 7 14 2 2" xfId="10079"/>
    <cellStyle name="표준 2 7 14 2 3" xfId="15103"/>
    <cellStyle name="표준 2 7 14 2 3 2" xfId="35979"/>
    <cellStyle name="표준 2 7 14 2 4" xfId="27241"/>
    <cellStyle name="표준 2 7 14 3" xfId="9166"/>
    <cellStyle name="표준 2 7 14 3 2" xfId="18170"/>
    <cellStyle name="표준 2 7 14 3 2 2" xfId="39046"/>
    <cellStyle name="표준 2 7 14 3 3" xfId="30308"/>
    <cellStyle name="표준 2 7 14 4" xfId="9255"/>
    <cellStyle name="표준 2 7 14 4 2" xfId="18255"/>
    <cellStyle name="표준 2 7 14 4 2 2" xfId="39131"/>
    <cellStyle name="표준 2 7 14 4 3" xfId="30393"/>
    <cellStyle name="표준 2 7 14 5" xfId="10078"/>
    <cellStyle name="표준 2 7 14 6" xfId="13285"/>
    <cellStyle name="표준 2 7 14 6 2" xfId="34161"/>
    <cellStyle name="표준 2 7 14 7" xfId="25423"/>
    <cellStyle name="표준 2 7 15" xfId="3881"/>
    <cellStyle name="표준 2 7 15 2" xfId="6093"/>
    <cellStyle name="표준 2 7 15 2 2" xfId="10081"/>
    <cellStyle name="표준 2 7 15 2 3" xfId="15102"/>
    <cellStyle name="표준 2 7 15 2 3 2" xfId="35978"/>
    <cellStyle name="표준 2 7 15 2 4" xfId="27240"/>
    <cellStyle name="표준 2 7 15 3" xfId="9167"/>
    <cellStyle name="표준 2 7 15 3 2" xfId="18171"/>
    <cellStyle name="표준 2 7 15 3 2 2" xfId="39047"/>
    <cellStyle name="표준 2 7 15 3 3" xfId="30309"/>
    <cellStyle name="표준 2 7 15 4" xfId="9256"/>
    <cellStyle name="표준 2 7 15 4 2" xfId="18256"/>
    <cellStyle name="표준 2 7 15 4 2 2" xfId="39132"/>
    <cellStyle name="표준 2 7 15 4 3" xfId="30394"/>
    <cellStyle name="표준 2 7 15 5" xfId="10080"/>
    <cellStyle name="표준 2 7 15 6" xfId="13284"/>
    <cellStyle name="표준 2 7 15 6 2" xfId="34160"/>
    <cellStyle name="표준 2 7 15 7" xfId="25422"/>
    <cellStyle name="표준 2 7 2" xfId="3880"/>
    <cellStyle name="표준 2 7 2 10" xfId="6092"/>
    <cellStyle name="표준 2 7 2 10 2" xfId="10083"/>
    <cellStyle name="표준 2 7 2 10 3" xfId="15101"/>
    <cellStyle name="표준 2 7 2 10 3 2" xfId="35977"/>
    <cellStyle name="표준 2 7 2 10 4" xfId="27239"/>
    <cellStyle name="표준 2 7 2 11" xfId="9168"/>
    <cellStyle name="표준 2 7 2 11 2" xfId="18172"/>
    <cellStyle name="표준 2 7 2 11 2 2" xfId="39048"/>
    <cellStyle name="표준 2 7 2 11 3" xfId="30310"/>
    <cellStyle name="표준 2 7 2 12" xfId="9257"/>
    <cellStyle name="표준 2 7 2 12 2" xfId="18257"/>
    <cellStyle name="표준 2 7 2 12 2 2" xfId="39133"/>
    <cellStyle name="표준 2 7 2 12 3" xfId="30395"/>
    <cellStyle name="표준 2 7 2 13" xfId="10082"/>
    <cellStyle name="표준 2 7 2 14" xfId="13283"/>
    <cellStyle name="표준 2 7 2 14 2" xfId="34159"/>
    <cellStyle name="표준 2 7 2 15" xfId="25421"/>
    <cellStyle name="표준 2 7 2 2" xfId="3879"/>
    <cellStyle name="표준 2 7 2 2 2" xfId="3878"/>
    <cellStyle name="표준 2 7 2 2 2 2" xfId="6091"/>
    <cellStyle name="표준 2 7 2 2 2 2 2" xfId="10085"/>
    <cellStyle name="표준 2 7 2 2 2 2 3" xfId="15100"/>
    <cellStyle name="표준 2 7 2 2 2 2 3 2" xfId="35976"/>
    <cellStyle name="표준 2 7 2 2 2 2 4" xfId="27238"/>
    <cellStyle name="표준 2 7 2 2 2 3" xfId="9169"/>
    <cellStyle name="표준 2 7 2 2 2 3 2" xfId="18173"/>
    <cellStyle name="표준 2 7 2 2 2 3 2 2" xfId="39049"/>
    <cellStyle name="표준 2 7 2 2 2 3 3" xfId="30311"/>
    <cellStyle name="표준 2 7 2 2 2 4" xfId="9258"/>
    <cellStyle name="표준 2 7 2 2 2 4 2" xfId="18258"/>
    <cellStyle name="표준 2 7 2 2 2 4 2 2" xfId="39134"/>
    <cellStyle name="표준 2 7 2 2 2 4 3" xfId="30396"/>
    <cellStyle name="표준 2 7 2 2 2 5" xfId="10084"/>
    <cellStyle name="표준 2 7 2 2 2 6" xfId="13282"/>
    <cellStyle name="표준 2 7 2 2 2 6 2" xfId="34158"/>
    <cellStyle name="표준 2 7 2 2 2 7" xfId="25420"/>
    <cellStyle name="표준 2 7 2 2 3" xfId="3877"/>
    <cellStyle name="표준 2 7 2 2 3 2" xfId="6090"/>
    <cellStyle name="표준 2 7 2 2 3 2 2" xfId="10087"/>
    <cellStyle name="표준 2 7 2 2 3 2 3" xfId="15099"/>
    <cellStyle name="표준 2 7 2 2 3 2 3 2" xfId="35975"/>
    <cellStyle name="표준 2 7 2 2 3 2 4" xfId="27237"/>
    <cellStyle name="표준 2 7 2 2 3 3" xfId="9170"/>
    <cellStyle name="표준 2 7 2 2 3 3 2" xfId="18174"/>
    <cellStyle name="표준 2 7 2 2 3 3 2 2" xfId="39050"/>
    <cellStyle name="표준 2 7 2 2 3 3 3" xfId="30312"/>
    <cellStyle name="표준 2 7 2 2 3 4" xfId="9259"/>
    <cellStyle name="표준 2 7 2 2 3 4 2" xfId="18259"/>
    <cellStyle name="표준 2 7 2 2 3 4 2 2" xfId="39135"/>
    <cellStyle name="표준 2 7 2 2 3 4 3" xfId="30397"/>
    <cellStyle name="표준 2 7 2 2 3 5" xfId="10086"/>
    <cellStyle name="표준 2 7 2 2 3 6" xfId="13281"/>
    <cellStyle name="표준 2 7 2 2 3 6 2" xfId="34157"/>
    <cellStyle name="표준 2 7 2 2 3 7" xfId="25419"/>
    <cellStyle name="표준 2 7 2 2 4" xfId="3876"/>
    <cellStyle name="표준 2 7 2 2 4 2" xfId="6089"/>
    <cellStyle name="표준 2 7 2 2 4 2 2" xfId="10089"/>
    <cellStyle name="표준 2 7 2 2 4 2 3" xfId="15098"/>
    <cellStyle name="표준 2 7 2 2 4 2 3 2" xfId="35974"/>
    <cellStyle name="표준 2 7 2 2 4 2 4" xfId="27236"/>
    <cellStyle name="표준 2 7 2 2 4 3" xfId="9171"/>
    <cellStyle name="표준 2 7 2 2 4 3 2" xfId="18175"/>
    <cellStyle name="표준 2 7 2 2 4 3 2 2" xfId="39051"/>
    <cellStyle name="표준 2 7 2 2 4 3 3" xfId="30313"/>
    <cellStyle name="표준 2 7 2 2 4 4" xfId="9260"/>
    <cellStyle name="표준 2 7 2 2 4 4 2" xfId="18260"/>
    <cellStyle name="표준 2 7 2 2 4 4 2 2" xfId="39136"/>
    <cellStyle name="표준 2 7 2 2 4 4 3" xfId="30398"/>
    <cellStyle name="표준 2 7 2 2 4 5" xfId="10088"/>
    <cellStyle name="표준 2 7 2 2 4 6" xfId="13280"/>
    <cellStyle name="표준 2 7 2 2 4 6 2" xfId="34156"/>
    <cellStyle name="표준 2 7 2 2 4 7" xfId="25418"/>
    <cellStyle name="표준 2 7 2 2 5" xfId="3875"/>
    <cellStyle name="표준 2 7 2 2 5 2" xfId="6088"/>
    <cellStyle name="표준 2 7 2 2 5 2 2" xfId="10091"/>
    <cellStyle name="표준 2 7 2 2 5 2 3" xfId="15097"/>
    <cellStyle name="표준 2 7 2 2 5 2 3 2" xfId="35973"/>
    <cellStyle name="표준 2 7 2 2 5 2 4" xfId="27235"/>
    <cellStyle name="표준 2 7 2 2 5 3" xfId="9172"/>
    <cellStyle name="표준 2 7 2 2 5 3 2" xfId="18176"/>
    <cellStyle name="표준 2 7 2 2 5 3 2 2" xfId="39052"/>
    <cellStyle name="표준 2 7 2 2 5 3 3" xfId="30314"/>
    <cellStyle name="표준 2 7 2 2 5 4" xfId="9261"/>
    <cellStyle name="표준 2 7 2 2 5 4 2" xfId="18261"/>
    <cellStyle name="표준 2 7 2 2 5 4 2 2" xfId="39137"/>
    <cellStyle name="표준 2 7 2 2 5 4 3" xfId="30399"/>
    <cellStyle name="표준 2 7 2 2 5 5" xfId="10090"/>
    <cellStyle name="표준 2 7 2 2 5 6" xfId="13279"/>
    <cellStyle name="표준 2 7 2 2 5 6 2" xfId="34155"/>
    <cellStyle name="표준 2 7 2 2 5 7" xfId="25417"/>
    <cellStyle name="표준 2 7 2 2 6" xfId="3874"/>
    <cellStyle name="표준 2 7 2 2 6 2" xfId="6087"/>
    <cellStyle name="표준 2 7 2 2 6 2 2" xfId="10093"/>
    <cellStyle name="표준 2 7 2 2 6 2 3" xfId="15096"/>
    <cellStyle name="표준 2 7 2 2 6 2 3 2" xfId="35972"/>
    <cellStyle name="표준 2 7 2 2 6 2 4" xfId="27234"/>
    <cellStyle name="표준 2 7 2 2 6 3" xfId="9173"/>
    <cellStyle name="표준 2 7 2 2 6 3 2" xfId="18177"/>
    <cellStyle name="표준 2 7 2 2 6 3 2 2" xfId="39053"/>
    <cellStyle name="표준 2 7 2 2 6 3 3" xfId="30315"/>
    <cellStyle name="표준 2 7 2 2 6 4" xfId="9262"/>
    <cellStyle name="표준 2 7 2 2 6 4 2" xfId="18262"/>
    <cellStyle name="표준 2 7 2 2 6 4 2 2" xfId="39138"/>
    <cellStyle name="표준 2 7 2 2 6 4 3" xfId="30400"/>
    <cellStyle name="표준 2 7 2 2 6 5" xfId="10092"/>
    <cellStyle name="표준 2 7 2 2 6 6" xfId="13278"/>
    <cellStyle name="표준 2 7 2 2 6 6 2" xfId="34154"/>
    <cellStyle name="표준 2 7 2 2 6 7" xfId="25416"/>
    <cellStyle name="표준 2 7 2 2 7" xfId="3873"/>
    <cellStyle name="표준 2 7 2 2 7 2" xfId="6086"/>
    <cellStyle name="표준 2 7 2 2 7 2 2" xfId="10095"/>
    <cellStyle name="표준 2 7 2 2 7 2 3" xfId="15095"/>
    <cellStyle name="표준 2 7 2 2 7 2 3 2" xfId="35971"/>
    <cellStyle name="표준 2 7 2 2 7 2 4" xfId="27233"/>
    <cellStyle name="표준 2 7 2 2 7 3" xfId="9174"/>
    <cellStyle name="표준 2 7 2 2 7 3 2" xfId="18178"/>
    <cellStyle name="표준 2 7 2 2 7 3 2 2" xfId="39054"/>
    <cellStyle name="표준 2 7 2 2 7 3 3" xfId="30316"/>
    <cellStyle name="표준 2 7 2 2 7 4" xfId="9263"/>
    <cellStyle name="표준 2 7 2 2 7 4 2" xfId="18263"/>
    <cellStyle name="표준 2 7 2 2 7 4 2 2" xfId="39139"/>
    <cellStyle name="표준 2 7 2 2 7 4 3" xfId="30401"/>
    <cellStyle name="표준 2 7 2 2 7 5" xfId="10094"/>
    <cellStyle name="표준 2 7 2 2 7 6" xfId="13277"/>
    <cellStyle name="표준 2 7 2 2 7 6 2" xfId="34153"/>
    <cellStyle name="표준 2 7 2 2 7 7" xfId="25415"/>
    <cellStyle name="표준 2 7 2 3" xfId="3872"/>
    <cellStyle name="표준 2 7 2 3 2" xfId="6085"/>
    <cellStyle name="표준 2 7 2 3 2 2" xfId="10097"/>
    <cellStyle name="표준 2 7 2 3 2 3" xfId="15094"/>
    <cellStyle name="표준 2 7 2 3 2 3 2" xfId="35970"/>
    <cellStyle name="표준 2 7 2 3 2 4" xfId="27232"/>
    <cellStyle name="표준 2 7 2 3 3" xfId="9175"/>
    <cellStyle name="표준 2 7 2 3 3 2" xfId="18179"/>
    <cellStyle name="표준 2 7 2 3 3 2 2" xfId="39055"/>
    <cellStyle name="표준 2 7 2 3 3 3" xfId="30317"/>
    <cellStyle name="표준 2 7 2 3 4" xfId="9264"/>
    <cellStyle name="표준 2 7 2 3 4 2" xfId="18264"/>
    <cellStyle name="표준 2 7 2 3 4 2 2" xfId="39140"/>
    <cellStyle name="표준 2 7 2 3 4 3" xfId="30402"/>
    <cellStyle name="표준 2 7 2 3 5" xfId="10096"/>
    <cellStyle name="표준 2 7 2 3 6" xfId="13276"/>
    <cellStyle name="표준 2 7 2 3 6 2" xfId="34152"/>
    <cellStyle name="표준 2 7 2 3 7" xfId="25414"/>
    <cellStyle name="표준 2 7 2 4" xfId="3871"/>
    <cellStyle name="표준 2 7 2 4 2" xfId="6084"/>
    <cellStyle name="표준 2 7 2 4 2 2" xfId="10099"/>
    <cellStyle name="표준 2 7 2 4 2 3" xfId="15093"/>
    <cellStyle name="표준 2 7 2 4 2 3 2" xfId="35969"/>
    <cellStyle name="표준 2 7 2 4 2 4" xfId="27231"/>
    <cellStyle name="표준 2 7 2 4 3" xfId="9176"/>
    <cellStyle name="표준 2 7 2 4 3 2" xfId="18180"/>
    <cellStyle name="표준 2 7 2 4 3 2 2" xfId="39056"/>
    <cellStyle name="표준 2 7 2 4 3 3" xfId="30318"/>
    <cellStyle name="표준 2 7 2 4 4" xfId="9265"/>
    <cellStyle name="표준 2 7 2 4 4 2" xfId="18265"/>
    <cellStyle name="표준 2 7 2 4 4 2 2" xfId="39141"/>
    <cellStyle name="표준 2 7 2 4 4 3" xfId="30403"/>
    <cellStyle name="표준 2 7 2 4 5" xfId="10098"/>
    <cellStyle name="표준 2 7 2 4 6" xfId="13275"/>
    <cellStyle name="표준 2 7 2 4 6 2" xfId="34151"/>
    <cellStyle name="표준 2 7 2 4 7" xfId="25413"/>
    <cellStyle name="표준 2 7 2 5" xfId="3870"/>
    <cellStyle name="표준 2 7 2 6" xfId="3869"/>
    <cellStyle name="표준 2 7 2 7" xfId="3868"/>
    <cellStyle name="표준 2 7 2 8" xfId="3867"/>
    <cellStyle name="표준 2 7 2 9" xfId="3866"/>
    <cellStyle name="표준 2 7 3" xfId="3865"/>
    <cellStyle name="표준 2 7 3 2" xfId="6083"/>
    <cellStyle name="표준 2 7 3 2 2" xfId="10101"/>
    <cellStyle name="표준 2 7 3 2 3" xfId="15092"/>
    <cellStyle name="표준 2 7 3 2 3 2" xfId="35968"/>
    <cellStyle name="표준 2 7 3 2 4" xfId="27230"/>
    <cellStyle name="표준 2 7 3 3" xfId="9177"/>
    <cellStyle name="표준 2 7 3 3 2" xfId="18181"/>
    <cellStyle name="표준 2 7 3 3 2 2" xfId="39057"/>
    <cellStyle name="표준 2 7 3 3 3" xfId="30319"/>
    <cellStyle name="표준 2 7 3 4" xfId="9266"/>
    <cellStyle name="표준 2 7 3 4 2" xfId="18266"/>
    <cellStyle name="표준 2 7 3 4 2 2" xfId="39142"/>
    <cellStyle name="표준 2 7 3 4 3" xfId="30404"/>
    <cellStyle name="표준 2 7 3 5" xfId="10100"/>
    <cellStyle name="표준 2 7 3 6" xfId="13274"/>
    <cellStyle name="표준 2 7 3 6 2" xfId="34150"/>
    <cellStyle name="표준 2 7 3 7" xfId="25412"/>
    <cellStyle name="표준 2 7 4" xfId="3864"/>
    <cellStyle name="표준 2 7 4 2" xfId="6082"/>
    <cellStyle name="표준 2 7 4 2 2" xfId="10103"/>
    <cellStyle name="표준 2 7 4 2 3" xfId="15091"/>
    <cellStyle name="표준 2 7 4 2 3 2" xfId="35967"/>
    <cellStyle name="표준 2 7 4 2 4" xfId="27229"/>
    <cellStyle name="표준 2 7 4 3" xfId="9178"/>
    <cellStyle name="표준 2 7 4 3 2" xfId="18182"/>
    <cellStyle name="표준 2 7 4 3 2 2" xfId="39058"/>
    <cellStyle name="표준 2 7 4 3 3" xfId="30320"/>
    <cellStyle name="표준 2 7 4 4" xfId="9267"/>
    <cellStyle name="표준 2 7 4 4 2" xfId="18267"/>
    <cellStyle name="표준 2 7 4 4 2 2" xfId="39143"/>
    <cellStyle name="표준 2 7 4 4 3" xfId="30405"/>
    <cellStyle name="표준 2 7 4 5" xfId="10102"/>
    <cellStyle name="표준 2 7 4 6" xfId="13273"/>
    <cellStyle name="표준 2 7 4 6 2" xfId="34149"/>
    <cellStyle name="표준 2 7 4 7" xfId="25411"/>
    <cellStyle name="표준 2 7 5" xfId="3863"/>
    <cellStyle name="표준 2 7 5 2" xfId="6081"/>
    <cellStyle name="표준 2 7 5 2 2" xfId="10105"/>
    <cellStyle name="표준 2 7 5 2 3" xfId="15090"/>
    <cellStyle name="표준 2 7 5 2 3 2" xfId="35966"/>
    <cellStyle name="표준 2 7 5 2 4" xfId="27228"/>
    <cellStyle name="표준 2 7 5 3" xfId="9179"/>
    <cellStyle name="표준 2 7 5 3 2" xfId="18183"/>
    <cellStyle name="표준 2 7 5 3 2 2" xfId="39059"/>
    <cellStyle name="표준 2 7 5 3 3" xfId="30321"/>
    <cellStyle name="표준 2 7 5 4" xfId="9268"/>
    <cellStyle name="표준 2 7 5 4 2" xfId="18268"/>
    <cellStyle name="표준 2 7 5 4 2 2" xfId="39144"/>
    <cellStyle name="표준 2 7 5 4 3" xfId="30406"/>
    <cellStyle name="표준 2 7 5 5" xfId="10104"/>
    <cellStyle name="표준 2 7 5 6" xfId="13272"/>
    <cellStyle name="표준 2 7 5 6 2" xfId="34148"/>
    <cellStyle name="표준 2 7 5 7" xfId="25410"/>
    <cellStyle name="표준 2 7 6" xfId="3862"/>
    <cellStyle name="표준 2 7 6 2" xfId="6080"/>
    <cellStyle name="표준 2 7 6 2 2" xfId="10107"/>
    <cellStyle name="표준 2 7 6 2 3" xfId="15089"/>
    <cellStyle name="표준 2 7 6 2 3 2" xfId="35965"/>
    <cellStyle name="표준 2 7 6 2 4" xfId="27227"/>
    <cellStyle name="표준 2 7 6 3" xfId="9180"/>
    <cellStyle name="표준 2 7 6 3 2" xfId="18184"/>
    <cellStyle name="표준 2 7 6 3 2 2" xfId="39060"/>
    <cellStyle name="표준 2 7 6 3 3" xfId="30322"/>
    <cellStyle name="표준 2 7 6 4" xfId="9269"/>
    <cellStyle name="표준 2 7 6 4 2" xfId="18269"/>
    <cellStyle name="표준 2 7 6 4 2 2" xfId="39145"/>
    <cellStyle name="표준 2 7 6 4 3" xfId="30407"/>
    <cellStyle name="표준 2 7 6 5" xfId="10106"/>
    <cellStyle name="표준 2 7 6 6" xfId="13271"/>
    <cellStyle name="표준 2 7 6 6 2" xfId="34147"/>
    <cellStyle name="표준 2 7 6 7" xfId="25409"/>
    <cellStyle name="표준 2 7 7" xfId="3861"/>
    <cellStyle name="표준 2 7 7 2" xfId="6079"/>
    <cellStyle name="표준 2 7 7 2 2" xfId="10109"/>
    <cellStyle name="표준 2 7 7 2 3" xfId="15088"/>
    <cellStyle name="표준 2 7 7 2 3 2" xfId="35964"/>
    <cellStyle name="표준 2 7 7 2 4" xfId="27226"/>
    <cellStyle name="표준 2 7 7 3" xfId="9181"/>
    <cellStyle name="표준 2 7 7 3 2" xfId="18185"/>
    <cellStyle name="표준 2 7 7 3 2 2" xfId="39061"/>
    <cellStyle name="표준 2 7 7 3 3" xfId="30323"/>
    <cellStyle name="표준 2 7 7 4" xfId="9270"/>
    <cellStyle name="표준 2 7 7 4 2" xfId="18270"/>
    <cellStyle name="표준 2 7 7 4 2 2" xfId="39146"/>
    <cellStyle name="표준 2 7 7 4 3" xfId="30408"/>
    <cellStyle name="표준 2 7 7 5" xfId="10108"/>
    <cellStyle name="표준 2 7 7 6" xfId="13270"/>
    <cellStyle name="표준 2 7 7 6 2" xfId="34146"/>
    <cellStyle name="표준 2 7 7 7" xfId="25408"/>
    <cellStyle name="표준 2 7 8" xfId="3860"/>
    <cellStyle name="표준 2 7 8 2" xfId="6078"/>
    <cellStyle name="표준 2 7 8 2 2" xfId="10111"/>
    <cellStyle name="표준 2 7 8 2 3" xfId="15087"/>
    <cellStyle name="표준 2 7 8 2 3 2" xfId="35963"/>
    <cellStyle name="표준 2 7 8 2 4" xfId="27225"/>
    <cellStyle name="표준 2 7 8 3" xfId="9182"/>
    <cellStyle name="표준 2 7 8 3 2" xfId="18186"/>
    <cellStyle name="표준 2 7 8 3 2 2" xfId="39062"/>
    <cellStyle name="표준 2 7 8 3 3" xfId="30324"/>
    <cellStyle name="표준 2 7 8 4" xfId="9271"/>
    <cellStyle name="표준 2 7 8 4 2" xfId="18271"/>
    <cellStyle name="표준 2 7 8 4 2 2" xfId="39147"/>
    <cellStyle name="표준 2 7 8 4 3" xfId="30409"/>
    <cellStyle name="표준 2 7 8 5" xfId="10110"/>
    <cellStyle name="표준 2 7 8 6" xfId="13269"/>
    <cellStyle name="표준 2 7 8 6 2" xfId="34145"/>
    <cellStyle name="표준 2 7 8 7" xfId="25407"/>
    <cellStyle name="표준 2 7 9" xfId="3859"/>
    <cellStyle name="표준 2 7 9 10" xfId="9272"/>
    <cellStyle name="표준 2 7 9 10 2" xfId="18272"/>
    <cellStyle name="표준 2 7 9 10 2 2" xfId="39148"/>
    <cellStyle name="표준 2 7 9 10 3" xfId="30410"/>
    <cellStyle name="표준 2 7 9 11" xfId="10112"/>
    <cellStyle name="표준 2 7 9 12" xfId="13268"/>
    <cellStyle name="표준 2 7 9 12 2" xfId="34144"/>
    <cellStyle name="표준 2 7 9 13" xfId="25406"/>
    <cellStyle name="표준 2 7 9 2" xfId="3858"/>
    <cellStyle name="표준 2 7 9 3" xfId="3857"/>
    <cellStyle name="표준 2 7 9 4" xfId="3856"/>
    <cellStyle name="표준 2 7 9 5" xfId="3855"/>
    <cellStyle name="표준 2 7 9 6" xfId="3854"/>
    <cellStyle name="표준 2 7 9 7" xfId="3853"/>
    <cellStyle name="표준 2 7 9 8" xfId="6077"/>
    <cellStyle name="표준 2 7 9 8 2" xfId="10113"/>
    <cellStyle name="표준 2 7 9 8 3" xfId="15086"/>
    <cellStyle name="표준 2 7 9 8 3 2" xfId="35962"/>
    <cellStyle name="표준 2 7 9 8 4" xfId="27224"/>
    <cellStyle name="표준 2 7 9 9" xfId="9183"/>
    <cellStyle name="표준 2 7 9 9 2" xfId="18187"/>
    <cellStyle name="표준 2 7 9 9 2 2" xfId="39063"/>
    <cellStyle name="표준 2 7 9 9 3" xfId="30325"/>
    <cellStyle name="표준 2 8" xfId="3852"/>
    <cellStyle name="표준 2 8 2" xfId="6076"/>
    <cellStyle name="표준 2 8 2 2" xfId="10115"/>
    <cellStyle name="표준 2 8 2 3" xfId="15085"/>
    <cellStyle name="표준 2 8 2 3 2" xfId="35961"/>
    <cellStyle name="표준 2 8 2 4" xfId="27223"/>
    <cellStyle name="표준 2 8 3" xfId="9184"/>
    <cellStyle name="표준 2 8 3 2" xfId="18188"/>
    <cellStyle name="표준 2 8 3 2 2" xfId="39064"/>
    <cellStyle name="표준 2 8 3 3" xfId="30326"/>
    <cellStyle name="표준 2 8 4" xfId="9273"/>
    <cellStyle name="표준 2 8 4 2" xfId="18273"/>
    <cellStyle name="표준 2 8 4 2 2" xfId="39149"/>
    <cellStyle name="표준 2 8 4 3" xfId="30411"/>
    <cellStyle name="표준 2 8 5" xfId="10114"/>
    <cellStyle name="표준 2 8 6" xfId="13267"/>
    <cellStyle name="표준 2 8 6 2" xfId="34143"/>
    <cellStyle name="표준 2 8 7" xfId="25405"/>
    <cellStyle name="표준 2 9" xfId="3851"/>
    <cellStyle name="표준 2 9 2" xfId="6075"/>
    <cellStyle name="표준 2 9 2 2" xfId="10117"/>
    <cellStyle name="표준 2 9 2 3" xfId="15084"/>
    <cellStyle name="표준 2 9 2 3 2" xfId="35960"/>
    <cellStyle name="표준 2 9 2 4" xfId="27222"/>
    <cellStyle name="표준 2 9 3" xfId="9185"/>
    <cellStyle name="표준 2 9 3 2" xfId="18189"/>
    <cellStyle name="표준 2 9 3 2 2" xfId="39065"/>
    <cellStyle name="표준 2 9 3 3" xfId="30327"/>
    <cellStyle name="표준 2 9 4" xfId="9274"/>
    <cellStyle name="표준 2 9 4 2" xfId="18274"/>
    <cellStyle name="표준 2 9 4 2 2" xfId="39150"/>
    <cellStyle name="표준 2 9 4 3" xfId="30412"/>
    <cellStyle name="표준 2 9 5" xfId="10116"/>
    <cellStyle name="표준 2 9 6" xfId="13266"/>
    <cellStyle name="표준 2 9 6 2" xfId="34142"/>
    <cellStyle name="표준 2 9 7" xfId="25404"/>
    <cellStyle name="표준 2_111020_세아제강온실_군산(명세서작성용)" xfId="4921"/>
    <cellStyle name="표준 20" xfId="2956"/>
    <cellStyle name="표준 20 10" xfId="4565"/>
    <cellStyle name="표준 20 10 2" xfId="6399"/>
    <cellStyle name="표준 20 10 2 2" xfId="15408"/>
    <cellStyle name="표준 20 10 2 2 2" xfId="36284"/>
    <cellStyle name="표준 20 10 2 3" xfId="27546"/>
    <cellStyle name="표준 20 10 3" xfId="11062"/>
    <cellStyle name="표준 20 10 3 2" xfId="19832"/>
    <cellStyle name="표준 20 10 3 2 2" xfId="40708"/>
    <cellStyle name="표준 20 10 3 3" xfId="31972"/>
    <cellStyle name="표준 20 10 4" xfId="11927"/>
    <cellStyle name="표준 20 10 4 2" xfId="20693"/>
    <cellStyle name="표준 20 10 4 2 2" xfId="41569"/>
    <cellStyle name="표준 20 10 4 3" xfId="32833"/>
    <cellStyle name="표준 20 10 5" xfId="13590"/>
    <cellStyle name="표준 20 10 5 2" xfId="34466"/>
    <cellStyle name="표준 20 10 6" xfId="25728"/>
    <cellStyle name="표준 20 11" xfId="5242"/>
    <cellStyle name="표준 20 11 2" xfId="14251"/>
    <cellStyle name="표준 20 11 2 2" xfId="35127"/>
    <cellStyle name="표준 20 11 3" xfId="26389"/>
    <cellStyle name="표준 20 12" xfId="7044"/>
    <cellStyle name="표준 20 12 2" xfId="16052"/>
    <cellStyle name="표준 20 12 2 2" xfId="36928"/>
    <cellStyle name="표준 20 12 3" xfId="28190"/>
    <cellStyle name="표준 20 13" xfId="7689"/>
    <cellStyle name="표준 20 13 2" xfId="16695"/>
    <cellStyle name="표준 20 13 2 2" xfId="37571"/>
    <cellStyle name="표준 20 13 3" xfId="28833"/>
    <cellStyle name="표준 20 14" xfId="8537"/>
    <cellStyle name="표준 20 14 2" xfId="17542"/>
    <cellStyle name="표준 20 14 2 2" xfId="38418"/>
    <cellStyle name="표준 20 14 3" xfId="29680"/>
    <cellStyle name="표준 20 15" xfId="9361"/>
    <cellStyle name="표준 20 15 2" xfId="18360"/>
    <cellStyle name="표준 20 15 2 2" xfId="39236"/>
    <cellStyle name="표준 20 15 3" xfId="30498"/>
    <cellStyle name="표준 20 16" xfId="10417"/>
    <cellStyle name="표준 20 16 2" xfId="19188"/>
    <cellStyle name="표준 20 16 2 2" xfId="40064"/>
    <cellStyle name="표준 20 16 3" xfId="31328"/>
    <cellStyle name="표준 20 17" xfId="11283"/>
    <cellStyle name="표준 20 17 2" xfId="20049"/>
    <cellStyle name="표준 20 17 2 2" xfId="40925"/>
    <cellStyle name="표준 20 17 3" xfId="32189"/>
    <cellStyle name="표준 20 18" xfId="12431"/>
    <cellStyle name="표준 20 18 2" xfId="33309"/>
    <cellStyle name="표준 20 19" xfId="24559"/>
    <cellStyle name="표준 20 2" xfId="2957"/>
    <cellStyle name="표준 20 2 10" xfId="10418"/>
    <cellStyle name="표준 20 2 10 2" xfId="19189"/>
    <cellStyle name="표준 20 2 10 2 2" xfId="40065"/>
    <cellStyle name="표준 20 2 10 3" xfId="31329"/>
    <cellStyle name="표준 20 2 11" xfId="11284"/>
    <cellStyle name="표준 20 2 11 2" xfId="20050"/>
    <cellStyle name="표준 20 2 11 2 2" xfId="40926"/>
    <cellStyle name="표준 20 2 11 3" xfId="32190"/>
    <cellStyle name="표준 20 2 12" xfId="12432"/>
    <cellStyle name="표준 20 2 12 2" xfId="33310"/>
    <cellStyle name="표준 20 2 13" xfId="24560"/>
    <cellStyle name="표준 20 2 2" xfId="3175"/>
    <cellStyle name="표준 20 2 2 10" xfId="11494"/>
    <cellStyle name="표준 20 2 2 10 2" xfId="20260"/>
    <cellStyle name="표준 20 2 2 10 2 2" xfId="41136"/>
    <cellStyle name="표준 20 2 2 10 3" xfId="32400"/>
    <cellStyle name="표준 20 2 2 11" xfId="12643"/>
    <cellStyle name="표준 20 2 2 11 2" xfId="33520"/>
    <cellStyle name="표준 20 2 2 12" xfId="24770"/>
    <cellStyle name="표준 20 2 2 2" xfId="3617"/>
    <cellStyle name="표준 20 2 2 2 2" xfId="5890"/>
    <cellStyle name="표준 20 2 2 2 2 2" xfId="14899"/>
    <cellStyle name="표준 20 2 2 2 2 2 2" xfId="35775"/>
    <cellStyle name="표준 20 2 2 2 2 3" xfId="27037"/>
    <cellStyle name="표준 20 2 2 2 3" xfId="13080"/>
    <cellStyle name="표준 20 2 2 2 3 2" xfId="33957"/>
    <cellStyle name="표준 20 2 2 2 4" xfId="25207"/>
    <cellStyle name="표준 20 2 2 3" xfId="4778"/>
    <cellStyle name="표준 20 2 2 3 2" xfId="6610"/>
    <cellStyle name="표준 20 2 2 3 2 2" xfId="15619"/>
    <cellStyle name="표준 20 2 2 3 2 2 2" xfId="36495"/>
    <cellStyle name="표준 20 2 2 3 2 3" xfId="27757"/>
    <cellStyle name="표준 20 2 2 3 3" xfId="13801"/>
    <cellStyle name="표준 20 2 2 3 3 2" xfId="34677"/>
    <cellStyle name="표준 20 2 2 3 4" xfId="25939"/>
    <cellStyle name="표준 20 2 2 4" xfId="5453"/>
    <cellStyle name="표준 20 2 2 4 2" xfId="14462"/>
    <cellStyle name="표준 20 2 2 4 2 2" xfId="35338"/>
    <cellStyle name="표준 20 2 2 4 3" xfId="26600"/>
    <cellStyle name="표준 20 2 2 5" xfId="7256"/>
    <cellStyle name="표준 20 2 2 5 2" xfId="16263"/>
    <cellStyle name="표준 20 2 2 5 2 2" xfId="37139"/>
    <cellStyle name="표준 20 2 2 5 3" xfId="28401"/>
    <cellStyle name="표준 20 2 2 6" xfId="7900"/>
    <cellStyle name="표준 20 2 2 6 2" xfId="16906"/>
    <cellStyle name="표준 20 2 2 6 2 2" xfId="37782"/>
    <cellStyle name="표준 20 2 2 6 3" xfId="29044"/>
    <cellStyle name="표준 20 2 2 7" xfId="8748"/>
    <cellStyle name="표준 20 2 2 7 2" xfId="17753"/>
    <cellStyle name="표준 20 2 2 7 2 2" xfId="38629"/>
    <cellStyle name="표준 20 2 2 7 3" xfId="29891"/>
    <cellStyle name="표준 20 2 2 8" xfId="9573"/>
    <cellStyle name="표준 20 2 2 8 2" xfId="18571"/>
    <cellStyle name="표준 20 2 2 8 2 2" xfId="39447"/>
    <cellStyle name="표준 20 2 2 8 3" xfId="30709"/>
    <cellStyle name="표준 20 2 2 9" xfId="10628"/>
    <cellStyle name="표준 20 2 2 9 2" xfId="19399"/>
    <cellStyle name="표준 20 2 2 9 2 2" xfId="40275"/>
    <cellStyle name="표준 20 2 2 9 3" xfId="31539"/>
    <cellStyle name="표준 20 2 3" xfId="3407"/>
    <cellStyle name="표준 20 2 3 10" xfId="12870"/>
    <cellStyle name="표준 20 2 3 10 2" xfId="33747"/>
    <cellStyle name="표준 20 2 3 11" xfId="24997"/>
    <cellStyle name="표준 20 2 3 2" xfId="5000"/>
    <cellStyle name="표준 20 2 3 2 2" xfId="6827"/>
    <cellStyle name="표준 20 2 3 2 2 2" xfId="15836"/>
    <cellStyle name="표준 20 2 3 2 2 2 2" xfId="36712"/>
    <cellStyle name="표준 20 2 3 2 2 3" xfId="27974"/>
    <cellStyle name="표준 20 2 3 2 3" xfId="14018"/>
    <cellStyle name="표준 20 2 3 2 3 2" xfId="34894"/>
    <cellStyle name="표준 20 2 3 2 4" xfId="26156"/>
    <cellStyle name="표준 20 2 3 3" xfId="5680"/>
    <cellStyle name="표준 20 2 3 3 2" xfId="14689"/>
    <cellStyle name="표준 20 2 3 3 2 2" xfId="35565"/>
    <cellStyle name="표준 20 2 3 3 3" xfId="26827"/>
    <cellStyle name="표준 20 2 3 4" xfId="7473"/>
    <cellStyle name="표준 20 2 3 4 2" xfId="16480"/>
    <cellStyle name="표준 20 2 3 4 2 2" xfId="37356"/>
    <cellStyle name="표준 20 2 3 4 3" xfId="28618"/>
    <cellStyle name="표준 20 2 3 5" xfId="8117"/>
    <cellStyle name="표준 20 2 3 5 2" xfId="17123"/>
    <cellStyle name="표준 20 2 3 5 2 2" xfId="37999"/>
    <cellStyle name="표준 20 2 3 5 3" xfId="29261"/>
    <cellStyle name="표준 20 2 3 6" xfId="8965"/>
    <cellStyle name="표준 20 2 3 6 2" xfId="17970"/>
    <cellStyle name="표준 20 2 3 6 2 2" xfId="38846"/>
    <cellStyle name="표준 20 2 3 6 3" xfId="30108"/>
    <cellStyle name="표준 20 2 3 7" xfId="9790"/>
    <cellStyle name="표준 20 2 3 7 2" xfId="18788"/>
    <cellStyle name="표준 20 2 3 7 2 2" xfId="39664"/>
    <cellStyle name="표준 20 2 3 7 3" xfId="30926"/>
    <cellStyle name="표준 20 2 3 8" xfId="10845"/>
    <cellStyle name="표준 20 2 3 8 2" xfId="19616"/>
    <cellStyle name="표준 20 2 3 8 2 2" xfId="40492"/>
    <cellStyle name="표준 20 2 3 8 3" xfId="31756"/>
    <cellStyle name="표준 20 2 3 9" xfId="11711"/>
    <cellStyle name="표준 20 2 3 9 2" xfId="20477"/>
    <cellStyle name="표준 20 2 3 9 2 2" xfId="41353"/>
    <cellStyle name="표준 20 2 3 9 3" xfId="32617"/>
    <cellStyle name="표준 20 2 4" xfId="4566"/>
    <cellStyle name="표준 20 2 4 2" xfId="6400"/>
    <cellStyle name="표준 20 2 4 2 2" xfId="15409"/>
    <cellStyle name="표준 20 2 4 2 2 2" xfId="36285"/>
    <cellStyle name="표준 20 2 4 2 3" xfId="27547"/>
    <cellStyle name="표준 20 2 4 3" xfId="11063"/>
    <cellStyle name="표준 20 2 4 3 2" xfId="19833"/>
    <cellStyle name="표준 20 2 4 3 2 2" xfId="40709"/>
    <cellStyle name="표준 20 2 4 3 3" xfId="31973"/>
    <cellStyle name="표준 20 2 4 4" xfId="11928"/>
    <cellStyle name="표준 20 2 4 4 2" xfId="20694"/>
    <cellStyle name="표준 20 2 4 4 2 2" xfId="41570"/>
    <cellStyle name="표준 20 2 4 4 3" xfId="32834"/>
    <cellStyle name="표준 20 2 4 5" xfId="13591"/>
    <cellStyle name="표준 20 2 4 5 2" xfId="34467"/>
    <cellStyle name="표준 20 2 4 6" xfId="25729"/>
    <cellStyle name="표준 20 2 5" xfId="5243"/>
    <cellStyle name="표준 20 2 5 2" xfId="14252"/>
    <cellStyle name="표준 20 2 5 2 2" xfId="35128"/>
    <cellStyle name="표준 20 2 5 3" xfId="26390"/>
    <cellStyle name="표준 20 2 6" xfId="7045"/>
    <cellStyle name="표준 20 2 6 2" xfId="16053"/>
    <cellStyle name="표준 20 2 6 2 2" xfId="36929"/>
    <cellStyle name="표준 20 2 6 3" xfId="28191"/>
    <cellStyle name="표준 20 2 7" xfId="7690"/>
    <cellStyle name="표준 20 2 7 2" xfId="16696"/>
    <cellStyle name="표준 20 2 7 2 2" xfId="37572"/>
    <cellStyle name="표준 20 2 7 3" xfId="28834"/>
    <cellStyle name="표준 20 2 8" xfId="8538"/>
    <cellStyle name="표준 20 2 8 2" xfId="17543"/>
    <cellStyle name="표준 20 2 8 2 2" xfId="38419"/>
    <cellStyle name="표준 20 2 8 3" xfId="29681"/>
    <cellStyle name="표준 20 2 9" xfId="9362"/>
    <cellStyle name="표준 20 2 9 2" xfId="18361"/>
    <cellStyle name="표준 20 2 9 2 2" xfId="39237"/>
    <cellStyle name="표준 20 2 9 3" xfId="30499"/>
    <cellStyle name="표준 20 3" xfId="2958"/>
    <cellStyle name="표준 20 3 10" xfId="10419"/>
    <cellStyle name="표준 20 3 10 2" xfId="19190"/>
    <cellStyle name="표준 20 3 10 2 2" xfId="40066"/>
    <cellStyle name="표준 20 3 10 3" xfId="31330"/>
    <cellStyle name="표준 20 3 11" xfId="11285"/>
    <cellStyle name="표준 20 3 11 2" xfId="20051"/>
    <cellStyle name="표준 20 3 11 2 2" xfId="40927"/>
    <cellStyle name="표준 20 3 11 3" xfId="32191"/>
    <cellStyle name="표준 20 3 12" xfId="12433"/>
    <cellStyle name="표준 20 3 12 2" xfId="33311"/>
    <cellStyle name="표준 20 3 13" xfId="24561"/>
    <cellStyle name="표준 20 3 2" xfId="3176"/>
    <cellStyle name="표준 20 3 2 10" xfId="11495"/>
    <cellStyle name="표준 20 3 2 10 2" xfId="20261"/>
    <cellStyle name="표준 20 3 2 10 2 2" xfId="41137"/>
    <cellStyle name="표준 20 3 2 10 3" xfId="32401"/>
    <cellStyle name="표준 20 3 2 11" xfId="12644"/>
    <cellStyle name="표준 20 3 2 11 2" xfId="33521"/>
    <cellStyle name="표준 20 3 2 12" xfId="24771"/>
    <cellStyle name="표준 20 3 2 2" xfId="3618"/>
    <cellStyle name="표준 20 3 2 2 2" xfId="5891"/>
    <cellStyle name="표준 20 3 2 2 2 2" xfId="14900"/>
    <cellStyle name="표준 20 3 2 2 2 2 2" xfId="35776"/>
    <cellStyle name="표준 20 3 2 2 2 3" xfId="27038"/>
    <cellStyle name="표준 20 3 2 2 3" xfId="13081"/>
    <cellStyle name="표준 20 3 2 2 3 2" xfId="33958"/>
    <cellStyle name="표준 20 3 2 2 4" xfId="25208"/>
    <cellStyle name="표준 20 3 2 3" xfId="4779"/>
    <cellStyle name="표준 20 3 2 3 2" xfId="6611"/>
    <cellStyle name="표준 20 3 2 3 2 2" xfId="15620"/>
    <cellStyle name="표준 20 3 2 3 2 2 2" xfId="36496"/>
    <cellStyle name="표준 20 3 2 3 2 3" xfId="27758"/>
    <cellStyle name="표준 20 3 2 3 3" xfId="13802"/>
    <cellStyle name="표준 20 3 2 3 3 2" xfId="34678"/>
    <cellStyle name="표준 20 3 2 3 4" xfId="25940"/>
    <cellStyle name="표준 20 3 2 4" xfId="5454"/>
    <cellStyle name="표준 20 3 2 4 2" xfId="14463"/>
    <cellStyle name="표준 20 3 2 4 2 2" xfId="35339"/>
    <cellStyle name="표준 20 3 2 4 3" xfId="26601"/>
    <cellStyle name="표준 20 3 2 5" xfId="7257"/>
    <cellStyle name="표준 20 3 2 5 2" xfId="16264"/>
    <cellStyle name="표준 20 3 2 5 2 2" xfId="37140"/>
    <cellStyle name="표준 20 3 2 5 3" xfId="28402"/>
    <cellStyle name="표준 20 3 2 6" xfId="7901"/>
    <cellStyle name="표준 20 3 2 6 2" xfId="16907"/>
    <cellStyle name="표준 20 3 2 6 2 2" xfId="37783"/>
    <cellStyle name="표준 20 3 2 6 3" xfId="29045"/>
    <cellStyle name="표준 20 3 2 7" xfId="8749"/>
    <cellStyle name="표준 20 3 2 7 2" xfId="17754"/>
    <cellStyle name="표준 20 3 2 7 2 2" xfId="38630"/>
    <cellStyle name="표준 20 3 2 7 3" xfId="29892"/>
    <cellStyle name="표준 20 3 2 8" xfId="9574"/>
    <cellStyle name="표준 20 3 2 8 2" xfId="18572"/>
    <cellStyle name="표준 20 3 2 8 2 2" xfId="39448"/>
    <cellStyle name="표준 20 3 2 8 3" xfId="30710"/>
    <cellStyle name="표준 20 3 2 9" xfId="10629"/>
    <cellStyle name="표준 20 3 2 9 2" xfId="19400"/>
    <cellStyle name="표준 20 3 2 9 2 2" xfId="40276"/>
    <cellStyle name="표준 20 3 2 9 3" xfId="31540"/>
    <cellStyle name="표준 20 3 3" xfId="3408"/>
    <cellStyle name="표준 20 3 3 10" xfId="12871"/>
    <cellStyle name="표준 20 3 3 10 2" xfId="33748"/>
    <cellStyle name="표준 20 3 3 11" xfId="24998"/>
    <cellStyle name="표준 20 3 3 2" xfId="5001"/>
    <cellStyle name="표준 20 3 3 2 2" xfId="6828"/>
    <cellStyle name="표준 20 3 3 2 2 2" xfId="15837"/>
    <cellStyle name="표준 20 3 3 2 2 2 2" xfId="36713"/>
    <cellStyle name="표준 20 3 3 2 2 3" xfId="27975"/>
    <cellStyle name="표준 20 3 3 2 3" xfId="14019"/>
    <cellStyle name="표준 20 3 3 2 3 2" xfId="34895"/>
    <cellStyle name="표준 20 3 3 2 4" xfId="26157"/>
    <cellStyle name="표준 20 3 3 3" xfId="5681"/>
    <cellStyle name="표준 20 3 3 3 2" xfId="14690"/>
    <cellStyle name="표준 20 3 3 3 2 2" xfId="35566"/>
    <cellStyle name="표준 20 3 3 3 3" xfId="26828"/>
    <cellStyle name="표준 20 3 3 4" xfId="7474"/>
    <cellStyle name="표준 20 3 3 4 2" xfId="16481"/>
    <cellStyle name="표준 20 3 3 4 2 2" xfId="37357"/>
    <cellStyle name="표준 20 3 3 4 3" xfId="28619"/>
    <cellStyle name="표준 20 3 3 5" xfId="8118"/>
    <cellStyle name="표준 20 3 3 5 2" xfId="17124"/>
    <cellStyle name="표준 20 3 3 5 2 2" xfId="38000"/>
    <cellStyle name="표준 20 3 3 5 3" xfId="29262"/>
    <cellStyle name="표준 20 3 3 6" xfId="8966"/>
    <cellStyle name="표준 20 3 3 6 2" xfId="17971"/>
    <cellStyle name="표준 20 3 3 6 2 2" xfId="38847"/>
    <cellStyle name="표준 20 3 3 6 3" xfId="30109"/>
    <cellStyle name="표준 20 3 3 7" xfId="9791"/>
    <cellStyle name="표준 20 3 3 7 2" xfId="18789"/>
    <cellStyle name="표준 20 3 3 7 2 2" xfId="39665"/>
    <cellStyle name="표준 20 3 3 7 3" xfId="30927"/>
    <cellStyle name="표준 20 3 3 8" xfId="10846"/>
    <cellStyle name="표준 20 3 3 8 2" xfId="19617"/>
    <cellStyle name="표준 20 3 3 8 2 2" xfId="40493"/>
    <cellStyle name="표준 20 3 3 8 3" xfId="31757"/>
    <cellStyle name="표준 20 3 3 9" xfId="11712"/>
    <cellStyle name="표준 20 3 3 9 2" xfId="20478"/>
    <cellStyle name="표준 20 3 3 9 2 2" xfId="41354"/>
    <cellStyle name="표준 20 3 3 9 3" xfId="32618"/>
    <cellStyle name="표준 20 3 4" xfId="4567"/>
    <cellStyle name="표준 20 3 4 2" xfId="6401"/>
    <cellStyle name="표준 20 3 4 2 2" xfId="15410"/>
    <cellStyle name="표준 20 3 4 2 2 2" xfId="36286"/>
    <cellStyle name="표준 20 3 4 2 3" xfId="27548"/>
    <cellStyle name="표준 20 3 4 3" xfId="11064"/>
    <cellStyle name="표준 20 3 4 3 2" xfId="19834"/>
    <cellStyle name="표준 20 3 4 3 2 2" xfId="40710"/>
    <cellStyle name="표준 20 3 4 3 3" xfId="31974"/>
    <cellStyle name="표준 20 3 4 4" xfId="11929"/>
    <cellStyle name="표준 20 3 4 4 2" xfId="20695"/>
    <cellStyle name="표준 20 3 4 4 2 2" xfId="41571"/>
    <cellStyle name="표준 20 3 4 4 3" xfId="32835"/>
    <cellStyle name="표준 20 3 4 5" xfId="13592"/>
    <cellStyle name="표준 20 3 4 5 2" xfId="34468"/>
    <cellStyle name="표준 20 3 4 6" xfId="25730"/>
    <cellStyle name="표준 20 3 5" xfId="5244"/>
    <cellStyle name="표준 20 3 5 2" xfId="14253"/>
    <cellStyle name="표준 20 3 5 2 2" xfId="35129"/>
    <cellStyle name="표준 20 3 5 3" xfId="26391"/>
    <cellStyle name="표준 20 3 6" xfId="7046"/>
    <cellStyle name="표준 20 3 6 2" xfId="16054"/>
    <cellStyle name="표준 20 3 6 2 2" xfId="36930"/>
    <cellStyle name="표준 20 3 6 3" xfId="28192"/>
    <cellStyle name="표준 20 3 7" xfId="7691"/>
    <cellStyle name="표준 20 3 7 2" xfId="16697"/>
    <cellStyle name="표준 20 3 7 2 2" xfId="37573"/>
    <cellStyle name="표준 20 3 7 3" xfId="28835"/>
    <cellStyle name="표준 20 3 8" xfId="8539"/>
    <cellStyle name="표준 20 3 8 2" xfId="17544"/>
    <cellStyle name="표준 20 3 8 2 2" xfId="38420"/>
    <cellStyle name="표준 20 3 8 3" xfId="29682"/>
    <cellStyle name="표준 20 3 9" xfId="9363"/>
    <cellStyle name="표준 20 3 9 2" xfId="18362"/>
    <cellStyle name="표준 20 3 9 2 2" xfId="39238"/>
    <cellStyle name="표준 20 3 9 3" xfId="30500"/>
    <cellStyle name="표준 20 4" xfId="2959"/>
    <cellStyle name="표준 20 4 10" xfId="10420"/>
    <cellStyle name="표준 20 4 10 2" xfId="19191"/>
    <cellStyle name="표준 20 4 10 2 2" xfId="40067"/>
    <cellStyle name="표준 20 4 10 3" xfId="31331"/>
    <cellStyle name="표준 20 4 11" xfId="11286"/>
    <cellStyle name="표준 20 4 11 2" xfId="20052"/>
    <cellStyle name="표준 20 4 11 2 2" xfId="40928"/>
    <cellStyle name="표준 20 4 11 3" xfId="32192"/>
    <cellStyle name="표준 20 4 12" xfId="12434"/>
    <cellStyle name="표준 20 4 12 2" xfId="33312"/>
    <cellStyle name="표준 20 4 13" xfId="24562"/>
    <cellStyle name="표준 20 4 2" xfId="3177"/>
    <cellStyle name="표준 20 4 2 10" xfId="11496"/>
    <cellStyle name="표준 20 4 2 10 2" xfId="20262"/>
    <cellStyle name="표준 20 4 2 10 2 2" xfId="41138"/>
    <cellStyle name="표준 20 4 2 10 3" xfId="32402"/>
    <cellStyle name="표준 20 4 2 11" xfId="12645"/>
    <cellStyle name="표준 20 4 2 11 2" xfId="33522"/>
    <cellStyle name="표준 20 4 2 12" xfId="24772"/>
    <cellStyle name="표준 20 4 2 2" xfId="3619"/>
    <cellStyle name="표준 20 4 2 2 2" xfId="5892"/>
    <cellStyle name="표준 20 4 2 2 2 2" xfId="14901"/>
    <cellStyle name="표준 20 4 2 2 2 2 2" xfId="35777"/>
    <cellStyle name="표준 20 4 2 2 2 3" xfId="27039"/>
    <cellStyle name="표준 20 4 2 2 3" xfId="13082"/>
    <cellStyle name="표준 20 4 2 2 3 2" xfId="33959"/>
    <cellStyle name="표준 20 4 2 2 4" xfId="25209"/>
    <cellStyle name="표준 20 4 2 3" xfId="4780"/>
    <cellStyle name="표준 20 4 2 3 2" xfId="6612"/>
    <cellStyle name="표준 20 4 2 3 2 2" xfId="15621"/>
    <cellStyle name="표준 20 4 2 3 2 2 2" xfId="36497"/>
    <cellStyle name="표준 20 4 2 3 2 3" xfId="27759"/>
    <cellStyle name="표준 20 4 2 3 3" xfId="13803"/>
    <cellStyle name="표준 20 4 2 3 3 2" xfId="34679"/>
    <cellStyle name="표준 20 4 2 3 4" xfId="25941"/>
    <cellStyle name="표준 20 4 2 4" xfId="5455"/>
    <cellStyle name="표준 20 4 2 4 2" xfId="14464"/>
    <cellStyle name="표준 20 4 2 4 2 2" xfId="35340"/>
    <cellStyle name="표준 20 4 2 4 3" xfId="26602"/>
    <cellStyle name="표준 20 4 2 5" xfId="7258"/>
    <cellStyle name="표준 20 4 2 5 2" xfId="16265"/>
    <cellStyle name="표준 20 4 2 5 2 2" xfId="37141"/>
    <cellStyle name="표준 20 4 2 5 3" xfId="28403"/>
    <cellStyle name="표준 20 4 2 6" xfId="7902"/>
    <cellStyle name="표준 20 4 2 6 2" xfId="16908"/>
    <cellStyle name="표준 20 4 2 6 2 2" xfId="37784"/>
    <cellStyle name="표준 20 4 2 6 3" xfId="29046"/>
    <cellStyle name="표준 20 4 2 7" xfId="8750"/>
    <cellStyle name="표준 20 4 2 7 2" xfId="17755"/>
    <cellStyle name="표준 20 4 2 7 2 2" xfId="38631"/>
    <cellStyle name="표준 20 4 2 7 3" xfId="29893"/>
    <cellStyle name="표준 20 4 2 8" xfId="9575"/>
    <cellStyle name="표준 20 4 2 8 2" xfId="18573"/>
    <cellStyle name="표준 20 4 2 8 2 2" xfId="39449"/>
    <cellStyle name="표준 20 4 2 8 3" xfId="30711"/>
    <cellStyle name="표준 20 4 2 9" xfId="10630"/>
    <cellStyle name="표준 20 4 2 9 2" xfId="19401"/>
    <cellStyle name="표준 20 4 2 9 2 2" xfId="40277"/>
    <cellStyle name="표준 20 4 2 9 3" xfId="31541"/>
    <cellStyle name="표준 20 4 3" xfId="3409"/>
    <cellStyle name="표준 20 4 3 10" xfId="12872"/>
    <cellStyle name="표준 20 4 3 10 2" xfId="33749"/>
    <cellStyle name="표준 20 4 3 11" xfId="24999"/>
    <cellStyle name="표준 20 4 3 2" xfId="5002"/>
    <cellStyle name="표준 20 4 3 2 2" xfId="6829"/>
    <cellStyle name="표준 20 4 3 2 2 2" xfId="15838"/>
    <cellStyle name="표준 20 4 3 2 2 2 2" xfId="36714"/>
    <cellStyle name="표준 20 4 3 2 2 3" xfId="27976"/>
    <cellStyle name="표준 20 4 3 2 3" xfId="14020"/>
    <cellStyle name="표준 20 4 3 2 3 2" xfId="34896"/>
    <cellStyle name="표준 20 4 3 2 4" xfId="26158"/>
    <cellStyle name="표준 20 4 3 3" xfId="5682"/>
    <cellStyle name="표준 20 4 3 3 2" xfId="14691"/>
    <cellStyle name="표준 20 4 3 3 2 2" xfId="35567"/>
    <cellStyle name="표준 20 4 3 3 3" xfId="26829"/>
    <cellStyle name="표준 20 4 3 4" xfId="7475"/>
    <cellStyle name="표준 20 4 3 4 2" xfId="16482"/>
    <cellStyle name="표준 20 4 3 4 2 2" xfId="37358"/>
    <cellStyle name="표준 20 4 3 4 3" xfId="28620"/>
    <cellStyle name="표준 20 4 3 5" xfId="8119"/>
    <cellStyle name="표준 20 4 3 5 2" xfId="17125"/>
    <cellStyle name="표준 20 4 3 5 2 2" xfId="38001"/>
    <cellStyle name="표준 20 4 3 5 3" xfId="29263"/>
    <cellStyle name="표준 20 4 3 6" xfId="8967"/>
    <cellStyle name="표준 20 4 3 6 2" xfId="17972"/>
    <cellStyle name="표준 20 4 3 6 2 2" xfId="38848"/>
    <cellStyle name="표준 20 4 3 6 3" xfId="30110"/>
    <cellStyle name="표준 20 4 3 7" xfId="9792"/>
    <cellStyle name="표준 20 4 3 7 2" xfId="18790"/>
    <cellStyle name="표준 20 4 3 7 2 2" xfId="39666"/>
    <cellStyle name="표준 20 4 3 7 3" xfId="30928"/>
    <cellStyle name="표준 20 4 3 8" xfId="10847"/>
    <cellStyle name="표준 20 4 3 8 2" xfId="19618"/>
    <cellStyle name="표준 20 4 3 8 2 2" xfId="40494"/>
    <cellStyle name="표준 20 4 3 8 3" xfId="31758"/>
    <cellStyle name="표준 20 4 3 9" xfId="11713"/>
    <cellStyle name="표준 20 4 3 9 2" xfId="20479"/>
    <cellStyle name="표준 20 4 3 9 2 2" xfId="41355"/>
    <cellStyle name="표준 20 4 3 9 3" xfId="32619"/>
    <cellStyle name="표준 20 4 4" xfId="4568"/>
    <cellStyle name="표준 20 4 4 2" xfId="6402"/>
    <cellStyle name="표준 20 4 4 2 2" xfId="15411"/>
    <cellStyle name="표준 20 4 4 2 2 2" xfId="36287"/>
    <cellStyle name="표준 20 4 4 2 3" xfId="27549"/>
    <cellStyle name="표준 20 4 4 3" xfId="11065"/>
    <cellStyle name="표준 20 4 4 3 2" xfId="19835"/>
    <cellStyle name="표준 20 4 4 3 2 2" xfId="40711"/>
    <cellStyle name="표준 20 4 4 3 3" xfId="31975"/>
    <cellStyle name="표준 20 4 4 4" xfId="11930"/>
    <cellStyle name="표준 20 4 4 4 2" xfId="20696"/>
    <cellStyle name="표준 20 4 4 4 2 2" xfId="41572"/>
    <cellStyle name="표준 20 4 4 4 3" xfId="32836"/>
    <cellStyle name="표준 20 4 4 5" xfId="13593"/>
    <cellStyle name="표준 20 4 4 5 2" xfId="34469"/>
    <cellStyle name="표준 20 4 4 6" xfId="25731"/>
    <cellStyle name="표준 20 4 5" xfId="5245"/>
    <cellStyle name="표준 20 4 5 2" xfId="14254"/>
    <cellStyle name="표준 20 4 5 2 2" xfId="35130"/>
    <cellStyle name="표준 20 4 5 3" xfId="26392"/>
    <cellStyle name="표준 20 4 6" xfId="7047"/>
    <cellStyle name="표준 20 4 6 2" xfId="16055"/>
    <cellStyle name="표준 20 4 6 2 2" xfId="36931"/>
    <cellStyle name="표준 20 4 6 3" xfId="28193"/>
    <cellStyle name="표준 20 4 7" xfId="7692"/>
    <cellStyle name="표준 20 4 7 2" xfId="16698"/>
    <cellStyle name="표준 20 4 7 2 2" xfId="37574"/>
    <cellStyle name="표준 20 4 7 3" xfId="28836"/>
    <cellStyle name="표준 20 4 8" xfId="8540"/>
    <cellStyle name="표준 20 4 8 2" xfId="17545"/>
    <cellStyle name="표준 20 4 8 2 2" xfId="38421"/>
    <cellStyle name="표준 20 4 8 3" xfId="29683"/>
    <cellStyle name="표준 20 4 9" xfId="9364"/>
    <cellStyle name="표준 20 4 9 2" xfId="18363"/>
    <cellStyle name="표준 20 4 9 2 2" xfId="39239"/>
    <cellStyle name="표준 20 4 9 3" xfId="30501"/>
    <cellStyle name="표준 20 5" xfId="2960"/>
    <cellStyle name="표준 20 5 10" xfId="10421"/>
    <cellStyle name="표준 20 5 10 2" xfId="19192"/>
    <cellStyle name="표준 20 5 10 2 2" xfId="40068"/>
    <cellStyle name="표준 20 5 10 3" xfId="31332"/>
    <cellStyle name="표준 20 5 11" xfId="11287"/>
    <cellStyle name="표준 20 5 11 2" xfId="20053"/>
    <cellStyle name="표준 20 5 11 2 2" xfId="40929"/>
    <cellStyle name="표준 20 5 11 3" xfId="32193"/>
    <cellStyle name="표준 20 5 12" xfId="12435"/>
    <cellStyle name="표준 20 5 12 2" xfId="33313"/>
    <cellStyle name="표준 20 5 13" xfId="24563"/>
    <cellStyle name="표준 20 5 2" xfId="3178"/>
    <cellStyle name="표준 20 5 2 10" xfId="11497"/>
    <cellStyle name="표준 20 5 2 10 2" xfId="20263"/>
    <cellStyle name="표준 20 5 2 10 2 2" xfId="41139"/>
    <cellStyle name="표준 20 5 2 10 3" xfId="32403"/>
    <cellStyle name="표준 20 5 2 11" xfId="12646"/>
    <cellStyle name="표준 20 5 2 11 2" xfId="33523"/>
    <cellStyle name="표준 20 5 2 12" xfId="24773"/>
    <cellStyle name="표준 20 5 2 2" xfId="3620"/>
    <cellStyle name="표준 20 5 2 2 2" xfId="5893"/>
    <cellStyle name="표준 20 5 2 2 2 2" xfId="14902"/>
    <cellStyle name="표준 20 5 2 2 2 2 2" xfId="35778"/>
    <cellStyle name="표준 20 5 2 2 2 3" xfId="27040"/>
    <cellStyle name="표준 20 5 2 2 3" xfId="13083"/>
    <cellStyle name="표준 20 5 2 2 3 2" xfId="33960"/>
    <cellStyle name="표준 20 5 2 2 4" xfId="25210"/>
    <cellStyle name="표준 20 5 2 3" xfId="4781"/>
    <cellStyle name="표준 20 5 2 3 2" xfId="6613"/>
    <cellStyle name="표준 20 5 2 3 2 2" xfId="15622"/>
    <cellStyle name="표준 20 5 2 3 2 2 2" xfId="36498"/>
    <cellStyle name="표준 20 5 2 3 2 3" xfId="27760"/>
    <cellStyle name="표준 20 5 2 3 3" xfId="13804"/>
    <cellStyle name="표준 20 5 2 3 3 2" xfId="34680"/>
    <cellStyle name="표준 20 5 2 3 4" xfId="25942"/>
    <cellStyle name="표준 20 5 2 4" xfId="5456"/>
    <cellStyle name="표준 20 5 2 4 2" xfId="14465"/>
    <cellStyle name="표준 20 5 2 4 2 2" xfId="35341"/>
    <cellStyle name="표준 20 5 2 4 3" xfId="26603"/>
    <cellStyle name="표준 20 5 2 5" xfId="7259"/>
    <cellStyle name="표준 20 5 2 5 2" xfId="16266"/>
    <cellStyle name="표준 20 5 2 5 2 2" xfId="37142"/>
    <cellStyle name="표준 20 5 2 5 3" xfId="28404"/>
    <cellStyle name="표준 20 5 2 6" xfId="7903"/>
    <cellStyle name="표준 20 5 2 6 2" xfId="16909"/>
    <cellStyle name="표준 20 5 2 6 2 2" xfId="37785"/>
    <cellStyle name="표준 20 5 2 6 3" xfId="29047"/>
    <cellStyle name="표준 20 5 2 7" xfId="8751"/>
    <cellStyle name="표준 20 5 2 7 2" xfId="17756"/>
    <cellStyle name="표준 20 5 2 7 2 2" xfId="38632"/>
    <cellStyle name="표준 20 5 2 7 3" xfId="29894"/>
    <cellStyle name="표준 20 5 2 8" xfId="9576"/>
    <cellStyle name="표준 20 5 2 8 2" xfId="18574"/>
    <cellStyle name="표준 20 5 2 8 2 2" xfId="39450"/>
    <cellStyle name="표준 20 5 2 8 3" xfId="30712"/>
    <cellStyle name="표준 20 5 2 9" xfId="10631"/>
    <cellStyle name="표준 20 5 2 9 2" xfId="19402"/>
    <cellStyle name="표준 20 5 2 9 2 2" xfId="40278"/>
    <cellStyle name="표준 20 5 2 9 3" xfId="31542"/>
    <cellStyle name="표준 20 5 3" xfId="3410"/>
    <cellStyle name="표준 20 5 3 10" xfId="12873"/>
    <cellStyle name="표준 20 5 3 10 2" xfId="33750"/>
    <cellStyle name="표준 20 5 3 11" xfId="25000"/>
    <cellStyle name="표준 20 5 3 2" xfId="5003"/>
    <cellStyle name="표준 20 5 3 2 2" xfId="6830"/>
    <cellStyle name="표준 20 5 3 2 2 2" xfId="15839"/>
    <cellStyle name="표준 20 5 3 2 2 2 2" xfId="36715"/>
    <cellStyle name="표준 20 5 3 2 2 3" xfId="27977"/>
    <cellStyle name="표준 20 5 3 2 3" xfId="14021"/>
    <cellStyle name="표준 20 5 3 2 3 2" xfId="34897"/>
    <cellStyle name="표준 20 5 3 2 4" xfId="26159"/>
    <cellStyle name="표준 20 5 3 3" xfId="5683"/>
    <cellStyle name="표준 20 5 3 3 2" xfId="14692"/>
    <cellStyle name="표준 20 5 3 3 2 2" xfId="35568"/>
    <cellStyle name="표준 20 5 3 3 3" xfId="26830"/>
    <cellStyle name="표준 20 5 3 4" xfId="7476"/>
    <cellStyle name="표준 20 5 3 4 2" xfId="16483"/>
    <cellStyle name="표준 20 5 3 4 2 2" xfId="37359"/>
    <cellStyle name="표준 20 5 3 4 3" xfId="28621"/>
    <cellStyle name="표준 20 5 3 5" xfId="8120"/>
    <cellStyle name="표준 20 5 3 5 2" xfId="17126"/>
    <cellStyle name="표준 20 5 3 5 2 2" xfId="38002"/>
    <cellStyle name="표준 20 5 3 5 3" xfId="29264"/>
    <cellStyle name="표준 20 5 3 6" xfId="8968"/>
    <cellStyle name="표준 20 5 3 6 2" xfId="17973"/>
    <cellStyle name="표준 20 5 3 6 2 2" xfId="38849"/>
    <cellStyle name="표준 20 5 3 6 3" xfId="30111"/>
    <cellStyle name="표준 20 5 3 7" xfId="9793"/>
    <cellStyle name="표준 20 5 3 7 2" xfId="18791"/>
    <cellStyle name="표준 20 5 3 7 2 2" xfId="39667"/>
    <cellStyle name="표준 20 5 3 7 3" xfId="30929"/>
    <cellStyle name="표준 20 5 3 8" xfId="10848"/>
    <cellStyle name="표준 20 5 3 8 2" xfId="19619"/>
    <cellStyle name="표준 20 5 3 8 2 2" xfId="40495"/>
    <cellStyle name="표준 20 5 3 8 3" xfId="31759"/>
    <cellStyle name="표준 20 5 3 9" xfId="11714"/>
    <cellStyle name="표준 20 5 3 9 2" xfId="20480"/>
    <cellStyle name="표준 20 5 3 9 2 2" xfId="41356"/>
    <cellStyle name="표준 20 5 3 9 3" xfId="32620"/>
    <cellStyle name="표준 20 5 4" xfId="4569"/>
    <cellStyle name="표준 20 5 4 2" xfId="6403"/>
    <cellStyle name="표준 20 5 4 2 2" xfId="15412"/>
    <cellStyle name="표준 20 5 4 2 2 2" xfId="36288"/>
    <cellStyle name="표준 20 5 4 2 3" xfId="27550"/>
    <cellStyle name="표준 20 5 4 3" xfId="11066"/>
    <cellStyle name="표준 20 5 4 3 2" xfId="19836"/>
    <cellStyle name="표준 20 5 4 3 2 2" xfId="40712"/>
    <cellStyle name="표준 20 5 4 3 3" xfId="31976"/>
    <cellStyle name="표준 20 5 4 4" xfId="11931"/>
    <cellStyle name="표준 20 5 4 4 2" xfId="20697"/>
    <cellStyle name="표준 20 5 4 4 2 2" xfId="41573"/>
    <cellStyle name="표준 20 5 4 4 3" xfId="32837"/>
    <cellStyle name="표준 20 5 4 5" xfId="13594"/>
    <cellStyle name="표준 20 5 4 5 2" xfId="34470"/>
    <cellStyle name="표준 20 5 4 6" xfId="25732"/>
    <cellStyle name="표준 20 5 5" xfId="5246"/>
    <cellStyle name="표준 20 5 5 2" xfId="14255"/>
    <cellStyle name="표준 20 5 5 2 2" xfId="35131"/>
    <cellStyle name="표준 20 5 5 3" xfId="26393"/>
    <cellStyle name="표준 20 5 6" xfId="7048"/>
    <cellStyle name="표준 20 5 6 2" xfId="16056"/>
    <cellStyle name="표준 20 5 6 2 2" xfId="36932"/>
    <cellStyle name="표준 20 5 6 3" xfId="28194"/>
    <cellStyle name="표준 20 5 7" xfId="7693"/>
    <cellStyle name="표준 20 5 7 2" xfId="16699"/>
    <cellStyle name="표준 20 5 7 2 2" xfId="37575"/>
    <cellStyle name="표준 20 5 7 3" xfId="28837"/>
    <cellStyle name="표준 20 5 8" xfId="8541"/>
    <cellStyle name="표준 20 5 8 2" xfId="17546"/>
    <cellStyle name="표준 20 5 8 2 2" xfId="38422"/>
    <cellStyle name="표준 20 5 8 3" xfId="29684"/>
    <cellStyle name="표준 20 5 9" xfId="9365"/>
    <cellStyle name="표준 20 5 9 2" xfId="18364"/>
    <cellStyle name="표준 20 5 9 2 2" xfId="39240"/>
    <cellStyle name="표준 20 5 9 3" xfId="30502"/>
    <cellStyle name="표준 20 6" xfId="2961"/>
    <cellStyle name="표준 20 6 10" xfId="10422"/>
    <cellStyle name="표준 20 6 10 2" xfId="19193"/>
    <cellStyle name="표준 20 6 10 2 2" xfId="40069"/>
    <cellStyle name="표준 20 6 10 3" xfId="31333"/>
    <cellStyle name="표준 20 6 11" xfId="11288"/>
    <cellStyle name="표준 20 6 11 2" xfId="20054"/>
    <cellStyle name="표준 20 6 11 2 2" xfId="40930"/>
    <cellStyle name="표준 20 6 11 3" xfId="32194"/>
    <cellStyle name="표준 20 6 12" xfId="12436"/>
    <cellStyle name="표준 20 6 12 2" xfId="33314"/>
    <cellStyle name="표준 20 6 13" xfId="24564"/>
    <cellStyle name="표준 20 6 2" xfId="3179"/>
    <cellStyle name="표준 20 6 2 10" xfId="11498"/>
    <cellStyle name="표준 20 6 2 10 2" xfId="20264"/>
    <cellStyle name="표준 20 6 2 10 2 2" xfId="41140"/>
    <cellStyle name="표준 20 6 2 10 3" xfId="32404"/>
    <cellStyle name="표준 20 6 2 11" xfId="12647"/>
    <cellStyle name="표준 20 6 2 11 2" xfId="33524"/>
    <cellStyle name="표준 20 6 2 12" xfId="24774"/>
    <cellStyle name="표준 20 6 2 2" xfId="3621"/>
    <cellStyle name="표준 20 6 2 2 2" xfId="5894"/>
    <cellStyle name="표준 20 6 2 2 2 2" xfId="14903"/>
    <cellStyle name="표준 20 6 2 2 2 2 2" xfId="35779"/>
    <cellStyle name="표준 20 6 2 2 2 3" xfId="27041"/>
    <cellStyle name="표준 20 6 2 2 3" xfId="13084"/>
    <cellStyle name="표준 20 6 2 2 3 2" xfId="33961"/>
    <cellStyle name="표준 20 6 2 2 4" xfId="25211"/>
    <cellStyle name="표준 20 6 2 3" xfId="4782"/>
    <cellStyle name="표준 20 6 2 3 2" xfId="6614"/>
    <cellStyle name="표준 20 6 2 3 2 2" xfId="15623"/>
    <cellStyle name="표준 20 6 2 3 2 2 2" xfId="36499"/>
    <cellStyle name="표준 20 6 2 3 2 3" xfId="27761"/>
    <cellStyle name="표준 20 6 2 3 3" xfId="13805"/>
    <cellStyle name="표준 20 6 2 3 3 2" xfId="34681"/>
    <cellStyle name="표준 20 6 2 3 4" xfId="25943"/>
    <cellStyle name="표준 20 6 2 4" xfId="5457"/>
    <cellStyle name="표준 20 6 2 4 2" xfId="14466"/>
    <cellStyle name="표준 20 6 2 4 2 2" xfId="35342"/>
    <cellStyle name="표준 20 6 2 4 3" xfId="26604"/>
    <cellStyle name="표준 20 6 2 5" xfId="7260"/>
    <cellStyle name="표준 20 6 2 5 2" xfId="16267"/>
    <cellStyle name="표준 20 6 2 5 2 2" xfId="37143"/>
    <cellStyle name="표준 20 6 2 5 3" xfId="28405"/>
    <cellStyle name="표준 20 6 2 6" xfId="7904"/>
    <cellStyle name="표준 20 6 2 6 2" xfId="16910"/>
    <cellStyle name="표준 20 6 2 6 2 2" xfId="37786"/>
    <cellStyle name="표준 20 6 2 6 3" xfId="29048"/>
    <cellStyle name="표준 20 6 2 7" xfId="8752"/>
    <cellStyle name="표준 20 6 2 7 2" xfId="17757"/>
    <cellStyle name="표준 20 6 2 7 2 2" xfId="38633"/>
    <cellStyle name="표준 20 6 2 7 3" xfId="29895"/>
    <cellStyle name="표준 20 6 2 8" xfId="9577"/>
    <cellStyle name="표준 20 6 2 8 2" xfId="18575"/>
    <cellStyle name="표준 20 6 2 8 2 2" xfId="39451"/>
    <cellStyle name="표준 20 6 2 8 3" xfId="30713"/>
    <cellStyle name="표준 20 6 2 9" xfId="10632"/>
    <cellStyle name="표준 20 6 2 9 2" xfId="19403"/>
    <cellStyle name="표준 20 6 2 9 2 2" xfId="40279"/>
    <cellStyle name="표준 20 6 2 9 3" xfId="31543"/>
    <cellStyle name="표준 20 6 3" xfId="3411"/>
    <cellStyle name="표준 20 6 3 10" xfId="12874"/>
    <cellStyle name="표준 20 6 3 10 2" xfId="33751"/>
    <cellStyle name="표준 20 6 3 11" xfId="25001"/>
    <cellStyle name="표준 20 6 3 2" xfId="5004"/>
    <cellStyle name="표준 20 6 3 2 2" xfId="6831"/>
    <cellStyle name="표준 20 6 3 2 2 2" xfId="15840"/>
    <cellStyle name="표준 20 6 3 2 2 2 2" xfId="36716"/>
    <cellStyle name="표준 20 6 3 2 2 3" xfId="27978"/>
    <cellStyle name="표준 20 6 3 2 3" xfId="14022"/>
    <cellStyle name="표준 20 6 3 2 3 2" xfId="34898"/>
    <cellStyle name="표준 20 6 3 2 4" xfId="26160"/>
    <cellStyle name="표준 20 6 3 3" xfId="5684"/>
    <cellStyle name="표준 20 6 3 3 2" xfId="14693"/>
    <cellStyle name="표준 20 6 3 3 2 2" xfId="35569"/>
    <cellStyle name="표준 20 6 3 3 3" xfId="26831"/>
    <cellStyle name="표준 20 6 3 4" xfId="7477"/>
    <cellStyle name="표준 20 6 3 4 2" xfId="16484"/>
    <cellStyle name="표준 20 6 3 4 2 2" xfId="37360"/>
    <cellStyle name="표준 20 6 3 4 3" xfId="28622"/>
    <cellStyle name="표준 20 6 3 5" xfId="8121"/>
    <cellStyle name="표준 20 6 3 5 2" xfId="17127"/>
    <cellStyle name="표준 20 6 3 5 2 2" xfId="38003"/>
    <cellStyle name="표준 20 6 3 5 3" xfId="29265"/>
    <cellStyle name="표준 20 6 3 6" xfId="8969"/>
    <cellStyle name="표준 20 6 3 6 2" xfId="17974"/>
    <cellStyle name="표준 20 6 3 6 2 2" xfId="38850"/>
    <cellStyle name="표준 20 6 3 6 3" xfId="30112"/>
    <cellStyle name="표준 20 6 3 7" xfId="9794"/>
    <cellStyle name="표준 20 6 3 7 2" xfId="18792"/>
    <cellStyle name="표준 20 6 3 7 2 2" xfId="39668"/>
    <cellStyle name="표준 20 6 3 7 3" xfId="30930"/>
    <cellStyle name="표준 20 6 3 8" xfId="10849"/>
    <cellStyle name="표준 20 6 3 8 2" xfId="19620"/>
    <cellStyle name="표준 20 6 3 8 2 2" xfId="40496"/>
    <cellStyle name="표준 20 6 3 8 3" xfId="31760"/>
    <cellStyle name="표준 20 6 3 9" xfId="11715"/>
    <cellStyle name="표준 20 6 3 9 2" xfId="20481"/>
    <cellStyle name="표준 20 6 3 9 2 2" xfId="41357"/>
    <cellStyle name="표준 20 6 3 9 3" xfId="32621"/>
    <cellStyle name="표준 20 6 4" xfId="4570"/>
    <cellStyle name="표준 20 6 4 2" xfId="6404"/>
    <cellStyle name="표준 20 6 4 2 2" xfId="15413"/>
    <cellStyle name="표준 20 6 4 2 2 2" xfId="36289"/>
    <cellStyle name="표준 20 6 4 2 3" xfId="27551"/>
    <cellStyle name="표준 20 6 4 3" xfId="11067"/>
    <cellStyle name="표준 20 6 4 3 2" xfId="19837"/>
    <cellStyle name="표준 20 6 4 3 2 2" xfId="40713"/>
    <cellStyle name="표준 20 6 4 3 3" xfId="31977"/>
    <cellStyle name="표준 20 6 4 4" xfId="11932"/>
    <cellStyle name="표준 20 6 4 4 2" xfId="20698"/>
    <cellStyle name="표준 20 6 4 4 2 2" xfId="41574"/>
    <cellStyle name="표준 20 6 4 4 3" xfId="32838"/>
    <cellStyle name="표준 20 6 4 5" xfId="13595"/>
    <cellStyle name="표준 20 6 4 5 2" xfId="34471"/>
    <cellStyle name="표준 20 6 4 6" xfId="25733"/>
    <cellStyle name="표준 20 6 5" xfId="5247"/>
    <cellStyle name="표준 20 6 5 2" xfId="14256"/>
    <cellStyle name="표준 20 6 5 2 2" xfId="35132"/>
    <cellStyle name="표준 20 6 5 3" xfId="26394"/>
    <cellStyle name="표준 20 6 6" xfId="7049"/>
    <cellStyle name="표준 20 6 6 2" xfId="16057"/>
    <cellStyle name="표준 20 6 6 2 2" xfId="36933"/>
    <cellStyle name="표준 20 6 6 3" xfId="28195"/>
    <cellStyle name="표준 20 6 7" xfId="7694"/>
    <cellStyle name="표준 20 6 7 2" xfId="16700"/>
    <cellStyle name="표준 20 6 7 2 2" xfId="37576"/>
    <cellStyle name="표준 20 6 7 3" xfId="28838"/>
    <cellStyle name="표준 20 6 8" xfId="8542"/>
    <cellStyle name="표준 20 6 8 2" xfId="17547"/>
    <cellStyle name="표준 20 6 8 2 2" xfId="38423"/>
    <cellStyle name="표준 20 6 8 3" xfId="29685"/>
    <cellStyle name="표준 20 6 9" xfId="9366"/>
    <cellStyle name="표준 20 6 9 2" xfId="18365"/>
    <cellStyle name="표준 20 6 9 2 2" xfId="39241"/>
    <cellStyle name="표준 20 6 9 3" xfId="30503"/>
    <cellStyle name="표준 20 7" xfId="2962"/>
    <cellStyle name="표준 20 7 10" xfId="10423"/>
    <cellStyle name="표준 20 7 10 2" xfId="19194"/>
    <cellStyle name="표준 20 7 10 2 2" xfId="40070"/>
    <cellStyle name="표준 20 7 10 3" xfId="31334"/>
    <cellStyle name="표준 20 7 11" xfId="11289"/>
    <cellStyle name="표준 20 7 11 2" xfId="20055"/>
    <cellStyle name="표준 20 7 11 2 2" xfId="40931"/>
    <cellStyle name="표준 20 7 11 3" xfId="32195"/>
    <cellStyle name="표준 20 7 12" xfId="12437"/>
    <cellStyle name="표준 20 7 12 2" xfId="33315"/>
    <cellStyle name="표준 20 7 13" xfId="24565"/>
    <cellStyle name="표준 20 7 2" xfId="3180"/>
    <cellStyle name="표준 20 7 2 10" xfId="11499"/>
    <cellStyle name="표준 20 7 2 10 2" xfId="20265"/>
    <cellStyle name="표준 20 7 2 10 2 2" xfId="41141"/>
    <cellStyle name="표준 20 7 2 10 3" xfId="32405"/>
    <cellStyle name="표준 20 7 2 11" xfId="12648"/>
    <cellStyle name="표준 20 7 2 11 2" xfId="33525"/>
    <cellStyle name="표준 20 7 2 12" xfId="24775"/>
    <cellStyle name="표준 20 7 2 2" xfId="3622"/>
    <cellStyle name="표준 20 7 2 2 2" xfId="5895"/>
    <cellStyle name="표준 20 7 2 2 2 2" xfId="14904"/>
    <cellStyle name="표준 20 7 2 2 2 2 2" xfId="35780"/>
    <cellStyle name="표준 20 7 2 2 2 3" xfId="27042"/>
    <cellStyle name="표준 20 7 2 2 3" xfId="13085"/>
    <cellStyle name="표준 20 7 2 2 3 2" xfId="33962"/>
    <cellStyle name="표준 20 7 2 2 4" xfId="25212"/>
    <cellStyle name="표준 20 7 2 3" xfId="4783"/>
    <cellStyle name="표준 20 7 2 3 2" xfId="6615"/>
    <cellStyle name="표준 20 7 2 3 2 2" xfId="15624"/>
    <cellStyle name="표준 20 7 2 3 2 2 2" xfId="36500"/>
    <cellStyle name="표준 20 7 2 3 2 3" xfId="27762"/>
    <cellStyle name="표준 20 7 2 3 3" xfId="13806"/>
    <cellStyle name="표준 20 7 2 3 3 2" xfId="34682"/>
    <cellStyle name="표준 20 7 2 3 4" xfId="25944"/>
    <cellStyle name="표준 20 7 2 4" xfId="5458"/>
    <cellStyle name="표준 20 7 2 4 2" xfId="14467"/>
    <cellStyle name="표준 20 7 2 4 2 2" xfId="35343"/>
    <cellStyle name="표준 20 7 2 4 3" xfId="26605"/>
    <cellStyle name="표준 20 7 2 5" xfId="7261"/>
    <cellStyle name="표준 20 7 2 5 2" xfId="16268"/>
    <cellStyle name="표준 20 7 2 5 2 2" xfId="37144"/>
    <cellStyle name="표준 20 7 2 5 3" xfId="28406"/>
    <cellStyle name="표준 20 7 2 6" xfId="7905"/>
    <cellStyle name="표준 20 7 2 6 2" xfId="16911"/>
    <cellStyle name="표준 20 7 2 6 2 2" xfId="37787"/>
    <cellStyle name="표준 20 7 2 6 3" xfId="29049"/>
    <cellStyle name="표준 20 7 2 7" xfId="8753"/>
    <cellStyle name="표준 20 7 2 7 2" xfId="17758"/>
    <cellStyle name="표준 20 7 2 7 2 2" xfId="38634"/>
    <cellStyle name="표준 20 7 2 7 3" xfId="29896"/>
    <cellStyle name="표준 20 7 2 8" xfId="9578"/>
    <cellStyle name="표준 20 7 2 8 2" xfId="18576"/>
    <cellStyle name="표준 20 7 2 8 2 2" xfId="39452"/>
    <cellStyle name="표준 20 7 2 8 3" xfId="30714"/>
    <cellStyle name="표준 20 7 2 9" xfId="10633"/>
    <cellStyle name="표준 20 7 2 9 2" xfId="19404"/>
    <cellStyle name="표준 20 7 2 9 2 2" xfId="40280"/>
    <cellStyle name="표준 20 7 2 9 3" xfId="31544"/>
    <cellStyle name="표준 20 7 3" xfId="3412"/>
    <cellStyle name="표준 20 7 3 10" xfId="12875"/>
    <cellStyle name="표준 20 7 3 10 2" xfId="33752"/>
    <cellStyle name="표준 20 7 3 11" xfId="25002"/>
    <cellStyle name="표준 20 7 3 2" xfId="5005"/>
    <cellStyle name="표준 20 7 3 2 2" xfId="6832"/>
    <cellStyle name="표준 20 7 3 2 2 2" xfId="15841"/>
    <cellStyle name="표준 20 7 3 2 2 2 2" xfId="36717"/>
    <cellStyle name="표준 20 7 3 2 2 3" xfId="27979"/>
    <cellStyle name="표준 20 7 3 2 3" xfId="14023"/>
    <cellStyle name="표준 20 7 3 2 3 2" xfId="34899"/>
    <cellStyle name="표준 20 7 3 2 4" xfId="26161"/>
    <cellStyle name="표준 20 7 3 3" xfId="5685"/>
    <cellStyle name="표준 20 7 3 3 2" xfId="14694"/>
    <cellStyle name="표준 20 7 3 3 2 2" xfId="35570"/>
    <cellStyle name="표준 20 7 3 3 3" xfId="26832"/>
    <cellStyle name="표준 20 7 3 4" xfId="7478"/>
    <cellStyle name="표준 20 7 3 4 2" xfId="16485"/>
    <cellStyle name="표준 20 7 3 4 2 2" xfId="37361"/>
    <cellStyle name="표준 20 7 3 4 3" xfId="28623"/>
    <cellStyle name="표준 20 7 3 5" xfId="8122"/>
    <cellStyle name="표준 20 7 3 5 2" xfId="17128"/>
    <cellStyle name="표준 20 7 3 5 2 2" xfId="38004"/>
    <cellStyle name="표준 20 7 3 5 3" xfId="29266"/>
    <cellStyle name="표준 20 7 3 6" xfId="8970"/>
    <cellStyle name="표준 20 7 3 6 2" xfId="17975"/>
    <cellStyle name="표준 20 7 3 6 2 2" xfId="38851"/>
    <cellStyle name="표준 20 7 3 6 3" xfId="30113"/>
    <cellStyle name="표준 20 7 3 7" xfId="9795"/>
    <cellStyle name="표준 20 7 3 7 2" xfId="18793"/>
    <cellStyle name="표준 20 7 3 7 2 2" xfId="39669"/>
    <cellStyle name="표준 20 7 3 7 3" xfId="30931"/>
    <cellStyle name="표준 20 7 3 8" xfId="10850"/>
    <cellStyle name="표준 20 7 3 8 2" xfId="19621"/>
    <cellStyle name="표준 20 7 3 8 2 2" xfId="40497"/>
    <cellStyle name="표준 20 7 3 8 3" xfId="31761"/>
    <cellStyle name="표준 20 7 3 9" xfId="11716"/>
    <cellStyle name="표준 20 7 3 9 2" xfId="20482"/>
    <cellStyle name="표준 20 7 3 9 2 2" xfId="41358"/>
    <cellStyle name="표준 20 7 3 9 3" xfId="32622"/>
    <cellStyle name="표준 20 7 4" xfId="4571"/>
    <cellStyle name="표준 20 7 4 2" xfId="6405"/>
    <cellStyle name="표준 20 7 4 2 2" xfId="15414"/>
    <cellStyle name="표준 20 7 4 2 2 2" xfId="36290"/>
    <cellStyle name="표준 20 7 4 2 3" xfId="27552"/>
    <cellStyle name="표준 20 7 4 3" xfId="11068"/>
    <cellStyle name="표준 20 7 4 3 2" xfId="19838"/>
    <cellStyle name="표준 20 7 4 3 2 2" xfId="40714"/>
    <cellStyle name="표준 20 7 4 3 3" xfId="31978"/>
    <cellStyle name="표준 20 7 4 4" xfId="11933"/>
    <cellStyle name="표준 20 7 4 4 2" xfId="20699"/>
    <cellStyle name="표준 20 7 4 4 2 2" xfId="41575"/>
    <cellStyle name="표준 20 7 4 4 3" xfId="32839"/>
    <cellStyle name="표준 20 7 4 5" xfId="13596"/>
    <cellStyle name="표준 20 7 4 5 2" xfId="34472"/>
    <cellStyle name="표준 20 7 4 6" xfId="25734"/>
    <cellStyle name="표준 20 7 5" xfId="5248"/>
    <cellStyle name="표준 20 7 5 2" xfId="14257"/>
    <cellStyle name="표준 20 7 5 2 2" xfId="35133"/>
    <cellStyle name="표준 20 7 5 3" xfId="26395"/>
    <cellStyle name="표준 20 7 6" xfId="7050"/>
    <cellStyle name="표준 20 7 6 2" xfId="16058"/>
    <cellStyle name="표준 20 7 6 2 2" xfId="36934"/>
    <cellStyle name="표준 20 7 6 3" xfId="28196"/>
    <cellStyle name="표준 20 7 7" xfId="7695"/>
    <cellStyle name="표준 20 7 7 2" xfId="16701"/>
    <cellStyle name="표준 20 7 7 2 2" xfId="37577"/>
    <cellStyle name="표준 20 7 7 3" xfId="28839"/>
    <cellStyle name="표준 20 7 8" xfId="8543"/>
    <cellStyle name="표준 20 7 8 2" xfId="17548"/>
    <cellStyle name="표준 20 7 8 2 2" xfId="38424"/>
    <cellStyle name="표준 20 7 8 3" xfId="29686"/>
    <cellStyle name="표준 20 7 9" xfId="9367"/>
    <cellStyle name="표준 20 7 9 2" xfId="18366"/>
    <cellStyle name="표준 20 7 9 2 2" xfId="39242"/>
    <cellStyle name="표준 20 7 9 3" xfId="30504"/>
    <cellStyle name="표준 20 8" xfId="3174"/>
    <cellStyle name="표준 20 8 10" xfId="11493"/>
    <cellStyle name="표준 20 8 10 2" xfId="20259"/>
    <cellStyle name="표준 20 8 10 2 2" xfId="41135"/>
    <cellStyle name="표준 20 8 10 3" xfId="32399"/>
    <cellStyle name="표준 20 8 11" xfId="12642"/>
    <cellStyle name="표준 20 8 11 2" xfId="33519"/>
    <cellStyle name="표준 20 8 12" xfId="24769"/>
    <cellStyle name="표준 20 8 2" xfId="3616"/>
    <cellStyle name="표준 20 8 2 2" xfId="5889"/>
    <cellStyle name="표준 20 8 2 2 2" xfId="14898"/>
    <cellStyle name="표준 20 8 2 2 2 2" xfId="35774"/>
    <cellStyle name="표준 20 8 2 2 3" xfId="27036"/>
    <cellStyle name="표준 20 8 2 3" xfId="13079"/>
    <cellStyle name="표준 20 8 2 3 2" xfId="33956"/>
    <cellStyle name="표준 20 8 2 4" xfId="25206"/>
    <cellStyle name="표준 20 8 3" xfId="4777"/>
    <cellStyle name="표준 20 8 3 2" xfId="6609"/>
    <cellStyle name="표준 20 8 3 2 2" xfId="15618"/>
    <cellStyle name="표준 20 8 3 2 2 2" xfId="36494"/>
    <cellStyle name="표준 20 8 3 2 3" xfId="27756"/>
    <cellStyle name="표준 20 8 3 3" xfId="13800"/>
    <cellStyle name="표준 20 8 3 3 2" xfId="34676"/>
    <cellStyle name="표준 20 8 3 4" xfId="25938"/>
    <cellStyle name="표준 20 8 4" xfId="5452"/>
    <cellStyle name="표준 20 8 4 2" xfId="14461"/>
    <cellStyle name="표준 20 8 4 2 2" xfId="35337"/>
    <cellStyle name="표준 20 8 4 3" xfId="26599"/>
    <cellStyle name="표준 20 8 5" xfId="7255"/>
    <cellStyle name="표준 20 8 5 2" xfId="16262"/>
    <cellStyle name="표준 20 8 5 2 2" xfId="37138"/>
    <cellStyle name="표준 20 8 5 3" xfId="28400"/>
    <cellStyle name="표준 20 8 6" xfId="7899"/>
    <cellStyle name="표준 20 8 6 2" xfId="16905"/>
    <cellStyle name="표준 20 8 6 2 2" xfId="37781"/>
    <cellStyle name="표준 20 8 6 3" xfId="29043"/>
    <cellStyle name="표준 20 8 7" xfId="8747"/>
    <cellStyle name="표준 20 8 7 2" xfId="17752"/>
    <cellStyle name="표준 20 8 7 2 2" xfId="38628"/>
    <cellStyle name="표준 20 8 7 3" xfId="29890"/>
    <cellStyle name="표준 20 8 8" xfId="9572"/>
    <cellStyle name="표준 20 8 8 2" xfId="18570"/>
    <cellStyle name="표준 20 8 8 2 2" xfId="39446"/>
    <cellStyle name="표준 20 8 8 3" xfId="30708"/>
    <cellStyle name="표준 20 8 9" xfId="10627"/>
    <cellStyle name="표준 20 8 9 2" xfId="19398"/>
    <cellStyle name="표준 20 8 9 2 2" xfId="40274"/>
    <cellStyle name="표준 20 8 9 3" xfId="31538"/>
    <cellStyle name="표준 20 9" xfId="3406"/>
    <cellStyle name="표준 20 9 10" xfId="12869"/>
    <cellStyle name="표준 20 9 10 2" xfId="33746"/>
    <cellStyle name="표준 20 9 11" xfId="24996"/>
    <cellStyle name="표준 20 9 2" xfId="4999"/>
    <cellStyle name="표준 20 9 2 2" xfId="6826"/>
    <cellStyle name="표준 20 9 2 2 2" xfId="15835"/>
    <cellStyle name="표준 20 9 2 2 2 2" xfId="36711"/>
    <cellStyle name="표준 20 9 2 2 3" xfId="27973"/>
    <cellStyle name="표준 20 9 2 3" xfId="14017"/>
    <cellStyle name="표준 20 9 2 3 2" xfId="34893"/>
    <cellStyle name="표준 20 9 2 4" xfId="26155"/>
    <cellStyle name="표준 20 9 3" xfId="5679"/>
    <cellStyle name="표준 20 9 3 2" xfId="14688"/>
    <cellStyle name="표준 20 9 3 2 2" xfId="35564"/>
    <cellStyle name="표준 20 9 3 3" xfId="26826"/>
    <cellStyle name="표준 20 9 4" xfId="7472"/>
    <cellStyle name="표준 20 9 4 2" xfId="16479"/>
    <cellStyle name="표준 20 9 4 2 2" xfId="37355"/>
    <cellStyle name="표준 20 9 4 3" xfId="28617"/>
    <cellStyle name="표준 20 9 5" xfId="8116"/>
    <cellStyle name="표준 20 9 5 2" xfId="17122"/>
    <cellStyle name="표준 20 9 5 2 2" xfId="37998"/>
    <cellStyle name="표준 20 9 5 3" xfId="29260"/>
    <cellStyle name="표준 20 9 6" xfId="8964"/>
    <cellStyle name="표준 20 9 6 2" xfId="17969"/>
    <cellStyle name="표준 20 9 6 2 2" xfId="38845"/>
    <cellStyle name="표준 20 9 6 3" xfId="30107"/>
    <cellStyle name="표준 20 9 7" xfId="9789"/>
    <cellStyle name="표준 20 9 7 2" xfId="18787"/>
    <cellStyle name="표준 20 9 7 2 2" xfId="39663"/>
    <cellStyle name="표준 20 9 7 3" xfId="30925"/>
    <cellStyle name="표준 20 9 8" xfId="10844"/>
    <cellStyle name="표준 20 9 8 2" xfId="19615"/>
    <cellStyle name="표준 20 9 8 2 2" xfId="40491"/>
    <cellStyle name="표준 20 9 8 3" xfId="31755"/>
    <cellStyle name="표준 20 9 9" xfId="11710"/>
    <cellStyle name="표준 20 9 9 2" xfId="20476"/>
    <cellStyle name="표준 20 9 9 2 2" xfId="41352"/>
    <cellStyle name="표준 20 9 9 3" xfId="32616"/>
    <cellStyle name="표준 21" xfId="2963"/>
    <cellStyle name="표준 21 10" xfId="4572"/>
    <cellStyle name="표준 21 10 2" xfId="6406"/>
    <cellStyle name="표준 21 10 2 2" xfId="15415"/>
    <cellStyle name="표준 21 10 2 2 2" xfId="36291"/>
    <cellStyle name="표준 21 10 2 3" xfId="27553"/>
    <cellStyle name="표준 21 10 3" xfId="11069"/>
    <cellStyle name="표준 21 10 3 2" xfId="19839"/>
    <cellStyle name="표준 21 10 3 2 2" xfId="40715"/>
    <cellStyle name="표준 21 10 3 3" xfId="31979"/>
    <cellStyle name="표준 21 10 4" xfId="11934"/>
    <cellStyle name="표준 21 10 4 2" xfId="20700"/>
    <cellStyle name="표준 21 10 4 2 2" xfId="41576"/>
    <cellStyle name="표준 21 10 4 3" xfId="32840"/>
    <cellStyle name="표준 21 10 5" xfId="13597"/>
    <cellStyle name="표준 21 10 5 2" xfId="34473"/>
    <cellStyle name="표준 21 10 6" xfId="25735"/>
    <cellStyle name="표준 21 11" xfId="5249"/>
    <cellStyle name="표준 21 11 2" xfId="14258"/>
    <cellStyle name="표준 21 11 2 2" xfId="35134"/>
    <cellStyle name="표준 21 11 3" xfId="26396"/>
    <cellStyle name="표준 21 12" xfId="7051"/>
    <cellStyle name="표준 21 12 2" xfId="16059"/>
    <cellStyle name="표준 21 12 2 2" xfId="36935"/>
    <cellStyle name="표준 21 12 3" xfId="28197"/>
    <cellStyle name="표준 21 13" xfId="7696"/>
    <cellStyle name="표준 21 13 2" xfId="16702"/>
    <cellStyle name="표준 21 13 2 2" xfId="37578"/>
    <cellStyle name="표준 21 13 3" xfId="28840"/>
    <cellStyle name="표준 21 14" xfId="8544"/>
    <cellStyle name="표준 21 14 2" xfId="17549"/>
    <cellStyle name="표준 21 14 2 2" xfId="38425"/>
    <cellStyle name="표준 21 14 3" xfId="29687"/>
    <cellStyle name="표준 21 15" xfId="9368"/>
    <cellStyle name="표준 21 15 2" xfId="18367"/>
    <cellStyle name="표준 21 15 2 2" xfId="39243"/>
    <cellStyle name="표준 21 15 3" xfId="30505"/>
    <cellStyle name="표준 21 16" xfId="10424"/>
    <cellStyle name="표준 21 16 2" xfId="19195"/>
    <cellStyle name="표준 21 16 2 2" xfId="40071"/>
    <cellStyle name="표준 21 16 3" xfId="31335"/>
    <cellStyle name="표준 21 17" xfId="11290"/>
    <cellStyle name="표준 21 17 2" xfId="20056"/>
    <cellStyle name="표준 21 17 2 2" xfId="40932"/>
    <cellStyle name="표준 21 17 3" xfId="32196"/>
    <cellStyle name="표준 21 18" xfId="12438"/>
    <cellStyle name="표준 21 18 2" xfId="33316"/>
    <cellStyle name="표준 21 19" xfId="24566"/>
    <cellStyle name="표준 21 2" xfId="2964"/>
    <cellStyle name="표준 21 2 10" xfId="10425"/>
    <cellStyle name="표준 21 2 10 2" xfId="19196"/>
    <cellStyle name="표준 21 2 10 2 2" xfId="40072"/>
    <cellStyle name="표준 21 2 10 3" xfId="31336"/>
    <cellStyle name="표준 21 2 11" xfId="11291"/>
    <cellStyle name="표준 21 2 11 2" xfId="20057"/>
    <cellStyle name="표준 21 2 11 2 2" xfId="40933"/>
    <cellStyle name="표준 21 2 11 3" xfId="32197"/>
    <cellStyle name="표준 21 2 12" xfId="12439"/>
    <cellStyle name="표준 21 2 12 2" xfId="33317"/>
    <cellStyle name="표준 21 2 13" xfId="24567"/>
    <cellStyle name="표준 21 2 2" xfId="3182"/>
    <cellStyle name="표준 21 2 2 10" xfId="11501"/>
    <cellStyle name="표준 21 2 2 10 2" xfId="20267"/>
    <cellStyle name="표준 21 2 2 10 2 2" xfId="41143"/>
    <cellStyle name="표준 21 2 2 10 3" xfId="32407"/>
    <cellStyle name="표준 21 2 2 11" xfId="12650"/>
    <cellStyle name="표준 21 2 2 11 2" xfId="33527"/>
    <cellStyle name="표준 21 2 2 12" xfId="24777"/>
    <cellStyle name="표준 21 2 2 2" xfId="3624"/>
    <cellStyle name="표준 21 2 2 2 2" xfId="5897"/>
    <cellStyle name="표준 21 2 2 2 2 2" xfId="14906"/>
    <cellStyle name="표준 21 2 2 2 2 2 2" xfId="35782"/>
    <cellStyle name="표준 21 2 2 2 2 3" xfId="27044"/>
    <cellStyle name="표준 21 2 2 2 3" xfId="13087"/>
    <cellStyle name="표준 21 2 2 2 3 2" xfId="33964"/>
    <cellStyle name="표준 21 2 2 2 4" xfId="25214"/>
    <cellStyle name="표준 21 2 2 3" xfId="4785"/>
    <cellStyle name="표준 21 2 2 3 2" xfId="6617"/>
    <cellStyle name="표준 21 2 2 3 2 2" xfId="15626"/>
    <cellStyle name="표준 21 2 2 3 2 2 2" xfId="36502"/>
    <cellStyle name="표준 21 2 2 3 2 3" xfId="27764"/>
    <cellStyle name="표준 21 2 2 3 3" xfId="13808"/>
    <cellStyle name="표준 21 2 2 3 3 2" xfId="34684"/>
    <cellStyle name="표준 21 2 2 3 4" xfId="25946"/>
    <cellStyle name="표준 21 2 2 4" xfId="5460"/>
    <cellStyle name="표준 21 2 2 4 2" xfId="14469"/>
    <cellStyle name="표준 21 2 2 4 2 2" xfId="35345"/>
    <cellStyle name="표준 21 2 2 4 3" xfId="26607"/>
    <cellStyle name="표준 21 2 2 5" xfId="7263"/>
    <cellStyle name="표준 21 2 2 5 2" xfId="16270"/>
    <cellStyle name="표준 21 2 2 5 2 2" xfId="37146"/>
    <cellStyle name="표준 21 2 2 5 3" xfId="28408"/>
    <cellStyle name="표준 21 2 2 6" xfId="7907"/>
    <cellStyle name="표준 21 2 2 6 2" xfId="16913"/>
    <cellStyle name="표준 21 2 2 6 2 2" xfId="37789"/>
    <cellStyle name="표준 21 2 2 6 3" xfId="29051"/>
    <cellStyle name="표준 21 2 2 7" xfId="8755"/>
    <cellStyle name="표준 21 2 2 7 2" xfId="17760"/>
    <cellStyle name="표준 21 2 2 7 2 2" xfId="38636"/>
    <cellStyle name="표준 21 2 2 7 3" xfId="29898"/>
    <cellStyle name="표준 21 2 2 8" xfId="9580"/>
    <cellStyle name="표준 21 2 2 8 2" xfId="18578"/>
    <cellStyle name="표준 21 2 2 8 2 2" xfId="39454"/>
    <cellStyle name="표준 21 2 2 8 3" xfId="30716"/>
    <cellStyle name="표준 21 2 2 9" xfId="10635"/>
    <cellStyle name="표준 21 2 2 9 2" xfId="19406"/>
    <cellStyle name="표준 21 2 2 9 2 2" xfId="40282"/>
    <cellStyle name="표준 21 2 2 9 3" xfId="31546"/>
    <cellStyle name="표준 21 2 3" xfId="3414"/>
    <cellStyle name="표준 21 2 3 10" xfId="12877"/>
    <cellStyle name="표준 21 2 3 10 2" xfId="33754"/>
    <cellStyle name="표준 21 2 3 11" xfId="25004"/>
    <cellStyle name="표준 21 2 3 2" xfId="5007"/>
    <cellStyle name="표준 21 2 3 2 2" xfId="6834"/>
    <cellStyle name="표준 21 2 3 2 2 2" xfId="15843"/>
    <cellStyle name="표준 21 2 3 2 2 2 2" xfId="36719"/>
    <cellStyle name="표준 21 2 3 2 2 3" xfId="27981"/>
    <cellStyle name="표준 21 2 3 2 3" xfId="14025"/>
    <cellStyle name="표준 21 2 3 2 3 2" xfId="34901"/>
    <cellStyle name="표준 21 2 3 2 4" xfId="26163"/>
    <cellStyle name="표준 21 2 3 3" xfId="5687"/>
    <cellStyle name="표준 21 2 3 3 2" xfId="14696"/>
    <cellStyle name="표준 21 2 3 3 2 2" xfId="35572"/>
    <cellStyle name="표준 21 2 3 3 3" xfId="26834"/>
    <cellStyle name="표준 21 2 3 4" xfId="7480"/>
    <cellStyle name="표준 21 2 3 4 2" xfId="16487"/>
    <cellStyle name="표준 21 2 3 4 2 2" xfId="37363"/>
    <cellStyle name="표준 21 2 3 4 3" xfId="28625"/>
    <cellStyle name="표준 21 2 3 5" xfId="8124"/>
    <cellStyle name="표준 21 2 3 5 2" xfId="17130"/>
    <cellStyle name="표준 21 2 3 5 2 2" xfId="38006"/>
    <cellStyle name="표준 21 2 3 5 3" xfId="29268"/>
    <cellStyle name="표준 21 2 3 6" xfId="8972"/>
    <cellStyle name="표준 21 2 3 6 2" xfId="17977"/>
    <cellStyle name="표준 21 2 3 6 2 2" xfId="38853"/>
    <cellStyle name="표준 21 2 3 6 3" xfId="30115"/>
    <cellStyle name="표준 21 2 3 7" xfId="9797"/>
    <cellStyle name="표준 21 2 3 7 2" xfId="18795"/>
    <cellStyle name="표준 21 2 3 7 2 2" xfId="39671"/>
    <cellStyle name="표준 21 2 3 7 3" xfId="30933"/>
    <cellStyle name="표준 21 2 3 8" xfId="10852"/>
    <cellStyle name="표준 21 2 3 8 2" xfId="19623"/>
    <cellStyle name="표준 21 2 3 8 2 2" xfId="40499"/>
    <cellStyle name="표준 21 2 3 8 3" xfId="31763"/>
    <cellStyle name="표준 21 2 3 9" xfId="11718"/>
    <cellStyle name="표준 21 2 3 9 2" xfId="20484"/>
    <cellStyle name="표준 21 2 3 9 2 2" xfId="41360"/>
    <cellStyle name="표준 21 2 3 9 3" xfId="32624"/>
    <cellStyle name="표준 21 2 4" xfId="4573"/>
    <cellStyle name="표준 21 2 4 2" xfId="6407"/>
    <cellStyle name="표준 21 2 4 2 2" xfId="15416"/>
    <cellStyle name="표준 21 2 4 2 2 2" xfId="36292"/>
    <cellStyle name="표준 21 2 4 2 3" xfId="27554"/>
    <cellStyle name="표준 21 2 4 3" xfId="11070"/>
    <cellStyle name="표준 21 2 4 3 2" xfId="19840"/>
    <cellStyle name="표준 21 2 4 3 2 2" xfId="40716"/>
    <cellStyle name="표준 21 2 4 3 3" xfId="31980"/>
    <cellStyle name="표준 21 2 4 4" xfId="11935"/>
    <cellStyle name="표준 21 2 4 4 2" xfId="20701"/>
    <cellStyle name="표준 21 2 4 4 2 2" xfId="41577"/>
    <cellStyle name="표준 21 2 4 4 3" xfId="32841"/>
    <cellStyle name="표준 21 2 4 5" xfId="13598"/>
    <cellStyle name="표준 21 2 4 5 2" xfId="34474"/>
    <cellStyle name="표준 21 2 4 6" xfId="25736"/>
    <cellStyle name="표준 21 2 5" xfId="5250"/>
    <cellStyle name="표준 21 2 5 2" xfId="14259"/>
    <cellStyle name="표준 21 2 5 2 2" xfId="35135"/>
    <cellStyle name="표준 21 2 5 3" xfId="26397"/>
    <cellStyle name="표준 21 2 6" xfId="7052"/>
    <cellStyle name="표준 21 2 6 2" xfId="16060"/>
    <cellStyle name="표준 21 2 6 2 2" xfId="36936"/>
    <cellStyle name="표준 21 2 6 3" xfId="28198"/>
    <cellStyle name="표준 21 2 7" xfId="7697"/>
    <cellStyle name="표준 21 2 7 2" xfId="16703"/>
    <cellStyle name="표준 21 2 7 2 2" xfId="37579"/>
    <cellStyle name="표준 21 2 7 3" xfId="28841"/>
    <cellStyle name="표준 21 2 8" xfId="8545"/>
    <cellStyle name="표준 21 2 8 2" xfId="17550"/>
    <cellStyle name="표준 21 2 8 2 2" xfId="38426"/>
    <cellStyle name="표준 21 2 8 3" xfId="29688"/>
    <cellStyle name="표준 21 2 9" xfId="9369"/>
    <cellStyle name="표준 21 2 9 2" xfId="18368"/>
    <cellStyle name="표준 21 2 9 2 2" xfId="39244"/>
    <cellStyle name="표준 21 2 9 3" xfId="30506"/>
    <cellStyle name="표준 21 3" xfId="2965"/>
    <cellStyle name="표준 21 3 10" xfId="10426"/>
    <cellStyle name="표준 21 3 10 2" xfId="19197"/>
    <cellStyle name="표준 21 3 10 2 2" xfId="40073"/>
    <cellStyle name="표준 21 3 10 3" xfId="31337"/>
    <cellStyle name="표준 21 3 11" xfId="11292"/>
    <cellStyle name="표준 21 3 11 2" xfId="20058"/>
    <cellStyle name="표준 21 3 11 2 2" xfId="40934"/>
    <cellStyle name="표준 21 3 11 3" xfId="32198"/>
    <cellStyle name="표준 21 3 12" xfId="12440"/>
    <cellStyle name="표준 21 3 12 2" xfId="33318"/>
    <cellStyle name="표준 21 3 13" xfId="24568"/>
    <cellStyle name="표준 21 3 2" xfId="3183"/>
    <cellStyle name="표준 21 3 2 10" xfId="11502"/>
    <cellStyle name="표준 21 3 2 10 2" xfId="20268"/>
    <cellStyle name="표준 21 3 2 10 2 2" xfId="41144"/>
    <cellStyle name="표준 21 3 2 10 3" xfId="32408"/>
    <cellStyle name="표준 21 3 2 11" xfId="12651"/>
    <cellStyle name="표준 21 3 2 11 2" xfId="33528"/>
    <cellStyle name="표준 21 3 2 12" xfId="24778"/>
    <cellStyle name="표준 21 3 2 2" xfId="3625"/>
    <cellStyle name="표준 21 3 2 2 2" xfId="5898"/>
    <cellStyle name="표준 21 3 2 2 2 2" xfId="14907"/>
    <cellStyle name="표준 21 3 2 2 2 2 2" xfId="35783"/>
    <cellStyle name="표준 21 3 2 2 2 3" xfId="27045"/>
    <cellStyle name="표준 21 3 2 2 3" xfId="13088"/>
    <cellStyle name="표준 21 3 2 2 3 2" xfId="33965"/>
    <cellStyle name="표준 21 3 2 2 4" xfId="25215"/>
    <cellStyle name="표준 21 3 2 3" xfId="4786"/>
    <cellStyle name="표준 21 3 2 3 2" xfId="6618"/>
    <cellStyle name="표준 21 3 2 3 2 2" xfId="15627"/>
    <cellStyle name="표준 21 3 2 3 2 2 2" xfId="36503"/>
    <cellStyle name="표준 21 3 2 3 2 3" xfId="27765"/>
    <cellStyle name="표준 21 3 2 3 3" xfId="13809"/>
    <cellStyle name="표준 21 3 2 3 3 2" xfId="34685"/>
    <cellStyle name="표준 21 3 2 3 4" xfId="25947"/>
    <cellStyle name="표준 21 3 2 4" xfId="5461"/>
    <cellStyle name="표준 21 3 2 4 2" xfId="14470"/>
    <cellStyle name="표준 21 3 2 4 2 2" xfId="35346"/>
    <cellStyle name="표준 21 3 2 4 3" xfId="26608"/>
    <cellStyle name="표준 21 3 2 5" xfId="7264"/>
    <cellStyle name="표준 21 3 2 5 2" xfId="16271"/>
    <cellStyle name="표준 21 3 2 5 2 2" xfId="37147"/>
    <cellStyle name="표준 21 3 2 5 3" xfId="28409"/>
    <cellStyle name="표준 21 3 2 6" xfId="7908"/>
    <cellStyle name="표준 21 3 2 6 2" xfId="16914"/>
    <cellStyle name="표준 21 3 2 6 2 2" xfId="37790"/>
    <cellStyle name="표준 21 3 2 6 3" xfId="29052"/>
    <cellStyle name="표준 21 3 2 7" xfId="8756"/>
    <cellStyle name="표준 21 3 2 7 2" xfId="17761"/>
    <cellStyle name="표준 21 3 2 7 2 2" xfId="38637"/>
    <cellStyle name="표준 21 3 2 7 3" xfId="29899"/>
    <cellStyle name="표준 21 3 2 8" xfId="9581"/>
    <cellStyle name="표준 21 3 2 8 2" xfId="18579"/>
    <cellStyle name="표준 21 3 2 8 2 2" xfId="39455"/>
    <cellStyle name="표준 21 3 2 8 3" xfId="30717"/>
    <cellStyle name="표준 21 3 2 9" xfId="10636"/>
    <cellStyle name="표준 21 3 2 9 2" xfId="19407"/>
    <cellStyle name="표준 21 3 2 9 2 2" xfId="40283"/>
    <cellStyle name="표준 21 3 2 9 3" xfId="31547"/>
    <cellStyle name="표준 21 3 3" xfId="3415"/>
    <cellStyle name="표준 21 3 3 10" xfId="12878"/>
    <cellStyle name="표준 21 3 3 10 2" xfId="33755"/>
    <cellStyle name="표준 21 3 3 11" xfId="25005"/>
    <cellStyle name="표준 21 3 3 2" xfId="5008"/>
    <cellStyle name="표준 21 3 3 2 2" xfId="6835"/>
    <cellStyle name="표준 21 3 3 2 2 2" xfId="15844"/>
    <cellStyle name="표준 21 3 3 2 2 2 2" xfId="36720"/>
    <cellStyle name="표준 21 3 3 2 2 3" xfId="27982"/>
    <cellStyle name="표준 21 3 3 2 3" xfId="14026"/>
    <cellStyle name="표준 21 3 3 2 3 2" xfId="34902"/>
    <cellStyle name="표준 21 3 3 2 4" xfId="26164"/>
    <cellStyle name="표준 21 3 3 3" xfId="5688"/>
    <cellStyle name="표준 21 3 3 3 2" xfId="14697"/>
    <cellStyle name="표준 21 3 3 3 2 2" xfId="35573"/>
    <cellStyle name="표준 21 3 3 3 3" xfId="26835"/>
    <cellStyle name="표준 21 3 3 4" xfId="7481"/>
    <cellStyle name="표준 21 3 3 4 2" xfId="16488"/>
    <cellStyle name="표준 21 3 3 4 2 2" xfId="37364"/>
    <cellStyle name="표준 21 3 3 4 3" xfId="28626"/>
    <cellStyle name="표준 21 3 3 5" xfId="8125"/>
    <cellStyle name="표준 21 3 3 5 2" xfId="17131"/>
    <cellStyle name="표준 21 3 3 5 2 2" xfId="38007"/>
    <cellStyle name="표준 21 3 3 5 3" xfId="29269"/>
    <cellStyle name="표준 21 3 3 6" xfId="8973"/>
    <cellStyle name="표준 21 3 3 6 2" xfId="17978"/>
    <cellStyle name="표준 21 3 3 6 2 2" xfId="38854"/>
    <cellStyle name="표준 21 3 3 6 3" xfId="30116"/>
    <cellStyle name="표준 21 3 3 7" xfId="9798"/>
    <cellStyle name="표준 21 3 3 7 2" xfId="18796"/>
    <cellStyle name="표준 21 3 3 7 2 2" xfId="39672"/>
    <cellStyle name="표준 21 3 3 7 3" xfId="30934"/>
    <cellStyle name="표준 21 3 3 8" xfId="10853"/>
    <cellStyle name="표준 21 3 3 8 2" xfId="19624"/>
    <cellStyle name="표준 21 3 3 8 2 2" xfId="40500"/>
    <cellStyle name="표준 21 3 3 8 3" xfId="31764"/>
    <cellStyle name="표준 21 3 3 9" xfId="11719"/>
    <cellStyle name="표준 21 3 3 9 2" xfId="20485"/>
    <cellStyle name="표준 21 3 3 9 2 2" xfId="41361"/>
    <cellStyle name="표준 21 3 3 9 3" xfId="32625"/>
    <cellStyle name="표준 21 3 4" xfId="4574"/>
    <cellStyle name="표준 21 3 4 2" xfId="6408"/>
    <cellStyle name="표준 21 3 4 2 2" xfId="15417"/>
    <cellStyle name="표준 21 3 4 2 2 2" xfId="36293"/>
    <cellStyle name="표준 21 3 4 2 3" xfId="27555"/>
    <cellStyle name="표준 21 3 4 3" xfId="11071"/>
    <cellStyle name="표준 21 3 4 3 2" xfId="19841"/>
    <cellStyle name="표준 21 3 4 3 2 2" xfId="40717"/>
    <cellStyle name="표준 21 3 4 3 3" xfId="31981"/>
    <cellStyle name="표준 21 3 4 4" xfId="11936"/>
    <cellStyle name="표준 21 3 4 4 2" xfId="20702"/>
    <cellStyle name="표준 21 3 4 4 2 2" xfId="41578"/>
    <cellStyle name="표준 21 3 4 4 3" xfId="32842"/>
    <cellStyle name="표준 21 3 4 5" xfId="13599"/>
    <cellStyle name="표준 21 3 4 5 2" xfId="34475"/>
    <cellStyle name="표준 21 3 4 6" xfId="25737"/>
    <cellStyle name="표준 21 3 5" xfId="5251"/>
    <cellStyle name="표준 21 3 5 2" xfId="14260"/>
    <cellStyle name="표준 21 3 5 2 2" xfId="35136"/>
    <cellStyle name="표준 21 3 5 3" xfId="26398"/>
    <cellStyle name="표준 21 3 6" xfId="7053"/>
    <cellStyle name="표준 21 3 6 2" xfId="16061"/>
    <cellStyle name="표준 21 3 6 2 2" xfId="36937"/>
    <cellStyle name="표준 21 3 6 3" xfId="28199"/>
    <cellStyle name="표준 21 3 7" xfId="7698"/>
    <cellStyle name="표준 21 3 7 2" xfId="16704"/>
    <cellStyle name="표준 21 3 7 2 2" xfId="37580"/>
    <cellStyle name="표준 21 3 7 3" xfId="28842"/>
    <cellStyle name="표준 21 3 8" xfId="8546"/>
    <cellStyle name="표준 21 3 8 2" xfId="17551"/>
    <cellStyle name="표준 21 3 8 2 2" xfId="38427"/>
    <cellStyle name="표준 21 3 8 3" xfId="29689"/>
    <cellStyle name="표준 21 3 9" xfId="9370"/>
    <cellStyle name="표준 21 3 9 2" xfId="18369"/>
    <cellStyle name="표준 21 3 9 2 2" xfId="39245"/>
    <cellStyle name="표준 21 3 9 3" xfId="30507"/>
    <cellStyle name="표준 21 4" xfId="2966"/>
    <cellStyle name="표준 21 4 10" xfId="10427"/>
    <cellStyle name="표준 21 4 10 2" xfId="19198"/>
    <cellStyle name="표준 21 4 10 2 2" xfId="40074"/>
    <cellStyle name="표준 21 4 10 3" xfId="31338"/>
    <cellStyle name="표준 21 4 11" xfId="11293"/>
    <cellStyle name="표준 21 4 11 2" xfId="20059"/>
    <cellStyle name="표준 21 4 11 2 2" xfId="40935"/>
    <cellStyle name="표준 21 4 11 3" xfId="32199"/>
    <cellStyle name="표준 21 4 12" xfId="12441"/>
    <cellStyle name="표준 21 4 12 2" xfId="33319"/>
    <cellStyle name="표준 21 4 13" xfId="24569"/>
    <cellStyle name="표준 21 4 2" xfId="3184"/>
    <cellStyle name="표준 21 4 2 10" xfId="11503"/>
    <cellStyle name="표준 21 4 2 10 2" xfId="20269"/>
    <cellStyle name="표준 21 4 2 10 2 2" xfId="41145"/>
    <cellStyle name="표준 21 4 2 10 3" xfId="32409"/>
    <cellStyle name="표준 21 4 2 11" xfId="12652"/>
    <cellStyle name="표준 21 4 2 11 2" xfId="33529"/>
    <cellStyle name="표준 21 4 2 12" xfId="24779"/>
    <cellStyle name="표준 21 4 2 2" xfId="3626"/>
    <cellStyle name="표준 21 4 2 2 2" xfId="5899"/>
    <cellStyle name="표준 21 4 2 2 2 2" xfId="14908"/>
    <cellStyle name="표준 21 4 2 2 2 2 2" xfId="35784"/>
    <cellStyle name="표준 21 4 2 2 2 3" xfId="27046"/>
    <cellStyle name="표준 21 4 2 2 3" xfId="13089"/>
    <cellStyle name="표준 21 4 2 2 3 2" xfId="33966"/>
    <cellStyle name="표준 21 4 2 2 4" xfId="25216"/>
    <cellStyle name="표준 21 4 2 3" xfId="4787"/>
    <cellStyle name="표준 21 4 2 3 2" xfId="6619"/>
    <cellStyle name="표준 21 4 2 3 2 2" xfId="15628"/>
    <cellStyle name="표준 21 4 2 3 2 2 2" xfId="36504"/>
    <cellStyle name="표준 21 4 2 3 2 3" xfId="27766"/>
    <cellStyle name="표준 21 4 2 3 3" xfId="13810"/>
    <cellStyle name="표준 21 4 2 3 3 2" xfId="34686"/>
    <cellStyle name="표준 21 4 2 3 4" xfId="25948"/>
    <cellStyle name="표준 21 4 2 4" xfId="5462"/>
    <cellStyle name="표준 21 4 2 4 2" xfId="14471"/>
    <cellStyle name="표준 21 4 2 4 2 2" xfId="35347"/>
    <cellStyle name="표준 21 4 2 4 3" xfId="26609"/>
    <cellStyle name="표준 21 4 2 5" xfId="7265"/>
    <cellStyle name="표준 21 4 2 5 2" xfId="16272"/>
    <cellStyle name="표준 21 4 2 5 2 2" xfId="37148"/>
    <cellStyle name="표준 21 4 2 5 3" xfId="28410"/>
    <cellStyle name="표준 21 4 2 6" xfId="7909"/>
    <cellStyle name="표준 21 4 2 6 2" xfId="16915"/>
    <cellStyle name="표준 21 4 2 6 2 2" xfId="37791"/>
    <cellStyle name="표준 21 4 2 6 3" xfId="29053"/>
    <cellStyle name="표준 21 4 2 7" xfId="8757"/>
    <cellStyle name="표준 21 4 2 7 2" xfId="17762"/>
    <cellStyle name="표준 21 4 2 7 2 2" xfId="38638"/>
    <cellStyle name="표준 21 4 2 7 3" xfId="29900"/>
    <cellStyle name="표준 21 4 2 8" xfId="9582"/>
    <cellStyle name="표준 21 4 2 8 2" xfId="18580"/>
    <cellStyle name="표준 21 4 2 8 2 2" xfId="39456"/>
    <cellStyle name="표준 21 4 2 8 3" xfId="30718"/>
    <cellStyle name="표준 21 4 2 9" xfId="10637"/>
    <cellStyle name="표준 21 4 2 9 2" xfId="19408"/>
    <cellStyle name="표준 21 4 2 9 2 2" xfId="40284"/>
    <cellStyle name="표준 21 4 2 9 3" xfId="31548"/>
    <cellStyle name="표준 21 4 3" xfId="3416"/>
    <cellStyle name="표준 21 4 3 10" xfId="12879"/>
    <cellStyle name="표준 21 4 3 10 2" xfId="33756"/>
    <cellStyle name="표준 21 4 3 11" xfId="25006"/>
    <cellStyle name="표준 21 4 3 2" xfId="5009"/>
    <cellStyle name="표준 21 4 3 2 2" xfId="6836"/>
    <cellStyle name="표준 21 4 3 2 2 2" xfId="15845"/>
    <cellStyle name="표준 21 4 3 2 2 2 2" xfId="36721"/>
    <cellStyle name="표준 21 4 3 2 2 3" xfId="27983"/>
    <cellStyle name="표준 21 4 3 2 3" xfId="14027"/>
    <cellStyle name="표준 21 4 3 2 3 2" xfId="34903"/>
    <cellStyle name="표준 21 4 3 2 4" xfId="26165"/>
    <cellStyle name="표준 21 4 3 3" xfId="5689"/>
    <cellStyle name="표준 21 4 3 3 2" xfId="14698"/>
    <cellStyle name="표준 21 4 3 3 2 2" xfId="35574"/>
    <cellStyle name="표준 21 4 3 3 3" xfId="26836"/>
    <cellStyle name="표준 21 4 3 4" xfId="7482"/>
    <cellStyle name="표준 21 4 3 4 2" xfId="16489"/>
    <cellStyle name="표준 21 4 3 4 2 2" xfId="37365"/>
    <cellStyle name="표준 21 4 3 4 3" xfId="28627"/>
    <cellStyle name="표준 21 4 3 5" xfId="8126"/>
    <cellStyle name="표준 21 4 3 5 2" xfId="17132"/>
    <cellStyle name="표준 21 4 3 5 2 2" xfId="38008"/>
    <cellStyle name="표준 21 4 3 5 3" xfId="29270"/>
    <cellStyle name="표준 21 4 3 6" xfId="8974"/>
    <cellStyle name="표준 21 4 3 6 2" xfId="17979"/>
    <cellStyle name="표준 21 4 3 6 2 2" xfId="38855"/>
    <cellStyle name="표준 21 4 3 6 3" xfId="30117"/>
    <cellStyle name="표준 21 4 3 7" xfId="9799"/>
    <cellStyle name="표준 21 4 3 7 2" xfId="18797"/>
    <cellStyle name="표준 21 4 3 7 2 2" xfId="39673"/>
    <cellStyle name="표준 21 4 3 7 3" xfId="30935"/>
    <cellStyle name="표준 21 4 3 8" xfId="10854"/>
    <cellStyle name="표준 21 4 3 8 2" xfId="19625"/>
    <cellStyle name="표준 21 4 3 8 2 2" xfId="40501"/>
    <cellStyle name="표준 21 4 3 8 3" xfId="31765"/>
    <cellStyle name="표준 21 4 3 9" xfId="11720"/>
    <cellStyle name="표준 21 4 3 9 2" xfId="20486"/>
    <cellStyle name="표준 21 4 3 9 2 2" xfId="41362"/>
    <cellStyle name="표준 21 4 3 9 3" xfId="32626"/>
    <cellStyle name="표준 21 4 4" xfId="4575"/>
    <cellStyle name="표준 21 4 4 2" xfId="6409"/>
    <cellStyle name="표준 21 4 4 2 2" xfId="15418"/>
    <cellStyle name="표준 21 4 4 2 2 2" xfId="36294"/>
    <cellStyle name="표준 21 4 4 2 3" xfId="27556"/>
    <cellStyle name="표준 21 4 4 3" xfId="11072"/>
    <cellStyle name="표준 21 4 4 3 2" xfId="19842"/>
    <cellStyle name="표준 21 4 4 3 2 2" xfId="40718"/>
    <cellStyle name="표준 21 4 4 3 3" xfId="31982"/>
    <cellStyle name="표준 21 4 4 4" xfId="11937"/>
    <cellStyle name="표준 21 4 4 4 2" xfId="20703"/>
    <cellStyle name="표준 21 4 4 4 2 2" xfId="41579"/>
    <cellStyle name="표준 21 4 4 4 3" xfId="32843"/>
    <cellStyle name="표준 21 4 4 5" xfId="13600"/>
    <cellStyle name="표준 21 4 4 5 2" xfId="34476"/>
    <cellStyle name="표준 21 4 4 6" xfId="25738"/>
    <cellStyle name="표준 21 4 5" xfId="5252"/>
    <cellStyle name="표준 21 4 5 2" xfId="14261"/>
    <cellStyle name="표준 21 4 5 2 2" xfId="35137"/>
    <cellStyle name="표준 21 4 5 3" xfId="26399"/>
    <cellStyle name="표준 21 4 6" xfId="7054"/>
    <cellStyle name="표준 21 4 6 2" xfId="16062"/>
    <cellStyle name="표준 21 4 6 2 2" xfId="36938"/>
    <cellStyle name="표준 21 4 6 3" xfId="28200"/>
    <cellStyle name="표준 21 4 7" xfId="7699"/>
    <cellStyle name="표준 21 4 7 2" xfId="16705"/>
    <cellStyle name="표준 21 4 7 2 2" xfId="37581"/>
    <cellStyle name="표준 21 4 7 3" xfId="28843"/>
    <cellStyle name="표준 21 4 8" xfId="8547"/>
    <cellStyle name="표준 21 4 8 2" xfId="17552"/>
    <cellStyle name="표준 21 4 8 2 2" xfId="38428"/>
    <cellStyle name="표준 21 4 8 3" xfId="29690"/>
    <cellStyle name="표준 21 4 9" xfId="9371"/>
    <cellStyle name="표준 21 4 9 2" xfId="18370"/>
    <cellStyle name="표준 21 4 9 2 2" xfId="39246"/>
    <cellStyle name="표준 21 4 9 3" xfId="30508"/>
    <cellStyle name="표준 21 5" xfId="2967"/>
    <cellStyle name="표준 21 5 10" xfId="10428"/>
    <cellStyle name="표준 21 5 10 2" xfId="19199"/>
    <cellStyle name="표준 21 5 10 2 2" xfId="40075"/>
    <cellStyle name="표준 21 5 10 3" xfId="31339"/>
    <cellStyle name="표준 21 5 11" xfId="11294"/>
    <cellStyle name="표준 21 5 11 2" xfId="20060"/>
    <cellStyle name="표준 21 5 11 2 2" xfId="40936"/>
    <cellStyle name="표준 21 5 11 3" xfId="32200"/>
    <cellStyle name="표준 21 5 12" xfId="12442"/>
    <cellStyle name="표준 21 5 12 2" xfId="33320"/>
    <cellStyle name="표준 21 5 13" xfId="24570"/>
    <cellStyle name="표준 21 5 2" xfId="3185"/>
    <cellStyle name="표준 21 5 2 10" xfId="11504"/>
    <cellStyle name="표준 21 5 2 10 2" xfId="20270"/>
    <cellStyle name="표준 21 5 2 10 2 2" xfId="41146"/>
    <cellStyle name="표준 21 5 2 10 3" xfId="32410"/>
    <cellStyle name="표준 21 5 2 11" xfId="12653"/>
    <cellStyle name="표준 21 5 2 11 2" xfId="33530"/>
    <cellStyle name="표준 21 5 2 12" xfId="24780"/>
    <cellStyle name="표준 21 5 2 2" xfId="3627"/>
    <cellStyle name="표준 21 5 2 2 2" xfId="5900"/>
    <cellStyle name="표준 21 5 2 2 2 2" xfId="14909"/>
    <cellStyle name="표준 21 5 2 2 2 2 2" xfId="35785"/>
    <cellStyle name="표준 21 5 2 2 2 3" xfId="27047"/>
    <cellStyle name="표준 21 5 2 2 3" xfId="13090"/>
    <cellStyle name="표준 21 5 2 2 3 2" xfId="33967"/>
    <cellStyle name="표준 21 5 2 2 4" xfId="25217"/>
    <cellStyle name="표준 21 5 2 3" xfId="4788"/>
    <cellStyle name="표준 21 5 2 3 2" xfId="6620"/>
    <cellStyle name="표준 21 5 2 3 2 2" xfId="15629"/>
    <cellStyle name="표준 21 5 2 3 2 2 2" xfId="36505"/>
    <cellStyle name="표준 21 5 2 3 2 3" xfId="27767"/>
    <cellStyle name="표준 21 5 2 3 3" xfId="13811"/>
    <cellStyle name="표준 21 5 2 3 3 2" xfId="34687"/>
    <cellStyle name="표준 21 5 2 3 4" xfId="25949"/>
    <cellStyle name="표준 21 5 2 4" xfId="5463"/>
    <cellStyle name="표준 21 5 2 4 2" xfId="14472"/>
    <cellStyle name="표준 21 5 2 4 2 2" xfId="35348"/>
    <cellStyle name="표준 21 5 2 4 3" xfId="26610"/>
    <cellStyle name="표준 21 5 2 5" xfId="7266"/>
    <cellStyle name="표준 21 5 2 5 2" xfId="16273"/>
    <cellStyle name="표준 21 5 2 5 2 2" xfId="37149"/>
    <cellStyle name="표준 21 5 2 5 3" xfId="28411"/>
    <cellStyle name="표준 21 5 2 6" xfId="7910"/>
    <cellStyle name="표준 21 5 2 6 2" xfId="16916"/>
    <cellStyle name="표준 21 5 2 6 2 2" xfId="37792"/>
    <cellStyle name="표준 21 5 2 6 3" xfId="29054"/>
    <cellStyle name="표준 21 5 2 7" xfId="8758"/>
    <cellStyle name="표준 21 5 2 7 2" xfId="17763"/>
    <cellStyle name="표준 21 5 2 7 2 2" xfId="38639"/>
    <cellStyle name="표준 21 5 2 7 3" xfId="29901"/>
    <cellStyle name="표준 21 5 2 8" xfId="9583"/>
    <cellStyle name="표준 21 5 2 8 2" xfId="18581"/>
    <cellStyle name="표준 21 5 2 8 2 2" xfId="39457"/>
    <cellStyle name="표준 21 5 2 8 3" xfId="30719"/>
    <cellStyle name="표준 21 5 2 9" xfId="10638"/>
    <cellStyle name="표준 21 5 2 9 2" xfId="19409"/>
    <cellStyle name="표준 21 5 2 9 2 2" xfId="40285"/>
    <cellStyle name="표준 21 5 2 9 3" xfId="31549"/>
    <cellStyle name="표준 21 5 3" xfId="3417"/>
    <cellStyle name="표준 21 5 3 10" xfId="12880"/>
    <cellStyle name="표준 21 5 3 10 2" xfId="33757"/>
    <cellStyle name="표준 21 5 3 11" xfId="25007"/>
    <cellStyle name="표준 21 5 3 2" xfId="5010"/>
    <cellStyle name="표준 21 5 3 2 2" xfId="6837"/>
    <cellStyle name="표준 21 5 3 2 2 2" xfId="15846"/>
    <cellStyle name="표준 21 5 3 2 2 2 2" xfId="36722"/>
    <cellStyle name="표준 21 5 3 2 2 3" xfId="27984"/>
    <cellStyle name="표준 21 5 3 2 3" xfId="14028"/>
    <cellStyle name="표준 21 5 3 2 3 2" xfId="34904"/>
    <cellStyle name="표준 21 5 3 2 4" xfId="26166"/>
    <cellStyle name="표준 21 5 3 3" xfId="5690"/>
    <cellStyle name="표준 21 5 3 3 2" xfId="14699"/>
    <cellStyle name="표준 21 5 3 3 2 2" xfId="35575"/>
    <cellStyle name="표준 21 5 3 3 3" xfId="26837"/>
    <cellStyle name="표준 21 5 3 4" xfId="7483"/>
    <cellStyle name="표준 21 5 3 4 2" xfId="16490"/>
    <cellStyle name="표준 21 5 3 4 2 2" xfId="37366"/>
    <cellStyle name="표준 21 5 3 4 3" xfId="28628"/>
    <cellStyle name="표준 21 5 3 5" xfId="8127"/>
    <cellStyle name="표준 21 5 3 5 2" xfId="17133"/>
    <cellStyle name="표준 21 5 3 5 2 2" xfId="38009"/>
    <cellStyle name="표준 21 5 3 5 3" xfId="29271"/>
    <cellStyle name="표준 21 5 3 6" xfId="8975"/>
    <cellStyle name="표준 21 5 3 6 2" xfId="17980"/>
    <cellStyle name="표준 21 5 3 6 2 2" xfId="38856"/>
    <cellStyle name="표준 21 5 3 6 3" xfId="30118"/>
    <cellStyle name="표준 21 5 3 7" xfId="9800"/>
    <cellStyle name="표준 21 5 3 7 2" xfId="18798"/>
    <cellStyle name="표준 21 5 3 7 2 2" xfId="39674"/>
    <cellStyle name="표준 21 5 3 7 3" xfId="30936"/>
    <cellStyle name="표준 21 5 3 8" xfId="10855"/>
    <cellStyle name="표준 21 5 3 8 2" xfId="19626"/>
    <cellStyle name="표준 21 5 3 8 2 2" xfId="40502"/>
    <cellStyle name="표준 21 5 3 8 3" xfId="31766"/>
    <cellStyle name="표준 21 5 3 9" xfId="11721"/>
    <cellStyle name="표준 21 5 3 9 2" xfId="20487"/>
    <cellStyle name="표준 21 5 3 9 2 2" xfId="41363"/>
    <cellStyle name="표준 21 5 3 9 3" xfId="32627"/>
    <cellStyle name="표준 21 5 4" xfId="4576"/>
    <cellStyle name="표준 21 5 4 2" xfId="6410"/>
    <cellStyle name="표준 21 5 4 2 2" xfId="15419"/>
    <cellStyle name="표준 21 5 4 2 2 2" xfId="36295"/>
    <cellStyle name="표준 21 5 4 2 3" xfId="27557"/>
    <cellStyle name="표준 21 5 4 3" xfId="11073"/>
    <cellStyle name="표준 21 5 4 3 2" xfId="19843"/>
    <cellStyle name="표준 21 5 4 3 2 2" xfId="40719"/>
    <cellStyle name="표준 21 5 4 3 3" xfId="31983"/>
    <cellStyle name="표준 21 5 4 4" xfId="11938"/>
    <cellStyle name="표준 21 5 4 4 2" xfId="20704"/>
    <cellStyle name="표준 21 5 4 4 2 2" xfId="41580"/>
    <cellStyle name="표준 21 5 4 4 3" xfId="32844"/>
    <cellStyle name="표준 21 5 4 5" xfId="13601"/>
    <cellStyle name="표준 21 5 4 5 2" xfId="34477"/>
    <cellStyle name="표준 21 5 4 6" xfId="25739"/>
    <cellStyle name="표준 21 5 5" xfId="5253"/>
    <cellStyle name="표준 21 5 5 2" xfId="14262"/>
    <cellStyle name="표준 21 5 5 2 2" xfId="35138"/>
    <cellStyle name="표준 21 5 5 3" xfId="26400"/>
    <cellStyle name="표준 21 5 6" xfId="7055"/>
    <cellStyle name="표준 21 5 6 2" xfId="16063"/>
    <cellStyle name="표준 21 5 6 2 2" xfId="36939"/>
    <cellStyle name="표준 21 5 6 3" xfId="28201"/>
    <cellStyle name="표준 21 5 7" xfId="7700"/>
    <cellStyle name="표준 21 5 7 2" xfId="16706"/>
    <cellStyle name="표준 21 5 7 2 2" xfId="37582"/>
    <cellStyle name="표준 21 5 7 3" xfId="28844"/>
    <cellStyle name="표준 21 5 8" xfId="8548"/>
    <cellStyle name="표준 21 5 8 2" xfId="17553"/>
    <cellStyle name="표준 21 5 8 2 2" xfId="38429"/>
    <cellStyle name="표준 21 5 8 3" xfId="29691"/>
    <cellStyle name="표준 21 5 9" xfId="9372"/>
    <cellStyle name="표준 21 5 9 2" xfId="18371"/>
    <cellStyle name="표준 21 5 9 2 2" xfId="39247"/>
    <cellStyle name="표준 21 5 9 3" xfId="30509"/>
    <cellStyle name="표준 21 6" xfId="2968"/>
    <cellStyle name="표준 21 6 10" xfId="10429"/>
    <cellStyle name="표준 21 6 10 2" xfId="19200"/>
    <cellStyle name="표준 21 6 10 2 2" xfId="40076"/>
    <cellStyle name="표준 21 6 10 3" xfId="31340"/>
    <cellStyle name="표준 21 6 11" xfId="11295"/>
    <cellStyle name="표준 21 6 11 2" xfId="20061"/>
    <cellStyle name="표준 21 6 11 2 2" xfId="40937"/>
    <cellStyle name="표준 21 6 11 3" xfId="32201"/>
    <cellStyle name="표준 21 6 12" xfId="12443"/>
    <cellStyle name="표준 21 6 12 2" xfId="33321"/>
    <cellStyle name="표준 21 6 13" xfId="24571"/>
    <cellStyle name="표준 21 6 2" xfId="3186"/>
    <cellStyle name="표준 21 6 2 10" xfId="11505"/>
    <cellStyle name="표준 21 6 2 10 2" xfId="20271"/>
    <cellStyle name="표준 21 6 2 10 2 2" xfId="41147"/>
    <cellStyle name="표준 21 6 2 10 3" xfId="32411"/>
    <cellStyle name="표준 21 6 2 11" xfId="12654"/>
    <cellStyle name="표준 21 6 2 11 2" xfId="33531"/>
    <cellStyle name="표준 21 6 2 12" xfId="24781"/>
    <cellStyle name="표준 21 6 2 2" xfId="3628"/>
    <cellStyle name="표준 21 6 2 2 2" xfId="5901"/>
    <cellStyle name="표준 21 6 2 2 2 2" xfId="14910"/>
    <cellStyle name="표준 21 6 2 2 2 2 2" xfId="35786"/>
    <cellStyle name="표준 21 6 2 2 2 3" xfId="27048"/>
    <cellStyle name="표준 21 6 2 2 3" xfId="13091"/>
    <cellStyle name="표준 21 6 2 2 3 2" xfId="33968"/>
    <cellStyle name="표준 21 6 2 2 4" xfId="25218"/>
    <cellStyle name="표준 21 6 2 3" xfId="4789"/>
    <cellStyle name="표준 21 6 2 3 2" xfId="6621"/>
    <cellStyle name="표준 21 6 2 3 2 2" xfId="15630"/>
    <cellStyle name="표준 21 6 2 3 2 2 2" xfId="36506"/>
    <cellStyle name="표준 21 6 2 3 2 3" xfId="27768"/>
    <cellStyle name="표준 21 6 2 3 3" xfId="13812"/>
    <cellStyle name="표준 21 6 2 3 3 2" xfId="34688"/>
    <cellStyle name="표준 21 6 2 3 4" xfId="25950"/>
    <cellStyle name="표준 21 6 2 4" xfId="5464"/>
    <cellStyle name="표준 21 6 2 4 2" xfId="14473"/>
    <cellStyle name="표준 21 6 2 4 2 2" xfId="35349"/>
    <cellStyle name="표준 21 6 2 4 3" xfId="26611"/>
    <cellStyle name="표준 21 6 2 5" xfId="7267"/>
    <cellStyle name="표준 21 6 2 5 2" xfId="16274"/>
    <cellStyle name="표준 21 6 2 5 2 2" xfId="37150"/>
    <cellStyle name="표준 21 6 2 5 3" xfId="28412"/>
    <cellStyle name="표준 21 6 2 6" xfId="7911"/>
    <cellStyle name="표준 21 6 2 6 2" xfId="16917"/>
    <cellStyle name="표준 21 6 2 6 2 2" xfId="37793"/>
    <cellStyle name="표준 21 6 2 6 3" xfId="29055"/>
    <cellStyle name="표준 21 6 2 7" xfId="8759"/>
    <cellStyle name="표준 21 6 2 7 2" xfId="17764"/>
    <cellStyle name="표준 21 6 2 7 2 2" xfId="38640"/>
    <cellStyle name="표준 21 6 2 7 3" xfId="29902"/>
    <cellStyle name="표준 21 6 2 8" xfId="9584"/>
    <cellStyle name="표준 21 6 2 8 2" xfId="18582"/>
    <cellStyle name="표준 21 6 2 8 2 2" xfId="39458"/>
    <cellStyle name="표준 21 6 2 8 3" xfId="30720"/>
    <cellStyle name="표준 21 6 2 9" xfId="10639"/>
    <cellStyle name="표준 21 6 2 9 2" xfId="19410"/>
    <cellStyle name="표준 21 6 2 9 2 2" xfId="40286"/>
    <cellStyle name="표준 21 6 2 9 3" xfId="31550"/>
    <cellStyle name="표준 21 6 3" xfId="3418"/>
    <cellStyle name="표준 21 6 3 10" xfId="12881"/>
    <cellStyle name="표준 21 6 3 10 2" xfId="33758"/>
    <cellStyle name="표준 21 6 3 11" xfId="25008"/>
    <cellStyle name="표준 21 6 3 2" xfId="5011"/>
    <cellStyle name="표준 21 6 3 2 2" xfId="6838"/>
    <cellStyle name="표준 21 6 3 2 2 2" xfId="15847"/>
    <cellStyle name="표준 21 6 3 2 2 2 2" xfId="36723"/>
    <cellStyle name="표준 21 6 3 2 2 3" xfId="27985"/>
    <cellStyle name="표준 21 6 3 2 3" xfId="14029"/>
    <cellStyle name="표준 21 6 3 2 3 2" xfId="34905"/>
    <cellStyle name="표준 21 6 3 2 4" xfId="26167"/>
    <cellStyle name="표준 21 6 3 3" xfId="5691"/>
    <cellStyle name="표준 21 6 3 3 2" xfId="14700"/>
    <cellStyle name="표준 21 6 3 3 2 2" xfId="35576"/>
    <cellStyle name="표준 21 6 3 3 3" xfId="26838"/>
    <cellStyle name="표준 21 6 3 4" xfId="7484"/>
    <cellStyle name="표준 21 6 3 4 2" xfId="16491"/>
    <cellStyle name="표준 21 6 3 4 2 2" xfId="37367"/>
    <cellStyle name="표준 21 6 3 4 3" xfId="28629"/>
    <cellStyle name="표준 21 6 3 5" xfId="8128"/>
    <cellStyle name="표준 21 6 3 5 2" xfId="17134"/>
    <cellStyle name="표준 21 6 3 5 2 2" xfId="38010"/>
    <cellStyle name="표준 21 6 3 5 3" xfId="29272"/>
    <cellStyle name="표준 21 6 3 6" xfId="8976"/>
    <cellStyle name="표준 21 6 3 6 2" xfId="17981"/>
    <cellStyle name="표준 21 6 3 6 2 2" xfId="38857"/>
    <cellStyle name="표준 21 6 3 6 3" xfId="30119"/>
    <cellStyle name="표준 21 6 3 7" xfId="9801"/>
    <cellStyle name="표준 21 6 3 7 2" xfId="18799"/>
    <cellStyle name="표준 21 6 3 7 2 2" xfId="39675"/>
    <cellStyle name="표준 21 6 3 7 3" xfId="30937"/>
    <cellStyle name="표준 21 6 3 8" xfId="10856"/>
    <cellStyle name="표준 21 6 3 8 2" xfId="19627"/>
    <cellStyle name="표준 21 6 3 8 2 2" xfId="40503"/>
    <cellStyle name="표준 21 6 3 8 3" xfId="31767"/>
    <cellStyle name="표준 21 6 3 9" xfId="11722"/>
    <cellStyle name="표준 21 6 3 9 2" xfId="20488"/>
    <cellStyle name="표준 21 6 3 9 2 2" xfId="41364"/>
    <cellStyle name="표준 21 6 3 9 3" xfId="32628"/>
    <cellStyle name="표준 21 6 4" xfId="4577"/>
    <cellStyle name="표준 21 6 4 2" xfId="6411"/>
    <cellStyle name="표준 21 6 4 2 2" xfId="15420"/>
    <cellStyle name="표준 21 6 4 2 2 2" xfId="36296"/>
    <cellStyle name="표준 21 6 4 2 3" xfId="27558"/>
    <cellStyle name="표준 21 6 4 3" xfId="11074"/>
    <cellStyle name="표준 21 6 4 3 2" xfId="19844"/>
    <cellStyle name="표준 21 6 4 3 2 2" xfId="40720"/>
    <cellStyle name="표준 21 6 4 3 3" xfId="31984"/>
    <cellStyle name="표준 21 6 4 4" xfId="11939"/>
    <cellStyle name="표준 21 6 4 4 2" xfId="20705"/>
    <cellStyle name="표준 21 6 4 4 2 2" xfId="41581"/>
    <cellStyle name="표준 21 6 4 4 3" xfId="32845"/>
    <cellStyle name="표준 21 6 4 5" xfId="13602"/>
    <cellStyle name="표준 21 6 4 5 2" xfId="34478"/>
    <cellStyle name="표준 21 6 4 6" xfId="25740"/>
    <cellStyle name="표준 21 6 5" xfId="5254"/>
    <cellStyle name="표준 21 6 5 2" xfId="14263"/>
    <cellStyle name="표준 21 6 5 2 2" xfId="35139"/>
    <cellStyle name="표준 21 6 5 3" xfId="26401"/>
    <cellStyle name="표준 21 6 6" xfId="7056"/>
    <cellStyle name="표준 21 6 6 2" xfId="16064"/>
    <cellStyle name="표준 21 6 6 2 2" xfId="36940"/>
    <cellStyle name="표준 21 6 6 3" xfId="28202"/>
    <cellStyle name="표준 21 6 7" xfId="7701"/>
    <cellStyle name="표준 21 6 7 2" xfId="16707"/>
    <cellStyle name="표준 21 6 7 2 2" xfId="37583"/>
    <cellStyle name="표준 21 6 7 3" xfId="28845"/>
    <cellStyle name="표준 21 6 8" xfId="8549"/>
    <cellStyle name="표준 21 6 8 2" xfId="17554"/>
    <cellStyle name="표준 21 6 8 2 2" xfId="38430"/>
    <cellStyle name="표준 21 6 8 3" xfId="29692"/>
    <cellStyle name="표준 21 6 9" xfId="9373"/>
    <cellStyle name="표준 21 6 9 2" xfId="18372"/>
    <cellStyle name="표준 21 6 9 2 2" xfId="39248"/>
    <cellStyle name="표준 21 6 9 3" xfId="30510"/>
    <cellStyle name="표준 21 7" xfId="2969"/>
    <cellStyle name="표준 21 7 10" xfId="10430"/>
    <cellStyle name="표준 21 7 10 2" xfId="19201"/>
    <cellStyle name="표준 21 7 10 2 2" xfId="40077"/>
    <cellStyle name="표준 21 7 10 3" xfId="31341"/>
    <cellStyle name="표준 21 7 11" xfId="11296"/>
    <cellStyle name="표준 21 7 11 2" xfId="20062"/>
    <cellStyle name="표준 21 7 11 2 2" xfId="40938"/>
    <cellStyle name="표준 21 7 11 3" xfId="32202"/>
    <cellStyle name="표준 21 7 12" xfId="12444"/>
    <cellStyle name="표준 21 7 12 2" xfId="33322"/>
    <cellStyle name="표준 21 7 13" xfId="24572"/>
    <cellStyle name="표준 21 7 2" xfId="3187"/>
    <cellStyle name="표준 21 7 2 10" xfId="11506"/>
    <cellStyle name="표준 21 7 2 10 2" xfId="20272"/>
    <cellStyle name="표준 21 7 2 10 2 2" xfId="41148"/>
    <cellStyle name="표준 21 7 2 10 3" xfId="32412"/>
    <cellStyle name="표준 21 7 2 11" xfId="12655"/>
    <cellStyle name="표준 21 7 2 11 2" xfId="33532"/>
    <cellStyle name="표준 21 7 2 12" xfId="24782"/>
    <cellStyle name="표준 21 7 2 2" xfId="3629"/>
    <cellStyle name="표준 21 7 2 2 2" xfId="5902"/>
    <cellStyle name="표준 21 7 2 2 2 2" xfId="14911"/>
    <cellStyle name="표준 21 7 2 2 2 2 2" xfId="35787"/>
    <cellStyle name="표준 21 7 2 2 2 3" xfId="27049"/>
    <cellStyle name="표준 21 7 2 2 3" xfId="13092"/>
    <cellStyle name="표준 21 7 2 2 3 2" xfId="33969"/>
    <cellStyle name="표준 21 7 2 2 4" xfId="25219"/>
    <cellStyle name="표준 21 7 2 3" xfId="4790"/>
    <cellStyle name="표준 21 7 2 3 2" xfId="6622"/>
    <cellStyle name="표준 21 7 2 3 2 2" xfId="15631"/>
    <cellStyle name="표준 21 7 2 3 2 2 2" xfId="36507"/>
    <cellStyle name="표준 21 7 2 3 2 3" xfId="27769"/>
    <cellStyle name="표준 21 7 2 3 3" xfId="13813"/>
    <cellStyle name="표준 21 7 2 3 3 2" xfId="34689"/>
    <cellStyle name="표준 21 7 2 3 4" xfId="25951"/>
    <cellStyle name="표준 21 7 2 4" xfId="5465"/>
    <cellStyle name="표준 21 7 2 4 2" xfId="14474"/>
    <cellStyle name="표준 21 7 2 4 2 2" xfId="35350"/>
    <cellStyle name="표준 21 7 2 4 3" xfId="26612"/>
    <cellStyle name="표준 21 7 2 5" xfId="7268"/>
    <cellStyle name="표준 21 7 2 5 2" xfId="16275"/>
    <cellStyle name="표준 21 7 2 5 2 2" xfId="37151"/>
    <cellStyle name="표준 21 7 2 5 3" xfId="28413"/>
    <cellStyle name="표준 21 7 2 6" xfId="7912"/>
    <cellStyle name="표준 21 7 2 6 2" xfId="16918"/>
    <cellStyle name="표준 21 7 2 6 2 2" xfId="37794"/>
    <cellStyle name="표준 21 7 2 6 3" xfId="29056"/>
    <cellStyle name="표준 21 7 2 7" xfId="8760"/>
    <cellStyle name="표준 21 7 2 7 2" xfId="17765"/>
    <cellStyle name="표준 21 7 2 7 2 2" xfId="38641"/>
    <cellStyle name="표준 21 7 2 7 3" xfId="29903"/>
    <cellStyle name="표준 21 7 2 8" xfId="9585"/>
    <cellStyle name="표준 21 7 2 8 2" xfId="18583"/>
    <cellStyle name="표준 21 7 2 8 2 2" xfId="39459"/>
    <cellStyle name="표준 21 7 2 8 3" xfId="30721"/>
    <cellStyle name="표준 21 7 2 9" xfId="10640"/>
    <cellStyle name="표준 21 7 2 9 2" xfId="19411"/>
    <cellStyle name="표준 21 7 2 9 2 2" xfId="40287"/>
    <cellStyle name="표준 21 7 2 9 3" xfId="31551"/>
    <cellStyle name="표준 21 7 3" xfId="3419"/>
    <cellStyle name="표준 21 7 3 10" xfId="12882"/>
    <cellStyle name="표준 21 7 3 10 2" xfId="33759"/>
    <cellStyle name="표준 21 7 3 11" xfId="25009"/>
    <cellStyle name="표준 21 7 3 2" xfId="5012"/>
    <cellStyle name="표준 21 7 3 2 2" xfId="6839"/>
    <cellStyle name="표준 21 7 3 2 2 2" xfId="15848"/>
    <cellStyle name="표준 21 7 3 2 2 2 2" xfId="36724"/>
    <cellStyle name="표준 21 7 3 2 2 3" xfId="27986"/>
    <cellStyle name="표준 21 7 3 2 3" xfId="14030"/>
    <cellStyle name="표준 21 7 3 2 3 2" xfId="34906"/>
    <cellStyle name="표준 21 7 3 2 4" xfId="26168"/>
    <cellStyle name="표준 21 7 3 3" xfId="5692"/>
    <cellStyle name="표준 21 7 3 3 2" xfId="14701"/>
    <cellStyle name="표준 21 7 3 3 2 2" xfId="35577"/>
    <cellStyle name="표준 21 7 3 3 3" xfId="26839"/>
    <cellStyle name="표준 21 7 3 4" xfId="7485"/>
    <cellStyle name="표준 21 7 3 4 2" xfId="16492"/>
    <cellStyle name="표준 21 7 3 4 2 2" xfId="37368"/>
    <cellStyle name="표준 21 7 3 4 3" xfId="28630"/>
    <cellStyle name="표준 21 7 3 5" xfId="8129"/>
    <cellStyle name="표준 21 7 3 5 2" xfId="17135"/>
    <cellStyle name="표준 21 7 3 5 2 2" xfId="38011"/>
    <cellStyle name="표준 21 7 3 5 3" xfId="29273"/>
    <cellStyle name="표준 21 7 3 6" xfId="8977"/>
    <cellStyle name="표준 21 7 3 6 2" xfId="17982"/>
    <cellStyle name="표준 21 7 3 6 2 2" xfId="38858"/>
    <cellStyle name="표준 21 7 3 6 3" xfId="30120"/>
    <cellStyle name="표준 21 7 3 7" xfId="9802"/>
    <cellStyle name="표준 21 7 3 7 2" xfId="18800"/>
    <cellStyle name="표준 21 7 3 7 2 2" xfId="39676"/>
    <cellStyle name="표준 21 7 3 7 3" xfId="30938"/>
    <cellStyle name="표준 21 7 3 8" xfId="10857"/>
    <cellStyle name="표준 21 7 3 8 2" xfId="19628"/>
    <cellStyle name="표준 21 7 3 8 2 2" xfId="40504"/>
    <cellStyle name="표준 21 7 3 8 3" xfId="31768"/>
    <cellStyle name="표준 21 7 3 9" xfId="11723"/>
    <cellStyle name="표준 21 7 3 9 2" xfId="20489"/>
    <cellStyle name="표준 21 7 3 9 2 2" xfId="41365"/>
    <cellStyle name="표준 21 7 3 9 3" xfId="32629"/>
    <cellStyle name="표준 21 7 4" xfId="4578"/>
    <cellStyle name="표준 21 7 4 2" xfId="6412"/>
    <cellStyle name="표준 21 7 4 2 2" xfId="15421"/>
    <cellStyle name="표준 21 7 4 2 2 2" xfId="36297"/>
    <cellStyle name="표준 21 7 4 2 3" xfId="27559"/>
    <cellStyle name="표준 21 7 4 3" xfId="11075"/>
    <cellStyle name="표준 21 7 4 3 2" xfId="19845"/>
    <cellStyle name="표준 21 7 4 3 2 2" xfId="40721"/>
    <cellStyle name="표준 21 7 4 3 3" xfId="31985"/>
    <cellStyle name="표준 21 7 4 4" xfId="11940"/>
    <cellStyle name="표준 21 7 4 4 2" xfId="20706"/>
    <cellStyle name="표준 21 7 4 4 2 2" xfId="41582"/>
    <cellStyle name="표준 21 7 4 4 3" xfId="32846"/>
    <cellStyle name="표준 21 7 4 5" xfId="13603"/>
    <cellStyle name="표준 21 7 4 5 2" xfId="34479"/>
    <cellStyle name="표준 21 7 4 6" xfId="25741"/>
    <cellStyle name="표준 21 7 5" xfId="5255"/>
    <cellStyle name="표준 21 7 5 2" xfId="14264"/>
    <cellStyle name="표준 21 7 5 2 2" xfId="35140"/>
    <cellStyle name="표준 21 7 5 3" xfId="26402"/>
    <cellStyle name="표준 21 7 6" xfId="7057"/>
    <cellStyle name="표준 21 7 6 2" xfId="16065"/>
    <cellStyle name="표준 21 7 6 2 2" xfId="36941"/>
    <cellStyle name="표준 21 7 6 3" xfId="28203"/>
    <cellStyle name="표준 21 7 7" xfId="7702"/>
    <cellStyle name="표준 21 7 7 2" xfId="16708"/>
    <cellStyle name="표준 21 7 7 2 2" xfId="37584"/>
    <cellStyle name="표준 21 7 7 3" xfId="28846"/>
    <cellStyle name="표준 21 7 8" xfId="8550"/>
    <cellStyle name="표준 21 7 8 2" xfId="17555"/>
    <cellStyle name="표준 21 7 8 2 2" xfId="38431"/>
    <cellStyle name="표준 21 7 8 3" xfId="29693"/>
    <cellStyle name="표준 21 7 9" xfId="9374"/>
    <cellStyle name="표준 21 7 9 2" xfId="18373"/>
    <cellStyle name="표준 21 7 9 2 2" xfId="39249"/>
    <cellStyle name="표준 21 7 9 3" xfId="30511"/>
    <cellStyle name="표준 21 8" xfId="3181"/>
    <cellStyle name="표준 21 8 10" xfId="11500"/>
    <cellStyle name="표준 21 8 10 2" xfId="20266"/>
    <cellStyle name="표준 21 8 10 2 2" xfId="41142"/>
    <cellStyle name="표준 21 8 10 3" xfId="32406"/>
    <cellStyle name="표준 21 8 11" xfId="12649"/>
    <cellStyle name="표준 21 8 11 2" xfId="33526"/>
    <cellStyle name="표준 21 8 12" xfId="24776"/>
    <cellStyle name="표준 21 8 2" xfId="3623"/>
    <cellStyle name="표준 21 8 2 2" xfId="5896"/>
    <cellStyle name="표준 21 8 2 2 2" xfId="14905"/>
    <cellStyle name="표준 21 8 2 2 2 2" xfId="35781"/>
    <cellStyle name="표준 21 8 2 2 3" xfId="27043"/>
    <cellStyle name="표준 21 8 2 3" xfId="13086"/>
    <cellStyle name="표준 21 8 2 3 2" xfId="33963"/>
    <cellStyle name="표준 21 8 2 4" xfId="25213"/>
    <cellStyle name="표준 21 8 3" xfId="4784"/>
    <cellStyle name="표준 21 8 3 2" xfId="6616"/>
    <cellStyle name="표준 21 8 3 2 2" xfId="15625"/>
    <cellStyle name="표준 21 8 3 2 2 2" xfId="36501"/>
    <cellStyle name="표준 21 8 3 2 3" xfId="27763"/>
    <cellStyle name="표준 21 8 3 3" xfId="13807"/>
    <cellStyle name="표준 21 8 3 3 2" xfId="34683"/>
    <cellStyle name="표준 21 8 3 4" xfId="25945"/>
    <cellStyle name="표준 21 8 4" xfId="5459"/>
    <cellStyle name="표준 21 8 4 2" xfId="14468"/>
    <cellStyle name="표준 21 8 4 2 2" xfId="35344"/>
    <cellStyle name="표준 21 8 4 3" xfId="26606"/>
    <cellStyle name="표준 21 8 5" xfId="7262"/>
    <cellStyle name="표준 21 8 5 2" xfId="16269"/>
    <cellStyle name="표준 21 8 5 2 2" xfId="37145"/>
    <cellStyle name="표준 21 8 5 3" xfId="28407"/>
    <cellStyle name="표준 21 8 6" xfId="7906"/>
    <cellStyle name="표준 21 8 6 2" xfId="16912"/>
    <cellStyle name="표준 21 8 6 2 2" xfId="37788"/>
    <cellStyle name="표준 21 8 6 3" xfId="29050"/>
    <cellStyle name="표준 21 8 7" xfId="8754"/>
    <cellStyle name="표준 21 8 7 2" xfId="17759"/>
    <cellStyle name="표준 21 8 7 2 2" xfId="38635"/>
    <cellStyle name="표준 21 8 7 3" xfId="29897"/>
    <cellStyle name="표준 21 8 8" xfId="9579"/>
    <cellStyle name="표준 21 8 8 2" xfId="18577"/>
    <cellStyle name="표준 21 8 8 2 2" xfId="39453"/>
    <cellStyle name="표준 21 8 8 3" xfId="30715"/>
    <cellStyle name="표준 21 8 9" xfId="10634"/>
    <cellStyle name="표준 21 8 9 2" xfId="19405"/>
    <cellStyle name="표준 21 8 9 2 2" xfId="40281"/>
    <cellStyle name="표준 21 8 9 3" xfId="31545"/>
    <cellStyle name="표준 21 9" xfId="3413"/>
    <cellStyle name="표준 21 9 10" xfId="12876"/>
    <cellStyle name="표준 21 9 10 2" xfId="33753"/>
    <cellStyle name="표준 21 9 11" xfId="25003"/>
    <cellStyle name="표준 21 9 2" xfId="5006"/>
    <cellStyle name="표준 21 9 2 2" xfId="6833"/>
    <cellStyle name="표준 21 9 2 2 2" xfId="15842"/>
    <cellStyle name="표준 21 9 2 2 2 2" xfId="36718"/>
    <cellStyle name="표준 21 9 2 2 3" xfId="27980"/>
    <cellStyle name="표준 21 9 2 3" xfId="14024"/>
    <cellStyle name="표준 21 9 2 3 2" xfId="34900"/>
    <cellStyle name="표준 21 9 2 4" xfId="26162"/>
    <cellStyle name="표준 21 9 3" xfId="5686"/>
    <cellStyle name="표준 21 9 3 2" xfId="14695"/>
    <cellStyle name="표준 21 9 3 2 2" xfId="35571"/>
    <cellStyle name="표준 21 9 3 3" xfId="26833"/>
    <cellStyle name="표준 21 9 4" xfId="7479"/>
    <cellStyle name="표준 21 9 4 2" xfId="16486"/>
    <cellStyle name="표준 21 9 4 2 2" xfId="37362"/>
    <cellStyle name="표준 21 9 4 3" xfId="28624"/>
    <cellStyle name="표준 21 9 5" xfId="8123"/>
    <cellStyle name="표준 21 9 5 2" xfId="17129"/>
    <cellStyle name="표준 21 9 5 2 2" xfId="38005"/>
    <cellStyle name="표준 21 9 5 3" xfId="29267"/>
    <cellStyle name="표준 21 9 6" xfId="8971"/>
    <cellStyle name="표준 21 9 6 2" xfId="17976"/>
    <cellStyle name="표준 21 9 6 2 2" xfId="38852"/>
    <cellStyle name="표준 21 9 6 3" xfId="30114"/>
    <cellStyle name="표준 21 9 7" xfId="9796"/>
    <cellStyle name="표준 21 9 7 2" xfId="18794"/>
    <cellStyle name="표준 21 9 7 2 2" xfId="39670"/>
    <cellStyle name="표준 21 9 7 3" xfId="30932"/>
    <cellStyle name="표준 21 9 8" xfId="10851"/>
    <cellStyle name="표준 21 9 8 2" xfId="19622"/>
    <cellStyle name="표준 21 9 8 2 2" xfId="40498"/>
    <cellStyle name="표준 21 9 8 3" xfId="31762"/>
    <cellStyle name="표준 21 9 9" xfId="11717"/>
    <cellStyle name="표준 21 9 9 2" xfId="20483"/>
    <cellStyle name="표준 21 9 9 2 2" xfId="41359"/>
    <cellStyle name="표준 21 9 9 3" xfId="32623"/>
    <cellStyle name="표준 22" xfId="2970"/>
    <cellStyle name="표준 22 10" xfId="4579"/>
    <cellStyle name="표준 22 10 2" xfId="6413"/>
    <cellStyle name="표준 22 10 2 2" xfId="15422"/>
    <cellStyle name="표준 22 10 2 2 2" xfId="36298"/>
    <cellStyle name="표준 22 10 2 3" xfId="27560"/>
    <cellStyle name="표준 22 10 3" xfId="11076"/>
    <cellStyle name="표준 22 10 3 2" xfId="19846"/>
    <cellStyle name="표준 22 10 3 2 2" xfId="40722"/>
    <cellStyle name="표준 22 10 3 3" xfId="31986"/>
    <cellStyle name="표준 22 10 4" xfId="11941"/>
    <cellStyle name="표준 22 10 4 2" xfId="20707"/>
    <cellStyle name="표준 22 10 4 2 2" xfId="41583"/>
    <cellStyle name="표준 22 10 4 3" xfId="32847"/>
    <cellStyle name="표준 22 10 5" xfId="13604"/>
    <cellStyle name="표준 22 10 5 2" xfId="34480"/>
    <cellStyle name="표준 22 10 6" xfId="25742"/>
    <cellStyle name="표준 22 11" xfId="5256"/>
    <cellStyle name="표준 22 11 2" xfId="14265"/>
    <cellStyle name="표준 22 11 2 2" xfId="35141"/>
    <cellStyle name="표준 22 11 3" xfId="26403"/>
    <cellStyle name="표준 22 12" xfId="7058"/>
    <cellStyle name="표준 22 12 2" xfId="16066"/>
    <cellStyle name="표준 22 12 2 2" xfId="36942"/>
    <cellStyle name="표준 22 12 3" xfId="28204"/>
    <cellStyle name="표준 22 13" xfId="7703"/>
    <cellStyle name="표준 22 13 2" xfId="16709"/>
    <cellStyle name="표준 22 13 2 2" xfId="37585"/>
    <cellStyle name="표준 22 13 3" xfId="28847"/>
    <cellStyle name="표준 22 14" xfId="8551"/>
    <cellStyle name="표준 22 14 2" xfId="17556"/>
    <cellStyle name="표준 22 14 2 2" xfId="38432"/>
    <cellStyle name="표준 22 14 3" xfId="29694"/>
    <cellStyle name="표준 22 15" xfId="9375"/>
    <cellStyle name="표준 22 15 2" xfId="18374"/>
    <cellStyle name="표준 22 15 2 2" xfId="39250"/>
    <cellStyle name="표준 22 15 3" xfId="30512"/>
    <cellStyle name="표준 22 16" xfId="10431"/>
    <cellStyle name="표준 22 16 2" xfId="19202"/>
    <cellStyle name="표준 22 16 2 2" xfId="40078"/>
    <cellStyle name="표준 22 16 3" xfId="31342"/>
    <cellStyle name="표준 22 17" xfId="11297"/>
    <cellStyle name="표준 22 17 2" xfId="20063"/>
    <cellStyle name="표준 22 17 2 2" xfId="40939"/>
    <cellStyle name="표준 22 17 3" xfId="32203"/>
    <cellStyle name="표준 22 18" xfId="12445"/>
    <cellStyle name="표준 22 18 2" xfId="33323"/>
    <cellStyle name="표준 22 19" xfId="24573"/>
    <cellStyle name="표준 22 2" xfId="2971"/>
    <cellStyle name="표준 22 2 10" xfId="10432"/>
    <cellStyle name="표준 22 2 10 2" xfId="19203"/>
    <cellStyle name="표준 22 2 10 2 2" xfId="40079"/>
    <cellStyle name="표준 22 2 10 3" xfId="31343"/>
    <cellStyle name="표준 22 2 11" xfId="11298"/>
    <cellStyle name="표준 22 2 11 2" xfId="20064"/>
    <cellStyle name="표준 22 2 11 2 2" xfId="40940"/>
    <cellStyle name="표준 22 2 11 3" xfId="32204"/>
    <cellStyle name="표준 22 2 12" xfId="12446"/>
    <cellStyle name="표준 22 2 12 2" xfId="33324"/>
    <cellStyle name="표준 22 2 13" xfId="24574"/>
    <cellStyle name="표준 22 2 2" xfId="3189"/>
    <cellStyle name="표준 22 2 2 10" xfId="11508"/>
    <cellStyle name="표준 22 2 2 10 2" xfId="20274"/>
    <cellStyle name="표준 22 2 2 10 2 2" xfId="41150"/>
    <cellStyle name="표준 22 2 2 10 3" xfId="32414"/>
    <cellStyle name="표준 22 2 2 11" xfId="12657"/>
    <cellStyle name="표준 22 2 2 11 2" xfId="33534"/>
    <cellStyle name="표준 22 2 2 12" xfId="24784"/>
    <cellStyle name="표준 22 2 2 2" xfId="3631"/>
    <cellStyle name="표준 22 2 2 2 2" xfId="5904"/>
    <cellStyle name="표준 22 2 2 2 2 2" xfId="14913"/>
    <cellStyle name="표준 22 2 2 2 2 2 2" xfId="35789"/>
    <cellStyle name="표준 22 2 2 2 2 3" xfId="27051"/>
    <cellStyle name="표준 22 2 2 2 3" xfId="13094"/>
    <cellStyle name="표준 22 2 2 2 3 2" xfId="33971"/>
    <cellStyle name="표준 22 2 2 2 4" xfId="25221"/>
    <cellStyle name="표준 22 2 2 3" xfId="4792"/>
    <cellStyle name="표준 22 2 2 3 2" xfId="6624"/>
    <cellStyle name="표준 22 2 2 3 2 2" xfId="15633"/>
    <cellStyle name="표준 22 2 2 3 2 2 2" xfId="36509"/>
    <cellStyle name="표준 22 2 2 3 2 3" xfId="27771"/>
    <cellStyle name="표준 22 2 2 3 3" xfId="13815"/>
    <cellStyle name="표준 22 2 2 3 3 2" xfId="34691"/>
    <cellStyle name="표준 22 2 2 3 4" xfId="25953"/>
    <cellStyle name="표준 22 2 2 4" xfId="5467"/>
    <cellStyle name="표준 22 2 2 4 2" xfId="14476"/>
    <cellStyle name="표준 22 2 2 4 2 2" xfId="35352"/>
    <cellStyle name="표준 22 2 2 4 3" xfId="26614"/>
    <cellStyle name="표준 22 2 2 5" xfId="7270"/>
    <cellStyle name="표준 22 2 2 5 2" xfId="16277"/>
    <cellStyle name="표준 22 2 2 5 2 2" xfId="37153"/>
    <cellStyle name="표준 22 2 2 5 3" xfId="28415"/>
    <cellStyle name="표준 22 2 2 6" xfId="7914"/>
    <cellStyle name="표준 22 2 2 6 2" xfId="16920"/>
    <cellStyle name="표준 22 2 2 6 2 2" xfId="37796"/>
    <cellStyle name="표준 22 2 2 6 3" xfId="29058"/>
    <cellStyle name="표준 22 2 2 7" xfId="8762"/>
    <cellStyle name="표준 22 2 2 7 2" xfId="17767"/>
    <cellStyle name="표준 22 2 2 7 2 2" xfId="38643"/>
    <cellStyle name="표준 22 2 2 7 3" xfId="29905"/>
    <cellStyle name="표준 22 2 2 8" xfId="9587"/>
    <cellStyle name="표준 22 2 2 8 2" xfId="18585"/>
    <cellStyle name="표준 22 2 2 8 2 2" xfId="39461"/>
    <cellStyle name="표준 22 2 2 8 3" xfId="30723"/>
    <cellStyle name="표준 22 2 2 9" xfId="10642"/>
    <cellStyle name="표준 22 2 2 9 2" xfId="19413"/>
    <cellStyle name="표준 22 2 2 9 2 2" xfId="40289"/>
    <cellStyle name="표준 22 2 2 9 3" xfId="31553"/>
    <cellStyle name="표준 22 2 3" xfId="3421"/>
    <cellStyle name="표준 22 2 3 10" xfId="12884"/>
    <cellStyle name="표준 22 2 3 10 2" xfId="33761"/>
    <cellStyle name="표준 22 2 3 11" xfId="25011"/>
    <cellStyle name="표준 22 2 3 2" xfId="5014"/>
    <cellStyle name="표준 22 2 3 2 2" xfId="6841"/>
    <cellStyle name="표준 22 2 3 2 2 2" xfId="15850"/>
    <cellStyle name="표준 22 2 3 2 2 2 2" xfId="36726"/>
    <cellStyle name="표준 22 2 3 2 2 3" xfId="27988"/>
    <cellStyle name="표준 22 2 3 2 3" xfId="14032"/>
    <cellStyle name="표준 22 2 3 2 3 2" xfId="34908"/>
    <cellStyle name="표준 22 2 3 2 4" xfId="26170"/>
    <cellStyle name="표준 22 2 3 3" xfId="5694"/>
    <cellStyle name="표준 22 2 3 3 2" xfId="14703"/>
    <cellStyle name="표준 22 2 3 3 2 2" xfId="35579"/>
    <cellStyle name="표준 22 2 3 3 3" xfId="26841"/>
    <cellStyle name="표준 22 2 3 4" xfId="7487"/>
    <cellStyle name="표준 22 2 3 4 2" xfId="16494"/>
    <cellStyle name="표준 22 2 3 4 2 2" xfId="37370"/>
    <cellStyle name="표준 22 2 3 4 3" xfId="28632"/>
    <cellStyle name="표준 22 2 3 5" xfId="8131"/>
    <cellStyle name="표준 22 2 3 5 2" xfId="17137"/>
    <cellStyle name="표준 22 2 3 5 2 2" xfId="38013"/>
    <cellStyle name="표준 22 2 3 5 3" xfId="29275"/>
    <cellStyle name="표준 22 2 3 6" xfId="8979"/>
    <cellStyle name="표준 22 2 3 6 2" xfId="17984"/>
    <cellStyle name="표준 22 2 3 6 2 2" xfId="38860"/>
    <cellStyle name="표준 22 2 3 6 3" xfId="30122"/>
    <cellStyle name="표준 22 2 3 7" xfId="9804"/>
    <cellStyle name="표준 22 2 3 7 2" xfId="18802"/>
    <cellStyle name="표준 22 2 3 7 2 2" xfId="39678"/>
    <cellStyle name="표준 22 2 3 7 3" xfId="30940"/>
    <cellStyle name="표준 22 2 3 8" xfId="10859"/>
    <cellStyle name="표준 22 2 3 8 2" xfId="19630"/>
    <cellStyle name="표준 22 2 3 8 2 2" xfId="40506"/>
    <cellStyle name="표준 22 2 3 8 3" xfId="31770"/>
    <cellStyle name="표준 22 2 3 9" xfId="11725"/>
    <cellStyle name="표준 22 2 3 9 2" xfId="20491"/>
    <cellStyle name="표준 22 2 3 9 2 2" xfId="41367"/>
    <cellStyle name="표준 22 2 3 9 3" xfId="32631"/>
    <cellStyle name="표준 22 2 4" xfId="4580"/>
    <cellStyle name="표준 22 2 4 2" xfId="6414"/>
    <cellStyle name="표준 22 2 4 2 2" xfId="15423"/>
    <cellStyle name="표준 22 2 4 2 2 2" xfId="36299"/>
    <cellStyle name="표준 22 2 4 2 3" xfId="27561"/>
    <cellStyle name="표준 22 2 4 3" xfId="11077"/>
    <cellStyle name="표준 22 2 4 3 2" xfId="19847"/>
    <cellStyle name="표준 22 2 4 3 2 2" xfId="40723"/>
    <cellStyle name="표준 22 2 4 3 3" xfId="31987"/>
    <cellStyle name="표준 22 2 4 4" xfId="11942"/>
    <cellStyle name="표준 22 2 4 4 2" xfId="20708"/>
    <cellStyle name="표준 22 2 4 4 2 2" xfId="41584"/>
    <cellStyle name="표준 22 2 4 4 3" xfId="32848"/>
    <cellStyle name="표준 22 2 4 5" xfId="13605"/>
    <cellStyle name="표준 22 2 4 5 2" xfId="34481"/>
    <cellStyle name="표준 22 2 4 6" xfId="25743"/>
    <cellStyle name="표준 22 2 5" xfId="5257"/>
    <cellStyle name="표준 22 2 5 2" xfId="14266"/>
    <cellStyle name="표준 22 2 5 2 2" xfId="35142"/>
    <cellStyle name="표준 22 2 5 3" xfId="26404"/>
    <cellStyle name="표준 22 2 6" xfId="7059"/>
    <cellStyle name="표준 22 2 6 2" xfId="16067"/>
    <cellStyle name="표준 22 2 6 2 2" xfId="36943"/>
    <cellStyle name="표준 22 2 6 3" xfId="28205"/>
    <cellStyle name="표준 22 2 7" xfId="7704"/>
    <cellStyle name="표준 22 2 7 2" xfId="16710"/>
    <cellStyle name="표준 22 2 7 2 2" xfId="37586"/>
    <cellStyle name="표준 22 2 7 3" xfId="28848"/>
    <cellStyle name="표준 22 2 8" xfId="8552"/>
    <cellStyle name="표준 22 2 8 2" xfId="17557"/>
    <cellStyle name="표준 22 2 8 2 2" xfId="38433"/>
    <cellStyle name="표준 22 2 8 3" xfId="29695"/>
    <cellStyle name="표준 22 2 9" xfId="9376"/>
    <cellStyle name="표준 22 2 9 2" xfId="18375"/>
    <cellStyle name="표준 22 2 9 2 2" xfId="39251"/>
    <cellStyle name="표준 22 2 9 3" xfId="30513"/>
    <cellStyle name="표준 22 3" xfId="2972"/>
    <cellStyle name="표준 22 3 10" xfId="10433"/>
    <cellStyle name="표준 22 3 10 2" xfId="19204"/>
    <cellStyle name="표준 22 3 10 2 2" xfId="40080"/>
    <cellStyle name="표준 22 3 10 3" xfId="31344"/>
    <cellStyle name="표준 22 3 11" xfId="11299"/>
    <cellStyle name="표준 22 3 11 2" xfId="20065"/>
    <cellStyle name="표준 22 3 11 2 2" xfId="40941"/>
    <cellStyle name="표준 22 3 11 3" xfId="32205"/>
    <cellStyle name="표준 22 3 12" xfId="12447"/>
    <cellStyle name="표준 22 3 12 2" xfId="33325"/>
    <cellStyle name="표준 22 3 13" xfId="24575"/>
    <cellStyle name="표준 22 3 2" xfId="3190"/>
    <cellStyle name="표준 22 3 2 10" xfId="11509"/>
    <cellStyle name="표준 22 3 2 10 2" xfId="20275"/>
    <cellStyle name="표준 22 3 2 10 2 2" xfId="41151"/>
    <cellStyle name="표준 22 3 2 10 3" xfId="32415"/>
    <cellStyle name="표준 22 3 2 11" xfId="12658"/>
    <cellStyle name="표준 22 3 2 11 2" xfId="33535"/>
    <cellStyle name="표준 22 3 2 12" xfId="24785"/>
    <cellStyle name="표준 22 3 2 2" xfId="3632"/>
    <cellStyle name="표준 22 3 2 2 2" xfId="5905"/>
    <cellStyle name="표준 22 3 2 2 2 2" xfId="14914"/>
    <cellStyle name="표준 22 3 2 2 2 2 2" xfId="35790"/>
    <cellStyle name="표준 22 3 2 2 2 3" xfId="27052"/>
    <cellStyle name="표준 22 3 2 2 3" xfId="13095"/>
    <cellStyle name="표준 22 3 2 2 3 2" xfId="33972"/>
    <cellStyle name="표준 22 3 2 2 4" xfId="25222"/>
    <cellStyle name="표준 22 3 2 3" xfId="4793"/>
    <cellStyle name="표준 22 3 2 3 2" xfId="6625"/>
    <cellStyle name="표준 22 3 2 3 2 2" xfId="15634"/>
    <cellStyle name="표준 22 3 2 3 2 2 2" xfId="36510"/>
    <cellStyle name="표준 22 3 2 3 2 3" xfId="27772"/>
    <cellStyle name="표준 22 3 2 3 3" xfId="13816"/>
    <cellStyle name="표준 22 3 2 3 3 2" xfId="34692"/>
    <cellStyle name="표준 22 3 2 3 4" xfId="25954"/>
    <cellStyle name="표준 22 3 2 4" xfId="5468"/>
    <cellStyle name="표준 22 3 2 4 2" xfId="14477"/>
    <cellStyle name="표준 22 3 2 4 2 2" xfId="35353"/>
    <cellStyle name="표준 22 3 2 4 3" xfId="26615"/>
    <cellStyle name="표준 22 3 2 5" xfId="7271"/>
    <cellStyle name="표준 22 3 2 5 2" xfId="16278"/>
    <cellStyle name="표준 22 3 2 5 2 2" xfId="37154"/>
    <cellStyle name="표준 22 3 2 5 3" xfId="28416"/>
    <cellStyle name="표준 22 3 2 6" xfId="7915"/>
    <cellStyle name="표준 22 3 2 6 2" xfId="16921"/>
    <cellStyle name="표준 22 3 2 6 2 2" xfId="37797"/>
    <cellStyle name="표준 22 3 2 6 3" xfId="29059"/>
    <cellStyle name="표준 22 3 2 7" xfId="8763"/>
    <cellStyle name="표준 22 3 2 7 2" xfId="17768"/>
    <cellStyle name="표준 22 3 2 7 2 2" xfId="38644"/>
    <cellStyle name="표준 22 3 2 7 3" xfId="29906"/>
    <cellStyle name="표준 22 3 2 8" xfId="9588"/>
    <cellStyle name="표준 22 3 2 8 2" xfId="18586"/>
    <cellStyle name="표준 22 3 2 8 2 2" xfId="39462"/>
    <cellStyle name="표준 22 3 2 8 3" xfId="30724"/>
    <cellStyle name="표준 22 3 2 9" xfId="10643"/>
    <cellStyle name="표준 22 3 2 9 2" xfId="19414"/>
    <cellStyle name="표준 22 3 2 9 2 2" xfId="40290"/>
    <cellStyle name="표준 22 3 2 9 3" xfId="31554"/>
    <cellStyle name="표준 22 3 3" xfId="3422"/>
    <cellStyle name="표준 22 3 3 10" xfId="12885"/>
    <cellStyle name="표준 22 3 3 10 2" xfId="33762"/>
    <cellStyle name="표준 22 3 3 11" xfId="25012"/>
    <cellStyle name="표준 22 3 3 2" xfId="5015"/>
    <cellStyle name="표준 22 3 3 2 2" xfId="6842"/>
    <cellStyle name="표준 22 3 3 2 2 2" xfId="15851"/>
    <cellStyle name="표준 22 3 3 2 2 2 2" xfId="36727"/>
    <cellStyle name="표준 22 3 3 2 2 3" xfId="27989"/>
    <cellStyle name="표준 22 3 3 2 3" xfId="14033"/>
    <cellStyle name="표준 22 3 3 2 3 2" xfId="34909"/>
    <cellStyle name="표준 22 3 3 2 4" xfId="26171"/>
    <cellStyle name="표준 22 3 3 3" xfId="5695"/>
    <cellStyle name="표준 22 3 3 3 2" xfId="14704"/>
    <cellStyle name="표준 22 3 3 3 2 2" xfId="35580"/>
    <cellStyle name="표준 22 3 3 3 3" xfId="26842"/>
    <cellStyle name="표준 22 3 3 4" xfId="7488"/>
    <cellStyle name="표준 22 3 3 4 2" xfId="16495"/>
    <cellStyle name="표준 22 3 3 4 2 2" xfId="37371"/>
    <cellStyle name="표준 22 3 3 4 3" xfId="28633"/>
    <cellStyle name="표준 22 3 3 5" xfId="8132"/>
    <cellStyle name="표준 22 3 3 5 2" xfId="17138"/>
    <cellStyle name="표준 22 3 3 5 2 2" xfId="38014"/>
    <cellStyle name="표준 22 3 3 5 3" xfId="29276"/>
    <cellStyle name="표준 22 3 3 6" xfId="8980"/>
    <cellStyle name="표준 22 3 3 6 2" xfId="17985"/>
    <cellStyle name="표준 22 3 3 6 2 2" xfId="38861"/>
    <cellStyle name="표준 22 3 3 6 3" xfId="30123"/>
    <cellStyle name="표준 22 3 3 7" xfId="9805"/>
    <cellStyle name="표준 22 3 3 7 2" xfId="18803"/>
    <cellStyle name="표준 22 3 3 7 2 2" xfId="39679"/>
    <cellStyle name="표준 22 3 3 7 3" xfId="30941"/>
    <cellStyle name="표준 22 3 3 8" xfId="10860"/>
    <cellStyle name="표준 22 3 3 8 2" xfId="19631"/>
    <cellStyle name="표준 22 3 3 8 2 2" xfId="40507"/>
    <cellStyle name="표준 22 3 3 8 3" xfId="31771"/>
    <cellStyle name="표준 22 3 3 9" xfId="11726"/>
    <cellStyle name="표준 22 3 3 9 2" xfId="20492"/>
    <cellStyle name="표준 22 3 3 9 2 2" xfId="41368"/>
    <cellStyle name="표준 22 3 3 9 3" xfId="32632"/>
    <cellStyle name="표준 22 3 4" xfId="4581"/>
    <cellStyle name="표준 22 3 4 2" xfId="6415"/>
    <cellStyle name="표준 22 3 4 2 2" xfId="15424"/>
    <cellStyle name="표준 22 3 4 2 2 2" xfId="36300"/>
    <cellStyle name="표준 22 3 4 2 3" xfId="27562"/>
    <cellStyle name="표준 22 3 4 3" xfId="11078"/>
    <cellStyle name="표준 22 3 4 3 2" xfId="19848"/>
    <cellStyle name="표준 22 3 4 3 2 2" xfId="40724"/>
    <cellStyle name="표준 22 3 4 3 3" xfId="31988"/>
    <cellStyle name="표준 22 3 4 4" xfId="11943"/>
    <cellStyle name="표준 22 3 4 4 2" xfId="20709"/>
    <cellStyle name="표준 22 3 4 4 2 2" xfId="41585"/>
    <cellStyle name="표준 22 3 4 4 3" xfId="32849"/>
    <cellStyle name="표준 22 3 4 5" xfId="13606"/>
    <cellStyle name="표준 22 3 4 5 2" xfId="34482"/>
    <cellStyle name="표준 22 3 4 6" xfId="25744"/>
    <cellStyle name="표준 22 3 5" xfId="5258"/>
    <cellStyle name="표준 22 3 5 2" xfId="14267"/>
    <cellStyle name="표준 22 3 5 2 2" xfId="35143"/>
    <cellStyle name="표준 22 3 5 3" xfId="26405"/>
    <cellStyle name="표준 22 3 6" xfId="7060"/>
    <cellStyle name="표준 22 3 6 2" xfId="16068"/>
    <cellStyle name="표준 22 3 6 2 2" xfId="36944"/>
    <cellStyle name="표준 22 3 6 3" xfId="28206"/>
    <cellStyle name="표준 22 3 7" xfId="7705"/>
    <cellStyle name="표준 22 3 7 2" xfId="16711"/>
    <cellStyle name="표준 22 3 7 2 2" xfId="37587"/>
    <cellStyle name="표준 22 3 7 3" xfId="28849"/>
    <cellStyle name="표준 22 3 8" xfId="8553"/>
    <cellStyle name="표준 22 3 8 2" xfId="17558"/>
    <cellStyle name="표준 22 3 8 2 2" xfId="38434"/>
    <cellStyle name="표준 22 3 8 3" xfId="29696"/>
    <cellStyle name="표준 22 3 9" xfId="9377"/>
    <cellStyle name="표준 22 3 9 2" xfId="18376"/>
    <cellStyle name="표준 22 3 9 2 2" xfId="39252"/>
    <cellStyle name="표준 22 3 9 3" xfId="30514"/>
    <cellStyle name="표준 22 4" xfId="2973"/>
    <cellStyle name="표준 22 4 10" xfId="10434"/>
    <cellStyle name="표준 22 4 10 2" xfId="19205"/>
    <cellStyle name="표준 22 4 10 2 2" xfId="40081"/>
    <cellStyle name="표준 22 4 10 3" xfId="31345"/>
    <cellStyle name="표준 22 4 11" xfId="11300"/>
    <cellStyle name="표준 22 4 11 2" xfId="20066"/>
    <cellStyle name="표준 22 4 11 2 2" xfId="40942"/>
    <cellStyle name="표준 22 4 11 3" xfId="32206"/>
    <cellStyle name="표준 22 4 12" xfId="12448"/>
    <cellStyle name="표준 22 4 12 2" xfId="33326"/>
    <cellStyle name="표준 22 4 13" xfId="24576"/>
    <cellStyle name="표준 22 4 2" xfId="3191"/>
    <cellStyle name="표준 22 4 2 10" xfId="11510"/>
    <cellStyle name="표준 22 4 2 10 2" xfId="20276"/>
    <cellStyle name="표준 22 4 2 10 2 2" xfId="41152"/>
    <cellStyle name="표준 22 4 2 10 3" xfId="32416"/>
    <cellStyle name="표준 22 4 2 11" xfId="12659"/>
    <cellStyle name="표준 22 4 2 11 2" xfId="33536"/>
    <cellStyle name="표준 22 4 2 12" xfId="24786"/>
    <cellStyle name="표준 22 4 2 2" xfId="3633"/>
    <cellStyle name="표준 22 4 2 2 2" xfId="5906"/>
    <cellStyle name="표준 22 4 2 2 2 2" xfId="14915"/>
    <cellStyle name="표준 22 4 2 2 2 2 2" xfId="35791"/>
    <cellStyle name="표준 22 4 2 2 2 3" xfId="27053"/>
    <cellStyle name="표준 22 4 2 2 3" xfId="13096"/>
    <cellStyle name="표준 22 4 2 2 3 2" xfId="33973"/>
    <cellStyle name="표준 22 4 2 2 4" xfId="25223"/>
    <cellStyle name="표준 22 4 2 3" xfId="4794"/>
    <cellStyle name="표준 22 4 2 3 2" xfId="6626"/>
    <cellStyle name="표준 22 4 2 3 2 2" xfId="15635"/>
    <cellStyle name="표준 22 4 2 3 2 2 2" xfId="36511"/>
    <cellStyle name="표준 22 4 2 3 2 3" xfId="27773"/>
    <cellStyle name="표준 22 4 2 3 3" xfId="13817"/>
    <cellStyle name="표준 22 4 2 3 3 2" xfId="34693"/>
    <cellStyle name="표준 22 4 2 3 4" xfId="25955"/>
    <cellStyle name="표준 22 4 2 4" xfId="5469"/>
    <cellStyle name="표준 22 4 2 4 2" xfId="14478"/>
    <cellStyle name="표준 22 4 2 4 2 2" xfId="35354"/>
    <cellStyle name="표준 22 4 2 4 3" xfId="26616"/>
    <cellStyle name="표준 22 4 2 5" xfId="7272"/>
    <cellStyle name="표준 22 4 2 5 2" xfId="16279"/>
    <cellStyle name="표준 22 4 2 5 2 2" xfId="37155"/>
    <cellStyle name="표준 22 4 2 5 3" xfId="28417"/>
    <cellStyle name="표준 22 4 2 6" xfId="7916"/>
    <cellStyle name="표준 22 4 2 6 2" xfId="16922"/>
    <cellStyle name="표준 22 4 2 6 2 2" xfId="37798"/>
    <cellStyle name="표준 22 4 2 6 3" xfId="29060"/>
    <cellStyle name="표준 22 4 2 7" xfId="8764"/>
    <cellStyle name="표준 22 4 2 7 2" xfId="17769"/>
    <cellStyle name="표준 22 4 2 7 2 2" xfId="38645"/>
    <cellStyle name="표준 22 4 2 7 3" xfId="29907"/>
    <cellStyle name="표준 22 4 2 8" xfId="9589"/>
    <cellStyle name="표준 22 4 2 8 2" xfId="18587"/>
    <cellStyle name="표준 22 4 2 8 2 2" xfId="39463"/>
    <cellStyle name="표준 22 4 2 8 3" xfId="30725"/>
    <cellStyle name="표준 22 4 2 9" xfId="10644"/>
    <cellStyle name="표준 22 4 2 9 2" xfId="19415"/>
    <cellStyle name="표준 22 4 2 9 2 2" xfId="40291"/>
    <cellStyle name="표준 22 4 2 9 3" xfId="31555"/>
    <cellStyle name="표준 22 4 3" xfId="3423"/>
    <cellStyle name="표준 22 4 3 10" xfId="12886"/>
    <cellStyle name="표준 22 4 3 10 2" xfId="33763"/>
    <cellStyle name="표준 22 4 3 11" xfId="25013"/>
    <cellStyle name="표준 22 4 3 2" xfId="5016"/>
    <cellStyle name="표준 22 4 3 2 2" xfId="6843"/>
    <cellStyle name="표준 22 4 3 2 2 2" xfId="15852"/>
    <cellStyle name="표준 22 4 3 2 2 2 2" xfId="36728"/>
    <cellStyle name="표준 22 4 3 2 2 3" xfId="27990"/>
    <cellStyle name="표준 22 4 3 2 3" xfId="14034"/>
    <cellStyle name="표준 22 4 3 2 3 2" xfId="34910"/>
    <cellStyle name="표준 22 4 3 2 4" xfId="26172"/>
    <cellStyle name="표준 22 4 3 3" xfId="5696"/>
    <cellStyle name="표준 22 4 3 3 2" xfId="14705"/>
    <cellStyle name="표준 22 4 3 3 2 2" xfId="35581"/>
    <cellStyle name="표준 22 4 3 3 3" xfId="26843"/>
    <cellStyle name="표준 22 4 3 4" xfId="7489"/>
    <cellStyle name="표준 22 4 3 4 2" xfId="16496"/>
    <cellStyle name="표준 22 4 3 4 2 2" xfId="37372"/>
    <cellStyle name="표준 22 4 3 4 3" xfId="28634"/>
    <cellStyle name="표준 22 4 3 5" xfId="8133"/>
    <cellStyle name="표준 22 4 3 5 2" xfId="17139"/>
    <cellStyle name="표준 22 4 3 5 2 2" xfId="38015"/>
    <cellStyle name="표준 22 4 3 5 3" xfId="29277"/>
    <cellStyle name="표준 22 4 3 6" xfId="8981"/>
    <cellStyle name="표준 22 4 3 6 2" xfId="17986"/>
    <cellStyle name="표준 22 4 3 6 2 2" xfId="38862"/>
    <cellStyle name="표준 22 4 3 6 3" xfId="30124"/>
    <cellStyle name="표준 22 4 3 7" xfId="9806"/>
    <cellStyle name="표준 22 4 3 7 2" xfId="18804"/>
    <cellStyle name="표준 22 4 3 7 2 2" xfId="39680"/>
    <cellStyle name="표준 22 4 3 7 3" xfId="30942"/>
    <cellStyle name="표준 22 4 3 8" xfId="10861"/>
    <cellStyle name="표준 22 4 3 8 2" xfId="19632"/>
    <cellStyle name="표준 22 4 3 8 2 2" xfId="40508"/>
    <cellStyle name="표준 22 4 3 8 3" xfId="31772"/>
    <cellStyle name="표준 22 4 3 9" xfId="11727"/>
    <cellStyle name="표준 22 4 3 9 2" xfId="20493"/>
    <cellStyle name="표준 22 4 3 9 2 2" xfId="41369"/>
    <cellStyle name="표준 22 4 3 9 3" xfId="32633"/>
    <cellStyle name="표준 22 4 4" xfId="4582"/>
    <cellStyle name="표준 22 4 4 2" xfId="6416"/>
    <cellStyle name="표준 22 4 4 2 2" xfId="15425"/>
    <cellStyle name="표준 22 4 4 2 2 2" xfId="36301"/>
    <cellStyle name="표준 22 4 4 2 3" xfId="27563"/>
    <cellStyle name="표준 22 4 4 3" xfId="11079"/>
    <cellStyle name="표준 22 4 4 3 2" xfId="19849"/>
    <cellStyle name="표준 22 4 4 3 2 2" xfId="40725"/>
    <cellStyle name="표준 22 4 4 3 3" xfId="31989"/>
    <cellStyle name="표준 22 4 4 4" xfId="11944"/>
    <cellStyle name="표준 22 4 4 4 2" xfId="20710"/>
    <cellStyle name="표준 22 4 4 4 2 2" xfId="41586"/>
    <cellStyle name="표준 22 4 4 4 3" xfId="32850"/>
    <cellStyle name="표준 22 4 4 5" xfId="13607"/>
    <cellStyle name="표준 22 4 4 5 2" xfId="34483"/>
    <cellStyle name="표준 22 4 4 6" xfId="25745"/>
    <cellStyle name="표준 22 4 5" xfId="5259"/>
    <cellStyle name="표준 22 4 5 2" xfId="14268"/>
    <cellStyle name="표준 22 4 5 2 2" xfId="35144"/>
    <cellStyle name="표준 22 4 5 3" xfId="26406"/>
    <cellStyle name="표준 22 4 6" xfId="7061"/>
    <cellStyle name="표준 22 4 6 2" xfId="16069"/>
    <cellStyle name="표준 22 4 6 2 2" xfId="36945"/>
    <cellStyle name="표준 22 4 6 3" xfId="28207"/>
    <cellStyle name="표준 22 4 7" xfId="7706"/>
    <cellStyle name="표준 22 4 7 2" xfId="16712"/>
    <cellStyle name="표준 22 4 7 2 2" xfId="37588"/>
    <cellStyle name="표준 22 4 7 3" xfId="28850"/>
    <cellStyle name="표준 22 4 8" xfId="8554"/>
    <cellStyle name="표준 22 4 8 2" xfId="17559"/>
    <cellStyle name="표준 22 4 8 2 2" xfId="38435"/>
    <cellStyle name="표준 22 4 8 3" xfId="29697"/>
    <cellStyle name="표준 22 4 9" xfId="9378"/>
    <cellStyle name="표준 22 4 9 2" xfId="18377"/>
    <cellStyle name="표준 22 4 9 2 2" xfId="39253"/>
    <cellStyle name="표준 22 4 9 3" xfId="30515"/>
    <cellStyle name="표준 22 5" xfId="2974"/>
    <cellStyle name="표준 22 5 10" xfId="10435"/>
    <cellStyle name="표준 22 5 10 2" xfId="19206"/>
    <cellStyle name="표준 22 5 10 2 2" xfId="40082"/>
    <cellStyle name="표준 22 5 10 3" xfId="31346"/>
    <cellStyle name="표준 22 5 11" xfId="11301"/>
    <cellStyle name="표준 22 5 11 2" xfId="20067"/>
    <cellStyle name="표준 22 5 11 2 2" xfId="40943"/>
    <cellStyle name="표준 22 5 11 3" xfId="32207"/>
    <cellStyle name="표준 22 5 12" xfId="12449"/>
    <cellStyle name="표준 22 5 12 2" xfId="33327"/>
    <cellStyle name="표준 22 5 13" xfId="24577"/>
    <cellStyle name="표준 22 5 2" xfId="3192"/>
    <cellStyle name="표준 22 5 2 10" xfId="11511"/>
    <cellStyle name="표준 22 5 2 10 2" xfId="20277"/>
    <cellStyle name="표준 22 5 2 10 2 2" xfId="41153"/>
    <cellStyle name="표준 22 5 2 10 3" xfId="32417"/>
    <cellStyle name="표준 22 5 2 11" xfId="12660"/>
    <cellStyle name="표준 22 5 2 11 2" xfId="33537"/>
    <cellStyle name="표준 22 5 2 12" xfId="24787"/>
    <cellStyle name="표준 22 5 2 2" xfId="3634"/>
    <cellStyle name="표준 22 5 2 2 2" xfId="5907"/>
    <cellStyle name="표준 22 5 2 2 2 2" xfId="14916"/>
    <cellStyle name="표준 22 5 2 2 2 2 2" xfId="35792"/>
    <cellStyle name="표준 22 5 2 2 2 3" xfId="27054"/>
    <cellStyle name="표준 22 5 2 2 3" xfId="13097"/>
    <cellStyle name="표준 22 5 2 2 3 2" xfId="33974"/>
    <cellStyle name="표준 22 5 2 2 4" xfId="25224"/>
    <cellStyle name="표준 22 5 2 3" xfId="4795"/>
    <cellStyle name="표준 22 5 2 3 2" xfId="6627"/>
    <cellStyle name="표준 22 5 2 3 2 2" xfId="15636"/>
    <cellStyle name="표준 22 5 2 3 2 2 2" xfId="36512"/>
    <cellStyle name="표준 22 5 2 3 2 3" xfId="27774"/>
    <cellStyle name="표준 22 5 2 3 3" xfId="13818"/>
    <cellStyle name="표준 22 5 2 3 3 2" xfId="34694"/>
    <cellStyle name="표준 22 5 2 3 4" xfId="25956"/>
    <cellStyle name="표준 22 5 2 4" xfId="5470"/>
    <cellStyle name="표준 22 5 2 4 2" xfId="14479"/>
    <cellStyle name="표준 22 5 2 4 2 2" xfId="35355"/>
    <cellStyle name="표준 22 5 2 4 3" xfId="26617"/>
    <cellStyle name="표준 22 5 2 5" xfId="7273"/>
    <cellStyle name="표준 22 5 2 5 2" xfId="16280"/>
    <cellStyle name="표준 22 5 2 5 2 2" xfId="37156"/>
    <cellStyle name="표준 22 5 2 5 3" xfId="28418"/>
    <cellStyle name="표준 22 5 2 6" xfId="7917"/>
    <cellStyle name="표준 22 5 2 6 2" xfId="16923"/>
    <cellStyle name="표준 22 5 2 6 2 2" xfId="37799"/>
    <cellStyle name="표준 22 5 2 6 3" xfId="29061"/>
    <cellStyle name="표준 22 5 2 7" xfId="8765"/>
    <cellStyle name="표준 22 5 2 7 2" xfId="17770"/>
    <cellStyle name="표준 22 5 2 7 2 2" xfId="38646"/>
    <cellStyle name="표준 22 5 2 7 3" xfId="29908"/>
    <cellStyle name="표준 22 5 2 8" xfId="9590"/>
    <cellStyle name="표준 22 5 2 8 2" xfId="18588"/>
    <cellStyle name="표준 22 5 2 8 2 2" xfId="39464"/>
    <cellStyle name="표준 22 5 2 8 3" xfId="30726"/>
    <cellStyle name="표준 22 5 2 9" xfId="10645"/>
    <cellStyle name="표준 22 5 2 9 2" xfId="19416"/>
    <cellStyle name="표준 22 5 2 9 2 2" xfId="40292"/>
    <cellStyle name="표준 22 5 2 9 3" xfId="31556"/>
    <cellStyle name="표준 22 5 3" xfId="3424"/>
    <cellStyle name="표준 22 5 3 10" xfId="12887"/>
    <cellStyle name="표준 22 5 3 10 2" xfId="33764"/>
    <cellStyle name="표준 22 5 3 11" xfId="25014"/>
    <cellStyle name="표준 22 5 3 2" xfId="5017"/>
    <cellStyle name="표준 22 5 3 2 2" xfId="6844"/>
    <cellStyle name="표준 22 5 3 2 2 2" xfId="15853"/>
    <cellStyle name="표준 22 5 3 2 2 2 2" xfId="36729"/>
    <cellStyle name="표준 22 5 3 2 2 3" xfId="27991"/>
    <cellStyle name="표준 22 5 3 2 3" xfId="14035"/>
    <cellStyle name="표준 22 5 3 2 3 2" xfId="34911"/>
    <cellStyle name="표준 22 5 3 2 4" xfId="26173"/>
    <cellStyle name="표준 22 5 3 3" xfId="5697"/>
    <cellStyle name="표준 22 5 3 3 2" xfId="14706"/>
    <cellStyle name="표준 22 5 3 3 2 2" xfId="35582"/>
    <cellStyle name="표준 22 5 3 3 3" xfId="26844"/>
    <cellStyle name="표준 22 5 3 4" xfId="7490"/>
    <cellStyle name="표준 22 5 3 4 2" xfId="16497"/>
    <cellStyle name="표준 22 5 3 4 2 2" xfId="37373"/>
    <cellStyle name="표준 22 5 3 4 3" xfId="28635"/>
    <cellStyle name="표준 22 5 3 5" xfId="8134"/>
    <cellStyle name="표준 22 5 3 5 2" xfId="17140"/>
    <cellStyle name="표준 22 5 3 5 2 2" xfId="38016"/>
    <cellStyle name="표준 22 5 3 5 3" xfId="29278"/>
    <cellStyle name="표준 22 5 3 6" xfId="8982"/>
    <cellStyle name="표준 22 5 3 6 2" xfId="17987"/>
    <cellStyle name="표준 22 5 3 6 2 2" xfId="38863"/>
    <cellStyle name="표준 22 5 3 6 3" xfId="30125"/>
    <cellStyle name="표준 22 5 3 7" xfId="9807"/>
    <cellStyle name="표준 22 5 3 7 2" xfId="18805"/>
    <cellStyle name="표준 22 5 3 7 2 2" xfId="39681"/>
    <cellStyle name="표준 22 5 3 7 3" xfId="30943"/>
    <cellStyle name="표준 22 5 3 8" xfId="10862"/>
    <cellStyle name="표준 22 5 3 8 2" xfId="19633"/>
    <cellStyle name="표준 22 5 3 8 2 2" xfId="40509"/>
    <cellStyle name="표준 22 5 3 8 3" xfId="31773"/>
    <cellStyle name="표준 22 5 3 9" xfId="11728"/>
    <cellStyle name="표준 22 5 3 9 2" xfId="20494"/>
    <cellStyle name="표준 22 5 3 9 2 2" xfId="41370"/>
    <cellStyle name="표준 22 5 3 9 3" xfId="32634"/>
    <cellStyle name="표준 22 5 4" xfId="4583"/>
    <cellStyle name="표준 22 5 4 2" xfId="6417"/>
    <cellStyle name="표준 22 5 4 2 2" xfId="15426"/>
    <cellStyle name="표준 22 5 4 2 2 2" xfId="36302"/>
    <cellStyle name="표준 22 5 4 2 3" xfId="27564"/>
    <cellStyle name="표준 22 5 4 3" xfId="11080"/>
    <cellStyle name="표준 22 5 4 3 2" xfId="19850"/>
    <cellStyle name="표준 22 5 4 3 2 2" xfId="40726"/>
    <cellStyle name="표준 22 5 4 3 3" xfId="31990"/>
    <cellStyle name="표준 22 5 4 4" xfId="11945"/>
    <cellStyle name="표준 22 5 4 4 2" xfId="20711"/>
    <cellStyle name="표준 22 5 4 4 2 2" xfId="41587"/>
    <cellStyle name="표준 22 5 4 4 3" xfId="32851"/>
    <cellStyle name="표준 22 5 4 5" xfId="13608"/>
    <cellStyle name="표준 22 5 4 5 2" xfId="34484"/>
    <cellStyle name="표준 22 5 4 6" xfId="25746"/>
    <cellStyle name="표준 22 5 5" xfId="5260"/>
    <cellStyle name="표준 22 5 5 2" xfId="14269"/>
    <cellStyle name="표준 22 5 5 2 2" xfId="35145"/>
    <cellStyle name="표준 22 5 5 3" xfId="26407"/>
    <cellStyle name="표준 22 5 6" xfId="7062"/>
    <cellStyle name="표준 22 5 6 2" xfId="16070"/>
    <cellStyle name="표준 22 5 6 2 2" xfId="36946"/>
    <cellStyle name="표준 22 5 6 3" xfId="28208"/>
    <cellStyle name="표준 22 5 7" xfId="7707"/>
    <cellStyle name="표준 22 5 7 2" xfId="16713"/>
    <cellStyle name="표준 22 5 7 2 2" xfId="37589"/>
    <cellStyle name="표준 22 5 7 3" xfId="28851"/>
    <cellStyle name="표준 22 5 8" xfId="8555"/>
    <cellStyle name="표준 22 5 8 2" xfId="17560"/>
    <cellStyle name="표준 22 5 8 2 2" xfId="38436"/>
    <cellStyle name="표준 22 5 8 3" xfId="29698"/>
    <cellStyle name="표준 22 5 9" xfId="9379"/>
    <cellStyle name="표준 22 5 9 2" xfId="18378"/>
    <cellStyle name="표준 22 5 9 2 2" xfId="39254"/>
    <cellStyle name="표준 22 5 9 3" xfId="30516"/>
    <cellStyle name="표준 22 6" xfId="2975"/>
    <cellStyle name="표준 22 6 10" xfId="10436"/>
    <cellStyle name="표준 22 6 10 2" xfId="19207"/>
    <cellStyle name="표준 22 6 10 2 2" xfId="40083"/>
    <cellStyle name="표준 22 6 10 3" xfId="31347"/>
    <cellStyle name="표준 22 6 11" xfId="11302"/>
    <cellStyle name="표준 22 6 11 2" xfId="20068"/>
    <cellStyle name="표준 22 6 11 2 2" xfId="40944"/>
    <cellStyle name="표준 22 6 11 3" xfId="32208"/>
    <cellStyle name="표준 22 6 12" xfId="12450"/>
    <cellStyle name="표준 22 6 12 2" xfId="33328"/>
    <cellStyle name="표준 22 6 13" xfId="24578"/>
    <cellStyle name="표준 22 6 2" xfId="3193"/>
    <cellStyle name="표준 22 6 2 10" xfId="11512"/>
    <cellStyle name="표준 22 6 2 10 2" xfId="20278"/>
    <cellStyle name="표준 22 6 2 10 2 2" xfId="41154"/>
    <cellStyle name="표준 22 6 2 10 3" xfId="32418"/>
    <cellStyle name="표준 22 6 2 11" xfId="12661"/>
    <cellStyle name="표준 22 6 2 11 2" xfId="33538"/>
    <cellStyle name="표준 22 6 2 12" xfId="24788"/>
    <cellStyle name="표준 22 6 2 2" xfId="3635"/>
    <cellStyle name="표준 22 6 2 2 2" xfId="5908"/>
    <cellStyle name="표준 22 6 2 2 2 2" xfId="14917"/>
    <cellStyle name="표준 22 6 2 2 2 2 2" xfId="35793"/>
    <cellStyle name="표준 22 6 2 2 2 3" xfId="27055"/>
    <cellStyle name="표준 22 6 2 2 3" xfId="13098"/>
    <cellStyle name="표준 22 6 2 2 3 2" xfId="33975"/>
    <cellStyle name="표준 22 6 2 2 4" xfId="25225"/>
    <cellStyle name="표준 22 6 2 3" xfId="4796"/>
    <cellStyle name="표준 22 6 2 3 2" xfId="6628"/>
    <cellStyle name="표준 22 6 2 3 2 2" xfId="15637"/>
    <cellStyle name="표준 22 6 2 3 2 2 2" xfId="36513"/>
    <cellStyle name="표준 22 6 2 3 2 3" xfId="27775"/>
    <cellStyle name="표준 22 6 2 3 3" xfId="13819"/>
    <cellStyle name="표준 22 6 2 3 3 2" xfId="34695"/>
    <cellStyle name="표준 22 6 2 3 4" xfId="25957"/>
    <cellStyle name="표준 22 6 2 4" xfId="5471"/>
    <cellStyle name="표준 22 6 2 4 2" xfId="14480"/>
    <cellStyle name="표준 22 6 2 4 2 2" xfId="35356"/>
    <cellStyle name="표준 22 6 2 4 3" xfId="26618"/>
    <cellStyle name="표준 22 6 2 5" xfId="7274"/>
    <cellStyle name="표준 22 6 2 5 2" xfId="16281"/>
    <cellStyle name="표준 22 6 2 5 2 2" xfId="37157"/>
    <cellStyle name="표준 22 6 2 5 3" xfId="28419"/>
    <cellStyle name="표준 22 6 2 6" xfId="7918"/>
    <cellStyle name="표준 22 6 2 6 2" xfId="16924"/>
    <cellStyle name="표준 22 6 2 6 2 2" xfId="37800"/>
    <cellStyle name="표준 22 6 2 6 3" xfId="29062"/>
    <cellStyle name="표준 22 6 2 7" xfId="8766"/>
    <cellStyle name="표준 22 6 2 7 2" xfId="17771"/>
    <cellStyle name="표준 22 6 2 7 2 2" xfId="38647"/>
    <cellStyle name="표준 22 6 2 7 3" xfId="29909"/>
    <cellStyle name="표준 22 6 2 8" xfId="9591"/>
    <cellStyle name="표준 22 6 2 8 2" xfId="18589"/>
    <cellStyle name="표준 22 6 2 8 2 2" xfId="39465"/>
    <cellStyle name="표준 22 6 2 8 3" xfId="30727"/>
    <cellStyle name="표준 22 6 2 9" xfId="10646"/>
    <cellStyle name="표준 22 6 2 9 2" xfId="19417"/>
    <cellStyle name="표준 22 6 2 9 2 2" xfId="40293"/>
    <cellStyle name="표준 22 6 2 9 3" xfId="31557"/>
    <cellStyle name="표준 22 6 3" xfId="3425"/>
    <cellStyle name="표준 22 6 3 10" xfId="12888"/>
    <cellStyle name="표준 22 6 3 10 2" xfId="33765"/>
    <cellStyle name="표준 22 6 3 11" xfId="25015"/>
    <cellStyle name="표준 22 6 3 2" xfId="5018"/>
    <cellStyle name="표준 22 6 3 2 2" xfId="6845"/>
    <cellStyle name="표준 22 6 3 2 2 2" xfId="15854"/>
    <cellStyle name="표준 22 6 3 2 2 2 2" xfId="36730"/>
    <cellStyle name="표준 22 6 3 2 2 3" xfId="27992"/>
    <cellStyle name="표준 22 6 3 2 3" xfId="14036"/>
    <cellStyle name="표준 22 6 3 2 3 2" xfId="34912"/>
    <cellStyle name="표준 22 6 3 2 4" xfId="26174"/>
    <cellStyle name="표준 22 6 3 3" xfId="5698"/>
    <cellStyle name="표준 22 6 3 3 2" xfId="14707"/>
    <cellStyle name="표준 22 6 3 3 2 2" xfId="35583"/>
    <cellStyle name="표준 22 6 3 3 3" xfId="26845"/>
    <cellStyle name="표준 22 6 3 4" xfId="7491"/>
    <cellStyle name="표준 22 6 3 4 2" xfId="16498"/>
    <cellStyle name="표준 22 6 3 4 2 2" xfId="37374"/>
    <cellStyle name="표준 22 6 3 4 3" xfId="28636"/>
    <cellStyle name="표준 22 6 3 5" xfId="8135"/>
    <cellStyle name="표준 22 6 3 5 2" xfId="17141"/>
    <cellStyle name="표준 22 6 3 5 2 2" xfId="38017"/>
    <cellStyle name="표준 22 6 3 5 3" xfId="29279"/>
    <cellStyle name="표준 22 6 3 6" xfId="8983"/>
    <cellStyle name="표준 22 6 3 6 2" xfId="17988"/>
    <cellStyle name="표준 22 6 3 6 2 2" xfId="38864"/>
    <cellStyle name="표준 22 6 3 6 3" xfId="30126"/>
    <cellStyle name="표준 22 6 3 7" xfId="9808"/>
    <cellStyle name="표준 22 6 3 7 2" xfId="18806"/>
    <cellStyle name="표준 22 6 3 7 2 2" xfId="39682"/>
    <cellStyle name="표준 22 6 3 7 3" xfId="30944"/>
    <cellStyle name="표준 22 6 3 8" xfId="10863"/>
    <cellStyle name="표준 22 6 3 8 2" xfId="19634"/>
    <cellStyle name="표준 22 6 3 8 2 2" xfId="40510"/>
    <cellStyle name="표준 22 6 3 8 3" xfId="31774"/>
    <cellStyle name="표준 22 6 3 9" xfId="11729"/>
    <cellStyle name="표준 22 6 3 9 2" xfId="20495"/>
    <cellStyle name="표준 22 6 3 9 2 2" xfId="41371"/>
    <cellStyle name="표준 22 6 3 9 3" xfId="32635"/>
    <cellStyle name="표준 22 6 4" xfId="4584"/>
    <cellStyle name="표준 22 6 4 2" xfId="6418"/>
    <cellStyle name="표준 22 6 4 2 2" xfId="15427"/>
    <cellStyle name="표준 22 6 4 2 2 2" xfId="36303"/>
    <cellStyle name="표준 22 6 4 2 3" xfId="27565"/>
    <cellStyle name="표준 22 6 4 3" xfId="11081"/>
    <cellStyle name="표준 22 6 4 3 2" xfId="19851"/>
    <cellStyle name="표준 22 6 4 3 2 2" xfId="40727"/>
    <cellStyle name="표준 22 6 4 3 3" xfId="31991"/>
    <cellStyle name="표준 22 6 4 4" xfId="11946"/>
    <cellStyle name="표준 22 6 4 4 2" xfId="20712"/>
    <cellStyle name="표준 22 6 4 4 2 2" xfId="41588"/>
    <cellStyle name="표준 22 6 4 4 3" xfId="32852"/>
    <cellStyle name="표준 22 6 4 5" xfId="13609"/>
    <cellStyle name="표준 22 6 4 5 2" xfId="34485"/>
    <cellStyle name="표준 22 6 4 6" xfId="25747"/>
    <cellStyle name="표준 22 6 5" xfId="5261"/>
    <cellStyle name="표준 22 6 5 2" xfId="14270"/>
    <cellStyle name="표준 22 6 5 2 2" xfId="35146"/>
    <cellStyle name="표준 22 6 5 3" xfId="26408"/>
    <cellStyle name="표준 22 6 6" xfId="7063"/>
    <cellStyle name="표준 22 6 6 2" xfId="16071"/>
    <cellStyle name="표준 22 6 6 2 2" xfId="36947"/>
    <cellStyle name="표준 22 6 6 3" xfId="28209"/>
    <cellStyle name="표준 22 6 7" xfId="7708"/>
    <cellStyle name="표준 22 6 7 2" xfId="16714"/>
    <cellStyle name="표준 22 6 7 2 2" xfId="37590"/>
    <cellStyle name="표준 22 6 7 3" xfId="28852"/>
    <cellStyle name="표준 22 6 8" xfId="8556"/>
    <cellStyle name="표준 22 6 8 2" xfId="17561"/>
    <cellStyle name="표준 22 6 8 2 2" xfId="38437"/>
    <cellStyle name="표준 22 6 8 3" xfId="29699"/>
    <cellStyle name="표준 22 6 9" xfId="9380"/>
    <cellStyle name="표준 22 6 9 2" xfId="18379"/>
    <cellStyle name="표준 22 6 9 2 2" xfId="39255"/>
    <cellStyle name="표준 22 6 9 3" xfId="30517"/>
    <cellStyle name="표준 22 7" xfId="2976"/>
    <cellStyle name="표준 22 7 10" xfId="10437"/>
    <cellStyle name="표준 22 7 10 2" xfId="19208"/>
    <cellStyle name="표준 22 7 10 2 2" xfId="40084"/>
    <cellStyle name="표준 22 7 10 3" xfId="31348"/>
    <cellStyle name="표준 22 7 11" xfId="11303"/>
    <cellStyle name="표준 22 7 11 2" xfId="20069"/>
    <cellStyle name="표준 22 7 11 2 2" xfId="40945"/>
    <cellStyle name="표준 22 7 11 3" xfId="32209"/>
    <cellStyle name="표준 22 7 12" xfId="12451"/>
    <cellStyle name="표준 22 7 12 2" xfId="33329"/>
    <cellStyle name="표준 22 7 13" xfId="24579"/>
    <cellStyle name="표준 22 7 2" xfId="3194"/>
    <cellStyle name="표준 22 7 2 10" xfId="11513"/>
    <cellStyle name="표준 22 7 2 10 2" xfId="20279"/>
    <cellStyle name="표준 22 7 2 10 2 2" xfId="41155"/>
    <cellStyle name="표준 22 7 2 10 3" xfId="32419"/>
    <cellStyle name="표준 22 7 2 11" xfId="12662"/>
    <cellStyle name="표준 22 7 2 11 2" xfId="33539"/>
    <cellStyle name="표준 22 7 2 12" xfId="24789"/>
    <cellStyle name="표준 22 7 2 2" xfId="3636"/>
    <cellStyle name="표준 22 7 2 2 2" xfId="5909"/>
    <cellStyle name="표준 22 7 2 2 2 2" xfId="14918"/>
    <cellStyle name="표준 22 7 2 2 2 2 2" xfId="35794"/>
    <cellStyle name="표준 22 7 2 2 2 3" xfId="27056"/>
    <cellStyle name="표준 22 7 2 2 3" xfId="13099"/>
    <cellStyle name="표준 22 7 2 2 3 2" xfId="33976"/>
    <cellStyle name="표준 22 7 2 2 4" xfId="25226"/>
    <cellStyle name="표준 22 7 2 3" xfId="4797"/>
    <cellStyle name="표준 22 7 2 3 2" xfId="6629"/>
    <cellStyle name="표준 22 7 2 3 2 2" xfId="15638"/>
    <cellStyle name="표준 22 7 2 3 2 2 2" xfId="36514"/>
    <cellStyle name="표준 22 7 2 3 2 3" xfId="27776"/>
    <cellStyle name="표준 22 7 2 3 3" xfId="13820"/>
    <cellStyle name="표준 22 7 2 3 3 2" xfId="34696"/>
    <cellStyle name="표준 22 7 2 3 4" xfId="25958"/>
    <cellStyle name="표준 22 7 2 4" xfId="5472"/>
    <cellStyle name="표준 22 7 2 4 2" xfId="14481"/>
    <cellStyle name="표준 22 7 2 4 2 2" xfId="35357"/>
    <cellStyle name="표준 22 7 2 4 3" xfId="26619"/>
    <cellStyle name="표준 22 7 2 5" xfId="7275"/>
    <cellStyle name="표준 22 7 2 5 2" xfId="16282"/>
    <cellStyle name="표준 22 7 2 5 2 2" xfId="37158"/>
    <cellStyle name="표준 22 7 2 5 3" xfId="28420"/>
    <cellStyle name="표준 22 7 2 6" xfId="7919"/>
    <cellStyle name="표준 22 7 2 6 2" xfId="16925"/>
    <cellStyle name="표준 22 7 2 6 2 2" xfId="37801"/>
    <cellStyle name="표준 22 7 2 6 3" xfId="29063"/>
    <cellStyle name="표준 22 7 2 7" xfId="8767"/>
    <cellStyle name="표준 22 7 2 7 2" xfId="17772"/>
    <cellStyle name="표준 22 7 2 7 2 2" xfId="38648"/>
    <cellStyle name="표준 22 7 2 7 3" xfId="29910"/>
    <cellStyle name="표준 22 7 2 8" xfId="9592"/>
    <cellStyle name="표준 22 7 2 8 2" xfId="18590"/>
    <cellStyle name="표준 22 7 2 8 2 2" xfId="39466"/>
    <cellStyle name="표준 22 7 2 8 3" xfId="30728"/>
    <cellStyle name="표준 22 7 2 9" xfId="10647"/>
    <cellStyle name="표준 22 7 2 9 2" xfId="19418"/>
    <cellStyle name="표준 22 7 2 9 2 2" xfId="40294"/>
    <cellStyle name="표준 22 7 2 9 3" xfId="31558"/>
    <cellStyle name="표준 22 7 3" xfId="3426"/>
    <cellStyle name="표준 22 7 3 10" xfId="12889"/>
    <cellStyle name="표준 22 7 3 10 2" xfId="33766"/>
    <cellStyle name="표준 22 7 3 11" xfId="25016"/>
    <cellStyle name="표준 22 7 3 2" xfId="5019"/>
    <cellStyle name="표준 22 7 3 2 2" xfId="6846"/>
    <cellStyle name="표준 22 7 3 2 2 2" xfId="15855"/>
    <cellStyle name="표준 22 7 3 2 2 2 2" xfId="36731"/>
    <cellStyle name="표준 22 7 3 2 2 3" xfId="27993"/>
    <cellStyle name="표준 22 7 3 2 3" xfId="14037"/>
    <cellStyle name="표준 22 7 3 2 3 2" xfId="34913"/>
    <cellStyle name="표준 22 7 3 2 4" xfId="26175"/>
    <cellStyle name="표준 22 7 3 3" xfId="5699"/>
    <cellStyle name="표준 22 7 3 3 2" xfId="14708"/>
    <cellStyle name="표준 22 7 3 3 2 2" xfId="35584"/>
    <cellStyle name="표준 22 7 3 3 3" xfId="26846"/>
    <cellStyle name="표준 22 7 3 4" xfId="7492"/>
    <cellStyle name="표준 22 7 3 4 2" xfId="16499"/>
    <cellStyle name="표준 22 7 3 4 2 2" xfId="37375"/>
    <cellStyle name="표준 22 7 3 4 3" xfId="28637"/>
    <cellStyle name="표준 22 7 3 5" xfId="8136"/>
    <cellStyle name="표준 22 7 3 5 2" xfId="17142"/>
    <cellStyle name="표준 22 7 3 5 2 2" xfId="38018"/>
    <cellStyle name="표준 22 7 3 5 3" xfId="29280"/>
    <cellStyle name="표준 22 7 3 6" xfId="8984"/>
    <cellStyle name="표준 22 7 3 6 2" xfId="17989"/>
    <cellStyle name="표준 22 7 3 6 2 2" xfId="38865"/>
    <cellStyle name="표준 22 7 3 6 3" xfId="30127"/>
    <cellStyle name="표준 22 7 3 7" xfId="9809"/>
    <cellStyle name="표준 22 7 3 7 2" xfId="18807"/>
    <cellStyle name="표준 22 7 3 7 2 2" xfId="39683"/>
    <cellStyle name="표준 22 7 3 7 3" xfId="30945"/>
    <cellStyle name="표준 22 7 3 8" xfId="10864"/>
    <cellStyle name="표준 22 7 3 8 2" xfId="19635"/>
    <cellStyle name="표준 22 7 3 8 2 2" xfId="40511"/>
    <cellStyle name="표준 22 7 3 8 3" xfId="31775"/>
    <cellStyle name="표준 22 7 3 9" xfId="11730"/>
    <cellStyle name="표준 22 7 3 9 2" xfId="20496"/>
    <cellStyle name="표준 22 7 3 9 2 2" xfId="41372"/>
    <cellStyle name="표준 22 7 3 9 3" xfId="32636"/>
    <cellStyle name="표준 22 7 4" xfId="4585"/>
    <cellStyle name="표준 22 7 4 2" xfId="6419"/>
    <cellStyle name="표준 22 7 4 2 2" xfId="15428"/>
    <cellStyle name="표준 22 7 4 2 2 2" xfId="36304"/>
    <cellStyle name="표준 22 7 4 2 3" xfId="27566"/>
    <cellStyle name="표준 22 7 4 3" xfId="11082"/>
    <cellStyle name="표준 22 7 4 3 2" xfId="19852"/>
    <cellStyle name="표준 22 7 4 3 2 2" xfId="40728"/>
    <cellStyle name="표준 22 7 4 3 3" xfId="31992"/>
    <cellStyle name="표준 22 7 4 4" xfId="11947"/>
    <cellStyle name="표준 22 7 4 4 2" xfId="20713"/>
    <cellStyle name="표준 22 7 4 4 2 2" xfId="41589"/>
    <cellStyle name="표준 22 7 4 4 3" xfId="32853"/>
    <cellStyle name="표준 22 7 4 5" xfId="13610"/>
    <cellStyle name="표준 22 7 4 5 2" xfId="34486"/>
    <cellStyle name="표준 22 7 4 6" xfId="25748"/>
    <cellStyle name="표준 22 7 5" xfId="5262"/>
    <cellStyle name="표준 22 7 5 2" xfId="14271"/>
    <cellStyle name="표준 22 7 5 2 2" xfId="35147"/>
    <cellStyle name="표준 22 7 5 3" xfId="26409"/>
    <cellStyle name="표준 22 7 6" xfId="7064"/>
    <cellStyle name="표준 22 7 6 2" xfId="16072"/>
    <cellStyle name="표준 22 7 6 2 2" xfId="36948"/>
    <cellStyle name="표준 22 7 6 3" xfId="28210"/>
    <cellStyle name="표준 22 7 7" xfId="7709"/>
    <cellStyle name="표준 22 7 7 2" xfId="16715"/>
    <cellStyle name="표준 22 7 7 2 2" xfId="37591"/>
    <cellStyle name="표준 22 7 7 3" xfId="28853"/>
    <cellStyle name="표준 22 7 8" xfId="8557"/>
    <cellStyle name="표준 22 7 8 2" xfId="17562"/>
    <cellStyle name="표준 22 7 8 2 2" xfId="38438"/>
    <cellStyle name="표준 22 7 8 3" xfId="29700"/>
    <cellStyle name="표준 22 7 9" xfId="9381"/>
    <cellStyle name="표준 22 7 9 2" xfId="18380"/>
    <cellStyle name="표준 22 7 9 2 2" xfId="39256"/>
    <cellStyle name="표준 22 7 9 3" xfId="30518"/>
    <cellStyle name="표준 22 8" xfId="3188"/>
    <cellStyle name="표준 22 8 10" xfId="11507"/>
    <cellStyle name="표준 22 8 10 2" xfId="20273"/>
    <cellStyle name="표준 22 8 10 2 2" xfId="41149"/>
    <cellStyle name="표준 22 8 10 3" xfId="32413"/>
    <cellStyle name="표준 22 8 11" xfId="12656"/>
    <cellStyle name="표준 22 8 11 2" xfId="33533"/>
    <cellStyle name="표준 22 8 12" xfId="24783"/>
    <cellStyle name="표준 22 8 2" xfId="3630"/>
    <cellStyle name="표준 22 8 2 2" xfId="5903"/>
    <cellStyle name="표준 22 8 2 2 2" xfId="14912"/>
    <cellStyle name="표준 22 8 2 2 2 2" xfId="35788"/>
    <cellStyle name="표준 22 8 2 2 3" xfId="27050"/>
    <cellStyle name="표준 22 8 2 3" xfId="13093"/>
    <cellStyle name="표준 22 8 2 3 2" xfId="33970"/>
    <cellStyle name="표준 22 8 2 4" xfId="25220"/>
    <cellStyle name="표준 22 8 3" xfId="4791"/>
    <cellStyle name="표준 22 8 3 2" xfId="6623"/>
    <cellStyle name="표준 22 8 3 2 2" xfId="15632"/>
    <cellStyle name="표준 22 8 3 2 2 2" xfId="36508"/>
    <cellStyle name="표준 22 8 3 2 3" xfId="27770"/>
    <cellStyle name="표준 22 8 3 3" xfId="13814"/>
    <cellStyle name="표준 22 8 3 3 2" xfId="34690"/>
    <cellStyle name="표준 22 8 3 4" xfId="25952"/>
    <cellStyle name="표준 22 8 4" xfId="5466"/>
    <cellStyle name="표준 22 8 4 2" xfId="14475"/>
    <cellStyle name="표준 22 8 4 2 2" xfId="35351"/>
    <cellStyle name="표준 22 8 4 3" xfId="26613"/>
    <cellStyle name="표준 22 8 5" xfId="7269"/>
    <cellStyle name="표준 22 8 5 2" xfId="16276"/>
    <cellStyle name="표준 22 8 5 2 2" xfId="37152"/>
    <cellStyle name="표준 22 8 5 3" xfId="28414"/>
    <cellStyle name="표준 22 8 6" xfId="7913"/>
    <cellStyle name="표준 22 8 6 2" xfId="16919"/>
    <cellStyle name="표준 22 8 6 2 2" xfId="37795"/>
    <cellStyle name="표준 22 8 6 3" xfId="29057"/>
    <cellStyle name="표준 22 8 7" xfId="8761"/>
    <cellStyle name="표준 22 8 7 2" xfId="17766"/>
    <cellStyle name="표준 22 8 7 2 2" xfId="38642"/>
    <cellStyle name="표준 22 8 7 3" xfId="29904"/>
    <cellStyle name="표준 22 8 8" xfId="9586"/>
    <cellStyle name="표준 22 8 8 2" xfId="18584"/>
    <cellStyle name="표준 22 8 8 2 2" xfId="39460"/>
    <cellStyle name="표준 22 8 8 3" xfId="30722"/>
    <cellStyle name="표준 22 8 9" xfId="10641"/>
    <cellStyle name="표준 22 8 9 2" xfId="19412"/>
    <cellStyle name="표준 22 8 9 2 2" xfId="40288"/>
    <cellStyle name="표준 22 8 9 3" xfId="31552"/>
    <cellStyle name="표준 22 9" xfId="3420"/>
    <cellStyle name="표준 22 9 10" xfId="12883"/>
    <cellStyle name="표준 22 9 10 2" xfId="33760"/>
    <cellStyle name="표준 22 9 11" xfId="25010"/>
    <cellStyle name="표준 22 9 2" xfId="5013"/>
    <cellStyle name="표준 22 9 2 2" xfId="6840"/>
    <cellStyle name="표준 22 9 2 2 2" xfId="15849"/>
    <cellStyle name="표준 22 9 2 2 2 2" xfId="36725"/>
    <cellStyle name="표준 22 9 2 2 3" xfId="27987"/>
    <cellStyle name="표준 22 9 2 3" xfId="14031"/>
    <cellStyle name="표준 22 9 2 3 2" xfId="34907"/>
    <cellStyle name="표준 22 9 2 4" xfId="26169"/>
    <cellStyle name="표준 22 9 3" xfId="5693"/>
    <cellStyle name="표준 22 9 3 2" xfId="14702"/>
    <cellStyle name="표준 22 9 3 2 2" xfId="35578"/>
    <cellStyle name="표준 22 9 3 3" xfId="26840"/>
    <cellStyle name="표준 22 9 4" xfId="7486"/>
    <cellStyle name="표준 22 9 4 2" xfId="16493"/>
    <cellStyle name="표준 22 9 4 2 2" xfId="37369"/>
    <cellStyle name="표준 22 9 4 3" xfId="28631"/>
    <cellStyle name="표준 22 9 5" xfId="8130"/>
    <cellStyle name="표준 22 9 5 2" xfId="17136"/>
    <cellStyle name="표준 22 9 5 2 2" xfId="38012"/>
    <cellStyle name="표준 22 9 5 3" xfId="29274"/>
    <cellStyle name="표준 22 9 6" xfId="8978"/>
    <cellStyle name="표준 22 9 6 2" xfId="17983"/>
    <cellStyle name="표준 22 9 6 2 2" xfId="38859"/>
    <cellStyle name="표준 22 9 6 3" xfId="30121"/>
    <cellStyle name="표준 22 9 7" xfId="9803"/>
    <cellStyle name="표준 22 9 7 2" xfId="18801"/>
    <cellStyle name="표준 22 9 7 2 2" xfId="39677"/>
    <cellStyle name="표준 22 9 7 3" xfId="30939"/>
    <cellStyle name="표준 22 9 8" xfId="10858"/>
    <cellStyle name="표준 22 9 8 2" xfId="19629"/>
    <cellStyle name="표준 22 9 8 2 2" xfId="40505"/>
    <cellStyle name="표준 22 9 8 3" xfId="31769"/>
    <cellStyle name="표준 22 9 9" xfId="11724"/>
    <cellStyle name="표준 22 9 9 2" xfId="20490"/>
    <cellStyle name="표준 22 9 9 2 2" xfId="41366"/>
    <cellStyle name="표준 22 9 9 3" xfId="32630"/>
    <cellStyle name="표준 23" xfId="2977"/>
    <cellStyle name="표준 23 10" xfId="4586"/>
    <cellStyle name="표준 23 10 2" xfId="6420"/>
    <cellStyle name="표준 23 10 2 2" xfId="15429"/>
    <cellStyle name="표준 23 10 2 2 2" xfId="36305"/>
    <cellStyle name="표준 23 10 2 3" xfId="27567"/>
    <cellStyle name="표준 23 10 3" xfId="11083"/>
    <cellStyle name="표준 23 10 3 2" xfId="19853"/>
    <cellStyle name="표준 23 10 3 2 2" xfId="40729"/>
    <cellStyle name="표준 23 10 3 3" xfId="31993"/>
    <cellStyle name="표준 23 10 4" xfId="11948"/>
    <cellStyle name="표준 23 10 4 2" xfId="20714"/>
    <cellStyle name="표준 23 10 4 2 2" xfId="41590"/>
    <cellStyle name="표준 23 10 4 3" xfId="32854"/>
    <cellStyle name="표준 23 10 5" xfId="13611"/>
    <cellStyle name="표준 23 10 5 2" xfId="34487"/>
    <cellStyle name="표준 23 10 6" xfId="25749"/>
    <cellStyle name="표준 23 11" xfId="5263"/>
    <cellStyle name="표준 23 11 2" xfId="14272"/>
    <cellStyle name="표준 23 11 2 2" xfId="35148"/>
    <cellStyle name="표준 23 11 3" xfId="26410"/>
    <cellStyle name="표준 23 12" xfId="7065"/>
    <cellStyle name="표준 23 12 2" xfId="16073"/>
    <cellStyle name="표준 23 12 2 2" xfId="36949"/>
    <cellStyle name="표준 23 12 3" xfId="28211"/>
    <cellStyle name="표준 23 13" xfId="7710"/>
    <cellStyle name="표준 23 13 2" xfId="16716"/>
    <cellStyle name="표준 23 13 2 2" xfId="37592"/>
    <cellStyle name="표준 23 13 3" xfId="28854"/>
    <cellStyle name="표준 23 14" xfId="8558"/>
    <cellStyle name="표준 23 14 2" xfId="17563"/>
    <cellStyle name="표준 23 14 2 2" xfId="38439"/>
    <cellStyle name="표준 23 14 3" xfId="29701"/>
    <cellStyle name="표준 23 15" xfId="9382"/>
    <cellStyle name="표준 23 15 2" xfId="18381"/>
    <cellStyle name="표준 23 15 2 2" xfId="39257"/>
    <cellStyle name="표준 23 15 3" xfId="30519"/>
    <cellStyle name="표준 23 16" xfId="10438"/>
    <cellStyle name="표준 23 16 2" xfId="19209"/>
    <cellStyle name="표준 23 16 2 2" xfId="40085"/>
    <cellStyle name="표준 23 16 3" xfId="31349"/>
    <cellStyle name="표준 23 17" xfId="11304"/>
    <cellStyle name="표준 23 17 2" xfId="20070"/>
    <cellStyle name="표준 23 17 2 2" xfId="40946"/>
    <cellStyle name="표준 23 17 3" xfId="32210"/>
    <cellStyle name="표준 23 18" xfId="12452"/>
    <cellStyle name="표준 23 18 2" xfId="33330"/>
    <cellStyle name="표준 23 19" xfId="24580"/>
    <cellStyle name="표준 23 2" xfId="2978"/>
    <cellStyle name="표준 23 2 10" xfId="10439"/>
    <cellStyle name="표준 23 2 10 2" xfId="19210"/>
    <cellStyle name="표준 23 2 10 2 2" xfId="40086"/>
    <cellStyle name="표준 23 2 10 3" xfId="31350"/>
    <cellStyle name="표준 23 2 11" xfId="11305"/>
    <cellStyle name="표준 23 2 11 2" xfId="20071"/>
    <cellStyle name="표준 23 2 11 2 2" xfId="40947"/>
    <cellStyle name="표준 23 2 11 3" xfId="32211"/>
    <cellStyle name="표준 23 2 12" xfId="12453"/>
    <cellStyle name="표준 23 2 12 2" xfId="33331"/>
    <cellStyle name="표준 23 2 13" xfId="24581"/>
    <cellStyle name="표준 23 2 2" xfId="3196"/>
    <cellStyle name="표준 23 2 2 10" xfId="11515"/>
    <cellStyle name="표준 23 2 2 10 2" xfId="20281"/>
    <cellStyle name="표준 23 2 2 10 2 2" xfId="41157"/>
    <cellStyle name="표준 23 2 2 10 3" xfId="32421"/>
    <cellStyle name="표준 23 2 2 11" xfId="12664"/>
    <cellStyle name="표준 23 2 2 11 2" xfId="33541"/>
    <cellStyle name="표준 23 2 2 12" xfId="24791"/>
    <cellStyle name="표준 23 2 2 2" xfId="3638"/>
    <cellStyle name="표준 23 2 2 2 2" xfId="5911"/>
    <cellStyle name="표준 23 2 2 2 2 2" xfId="14920"/>
    <cellStyle name="표준 23 2 2 2 2 2 2" xfId="35796"/>
    <cellStyle name="표준 23 2 2 2 2 3" xfId="27058"/>
    <cellStyle name="표준 23 2 2 2 3" xfId="13101"/>
    <cellStyle name="표준 23 2 2 2 3 2" xfId="33978"/>
    <cellStyle name="표준 23 2 2 2 4" xfId="25228"/>
    <cellStyle name="표준 23 2 2 3" xfId="4799"/>
    <cellStyle name="표준 23 2 2 3 2" xfId="6631"/>
    <cellStyle name="표준 23 2 2 3 2 2" xfId="15640"/>
    <cellStyle name="표준 23 2 2 3 2 2 2" xfId="36516"/>
    <cellStyle name="표준 23 2 2 3 2 3" xfId="27778"/>
    <cellStyle name="표준 23 2 2 3 3" xfId="13822"/>
    <cellStyle name="표준 23 2 2 3 3 2" xfId="34698"/>
    <cellStyle name="표준 23 2 2 3 4" xfId="25960"/>
    <cellStyle name="표준 23 2 2 4" xfId="5474"/>
    <cellStyle name="표준 23 2 2 4 2" xfId="14483"/>
    <cellStyle name="표준 23 2 2 4 2 2" xfId="35359"/>
    <cellStyle name="표준 23 2 2 4 3" xfId="26621"/>
    <cellStyle name="표준 23 2 2 5" xfId="7277"/>
    <cellStyle name="표준 23 2 2 5 2" xfId="16284"/>
    <cellStyle name="표준 23 2 2 5 2 2" xfId="37160"/>
    <cellStyle name="표준 23 2 2 5 3" xfId="28422"/>
    <cellStyle name="표준 23 2 2 6" xfId="7921"/>
    <cellStyle name="표준 23 2 2 6 2" xfId="16927"/>
    <cellStyle name="표준 23 2 2 6 2 2" xfId="37803"/>
    <cellStyle name="표준 23 2 2 6 3" xfId="29065"/>
    <cellStyle name="표준 23 2 2 7" xfId="8769"/>
    <cellStyle name="표준 23 2 2 7 2" xfId="17774"/>
    <cellStyle name="표준 23 2 2 7 2 2" xfId="38650"/>
    <cellStyle name="표준 23 2 2 7 3" xfId="29912"/>
    <cellStyle name="표준 23 2 2 8" xfId="9594"/>
    <cellStyle name="표준 23 2 2 8 2" xfId="18592"/>
    <cellStyle name="표준 23 2 2 8 2 2" xfId="39468"/>
    <cellStyle name="표준 23 2 2 8 3" xfId="30730"/>
    <cellStyle name="표준 23 2 2 9" xfId="10649"/>
    <cellStyle name="표준 23 2 2 9 2" xfId="19420"/>
    <cellStyle name="표준 23 2 2 9 2 2" xfId="40296"/>
    <cellStyle name="표준 23 2 2 9 3" xfId="31560"/>
    <cellStyle name="표준 23 2 3" xfId="3428"/>
    <cellStyle name="표준 23 2 3 10" xfId="12891"/>
    <cellStyle name="표준 23 2 3 10 2" xfId="33768"/>
    <cellStyle name="표준 23 2 3 11" xfId="25018"/>
    <cellStyle name="표준 23 2 3 2" xfId="5021"/>
    <cellStyle name="표준 23 2 3 2 2" xfId="6848"/>
    <cellStyle name="표준 23 2 3 2 2 2" xfId="15857"/>
    <cellStyle name="표준 23 2 3 2 2 2 2" xfId="36733"/>
    <cellStyle name="표준 23 2 3 2 2 3" xfId="27995"/>
    <cellStyle name="표준 23 2 3 2 3" xfId="14039"/>
    <cellStyle name="표준 23 2 3 2 3 2" xfId="34915"/>
    <cellStyle name="표준 23 2 3 2 4" xfId="26177"/>
    <cellStyle name="표준 23 2 3 3" xfId="5701"/>
    <cellStyle name="표준 23 2 3 3 2" xfId="14710"/>
    <cellStyle name="표준 23 2 3 3 2 2" xfId="35586"/>
    <cellStyle name="표준 23 2 3 3 3" xfId="26848"/>
    <cellStyle name="표준 23 2 3 4" xfId="7494"/>
    <cellStyle name="표준 23 2 3 4 2" xfId="16501"/>
    <cellStyle name="표준 23 2 3 4 2 2" xfId="37377"/>
    <cellStyle name="표준 23 2 3 4 3" xfId="28639"/>
    <cellStyle name="표준 23 2 3 5" xfId="8138"/>
    <cellStyle name="표준 23 2 3 5 2" xfId="17144"/>
    <cellStyle name="표준 23 2 3 5 2 2" xfId="38020"/>
    <cellStyle name="표준 23 2 3 5 3" xfId="29282"/>
    <cellStyle name="표준 23 2 3 6" xfId="8986"/>
    <cellStyle name="표준 23 2 3 6 2" xfId="17991"/>
    <cellStyle name="표준 23 2 3 6 2 2" xfId="38867"/>
    <cellStyle name="표준 23 2 3 6 3" xfId="30129"/>
    <cellStyle name="표준 23 2 3 7" xfId="9811"/>
    <cellStyle name="표준 23 2 3 7 2" xfId="18809"/>
    <cellStyle name="표준 23 2 3 7 2 2" xfId="39685"/>
    <cellStyle name="표준 23 2 3 7 3" xfId="30947"/>
    <cellStyle name="표준 23 2 3 8" xfId="10866"/>
    <cellStyle name="표준 23 2 3 8 2" xfId="19637"/>
    <cellStyle name="표준 23 2 3 8 2 2" xfId="40513"/>
    <cellStyle name="표준 23 2 3 8 3" xfId="31777"/>
    <cellStyle name="표준 23 2 3 9" xfId="11732"/>
    <cellStyle name="표준 23 2 3 9 2" xfId="20498"/>
    <cellStyle name="표준 23 2 3 9 2 2" xfId="41374"/>
    <cellStyle name="표준 23 2 3 9 3" xfId="32638"/>
    <cellStyle name="표준 23 2 4" xfId="4587"/>
    <cellStyle name="표준 23 2 4 2" xfId="6421"/>
    <cellStyle name="표준 23 2 4 2 2" xfId="15430"/>
    <cellStyle name="표준 23 2 4 2 2 2" xfId="36306"/>
    <cellStyle name="표준 23 2 4 2 3" xfId="27568"/>
    <cellStyle name="표준 23 2 4 3" xfId="11084"/>
    <cellStyle name="표준 23 2 4 3 2" xfId="19854"/>
    <cellStyle name="표준 23 2 4 3 2 2" xfId="40730"/>
    <cellStyle name="표준 23 2 4 3 3" xfId="31994"/>
    <cellStyle name="표준 23 2 4 4" xfId="11949"/>
    <cellStyle name="표준 23 2 4 4 2" xfId="20715"/>
    <cellStyle name="표준 23 2 4 4 2 2" xfId="41591"/>
    <cellStyle name="표준 23 2 4 4 3" xfId="32855"/>
    <cellStyle name="표준 23 2 4 5" xfId="13612"/>
    <cellStyle name="표준 23 2 4 5 2" xfId="34488"/>
    <cellStyle name="표준 23 2 4 6" xfId="25750"/>
    <cellStyle name="표준 23 2 5" xfId="5264"/>
    <cellStyle name="표준 23 2 5 2" xfId="14273"/>
    <cellStyle name="표준 23 2 5 2 2" xfId="35149"/>
    <cellStyle name="표준 23 2 5 3" xfId="26411"/>
    <cellStyle name="표준 23 2 6" xfId="7066"/>
    <cellStyle name="표준 23 2 6 2" xfId="16074"/>
    <cellStyle name="표준 23 2 6 2 2" xfId="36950"/>
    <cellStyle name="표준 23 2 6 3" xfId="28212"/>
    <cellStyle name="표준 23 2 7" xfId="7711"/>
    <cellStyle name="표준 23 2 7 2" xfId="16717"/>
    <cellStyle name="표준 23 2 7 2 2" xfId="37593"/>
    <cellStyle name="표준 23 2 7 3" xfId="28855"/>
    <cellStyle name="표준 23 2 8" xfId="8559"/>
    <cellStyle name="표준 23 2 8 2" xfId="17564"/>
    <cellStyle name="표준 23 2 8 2 2" xfId="38440"/>
    <cellStyle name="표준 23 2 8 3" xfId="29702"/>
    <cellStyle name="표준 23 2 9" xfId="9383"/>
    <cellStyle name="표준 23 2 9 2" xfId="18382"/>
    <cellStyle name="표준 23 2 9 2 2" xfId="39258"/>
    <cellStyle name="표준 23 2 9 3" xfId="30520"/>
    <cellStyle name="표준 23 3" xfId="2979"/>
    <cellStyle name="표준 23 3 10" xfId="10440"/>
    <cellStyle name="표준 23 3 10 2" xfId="19211"/>
    <cellStyle name="표준 23 3 10 2 2" xfId="40087"/>
    <cellStyle name="표준 23 3 10 3" xfId="31351"/>
    <cellStyle name="표준 23 3 11" xfId="11306"/>
    <cellStyle name="표준 23 3 11 2" xfId="20072"/>
    <cellStyle name="표준 23 3 11 2 2" xfId="40948"/>
    <cellStyle name="표준 23 3 11 3" xfId="32212"/>
    <cellStyle name="표준 23 3 12" xfId="12454"/>
    <cellStyle name="표준 23 3 12 2" xfId="33332"/>
    <cellStyle name="표준 23 3 13" xfId="24582"/>
    <cellStyle name="표준 23 3 2" xfId="3197"/>
    <cellStyle name="표준 23 3 2 10" xfId="11516"/>
    <cellStyle name="표준 23 3 2 10 2" xfId="20282"/>
    <cellStyle name="표준 23 3 2 10 2 2" xfId="41158"/>
    <cellStyle name="표준 23 3 2 10 3" xfId="32422"/>
    <cellStyle name="표준 23 3 2 11" xfId="12665"/>
    <cellStyle name="표준 23 3 2 11 2" xfId="33542"/>
    <cellStyle name="표준 23 3 2 12" xfId="24792"/>
    <cellStyle name="표준 23 3 2 2" xfId="3639"/>
    <cellStyle name="표준 23 3 2 2 2" xfId="5912"/>
    <cellStyle name="표준 23 3 2 2 2 2" xfId="14921"/>
    <cellStyle name="표준 23 3 2 2 2 2 2" xfId="35797"/>
    <cellStyle name="표준 23 3 2 2 2 3" xfId="27059"/>
    <cellStyle name="표준 23 3 2 2 3" xfId="13102"/>
    <cellStyle name="표준 23 3 2 2 3 2" xfId="33979"/>
    <cellStyle name="표준 23 3 2 2 4" xfId="25229"/>
    <cellStyle name="표준 23 3 2 3" xfId="4800"/>
    <cellStyle name="표준 23 3 2 3 2" xfId="6632"/>
    <cellStyle name="표준 23 3 2 3 2 2" xfId="15641"/>
    <cellStyle name="표준 23 3 2 3 2 2 2" xfId="36517"/>
    <cellStyle name="표준 23 3 2 3 2 3" xfId="27779"/>
    <cellStyle name="표준 23 3 2 3 3" xfId="13823"/>
    <cellStyle name="표준 23 3 2 3 3 2" xfId="34699"/>
    <cellStyle name="표준 23 3 2 3 4" xfId="25961"/>
    <cellStyle name="표준 23 3 2 4" xfId="5475"/>
    <cellStyle name="표준 23 3 2 4 2" xfId="14484"/>
    <cellStyle name="표준 23 3 2 4 2 2" xfId="35360"/>
    <cellStyle name="표준 23 3 2 4 3" xfId="26622"/>
    <cellStyle name="표준 23 3 2 5" xfId="7278"/>
    <cellStyle name="표준 23 3 2 5 2" xfId="16285"/>
    <cellStyle name="표준 23 3 2 5 2 2" xfId="37161"/>
    <cellStyle name="표준 23 3 2 5 3" xfId="28423"/>
    <cellStyle name="표준 23 3 2 6" xfId="7922"/>
    <cellStyle name="표준 23 3 2 6 2" xfId="16928"/>
    <cellStyle name="표준 23 3 2 6 2 2" xfId="37804"/>
    <cellStyle name="표준 23 3 2 6 3" xfId="29066"/>
    <cellStyle name="표준 23 3 2 7" xfId="8770"/>
    <cellStyle name="표준 23 3 2 7 2" xfId="17775"/>
    <cellStyle name="표준 23 3 2 7 2 2" xfId="38651"/>
    <cellStyle name="표준 23 3 2 7 3" xfId="29913"/>
    <cellStyle name="표준 23 3 2 8" xfId="9595"/>
    <cellStyle name="표준 23 3 2 8 2" xfId="18593"/>
    <cellStyle name="표준 23 3 2 8 2 2" xfId="39469"/>
    <cellStyle name="표준 23 3 2 8 3" xfId="30731"/>
    <cellStyle name="표준 23 3 2 9" xfId="10650"/>
    <cellStyle name="표준 23 3 2 9 2" xfId="19421"/>
    <cellStyle name="표준 23 3 2 9 2 2" xfId="40297"/>
    <cellStyle name="표준 23 3 2 9 3" xfId="31561"/>
    <cellStyle name="표준 23 3 3" xfId="3429"/>
    <cellStyle name="표준 23 3 3 10" xfId="12892"/>
    <cellStyle name="표준 23 3 3 10 2" xfId="33769"/>
    <cellStyle name="표준 23 3 3 11" xfId="25019"/>
    <cellStyle name="표준 23 3 3 2" xfId="5022"/>
    <cellStyle name="표준 23 3 3 2 2" xfId="6849"/>
    <cellStyle name="표준 23 3 3 2 2 2" xfId="15858"/>
    <cellStyle name="표준 23 3 3 2 2 2 2" xfId="36734"/>
    <cellStyle name="표준 23 3 3 2 2 3" xfId="27996"/>
    <cellStyle name="표준 23 3 3 2 3" xfId="14040"/>
    <cellStyle name="표준 23 3 3 2 3 2" xfId="34916"/>
    <cellStyle name="표준 23 3 3 2 4" xfId="26178"/>
    <cellStyle name="표준 23 3 3 3" xfId="5702"/>
    <cellStyle name="표준 23 3 3 3 2" xfId="14711"/>
    <cellStyle name="표준 23 3 3 3 2 2" xfId="35587"/>
    <cellStyle name="표준 23 3 3 3 3" xfId="26849"/>
    <cellStyle name="표준 23 3 3 4" xfId="7495"/>
    <cellStyle name="표준 23 3 3 4 2" xfId="16502"/>
    <cellStyle name="표준 23 3 3 4 2 2" xfId="37378"/>
    <cellStyle name="표준 23 3 3 4 3" xfId="28640"/>
    <cellStyle name="표준 23 3 3 5" xfId="8139"/>
    <cellStyle name="표준 23 3 3 5 2" xfId="17145"/>
    <cellStyle name="표준 23 3 3 5 2 2" xfId="38021"/>
    <cellStyle name="표준 23 3 3 5 3" xfId="29283"/>
    <cellStyle name="표준 23 3 3 6" xfId="8987"/>
    <cellStyle name="표준 23 3 3 6 2" xfId="17992"/>
    <cellStyle name="표준 23 3 3 6 2 2" xfId="38868"/>
    <cellStyle name="표준 23 3 3 6 3" xfId="30130"/>
    <cellStyle name="표준 23 3 3 7" xfId="9812"/>
    <cellStyle name="표준 23 3 3 7 2" xfId="18810"/>
    <cellStyle name="표준 23 3 3 7 2 2" xfId="39686"/>
    <cellStyle name="표준 23 3 3 7 3" xfId="30948"/>
    <cellStyle name="표준 23 3 3 8" xfId="10867"/>
    <cellStyle name="표준 23 3 3 8 2" xfId="19638"/>
    <cellStyle name="표준 23 3 3 8 2 2" xfId="40514"/>
    <cellStyle name="표준 23 3 3 8 3" xfId="31778"/>
    <cellStyle name="표준 23 3 3 9" xfId="11733"/>
    <cellStyle name="표준 23 3 3 9 2" xfId="20499"/>
    <cellStyle name="표준 23 3 3 9 2 2" xfId="41375"/>
    <cellStyle name="표준 23 3 3 9 3" xfId="32639"/>
    <cellStyle name="표준 23 3 4" xfId="4588"/>
    <cellStyle name="표준 23 3 4 2" xfId="6422"/>
    <cellStyle name="표준 23 3 4 2 2" xfId="15431"/>
    <cellStyle name="표준 23 3 4 2 2 2" xfId="36307"/>
    <cellStyle name="표준 23 3 4 2 3" xfId="27569"/>
    <cellStyle name="표준 23 3 4 3" xfId="11085"/>
    <cellStyle name="표준 23 3 4 3 2" xfId="19855"/>
    <cellStyle name="표준 23 3 4 3 2 2" xfId="40731"/>
    <cellStyle name="표준 23 3 4 3 3" xfId="31995"/>
    <cellStyle name="표준 23 3 4 4" xfId="11950"/>
    <cellStyle name="표준 23 3 4 4 2" xfId="20716"/>
    <cellStyle name="표준 23 3 4 4 2 2" xfId="41592"/>
    <cellStyle name="표준 23 3 4 4 3" xfId="32856"/>
    <cellStyle name="표준 23 3 4 5" xfId="13613"/>
    <cellStyle name="표준 23 3 4 5 2" xfId="34489"/>
    <cellStyle name="표준 23 3 4 6" xfId="25751"/>
    <cellStyle name="표준 23 3 5" xfId="5265"/>
    <cellStyle name="표준 23 3 5 2" xfId="14274"/>
    <cellStyle name="표준 23 3 5 2 2" xfId="35150"/>
    <cellStyle name="표준 23 3 5 3" xfId="26412"/>
    <cellStyle name="표준 23 3 6" xfId="7067"/>
    <cellStyle name="표준 23 3 6 2" xfId="16075"/>
    <cellStyle name="표준 23 3 6 2 2" xfId="36951"/>
    <cellStyle name="표준 23 3 6 3" xfId="28213"/>
    <cellStyle name="표준 23 3 7" xfId="7712"/>
    <cellStyle name="표준 23 3 7 2" xfId="16718"/>
    <cellStyle name="표준 23 3 7 2 2" xfId="37594"/>
    <cellStyle name="표준 23 3 7 3" xfId="28856"/>
    <cellStyle name="표준 23 3 8" xfId="8560"/>
    <cellStyle name="표준 23 3 8 2" xfId="17565"/>
    <cellStyle name="표준 23 3 8 2 2" xfId="38441"/>
    <cellStyle name="표준 23 3 8 3" xfId="29703"/>
    <cellStyle name="표준 23 3 9" xfId="9384"/>
    <cellStyle name="표준 23 3 9 2" xfId="18383"/>
    <cellStyle name="표준 23 3 9 2 2" xfId="39259"/>
    <cellStyle name="표준 23 3 9 3" xfId="30521"/>
    <cellStyle name="표준 23 4" xfId="2980"/>
    <cellStyle name="표준 23 4 10" xfId="10441"/>
    <cellStyle name="표준 23 4 10 2" xfId="19212"/>
    <cellStyle name="표준 23 4 10 2 2" xfId="40088"/>
    <cellStyle name="표준 23 4 10 3" xfId="31352"/>
    <cellStyle name="표준 23 4 11" xfId="11307"/>
    <cellStyle name="표준 23 4 11 2" xfId="20073"/>
    <cellStyle name="표준 23 4 11 2 2" xfId="40949"/>
    <cellStyle name="표준 23 4 11 3" xfId="32213"/>
    <cellStyle name="표준 23 4 12" xfId="12455"/>
    <cellStyle name="표준 23 4 12 2" xfId="33333"/>
    <cellStyle name="표준 23 4 13" xfId="24583"/>
    <cellStyle name="표준 23 4 2" xfId="3198"/>
    <cellStyle name="표준 23 4 2 10" xfId="11517"/>
    <cellStyle name="표준 23 4 2 10 2" xfId="20283"/>
    <cellStyle name="표준 23 4 2 10 2 2" xfId="41159"/>
    <cellStyle name="표준 23 4 2 10 3" xfId="32423"/>
    <cellStyle name="표준 23 4 2 11" xfId="12666"/>
    <cellStyle name="표준 23 4 2 11 2" xfId="33543"/>
    <cellStyle name="표준 23 4 2 12" xfId="24793"/>
    <cellStyle name="표준 23 4 2 2" xfId="3640"/>
    <cellStyle name="표준 23 4 2 2 2" xfId="5913"/>
    <cellStyle name="표준 23 4 2 2 2 2" xfId="14922"/>
    <cellStyle name="표준 23 4 2 2 2 2 2" xfId="35798"/>
    <cellStyle name="표준 23 4 2 2 2 3" xfId="27060"/>
    <cellStyle name="표준 23 4 2 2 3" xfId="13103"/>
    <cellStyle name="표준 23 4 2 2 3 2" xfId="33980"/>
    <cellStyle name="표준 23 4 2 2 4" xfId="25230"/>
    <cellStyle name="표준 23 4 2 3" xfId="4801"/>
    <cellStyle name="표준 23 4 2 3 2" xfId="6633"/>
    <cellStyle name="표준 23 4 2 3 2 2" xfId="15642"/>
    <cellStyle name="표준 23 4 2 3 2 2 2" xfId="36518"/>
    <cellStyle name="표준 23 4 2 3 2 3" xfId="27780"/>
    <cellStyle name="표준 23 4 2 3 3" xfId="13824"/>
    <cellStyle name="표준 23 4 2 3 3 2" xfId="34700"/>
    <cellStyle name="표준 23 4 2 3 4" xfId="25962"/>
    <cellStyle name="표준 23 4 2 4" xfId="5476"/>
    <cellStyle name="표준 23 4 2 4 2" xfId="14485"/>
    <cellStyle name="표준 23 4 2 4 2 2" xfId="35361"/>
    <cellStyle name="표준 23 4 2 4 3" xfId="26623"/>
    <cellStyle name="표준 23 4 2 5" xfId="7279"/>
    <cellStyle name="표준 23 4 2 5 2" xfId="16286"/>
    <cellStyle name="표준 23 4 2 5 2 2" xfId="37162"/>
    <cellStyle name="표준 23 4 2 5 3" xfId="28424"/>
    <cellStyle name="표준 23 4 2 6" xfId="7923"/>
    <cellStyle name="표준 23 4 2 6 2" xfId="16929"/>
    <cellStyle name="표준 23 4 2 6 2 2" xfId="37805"/>
    <cellStyle name="표준 23 4 2 6 3" xfId="29067"/>
    <cellStyle name="표준 23 4 2 7" xfId="8771"/>
    <cellStyle name="표준 23 4 2 7 2" xfId="17776"/>
    <cellStyle name="표준 23 4 2 7 2 2" xfId="38652"/>
    <cellStyle name="표준 23 4 2 7 3" xfId="29914"/>
    <cellStyle name="표준 23 4 2 8" xfId="9596"/>
    <cellStyle name="표준 23 4 2 8 2" xfId="18594"/>
    <cellStyle name="표준 23 4 2 8 2 2" xfId="39470"/>
    <cellStyle name="표준 23 4 2 8 3" xfId="30732"/>
    <cellStyle name="표준 23 4 2 9" xfId="10651"/>
    <cellStyle name="표준 23 4 2 9 2" xfId="19422"/>
    <cellStyle name="표준 23 4 2 9 2 2" xfId="40298"/>
    <cellStyle name="표준 23 4 2 9 3" xfId="31562"/>
    <cellStyle name="표준 23 4 3" xfId="3430"/>
    <cellStyle name="표준 23 4 3 10" xfId="12893"/>
    <cellStyle name="표준 23 4 3 10 2" xfId="33770"/>
    <cellStyle name="표준 23 4 3 11" xfId="25020"/>
    <cellStyle name="표준 23 4 3 2" xfId="5023"/>
    <cellStyle name="표준 23 4 3 2 2" xfId="6850"/>
    <cellStyle name="표준 23 4 3 2 2 2" xfId="15859"/>
    <cellStyle name="표준 23 4 3 2 2 2 2" xfId="36735"/>
    <cellStyle name="표준 23 4 3 2 2 3" xfId="27997"/>
    <cellStyle name="표준 23 4 3 2 3" xfId="14041"/>
    <cellStyle name="표준 23 4 3 2 3 2" xfId="34917"/>
    <cellStyle name="표준 23 4 3 2 4" xfId="26179"/>
    <cellStyle name="표준 23 4 3 3" xfId="5703"/>
    <cellStyle name="표준 23 4 3 3 2" xfId="14712"/>
    <cellStyle name="표준 23 4 3 3 2 2" xfId="35588"/>
    <cellStyle name="표준 23 4 3 3 3" xfId="26850"/>
    <cellStyle name="표준 23 4 3 4" xfId="7496"/>
    <cellStyle name="표준 23 4 3 4 2" xfId="16503"/>
    <cellStyle name="표준 23 4 3 4 2 2" xfId="37379"/>
    <cellStyle name="표준 23 4 3 4 3" xfId="28641"/>
    <cellStyle name="표준 23 4 3 5" xfId="8140"/>
    <cellStyle name="표준 23 4 3 5 2" xfId="17146"/>
    <cellStyle name="표준 23 4 3 5 2 2" xfId="38022"/>
    <cellStyle name="표준 23 4 3 5 3" xfId="29284"/>
    <cellStyle name="표준 23 4 3 6" xfId="8988"/>
    <cellStyle name="표준 23 4 3 6 2" xfId="17993"/>
    <cellStyle name="표준 23 4 3 6 2 2" xfId="38869"/>
    <cellStyle name="표준 23 4 3 6 3" xfId="30131"/>
    <cellStyle name="표준 23 4 3 7" xfId="9813"/>
    <cellStyle name="표준 23 4 3 7 2" xfId="18811"/>
    <cellStyle name="표준 23 4 3 7 2 2" xfId="39687"/>
    <cellStyle name="표준 23 4 3 7 3" xfId="30949"/>
    <cellStyle name="표준 23 4 3 8" xfId="10868"/>
    <cellStyle name="표준 23 4 3 8 2" xfId="19639"/>
    <cellStyle name="표준 23 4 3 8 2 2" xfId="40515"/>
    <cellStyle name="표준 23 4 3 8 3" xfId="31779"/>
    <cellStyle name="표준 23 4 3 9" xfId="11734"/>
    <cellStyle name="표준 23 4 3 9 2" xfId="20500"/>
    <cellStyle name="표준 23 4 3 9 2 2" xfId="41376"/>
    <cellStyle name="표준 23 4 3 9 3" xfId="32640"/>
    <cellStyle name="표준 23 4 4" xfId="4589"/>
    <cellStyle name="표준 23 4 4 2" xfId="6423"/>
    <cellStyle name="표준 23 4 4 2 2" xfId="15432"/>
    <cellStyle name="표준 23 4 4 2 2 2" xfId="36308"/>
    <cellStyle name="표준 23 4 4 2 3" xfId="27570"/>
    <cellStyle name="표준 23 4 4 3" xfId="11086"/>
    <cellStyle name="표준 23 4 4 3 2" xfId="19856"/>
    <cellStyle name="표준 23 4 4 3 2 2" xfId="40732"/>
    <cellStyle name="표준 23 4 4 3 3" xfId="31996"/>
    <cellStyle name="표준 23 4 4 4" xfId="11951"/>
    <cellStyle name="표준 23 4 4 4 2" xfId="20717"/>
    <cellStyle name="표준 23 4 4 4 2 2" xfId="41593"/>
    <cellStyle name="표준 23 4 4 4 3" xfId="32857"/>
    <cellStyle name="표준 23 4 4 5" xfId="13614"/>
    <cellStyle name="표준 23 4 4 5 2" xfId="34490"/>
    <cellStyle name="표준 23 4 4 6" xfId="25752"/>
    <cellStyle name="표준 23 4 5" xfId="5266"/>
    <cellStyle name="표준 23 4 5 2" xfId="14275"/>
    <cellStyle name="표준 23 4 5 2 2" xfId="35151"/>
    <cellStyle name="표준 23 4 5 3" xfId="26413"/>
    <cellStyle name="표준 23 4 6" xfId="7068"/>
    <cellStyle name="표준 23 4 6 2" xfId="16076"/>
    <cellStyle name="표준 23 4 6 2 2" xfId="36952"/>
    <cellStyle name="표준 23 4 6 3" xfId="28214"/>
    <cellStyle name="표준 23 4 7" xfId="7713"/>
    <cellStyle name="표준 23 4 7 2" xfId="16719"/>
    <cellStyle name="표준 23 4 7 2 2" xfId="37595"/>
    <cellStyle name="표준 23 4 7 3" xfId="28857"/>
    <cellStyle name="표준 23 4 8" xfId="8561"/>
    <cellStyle name="표준 23 4 8 2" xfId="17566"/>
    <cellStyle name="표준 23 4 8 2 2" xfId="38442"/>
    <cellStyle name="표준 23 4 8 3" xfId="29704"/>
    <cellStyle name="표준 23 4 9" xfId="9385"/>
    <cellStyle name="표준 23 4 9 2" xfId="18384"/>
    <cellStyle name="표준 23 4 9 2 2" xfId="39260"/>
    <cellStyle name="표준 23 4 9 3" xfId="30522"/>
    <cellStyle name="표준 23 5" xfId="2981"/>
    <cellStyle name="표준 23 5 10" xfId="10442"/>
    <cellStyle name="표준 23 5 10 2" xfId="19213"/>
    <cellStyle name="표준 23 5 10 2 2" xfId="40089"/>
    <cellStyle name="표준 23 5 10 3" xfId="31353"/>
    <cellStyle name="표준 23 5 11" xfId="11308"/>
    <cellStyle name="표준 23 5 11 2" xfId="20074"/>
    <cellStyle name="표준 23 5 11 2 2" xfId="40950"/>
    <cellStyle name="표준 23 5 11 3" xfId="32214"/>
    <cellStyle name="표준 23 5 12" xfId="12456"/>
    <cellStyle name="표준 23 5 12 2" xfId="33334"/>
    <cellStyle name="표준 23 5 13" xfId="24584"/>
    <cellStyle name="표준 23 5 2" xfId="3199"/>
    <cellStyle name="표준 23 5 2 10" xfId="11518"/>
    <cellStyle name="표준 23 5 2 10 2" xfId="20284"/>
    <cellStyle name="표준 23 5 2 10 2 2" xfId="41160"/>
    <cellStyle name="표준 23 5 2 10 3" xfId="32424"/>
    <cellStyle name="표준 23 5 2 11" xfId="12667"/>
    <cellStyle name="표준 23 5 2 11 2" xfId="33544"/>
    <cellStyle name="표준 23 5 2 12" xfId="24794"/>
    <cellStyle name="표준 23 5 2 2" xfId="3641"/>
    <cellStyle name="표준 23 5 2 2 2" xfId="5914"/>
    <cellStyle name="표준 23 5 2 2 2 2" xfId="14923"/>
    <cellStyle name="표준 23 5 2 2 2 2 2" xfId="35799"/>
    <cellStyle name="표준 23 5 2 2 2 3" xfId="27061"/>
    <cellStyle name="표준 23 5 2 2 3" xfId="13104"/>
    <cellStyle name="표준 23 5 2 2 3 2" xfId="33981"/>
    <cellStyle name="표준 23 5 2 2 4" xfId="25231"/>
    <cellStyle name="표준 23 5 2 3" xfId="4802"/>
    <cellStyle name="표준 23 5 2 3 2" xfId="6634"/>
    <cellStyle name="표준 23 5 2 3 2 2" xfId="15643"/>
    <cellStyle name="표준 23 5 2 3 2 2 2" xfId="36519"/>
    <cellStyle name="표준 23 5 2 3 2 3" xfId="27781"/>
    <cellStyle name="표준 23 5 2 3 3" xfId="13825"/>
    <cellStyle name="표준 23 5 2 3 3 2" xfId="34701"/>
    <cellStyle name="표준 23 5 2 3 4" xfId="25963"/>
    <cellStyle name="표준 23 5 2 4" xfId="5477"/>
    <cellStyle name="표준 23 5 2 4 2" xfId="14486"/>
    <cellStyle name="표준 23 5 2 4 2 2" xfId="35362"/>
    <cellStyle name="표준 23 5 2 4 3" xfId="26624"/>
    <cellStyle name="표준 23 5 2 5" xfId="7280"/>
    <cellStyle name="표준 23 5 2 5 2" xfId="16287"/>
    <cellStyle name="표준 23 5 2 5 2 2" xfId="37163"/>
    <cellStyle name="표준 23 5 2 5 3" xfId="28425"/>
    <cellStyle name="표준 23 5 2 6" xfId="7924"/>
    <cellStyle name="표준 23 5 2 6 2" xfId="16930"/>
    <cellStyle name="표준 23 5 2 6 2 2" xfId="37806"/>
    <cellStyle name="표준 23 5 2 6 3" xfId="29068"/>
    <cellStyle name="표준 23 5 2 7" xfId="8772"/>
    <cellStyle name="표준 23 5 2 7 2" xfId="17777"/>
    <cellStyle name="표준 23 5 2 7 2 2" xfId="38653"/>
    <cellStyle name="표준 23 5 2 7 3" xfId="29915"/>
    <cellStyle name="표준 23 5 2 8" xfId="9597"/>
    <cellStyle name="표준 23 5 2 8 2" xfId="18595"/>
    <cellStyle name="표준 23 5 2 8 2 2" xfId="39471"/>
    <cellStyle name="표준 23 5 2 8 3" xfId="30733"/>
    <cellStyle name="표준 23 5 2 9" xfId="10652"/>
    <cellStyle name="표준 23 5 2 9 2" xfId="19423"/>
    <cellStyle name="표준 23 5 2 9 2 2" xfId="40299"/>
    <cellStyle name="표준 23 5 2 9 3" xfId="31563"/>
    <cellStyle name="표준 23 5 3" xfId="3431"/>
    <cellStyle name="표준 23 5 3 10" xfId="12894"/>
    <cellStyle name="표준 23 5 3 10 2" xfId="33771"/>
    <cellStyle name="표준 23 5 3 11" xfId="25021"/>
    <cellStyle name="표준 23 5 3 2" xfId="5024"/>
    <cellStyle name="표준 23 5 3 2 2" xfId="6851"/>
    <cellStyle name="표준 23 5 3 2 2 2" xfId="15860"/>
    <cellStyle name="표준 23 5 3 2 2 2 2" xfId="36736"/>
    <cellStyle name="표준 23 5 3 2 2 3" xfId="27998"/>
    <cellStyle name="표준 23 5 3 2 3" xfId="14042"/>
    <cellStyle name="표준 23 5 3 2 3 2" xfId="34918"/>
    <cellStyle name="표준 23 5 3 2 4" xfId="26180"/>
    <cellStyle name="표준 23 5 3 3" xfId="5704"/>
    <cellStyle name="표준 23 5 3 3 2" xfId="14713"/>
    <cellStyle name="표준 23 5 3 3 2 2" xfId="35589"/>
    <cellStyle name="표준 23 5 3 3 3" xfId="26851"/>
    <cellStyle name="표준 23 5 3 4" xfId="7497"/>
    <cellStyle name="표준 23 5 3 4 2" xfId="16504"/>
    <cellStyle name="표준 23 5 3 4 2 2" xfId="37380"/>
    <cellStyle name="표준 23 5 3 4 3" xfId="28642"/>
    <cellStyle name="표준 23 5 3 5" xfId="8141"/>
    <cellStyle name="표준 23 5 3 5 2" xfId="17147"/>
    <cellStyle name="표준 23 5 3 5 2 2" xfId="38023"/>
    <cellStyle name="표준 23 5 3 5 3" xfId="29285"/>
    <cellStyle name="표준 23 5 3 6" xfId="8989"/>
    <cellStyle name="표준 23 5 3 6 2" xfId="17994"/>
    <cellStyle name="표준 23 5 3 6 2 2" xfId="38870"/>
    <cellStyle name="표준 23 5 3 6 3" xfId="30132"/>
    <cellStyle name="표준 23 5 3 7" xfId="9814"/>
    <cellStyle name="표준 23 5 3 7 2" xfId="18812"/>
    <cellStyle name="표준 23 5 3 7 2 2" xfId="39688"/>
    <cellStyle name="표준 23 5 3 7 3" xfId="30950"/>
    <cellStyle name="표준 23 5 3 8" xfId="10869"/>
    <cellStyle name="표준 23 5 3 8 2" xfId="19640"/>
    <cellStyle name="표준 23 5 3 8 2 2" xfId="40516"/>
    <cellStyle name="표준 23 5 3 8 3" xfId="31780"/>
    <cellStyle name="표준 23 5 3 9" xfId="11735"/>
    <cellStyle name="표준 23 5 3 9 2" xfId="20501"/>
    <cellStyle name="표준 23 5 3 9 2 2" xfId="41377"/>
    <cellStyle name="표준 23 5 3 9 3" xfId="32641"/>
    <cellStyle name="표준 23 5 4" xfId="4590"/>
    <cellStyle name="표준 23 5 4 2" xfId="6424"/>
    <cellStyle name="표준 23 5 4 2 2" xfId="15433"/>
    <cellStyle name="표준 23 5 4 2 2 2" xfId="36309"/>
    <cellStyle name="표준 23 5 4 2 3" xfId="27571"/>
    <cellStyle name="표준 23 5 4 3" xfId="11087"/>
    <cellStyle name="표준 23 5 4 3 2" xfId="19857"/>
    <cellStyle name="표준 23 5 4 3 2 2" xfId="40733"/>
    <cellStyle name="표준 23 5 4 3 3" xfId="31997"/>
    <cellStyle name="표준 23 5 4 4" xfId="11952"/>
    <cellStyle name="표준 23 5 4 4 2" xfId="20718"/>
    <cellStyle name="표준 23 5 4 4 2 2" xfId="41594"/>
    <cellStyle name="표준 23 5 4 4 3" xfId="32858"/>
    <cellStyle name="표준 23 5 4 5" xfId="13615"/>
    <cellStyle name="표준 23 5 4 5 2" xfId="34491"/>
    <cellStyle name="표준 23 5 4 6" xfId="25753"/>
    <cellStyle name="표준 23 5 5" xfId="5267"/>
    <cellStyle name="표준 23 5 5 2" xfId="14276"/>
    <cellStyle name="표준 23 5 5 2 2" xfId="35152"/>
    <cellStyle name="표준 23 5 5 3" xfId="26414"/>
    <cellStyle name="표준 23 5 6" xfId="7069"/>
    <cellStyle name="표준 23 5 6 2" xfId="16077"/>
    <cellStyle name="표준 23 5 6 2 2" xfId="36953"/>
    <cellStyle name="표준 23 5 6 3" xfId="28215"/>
    <cellStyle name="표준 23 5 7" xfId="7714"/>
    <cellStyle name="표준 23 5 7 2" xfId="16720"/>
    <cellStyle name="표준 23 5 7 2 2" xfId="37596"/>
    <cellStyle name="표준 23 5 7 3" xfId="28858"/>
    <cellStyle name="표준 23 5 8" xfId="8562"/>
    <cellStyle name="표준 23 5 8 2" xfId="17567"/>
    <cellStyle name="표준 23 5 8 2 2" xfId="38443"/>
    <cellStyle name="표준 23 5 8 3" xfId="29705"/>
    <cellStyle name="표준 23 5 9" xfId="9386"/>
    <cellStyle name="표준 23 5 9 2" xfId="18385"/>
    <cellStyle name="표준 23 5 9 2 2" xfId="39261"/>
    <cellStyle name="표준 23 5 9 3" xfId="30523"/>
    <cellStyle name="표준 23 6" xfId="2982"/>
    <cellStyle name="표준 23 6 10" xfId="10443"/>
    <cellStyle name="표준 23 6 10 2" xfId="19214"/>
    <cellStyle name="표준 23 6 10 2 2" xfId="40090"/>
    <cellStyle name="표준 23 6 10 3" xfId="31354"/>
    <cellStyle name="표준 23 6 11" xfId="11309"/>
    <cellStyle name="표준 23 6 11 2" xfId="20075"/>
    <cellStyle name="표준 23 6 11 2 2" xfId="40951"/>
    <cellStyle name="표준 23 6 11 3" xfId="32215"/>
    <cellStyle name="표준 23 6 12" xfId="12457"/>
    <cellStyle name="표준 23 6 12 2" xfId="33335"/>
    <cellStyle name="표준 23 6 13" xfId="24585"/>
    <cellStyle name="표준 23 6 2" xfId="3200"/>
    <cellStyle name="표준 23 6 2 10" xfId="11519"/>
    <cellStyle name="표준 23 6 2 10 2" xfId="20285"/>
    <cellStyle name="표준 23 6 2 10 2 2" xfId="41161"/>
    <cellStyle name="표준 23 6 2 10 3" xfId="32425"/>
    <cellStyle name="표준 23 6 2 11" xfId="12668"/>
    <cellStyle name="표준 23 6 2 11 2" xfId="33545"/>
    <cellStyle name="표준 23 6 2 12" xfId="24795"/>
    <cellStyle name="표준 23 6 2 2" xfId="3642"/>
    <cellStyle name="표준 23 6 2 2 2" xfId="5915"/>
    <cellStyle name="표준 23 6 2 2 2 2" xfId="14924"/>
    <cellStyle name="표준 23 6 2 2 2 2 2" xfId="35800"/>
    <cellStyle name="표준 23 6 2 2 2 3" xfId="27062"/>
    <cellStyle name="표준 23 6 2 2 3" xfId="13105"/>
    <cellStyle name="표준 23 6 2 2 3 2" xfId="33982"/>
    <cellStyle name="표준 23 6 2 2 4" xfId="25232"/>
    <cellStyle name="표준 23 6 2 3" xfId="4803"/>
    <cellStyle name="표준 23 6 2 3 2" xfId="6635"/>
    <cellStyle name="표준 23 6 2 3 2 2" xfId="15644"/>
    <cellStyle name="표준 23 6 2 3 2 2 2" xfId="36520"/>
    <cellStyle name="표준 23 6 2 3 2 3" xfId="27782"/>
    <cellStyle name="표준 23 6 2 3 3" xfId="13826"/>
    <cellStyle name="표준 23 6 2 3 3 2" xfId="34702"/>
    <cellStyle name="표준 23 6 2 3 4" xfId="25964"/>
    <cellStyle name="표준 23 6 2 4" xfId="5478"/>
    <cellStyle name="표준 23 6 2 4 2" xfId="14487"/>
    <cellStyle name="표준 23 6 2 4 2 2" xfId="35363"/>
    <cellStyle name="표준 23 6 2 4 3" xfId="26625"/>
    <cellStyle name="표준 23 6 2 5" xfId="7281"/>
    <cellStyle name="표준 23 6 2 5 2" xfId="16288"/>
    <cellStyle name="표준 23 6 2 5 2 2" xfId="37164"/>
    <cellStyle name="표준 23 6 2 5 3" xfId="28426"/>
    <cellStyle name="표준 23 6 2 6" xfId="7925"/>
    <cellStyle name="표준 23 6 2 6 2" xfId="16931"/>
    <cellStyle name="표준 23 6 2 6 2 2" xfId="37807"/>
    <cellStyle name="표준 23 6 2 6 3" xfId="29069"/>
    <cellStyle name="표준 23 6 2 7" xfId="8773"/>
    <cellStyle name="표준 23 6 2 7 2" xfId="17778"/>
    <cellStyle name="표준 23 6 2 7 2 2" xfId="38654"/>
    <cellStyle name="표준 23 6 2 7 3" xfId="29916"/>
    <cellStyle name="표준 23 6 2 8" xfId="9598"/>
    <cellStyle name="표준 23 6 2 8 2" xfId="18596"/>
    <cellStyle name="표준 23 6 2 8 2 2" xfId="39472"/>
    <cellStyle name="표준 23 6 2 8 3" xfId="30734"/>
    <cellStyle name="표준 23 6 2 9" xfId="10653"/>
    <cellStyle name="표준 23 6 2 9 2" xfId="19424"/>
    <cellStyle name="표준 23 6 2 9 2 2" xfId="40300"/>
    <cellStyle name="표준 23 6 2 9 3" xfId="31564"/>
    <cellStyle name="표준 23 6 3" xfId="3432"/>
    <cellStyle name="표준 23 6 3 10" xfId="12895"/>
    <cellStyle name="표준 23 6 3 10 2" xfId="33772"/>
    <cellStyle name="표준 23 6 3 11" xfId="25022"/>
    <cellStyle name="표준 23 6 3 2" xfId="5025"/>
    <cellStyle name="표준 23 6 3 2 2" xfId="6852"/>
    <cellStyle name="표준 23 6 3 2 2 2" xfId="15861"/>
    <cellStyle name="표준 23 6 3 2 2 2 2" xfId="36737"/>
    <cellStyle name="표준 23 6 3 2 2 3" xfId="27999"/>
    <cellStyle name="표준 23 6 3 2 3" xfId="14043"/>
    <cellStyle name="표준 23 6 3 2 3 2" xfId="34919"/>
    <cellStyle name="표준 23 6 3 2 4" xfId="26181"/>
    <cellStyle name="표준 23 6 3 3" xfId="5705"/>
    <cellStyle name="표준 23 6 3 3 2" xfId="14714"/>
    <cellStyle name="표준 23 6 3 3 2 2" xfId="35590"/>
    <cellStyle name="표준 23 6 3 3 3" xfId="26852"/>
    <cellStyle name="표준 23 6 3 4" xfId="7498"/>
    <cellStyle name="표준 23 6 3 4 2" xfId="16505"/>
    <cellStyle name="표준 23 6 3 4 2 2" xfId="37381"/>
    <cellStyle name="표준 23 6 3 4 3" xfId="28643"/>
    <cellStyle name="표준 23 6 3 5" xfId="8142"/>
    <cellStyle name="표준 23 6 3 5 2" xfId="17148"/>
    <cellStyle name="표준 23 6 3 5 2 2" xfId="38024"/>
    <cellStyle name="표준 23 6 3 5 3" xfId="29286"/>
    <cellStyle name="표준 23 6 3 6" xfId="8990"/>
    <cellStyle name="표준 23 6 3 6 2" xfId="17995"/>
    <cellStyle name="표준 23 6 3 6 2 2" xfId="38871"/>
    <cellStyle name="표준 23 6 3 6 3" xfId="30133"/>
    <cellStyle name="표준 23 6 3 7" xfId="9815"/>
    <cellStyle name="표준 23 6 3 7 2" xfId="18813"/>
    <cellStyle name="표준 23 6 3 7 2 2" xfId="39689"/>
    <cellStyle name="표준 23 6 3 7 3" xfId="30951"/>
    <cellStyle name="표준 23 6 3 8" xfId="10870"/>
    <cellStyle name="표준 23 6 3 8 2" xfId="19641"/>
    <cellStyle name="표준 23 6 3 8 2 2" xfId="40517"/>
    <cellStyle name="표준 23 6 3 8 3" xfId="31781"/>
    <cellStyle name="표준 23 6 3 9" xfId="11736"/>
    <cellStyle name="표준 23 6 3 9 2" xfId="20502"/>
    <cellStyle name="표준 23 6 3 9 2 2" xfId="41378"/>
    <cellStyle name="표준 23 6 3 9 3" xfId="32642"/>
    <cellStyle name="표준 23 6 4" xfId="4591"/>
    <cellStyle name="표준 23 6 4 2" xfId="6425"/>
    <cellStyle name="표준 23 6 4 2 2" xfId="15434"/>
    <cellStyle name="표준 23 6 4 2 2 2" xfId="36310"/>
    <cellStyle name="표준 23 6 4 2 3" xfId="27572"/>
    <cellStyle name="표준 23 6 4 3" xfId="11088"/>
    <cellStyle name="표준 23 6 4 3 2" xfId="19858"/>
    <cellStyle name="표준 23 6 4 3 2 2" xfId="40734"/>
    <cellStyle name="표준 23 6 4 3 3" xfId="31998"/>
    <cellStyle name="표준 23 6 4 4" xfId="11953"/>
    <cellStyle name="표준 23 6 4 4 2" xfId="20719"/>
    <cellStyle name="표준 23 6 4 4 2 2" xfId="41595"/>
    <cellStyle name="표준 23 6 4 4 3" xfId="32859"/>
    <cellStyle name="표준 23 6 4 5" xfId="13616"/>
    <cellStyle name="표준 23 6 4 5 2" xfId="34492"/>
    <cellStyle name="표준 23 6 4 6" xfId="25754"/>
    <cellStyle name="표준 23 6 5" xfId="5268"/>
    <cellStyle name="표준 23 6 5 2" xfId="14277"/>
    <cellStyle name="표준 23 6 5 2 2" xfId="35153"/>
    <cellStyle name="표준 23 6 5 3" xfId="26415"/>
    <cellStyle name="표준 23 6 6" xfId="7070"/>
    <cellStyle name="표준 23 6 6 2" xfId="16078"/>
    <cellStyle name="표준 23 6 6 2 2" xfId="36954"/>
    <cellStyle name="표준 23 6 6 3" xfId="28216"/>
    <cellStyle name="표준 23 6 7" xfId="7715"/>
    <cellStyle name="표준 23 6 7 2" xfId="16721"/>
    <cellStyle name="표준 23 6 7 2 2" xfId="37597"/>
    <cellStyle name="표준 23 6 7 3" xfId="28859"/>
    <cellStyle name="표준 23 6 8" xfId="8563"/>
    <cellStyle name="표준 23 6 8 2" xfId="17568"/>
    <cellStyle name="표준 23 6 8 2 2" xfId="38444"/>
    <cellStyle name="표준 23 6 8 3" xfId="29706"/>
    <cellStyle name="표준 23 6 9" xfId="9387"/>
    <cellStyle name="표준 23 6 9 2" xfId="18386"/>
    <cellStyle name="표준 23 6 9 2 2" xfId="39262"/>
    <cellStyle name="표준 23 6 9 3" xfId="30524"/>
    <cellStyle name="표준 23 7" xfId="2983"/>
    <cellStyle name="표준 23 7 10" xfId="10444"/>
    <cellStyle name="표준 23 7 10 2" xfId="19215"/>
    <cellStyle name="표준 23 7 10 2 2" xfId="40091"/>
    <cellStyle name="표준 23 7 10 3" xfId="31355"/>
    <cellStyle name="표준 23 7 11" xfId="11310"/>
    <cellStyle name="표준 23 7 11 2" xfId="20076"/>
    <cellStyle name="표준 23 7 11 2 2" xfId="40952"/>
    <cellStyle name="표준 23 7 11 3" xfId="32216"/>
    <cellStyle name="표준 23 7 12" xfId="12458"/>
    <cellStyle name="표준 23 7 12 2" xfId="33336"/>
    <cellStyle name="표준 23 7 13" xfId="24586"/>
    <cellStyle name="표준 23 7 2" xfId="3201"/>
    <cellStyle name="표준 23 7 2 10" xfId="11520"/>
    <cellStyle name="표준 23 7 2 10 2" xfId="20286"/>
    <cellStyle name="표준 23 7 2 10 2 2" xfId="41162"/>
    <cellStyle name="표준 23 7 2 10 3" xfId="32426"/>
    <cellStyle name="표준 23 7 2 11" xfId="12669"/>
    <cellStyle name="표준 23 7 2 11 2" xfId="33546"/>
    <cellStyle name="표준 23 7 2 12" xfId="24796"/>
    <cellStyle name="표준 23 7 2 2" xfId="3643"/>
    <cellStyle name="표준 23 7 2 2 2" xfId="5916"/>
    <cellStyle name="표준 23 7 2 2 2 2" xfId="14925"/>
    <cellStyle name="표준 23 7 2 2 2 2 2" xfId="35801"/>
    <cellStyle name="표준 23 7 2 2 2 3" xfId="27063"/>
    <cellStyle name="표준 23 7 2 2 3" xfId="13106"/>
    <cellStyle name="표준 23 7 2 2 3 2" xfId="33983"/>
    <cellStyle name="표준 23 7 2 2 4" xfId="25233"/>
    <cellStyle name="표준 23 7 2 3" xfId="4804"/>
    <cellStyle name="표준 23 7 2 3 2" xfId="6636"/>
    <cellStyle name="표준 23 7 2 3 2 2" xfId="15645"/>
    <cellStyle name="표준 23 7 2 3 2 2 2" xfId="36521"/>
    <cellStyle name="표준 23 7 2 3 2 3" xfId="27783"/>
    <cellStyle name="표준 23 7 2 3 3" xfId="13827"/>
    <cellStyle name="표준 23 7 2 3 3 2" xfId="34703"/>
    <cellStyle name="표준 23 7 2 3 4" xfId="25965"/>
    <cellStyle name="표준 23 7 2 4" xfId="5479"/>
    <cellStyle name="표준 23 7 2 4 2" xfId="14488"/>
    <cellStyle name="표준 23 7 2 4 2 2" xfId="35364"/>
    <cellStyle name="표준 23 7 2 4 3" xfId="26626"/>
    <cellStyle name="표준 23 7 2 5" xfId="7282"/>
    <cellStyle name="표준 23 7 2 5 2" xfId="16289"/>
    <cellStyle name="표준 23 7 2 5 2 2" xfId="37165"/>
    <cellStyle name="표준 23 7 2 5 3" xfId="28427"/>
    <cellStyle name="표준 23 7 2 6" xfId="7926"/>
    <cellStyle name="표준 23 7 2 6 2" xfId="16932"/>
    <cellStyle name="표준 23 7 2 6 2 2" xfId="37808"/>
    <cellStyle name="표준 23 7 2 6 3" xfId="29070"/>
    <cellStyle name="표준 23 7 2 7" xfId="8774"/>
    <cellStyle name="표준 23 7 2 7 2" xfId="17779"/>
    <cellStyle name="표준 23 7 2 7 2 2" xfId="38655"/>
    <cellStyle name="표준 23 7 2 7 3" xfId="29917"/>
    <cellStyle name="표준 23 7 2 8" xfId="9599"/>
    <cellStyle name="표준 23 7 2 8 2" xfId="18597"/>
    <cellStyle name="표준 23 7 2 8 2 2" xfId="39473"/>
    <cellStyle name="표준 23 7 2 8 3" xfId="30735"/>
    <cellStyle name="표준 23 7 2 9" xfId="10654"/>
    <cellStyle name="표준 23 7 2 9 2" xfId="19425"/>
    <cellStyle name="표준 23 7 2 9 2 2" xfId="40301"/>
    <cellStyle name="표준 23 7 2 9 3" xfId="31565"/>
    <cellStyle name="표준 23 7 3" xfId="3433"/>
    <cellStyle name="표준 23 7 3 10" xfId="12896"/>
    <cellStyle name="표준 23 7 3 10 2" xfId="33773"/>
    <cellStyle name="표준 23 7 3 11" xfId="25023"/>
    <cellStyle name="표준 23 7 3 2" xfId="5026"/>
    <cellStyle name="표준 23 7 3 2 2" xfId="6853"/>
    <cellStyle name="표준 23 7 3 2 2 2" xfId="15862"/>
    <cellStyle name="표준 23 7 3 2 2 2 2" xfId="36738"/>
    <cellStyle name="표준 23 7 3 2 2 3" xfId="28000"/>
    <cellStyle name="표준 23 7 3 2 3" xfId="14044"/>
    <cellStyle name="표준 23 7 3 2 3 2" xfId="34920"/>
    <cellStyle name="표준 23 7 3 2 4" xfId="26182"/>
    <cellStyle name="표준 23 7 3 3" xfId="5706"/>
    <cellStyle name="표준 23 7 3 3 2" xfId="14715"/>
    <cellStyle name="표준 23 7 3 3 2 2" xfId="35591"/>
    <cellStyle name="표준 23 7 3 3 3" xfId="26853"/>
    <cellStyle name="표준 23 7 3 4" xfId="7499"/>
    <cellStyle name="표준 23 7 3 4 2" xfId="16506"/>
    <cellStyle name="표준 23 7 3 4 2 2" xfId="37382"/>
    <cellStyle name="표준 23 7 3 4 3" xfId="28644"/>
    <cellStyle name="표준 23 7 3 5" xfId="8143"/>
    <cellStyle name="표준 23 7 3 5 2" xfId="17149"/>
    <cellStyle name="표준 23 7 3 5 2 2" xfId="38025"/>
    <cellStyle name="표준 23 7 3 5 3" xfId="29287"/>
    <cellStyle name="표준 23 7 3 6" xfId="8991"/>
    <cellStyle name="표준 23 7 3 6 2" xfId="17996"/>
    <cellStyle name="표준 23 7 3 6 2 2" xfId="38872"/>
    <cellStyle name="표준 23 7 3 6 3" xfId="30134"/>
    <cellStyle name="표준 23 7 3 7" xfId="9816"/>
    <cellStyle name="표준 23 7 3 7 2" xfId="18814"/>
    <cellStyle name="표준 23 7 3 7 2 2" xfId="39690"/>
    <cellStyle name="표준 23 7 3 7 3" xfId="30952"/>
    <cellStyle name="표준 23 7 3 8" xfId="10871"/>
    <cellStyle name="표준 23 7 3 8 2" xfId="19642"/>
    <cellStyle name="표준 23 7 3 8 2 2" xfId="40518"/>
    <cellStyle name="표준 23 7 3 8 3" xfId="31782"/>
    <cellStyle name="표준 23 7 3 9" xfId="11737"/>
    <cellStyle name="표준 23 7 3 9 2" xfId="20503"/>
    <cellStyle name="표준 23 7 3 9 2 2" xfId="41379"/>
    <cellStyle name="표준 23 7 3 9 3" xfId="32643"/>
    <cellStyle name="표준 23 7 4" xfId="4592"/>
    <cellStyle name="표준 23 7 4 2" xfId="6426"/>
    <cellStyle name="표준 23 7 4 2 2" xfId="15435"/>
    <cellStyle name="표준 23 7 4 2 2 2" xfId="36311"/>
    <cellStyle name="표준 23 7 4 2 3" xfId="27573"/>
    <cellStyle name="표준 23 7 4 3" xfId="11089"/>
    <cellStyle name="표준 23 7 4 3 2" xfId="19859"/>
    <cellStyle name="표준 23 7 4 3 2 2" xfId="40735"/>
    <cellStyle name="표준 23 7 4 3 3" xfId="31999"/>
    <cellStyle name="표준 23 7 4 4" xfId="11954"/>
    <cellStyle name="표준 23 7 4 4 2" xfId="20720"/>
    <cellStyle name="표준 23 7 4 4 2 2" xfId="41596"/>
    <cellStyle name="표준 23 7 4 4 3" xfId="32860"/>
    <cellStyle name="표준 23 7 4 5" xfId="13617"/>
    <cellStyle name="표준 23 7 4 5 2" xfId="34493"/>
    <cellStyle name="표준 23 7 4 6" xfId="25755"/>
    <cellStyle name="표준 23 7 5" xfId="5269"/>
    <cellStyle name="표준 23 7 5 2" xfId="14278"/>
    <cellStyle name="표준 23 7 5 2 2" xfId="35154"/>
    <cellStyle name="표준 23 7 5 3" xfId="26416"/>
    <cellStyle name="표준 23 7 6" xfId="7071"/>
    <cellStyle name="표준 23 7 6 2" xfId="16079"/>
    <cellStyle name="표준 23 7 6 2 2" xfId="36955"/>
    <cellStyle name="표준 23 7 6 3" xfId="28217"/>
    <cellStyle name="표준 23 7 7" xfId="7716"/>
    <cellStyle name="표준 23 7 7 2" xfId="16722"/>
    <cellStyle name="표준 23 7 7 2 2" xfId="37598"/>
    <cellStyle name="표준 23 7 7 3" xfId="28860"/>
    <cellStyle name="표준 23 7 8" xfId="8564"/>
    <cellStyle name="표준 23 7 8 2" xfId="17569"/>
    <cellStyle name="표준 23 7 8 2 2" xfId="38445"/>
    <cellStyle name="표준 23 7 8 3" xfId="29707"/>
    <cellStyle name="표준 23 7 9" xfId="9388"/>
    <cellStyle name="표준 23 7 9 2" xfId="18387"/>
    <cellStyle name="표준 23 7 9 2 2" xfId="39263"/>
    <cellStyle name="표준 23 7 9 3" xfId="30525"/>
    <cellStyle name="표준 23 8" xfId="3195"/>
    <cellStyle name="표준 23 8 10" xfId="11514"/>
    <cellStyle name="표준 23 8 10 2" xfId="20280"/>
    <cellStyle name="표준 23 8 10 2 2" xfId="41156"/>
    <cellStyle name="표준 23 8 10 3" xfId="32420"/>
    <cellStyle name="표준 23 8 11" xfId="12663"/>
    <cellStyle name="표준 23 8 11 2" xfId="33540"/>
    <cellStyle name="표준 23 8 12" xfId="24790"/>
    <cellStyle name="표준 23 8 2" xfId="3637"/>
    <cellStyle name="표준 23 8 2 2" xfId="5910"/>
    <cellStyle name="표준 23 8 2 2 2" xfId="14919"/>
    <cellStyle name="표준 23 8 2 2 2 2" xfId="35795"/>
    <cellStyle name="표준 23 8 2 2 3" xfId="27057"/>
    <cellStyle name="표준 23 8 2 3" xfId="13100"/>
    <cellStyle name="표준 23 8 2 3 2" xfId="33977"/>
    <cellStyle name="표준 23 8 2 4" xfId="25227"/>
    <cellStyle name="표준 23 8 3" xfId="4798"/>
    <cellStyle name="표준 23 8 3 2" xfId="6630"/>
    <cellStyle name="표준 23 8 3 2 2" xfId="15639"/>
    <cellStyle name="표준 23 8 3 2 2 2" xfId="36515"/>
    <cellStyle name="표준 23 8 3 2 3" xfId="27777"/>
    <cellStyle name="표준 23 8 3 3" xfId="13821"/>
    <cellStyle name="표준 23 8 3 3 2" xfId="34697"/>
    <cellStyle name="표준 23 8 3 4" xfId="25959"/>
    <cellStyle name="표준 23 8 4" xfId="5473"/>
    <cellStyle name="표준 23 8 4 2" xfId="14482"/>
    <cellStyle name="표준 23 8 4 2 2" xfId="35358"/>
    <cellStyle name="표준 23 8 4 3" xfId="26620"/>
    <cellStyle name="표준 23 8 5" xfId="7276"/>
    <cellStyle name="표준 23 8 5 2" xfId="16283"/>
    <cellStyle name="표준 23 8 5 2 2" xfId="37159"/>
    <cellStyle name="표준 23 8 5 3" xfId="28421"/>
    <cellStyle name="표준 23 8 6" xfId="7920"/>
    <cellStyle name="표준 23 8 6 2" xfId="16926"/>
    <cellStyle name="표준 23 8 6 2 2" xfId="37802"/>
    <cellStyle name="표준 23 8 6 3" xfId="29064"/>
    <cellStyle name="표준 23 8 7" xfId="8768"/>
    <cellStyle name="표준 23 8 7 2" xfId="17773"/>
    <cellStyle name="표준 23 8 7 2 2" xfId="38649"/>
    <cellStyle name="표준 23 8 7 3" xfId="29911"/>
    <cellStyle name="표준 23 8 8" xfId="9593"/>
    <cellStyle name="표준 23 8 8 2" xfId="18591"/>
    <cellStyle name="표준 23 8 8 2 2" xfId="39467"/>
    <cellStyle name="표준 23 8 8 3" xfId="30729"/>
    <cellStyle name="표준 23 8 9" xfId="10648"/>
    <cellStyle name="표준 23 8 9 2" xfId="19419"/>
    <cellStyle name="표준 23 8 9 2 2" xfId="40295"/>
    <cellStyle name="표준 23 8 9 3" xfId="31559"/>
    <cellStyle name="표준 23 9" xfId="3427"/>
    <cellStyle name="표준 23 9 10" xfId="12890"/>
    <cellStyle name="표준 23 9 10 2" xfId="33767"/>
    <cellStyle name="표준 23 9 11" xfId="25017"/>
    <cellStyle name="표준 23 9 2" xfId="5020"/>
    <cellStyle name="표준 23 9 2 2" xfId="6847"/>
    <cellStyle name="표준 23 9 2 2 2" xfId="15856"/>
    <cellStyle name="표준 23 9 2 2 2 2" xfId="36732"/>
    <cellStyle name="표준 23 9 2 2 3" xfId="27994"/>
    <cellStyle name="표준 23 9 2 3" xfId="14038"/>
    <cellStyle name="표준 23 9 2 3 2" xfId="34914"/>
    <cellStyle name="표준 23 9 2 4" xfId="26176"/>
    <cellStyle name="표준 23 9 3" xfId="5700"/>
    <cellStyle name="표준 23 9 3 2" xfId="14709"/>
    <cellStyle name="표준 23 9 3 2 2" xfId="35585"/>
    <cellStyle name="표준 23 9 3 3" xfId="26847"/>
    <cellStyle name="표준 23 9 4" xfId="7493"/>
    <cellStyle name="표준 23 9 4 2" xfId="16500"/>
    <cellStyle name="표준 23 9 4 2 2" xfId="37376"/>
    <cellStyle name="표준 23 9 4 3" xfId="28638"/>
    <cellStyle name="표준 23 9 5" xfId="8137"/>
    <cellStyle name="표준 23 9 5 2" xfId="17143"/>
    <cellStyle name="표준 23 9 5 2 2" xfId="38019"/>
    <cellStyle name="표준 23 9 5 3" xfId="29281"/>
    <cellStyle name="표준 23 9 6" xfId="8985"/>
    <cellStyle name="표준 23 9 6 2" xfId="17990"/>
    <cellStyle name="표준 23 9 6 2 2" xfId="38866"/>
    <cellStyle name="표준 23 9 6 3" xfId="30128"/>
    <cellStyle name="표준 23 9 7" xfId="9810"/>
    <cellStyle name="표준 23 9 7 2" xfId="18808"/>
    <cellStyle name="표준 23 9 7 2 2" xfId="39684"/>
    <cellStyle name="표준 23 9 7 3" xfId="30946"/>
    <cellStyle name="표준 23 9 8" xfId="10865"/>
    <cellStyle name="표준 23 9 8 2" xfId="19636"/>
    <cellStyle name="표준 23 9 8 2 2" xfId="40512"/>
    <cellStyle name="표준 23 9 8 3" xfId="31776"/>
    <cellStyle name="표준 23 9 9" xfId="11731"/>
    <cellStyle name="표준 23 9 9 2" xfId="20497"/>
    <cellStyle name="표준 23 9 9 2 2" xfId="41373"/>
    <cellStyle name="표준 23 9 9 3" xfId="32637"/>
    <cellStyle name="표준 24" xfId="2984"/>
    <cellStyle name="표준 24 10" xfId="4593"/>
    <cellStyle name="표준 24 10 2" xfId="6427"/>
    <cellStyle name="표준 24 10 2 2" xfId="15436"/>
    <cellStyle name="표준 24 10 2 2 2" xfId="36312"/>
    <cellStyle name="표준 24 10 2 3" xfId="27574"/>
    <cellStyle name="표준 24 10 3" xfId="11090"/>
    <cellStyle name="표준 24 10 3 2" xfId="19860"/>
    <cellStyle name="표준 24 10 3 2 2" xfId="40736"/>
    <cellStyle name="표준 24 10 3 3" xfId="32000"/>
    <cellStyle name="표준 24 10 4" xfId="11955"/>
    <cellStyle name="표준 24 10 4 2" xfId="20721"/>
    <cellStyle name="표준 24 10 4 2 2" xfId="41597"/>
    <cellStyle name="표준 24 10 4 3" xfId="32861"/>
    <cellStyle name="표준 24 10 5" xfId="13618"/>
    <cellStyle name="표준 24 10 5 2" xfId="34494"/>
    <cellStyle name="표준 24 10 6" xfId="25756"/>
    <cellStyle name="표준 24 11" xfId="5270"/>
    <cellStyle name="표준 24 11 2" xfId="14279"/>
    <cellStyle name="표준 24 11 2 2" xfId="35155"/>
    <cellStyle name="표준 24 11 3" xfId="26417"/>
    <cellStyle name="표준 24 12" xfId="7072"/>
    <cellStyle name="표준 24 12 2" xfId="16080"/>
    <cellStyle name="표준 24 12 2 2" xfId="36956"/>
    <cellStyle name="표준 24 12 3" xfId="28218"/>
    <cellStyle name="표준 24 13" xfId="7717"/>
    <cellStyle name="표준 24 13 2" xfId="16723"/>
    <cellStyle name="표준 24 13 2 2" xfId="37599"/>
    <cellStyle name="표준 24 13 3" xfId="28861"/>
    <cellStyle name="표준 24 14" xfId="8565"/>
    <cellStyle name="표준 24 14 2" xfId="17570"/>
    <cellStyle name="표준 24 14 2 2" xfId="38446"/>
    <cellStyle name="표준 24 14 3" xfId="29708"/>
    <cellStyle name="표준 24 15" xfId="9389"/>
    <cellStyle name="표준 24 15 2" xfId="18388"/>
    <cellStyle name="표준 24 15 2 2" xfId="39264"/>
    <cellStyle name="표준 24 15 3" xfId="30526"/>
    <cellStyle name="표준 24 16" xfId="10445"/>
    <cellStyle name="표준 24 16 2" xfId="19216"/>
    <cellStyle name="표준 24 16 2 2" xfId="40092"/>
    <cellStyle name="표준 24 16 3" xfId="31356"/>
    <cellStyle name="표준 24 17" xfId="11311"/>
    <cellStyle name="표준 24 17 2" xfId="20077"/>
    <cellStyle name="표준 24 17 2 2" xfId="40953"/>
    <cellStyle name="표준 24 17 3" xfId="32217"/>
    <cellStyle name="표준 24 18" xfId="12459"/>
    <cellStyle name="표준 24 18 2" xfId="33337"/>
    <cellStyle name="표준 24 19" xfId="24587"/>
    <cellStyle name="표준 24 2" xfId="2985"/>
    <cellStyle name="표준 24 2 10" xfId="10446"/>
    <cellStyle name="표준 24 2 10 2" xfId="19217"/>
    <cellStyle name="표준 24 2 10 2 2" xfId="40093"/>
    <cellStyle name="표준 24 2 10 3" xfId="31357"/>
    <cellStyle name="표준 24 2 11" xfId="11312"/>
    <cellStyle name="표준 24 2 11 2" xfId="20078"/>
    <cellStyle name="표준 24 2 11 2 2" xfId="40954"/>
    <cellStyle name="표준 24 2 11 3" xfId="32218"/>
    <cellStyle name="표준 24 2 12" xfId="12460"/>
    <cellStyle name="표준 24 2 12 2" xfId="33338"/>
    <cellStyle name="표준 24 2 13" xfId="24588"/>
    <cellStyle name="표준 24 2 2" xfId="3203"/>
    <cellStyle name="표준 24 2 2 10" xfId="11522"/>
    <cellStyle name="표준 24 2 2 10 2" xfId="20288"/>
    <cellStyle name="표준 24 2 2 10 2 2" xfId="41164"/>
    <cellStyle name="표준 24 2 2 10 3" xfId="32428"/>
    <cellStyle name="표준 24 2 2 11" xfId="12671"/>
    <cellStyle name="표준 24 2 2 11 2" xfId="33548"/>
    <cellStyle name="표준 24 2 2 12" xfId="24798"/>
    <cellStyle name="표준 24 2 2 2" xfId="3645"/>
    <cellStyle name="표준 24 2 2 2 2" xfId="5918"/>
    <cellStyle name="표준 24 2 2 2 2 2" xfId="14927"/>
    <cellStyle name="표준 24 2 2 2 2 2 2" xfId="35803"/>
    <cellStyle name="표준 24 2 2 2 2 3" xfId="27065"/>
    <cellStyle name="표준 24 2 2 2 3" xfId="13108"/>
    <cellStyle name="표준 24 2 2 2 3 2" xfId="33985"/>
    <cellStyle name="표준 24 2 2 2 4" xfId="25235"/>
    <cellStyle name="표준 24 2 2 3" xfId="4806"/>
    <cellStyle name="표준 24 2 2 3 2" xfId="6638"/>
    <cellStyle name="표준 24 2 2 3 2 2" xfId="15647"/>
    <cellStyle name="표준 24 2 2 3 2 2 2" xfId="36523"/>
    <cellStyle name="표준 24 2 2 3 2 3" xfId="27785"/>
    <cellStyle name="표준 24 2 2 3 3" xfId="13829"/>
    <cellStyle name="표준 24 2 2 3 3 2" xfId="34705"/>
    <cellStyle name="표준 24 2 2 3 4" xfId="25967"/>
    <cellStyle name="표준 24 2 2 4" xfId="5481"/>
    <cellStyle name="표준 24 2 2 4 2" xfId="14490"/>
    <cellStyle name="표준 24 2 2 4 2 2" xfId="35366"/>
    <cellStyle name="표준 24 2 2 4 3" xfId="26628"/>
    <cellStyle name="표준 24 2 2 5" xfId="7284"/>
    <cellStyle name="표준 24 2 2 5 2" xfId="16291"/>
    <cellStyle name="표준 24 2 2 5 2 2" xfId="37167"/>
    <cellStyle name="표준 24 2 2 5 3" xfId="28429"/>
    <cellStyle name="표준 24 2 2 6" xfId="7928"/>
    <cellStyle name="표준 24 2 2 6 2" xfId="16934"/>
    <cellStyle name="표준 24 2 2 6 2 2" xfId="37810"/>
    <cellStyle name="표준 24 2 2 6 3" xfId="29072"/>
    <cellStyle name="표준 24 2 2 7" xfId="8776"/>
    <cellStyle name="표준 24 2 2 7 2" xfId="17781"/>
    <cellStyle name="표준 24 2 2 7 2 2" xfId="38657"/>
    <cellStyle name="표준 24 2 2 7 3" xfId="29919"/>
    <cellStyle name="표준 24 2 2 8" xfId="9601"/>
    <cellStyle name="표준 24 2 2 8 2" xfId="18599"/>
    <cellStyle name="표준 24 2 2 8 2 2" xfId="39475"/>
    <cellStyle name="표준 24 2 2 8 3" xfId="30737"/>
    <cellStyle name="표준 24 2 2 9" xfId="10656"/>
    <cellStyle name="표준 24 2 2 9 2" xfId="19427"/>
    <cellStyle name="표준 24 2 2 9 2 2" xfId="40303"/>
    <cellStyle name="표준 24 2 2 9 3" xfId="31567"/>
    <cellStyle name="표준 24 2 3" xfId="3435"/>
    <cellStyle name="표준 24 2 3 10" xfId="12898"/>
    <cellStyle name="표준 24 2 3 10 2" xfId="33775"/>
    <cellStyle name="표준 24 2 3 11" xfId="25025"/>
    <cellStyle name="표준 24 2 3 2" xfId="5028"/>
    <cellStyle name="표준 24 2 3 2 2" xfId="6855"/>
    <cellStyle name="표준 24 2 3 2 2 2" xfId="15864"/>
    <cellStyle name="표준 24 2 3 2 2 2 2" xfId="36740"/>
    <cellStyle name="표준 24 2 3 2 2 3" xfId="28002"/>
    <cellStyle name="표준 24 2 3 2 3" xfId="14046"/>
    <cellStyle name="표준 24 2 3 2 3 2" xfId="34922"/>
    <cellStyle name="표준 24 2 3 2 4" xfId="26184"/>
    <cellStyle name="표준 24 2 3 3" xfId="5708"/>
    <cellStyle name="표준 24 2 3 3 2" xfId="14717"/>
    <cellStyle name="표준 24 2 3 3 2 2" xfId="35593"/>
    <cellStyle name="표준 24 2 3 3 3" xfId="26855"/>
    <cellStyle name="표준 24 2 3 4" xfId="7501"/>
    <cellStyle name="표준 24 2 3 4 2" xfId="16508"/>
    <cellStyle name="표준 24 2 3 4 2 2" xfId="37384"/>
    <cellStyle name="표준 24 2 3 4 3" xfId="28646"/>
    <cellStyle name="표준 24 2 3 5" xfId="8145"/>
    <cellStyle name="표준 24 2 3 5 2" xfId="17151"/>
    <cellStyle name="표준 24 2 3 5 2 2" xfId="38027"/>
    <cellStyle name="표준 24 2 3 5 3" xfId="29289"/>
    <cellStyle name="표준 24 2 3 6" xfId="8993"/>
    <cellStyle name="표준 24 2 3 6 2" xfId="17998"/>
    <cellStyle name="표준 24 2 3 6 2 2" xfId="38874"/>
    <cellStyle name="표준 24 2 3 6 3" xfId="30136"/>
    <cellStyle name="표준 24 2 3 7" xfId="9818"/>
    <cellStyle name="표준 24 2 3 7 2" xfId="18816"/>
    <cellStyle name="표준 24 2 3 7 2 2" xfId="39692"/>
    <cellStyle name="표준 24 2 3 7 3" xfId="30954"/>
    <cellStyle name="표준 24 2 3 8" xfId="10873"/>
    <cellStyle name="표준 24 2 3 8 2" xfId="19644"/>
    <cellStyle name="표준 24 2 3 8 2 2" xfId="40520"/>
    <cellStyle name="표준 24 2 3 8 3" xfId="31784"/>
    <cellStyle name="표준 24 2 3 9" xfId="11739"/>
    <cellStyle name="표준 24 2 3 9 2" xfId="20505"/>
    <cellStyle name="표준 24 2 3 9 2 2" xfId="41381"/>
    <cellStyle name="표준 24 2 3 9 3" xfId="32645"/>
    <cellStyle name="표준 24 2 4" xfId="4594"/>
    <cellStyle name="표준 24 2 4 2" xfId="6428"/>
    <cellStyle name="표준 24 2 4 2 2" xfId="15437"/>
    <cellStyle name="표준 24 2 4 2 2 2" xfId="36313"/>
    <cellStyle name="표준 24 2 4 2 3" xfId="27575"/>
    <cellStyle name="표준 24 2 4 3" xfId="11091"/>
    <cellStyle name="표준 24 2 4 3 2" xfId="19861"/>
    <cellStyle name="표준 24 2 4 3 2 2" xfId="40737"/>
    <cellStyle name="표준 24 2 4 3 3" xfId="32001"/>
    <cellStyle name="표준 24 2 4 4" xfId="11956"/>
    <cellStyle name="표준 24 2 4 4 2" xfId="20722"/>
    <cellStyle name="표준 24 2 4 4 2 2" xfId="41598"/>
    <cellStyle name="표준 24 2 4 4 3" xfId="32862"/>
    <cellStyle name="표준 24 2 4 5" xfId="13619"/>
    <cellStyle name="표준 24 2 4 5 2" xfId="34495"/>
    <cellStyle name="표준 24 2 4 6" xfId="25757"/>
    <cellStyle name="표준 24 2 5" xfId="5271"/>
    <cellStyle name="표준 24 2 5 2" xfId="14280"/>
    <cellStyle name="표준 24 2 5 2 2" xfId="35156"/>
    <cellStyle name="표준 24 2 5 3" xfId="26418"/>
    <cellStyle name="표준 24 2 6" xfId="7073"/>
    <cellStyle name="표준 24 2 6 2" xfId="16081"/>
    <cellStyle name="표준 24 2 6 2 2" xfId="36957"/>
    <cellStyle name="표준 24 2 6 3" xfId="28219"/>
    <cellStyle name="표준 24 2 7" xfId="7718"/>
    <cellStyle name="표준 24 2 7 2" xfId="16724"/>
    <cellStyle name="표준 24 2 7 2 2" xfId="37600"/>
    <cellStyle name="표준 24 2 7 3" xfId="28862"/>
    <cellStyle name="표준 24 2 8" xfId="8566"/>
    <cellStyle name="표준 24 2 8 2" xfId="17571"/>
    <cellStyle name="표준 24 2 8 2 2" xfId="38447"/>
    <cellStyle name="표준 24 2 8 3" xfId="29709"/>
    <cellStyle name="표준 24 2 9" xfId="9390"/>
    <cellStyle name="표준 24 2 9 2" xfId="18389"/>
    <cellStyle name="표준 24 2 9 2 2" xfId="39265"/>
    <cellStyle name="표준 24 2 9 3" xfId="30527"/>
    <cellStyle name="표준 24 3" xfId="2986"/>
    <cellStyle name="표준 24 3 10" xfId="10447"/>
    <cellStyle name="표준 24 3 10 2" xfId="19218"/>
    <cellStyle name="표준 24 3 10 2 2" xfId="40094"/>
    <cellStyle name="표준 24 3 10 3" xfId="31358"/>
    <cellStyle name="표준 24 3 11" xfId="11313"/>
    <cellStyle name="표준 24 3 11 2" xfId="20079"/>
    <cellStyle name="표준 24 3 11 2 2" xfId="40955"/>
    <cellStyle name="표준 24 3 11 3" xfId="32219"/>
    <cellStyle name="표준 24 3 12" xfId="12461"/>
    <cellStyle name="표준 24 3 12 2" xfId="33339"/>
    <cellStyle name="표준 24 3 13" xfId="24589"/>
    <cellStyle name="표준 24 3 2" xfId="3204"/>
    <cellStyle name="표준 24 3 2 10" xfId="11523"/>
    <cellStyle name="표준 24 3 2 10 2" xfId="20289"/>
    <cellStyle name="표준 24 3 2 10 2 2" xfId="41165"/>
    <cellStyle name="표준 24 3 2 10 3" xfId="32429"/>
    <cellStyle name="표준 24 3 2 11" xfId="12672"/>
    <cellStyle name="표준 24 3 2 11 2" xfId="33549"/>
    <cellStyle name="표준 24 3 2 12" xfId="24799"/>
    <cellStyle name="표준 24 3 2 2" xfId="3646"/>
    <cellStyle name="표준 24 3 2 2 2" xfId="5919"/>
    <cellStyle name="표준 24 3 2 2 2 2" xfId="14928"/>
    <cellStyle name="표준 24 3 2 2 2 2 2" xfId="35804"/>
    <cellStyle name="표준 24 3 2 2 2 3" xfId="27066"/>
    <cellStyle name="표준 24 3 2 2 3" xfId="13109"/>
    <cellStyle name="표준 24 3 2 2 3 2" xfId="33986"/>
    <cellStyle name="표준 24 3 2 2 4" xfId="25236"/>
    <cellStyle name="표준 24 3 2 3" xfId="4807"/>
    <cellStyle name="표준 24 3 2 3 2" xfId="6639"/>
    <cellStyle name="표준 24 3 2 3 2 2" xfId="15648"/>
    <cellStyle name="표준 24 3 2 3 2 2 2" xfId="36524"/>
    <cellStyle name="표준 24 3 2 3 2 3" xfId="27786"/>
    <cellStyle name="표준 24 3 2 3 3" xfId="13830"/>
    <cellStyle name="표준 24 3 2 3 3 2" xfId="34706"/>
    <cellStyle name="표준 24 3 2 3 4" xfId="25968"/>
    <cellStyle name="표준 24 3 2 4" xfId="5482"/>
    <cellStyle name="표준 24 3 2 4 2" xfId="14491"/>
    <cellStyle name="표준 24 3 2 4 2 2" xfId="35367"/>
    <cellStyle name="표준 24 3 2 4 3" xfId="26629"/>
    <cellStyle name="표준 24 3 2 5" xfId="7285"/>
    <cellStyle name="표준 24 3 2 5 2" xfId="16292"/>
    <cellStyle name="표준 24 3 2 5 2 2" xfId="37168"/>
    <cellStyle name="표준 24 3 2 5 3" xfId="28430"/>
    <cellStyle name="표준 24 3 2 6" xfId="7929"/>
    <cellStyle name="표준 24 3 2 6 2" xfId="16935"/>
    <cellStyle name="표준 24 3 2 6 2 2" xfId="37811"/>
    <cellStyle name="표준 24 3 2 6 3" xfId="29073"/>
    <cellStyle name="표준 24 3 2 7" xfId="8777"/>
    <cellStyle name="표준 24 3 2 7 2" xfId="17782"/>
    <cellStyle name="표준 24 3 2 7 2 2" xfId="38658"/>
    <cellStyle name="표준 24 3 2 7 3" xfId="29920"/>
    <cellStyle name="표준 24 3 2 8" xfId="9602"/>
    <cellStyle name="표준 24 3 2 8 2" xfId="18600"/>
    <cellStyle name="표준 24 3 2 8 2 2" xfId="39476"/>
    <cellStyle name="표준 24 3 2 8 3" xfId="30738"/>
    <cellStyle name="표준 24 3 2 9" xfId="10657"/>
    <cellStyle name="표준 24 3 2 9 2" xfId="19428"/>
    <cellStyle name="표준 24 3 2 9 2 2" xfId="40304"/>
    <cellStyle name="표준 24 3 2 9 3" xfId="31568"/>
    <cellStyle name="표준 24 3 3" xfId="3436"/>
    <cellStyle name="표준 24 3 3 10" xfId="12899"/>
    <cellStyle name="표준 24 3 3 10 2" xfId="33776"/>
    <cellStyle name="표준 24 3 3 11" xfId="25026"/>
    <cellStyle name="표준 24 3 3 2" xfId="5029"/>
    <cellStyle name="표준 24 3 3 2 2" xfId="6856"/>
    <cellStyle name="표준 24 3 3 2 2 2" xfId="15865"/>
    <cellStyle name="표준 24 3 3 2 2 2 2" xfId="36741"/>
    <cellStyle name="표준 24 3 3 2 2 3" xfId="28003"/>
    <cellStyle name="표준 24 3 3 2 3" xfId="14047"/>
    <cellStyle name="표준 24 3 3 2 3 2" xfId="34923"/>
    <cellStyle name="표준 24 3 3 2 4" xfId="26185"/>
    <cellStyle name="표준 24 3 3 3" xfId="5709"/>
    <cellStyle name="표준 24 3 3 3 2" xfId="14718"/>
    <cellStyle name="표준 24 3 3 3 2 2" xfId="35594"/>
    <cellStyle name="표준 24 3 3 3 3" xfId="26856"/>
    <cellStyle name="표준 24 3 3 4" xfId="7502"/>
    <cellStyle name="표준 24 3 3 4 2" xfId="16509"/>
    <cellStyle name="표준 24 3 3 4 2 2" xfId="37385"/>
    <cellStyle name="표준 24 3 3 4 3" xfId="28647"/>
    <cellStyle name="표준 24 3 3 5" xfId="8146"/>
    <cellStyle name="표준 24 3 3 5 2" xfId="17152"/>
    <cellStyle name="표준 24 3 3 5 2 2" xfId="38028"/>
    <cellStyle name="표준 24 3 3 5 3" xfId="29290"/>
    <cellStyle name="표준 24 3 3 6" xfId="8994"/>
    <cellStyle name="표준 24 3 3 6 2" xfId="17999"/>
    <cellStyle name="표준 24 3 3 6 2 2" xfId="38875"/>
    <cellStyle name="표준 24 3 3 6 3" xfId="30137"/>
    <cellStyle name="표준 24 3 3 7" xfId="9819"/>
    <cellStyle name="표준 24 3 3 7 2" xfId="18817"/>
    <cellStyle name="표준 24 3 3 7 2 2" xfId="39693"/>
    <cellStyle name="표준 24 3 3 7 3" xfId="30955"/>
    <cellStyle name="표준 24 3 3 8" xfId="10874"/>
    <cellStyle name="표준 24 3 3 8 2" xfId="19645"/>
    <cellStyle name="표준 24 3 3 8 2 2" xfId="40521"/>
    <cellStyle name="표준 24 3 3 8 3" xfId="31785"/>
    <cellStyle name="표준 24 3 3 9" xfId="11740"/>
    <cellStyle name="표준 24 3 3 9 2" xfId="20506"/>
    <cellStyle name="표준 24 3 3 9 2 2" xfId="41382"/>
    <cellStyle name="표준 24 3 3 9 3" xfId="32646"/>
    <cellStyle name="표준 24 3 4" xfId="4595"/>
    <cellStyle name="표준 24 3 4 2" xfId="6429"/>
    <cellStyle name="표준 24 3 4 2 2" xfId="15438"/>
    <cellStyle name="표준 24 3 4 2 2 2" xfId="36314"/>
    <cellStyle name="표준 24 3 4 2 3" xfId="27576"/>
    <cellStyle name="표준 24 3 4 3" xfId="11092"/>
    <cellStyle name="표준 24 3 4 3 2" xfId="19862"/>
    <cellStyle name="표준 24 3 4 3 2 2" xfId="40738"/>
    <cellStyle name="표준 24 3 4 3 3" xfId="32002"/>
    <cellStyle name="표준 24 3 4 4" xfId="11957"/>
    <cellStyle name="표준 24 3 4 4 2" xfId="20723"/>
    <cellStyle name="표준 24 3 4 4 2 2" xfId="41599"/>
    <cellStyle name="표준 24 3 4 4 3" xfId="32863"/>
    <cellStyle name="표준 24 3 4 5" xfId="13620"/>
    <cellStyle name="표준 24 3 4 5 2" xfId="34496"/>
    <cellStyle name="표준 24 3 4 6" xfId="25758"/>
    <cellStyle name="표준 24 3 5" xfId="5272"/>
    <cellStyle name="표준 24 3 5 2" xfId="14281"/>
    <cellStyle name="표준 24 3 5 2 2" xfId="35157"/>
    <cellStyle name="표준 24 3 5 3" xfId="26419"/>
    <cellStyle name="표준 24 3 6" xfId="7074"/>
    <cellStyle name="표준 24 3 6 2" xfId="16082"/>
    <cellStyle name="표준 24 3 6 2 2" xfId="36958"/>
    <cellStyle name="표준 24 3 6 3" xfId="28220"/>
    <cellStyle name="표준 24 3 7" xfId="7719"/>
    <cellStyle name="표준 24 3 7 2" xfId="16725"/>
    <cellStyle name="표준 24 3 7 2 2" xfId="37601"/>
    <cellStyle name="표준 24 3 7 3" xfId="28863"/>
    <cellStyle name="표준 24 3 8" xfId="8567"/>
    <cellStyle name="표준 24 3 8 2" xfId="17572"/>
    <cellStyle name="표준 24 3 8 2 2" xfId="38448"/>
    <cellStyle name="표준 24 3 8 3" xfId="29710"/>
    <cellStyle name="표준 24 3 9" xfId="9391"/>
    <cellStyle name="표준 24 3 9 2" xfId="18390"/>
    <cellStyle name="표준 24 3 9 2 2" xfId="39266"/>
    <cellStyle name="표준 24 3 9 3" xfId="30528"/>
    <cellStyle name="표준 24 4" xfId="2987"/>
    <cellStyle name="표준 24 4 10" xfId="10448"/>
    <cellStyle name="표준 24 4 10 2" xfId="19219"/>
    <cellStyle name="표준 24 4 10 2 2" xfId="40095"/>
    <cellStyle name="표준 24 4 10 3" xfId="31359"/>
    <cellStyle name="표준 24 4 11" xfId="11314"/>
    <cellStyle name="표준 24 4 11 2" xfId="20080"/>
    <cellStyle name="표준 24 4 11 2 2" xfId="40956"/>
    <cellStyle name="표준 24 4 11 3" xfId="32220"/>
    <cellStyle name="표준 24 4 12" xfId="12462"/>
    <cellStyle name="표준 24 4 12 2" xfId="33340"/>
    <cellStyle name="표준 24 4 13" xfId="24590"/>
    <cellStyle name="표준 24 4 2" xfId="3205"/>
    <cellStyle name="표준 24 4 2 10" xfId="11524"/>
    <cellStyle name="표준 24 4 2 10 2" xfId="20290"/>
    <cellStyle name="표준 24 4 2 10 2 2" xfId="41166"/>
    <cellStyle name="표준 24 4 2 10 3" xfId="32430"/>
    <cellStyle name="표준 24 4 2 11" xfId="12673"/>
    <cellStyle name="표준 24 4 2 11 2" xfId="33550"/>
    <cellStyle name="표준 24 4 2 12" xfId="24800"/>
    <cellStyle name="표준 24 4 2 2" xfId="3647"/>
    <cellStyle name="표준 24 4 2 2 2" xfId="5920"/>
    <cellStyle name="표준 24 4 2 2 2 2" xfId="14929"/>
    <cellStyle name="표준 24 4 2 2 2 2 2" xfId="35805"/>
    <cellStyle name="표준 24 4 2 2 2 3" xfId="27067"/>
    <cellStyle name="표준 24 4 2 2 3" xfId="13110"/>
    <cellStyle name="표준 24 4 2 2 3 2" xfId="33987"/>
    <cellStyle name="표준 24 4 2 2 4" xfId="25237"/>
    <cellStyle name="표준 24 4 2 3" xfId="4808"/>
    <cellStyle name="표준 24 4 2 3 2" xfId="6640"/>
    <cellStyle name="표준 24 4 2 3 2 2" xfId="15649"/>
    <cellStyle name="표준 24 4 2 3 2 2 2" xfId="36525"/>
    <cellStyle name="표준 24 4 2 3 2 3" xfId="27787"/>
    <cellStyle name="표준 24 4 2 3 3" xfId="13831"/>
    <cellStyle name="표준 24 4 2 3 3 2" xfId="34707"/>
    <cellStyle name="표준 24 4 2 3 4" xfId="25969"/>
    <cellStyle name="표준 24 4 2 4" xfId="5483"/>
    <cellStyle name="표준 24 4 2 4 2" xfId="14492"/>
    <cellStyle name="표준 24 4 2 4 2 2" xfId="35368"/>
    <cellStyle name="표준 24 4 2 4 3" xfId="26630"/>
    <cellStyle name="표준 24 4 2 5" xfId="7286"/>
    <cellStyle name="표준 24 4 2 5 2" xfId="16293"/>
    <cellStyle name="표준 24 4 2 5 2 2" xfId="37169"/>
    <cellStyle name="표준 24 4 2 5 3" xfId="28431"/>
    <cellStyle name="표준 24 4 2 6" xfId="7930"/>
    <cellStyle name="표준 24 4 2 6 2" xfId="16936"/>
    <cellStyle name="표준 24 4 2 6 2 2" xfId="37812"/>
    <cellStyle name="표준 24 4 2 6 3" xfId="29074"/>
    <cellStyle name="표준 24 4 2 7" xfId="8778"/>
    <cellStyle name="표준 24 4 2 7 2" xfId="17783"/>
    <cellStyle name="표준 24 4 2 7 2 2" xfId="38659"/>
    <cellStyle name="표준 24 4 2 7 3" xfId="29921"/>
    <cellStyle name="표준 24 4 2 8" xfId="9603"/>
    <cellStyle name="표준 24 4 2 8 2" xfId="18601"/>
    <cellStyle name="표준 24 4 2 8 2 2" xfId="39477"/>
    <cellStyle name="표준 24 4 2 8 3" xfId="30739"/>
    <cellStyle name="표준 24 4 2 9" xfId="10658"/>
    <cellStyle name="표준 24 4 2 9 2" xfId="19429"/>
    <cellStyle name="표준 24 4 2 9 2 2" xfId="40305"/>
    <cellStyle name="표준 24 4 2 9 3" xfId="31569"/>
    <cellStyle name="표준 24 4 3" xfId="3437"/>
    <cellStyle name="표준 24 4 3 10" xfId="12900"/>
    <cellStyle name="표준 24 4 3 10 2" xfId="33777"/>
    <cellStyle name="표준 24 4 3 11" xfId="25027"/>
    <cellStyle name="표준 24 4 3 2" xfId="5030"/>
    <cellStyle name="표준 24 4 3 2 2" xfId="6857"/>
    <cellStyle name="표준 24 4 3 2 2 2" xfId="15866"/>
    <cellStyle name="표준 24 4 3 2 2 2 2" xfId="36742"/>
    <cellStyle name="표준 24 4 3 2 2 3" xfId="28004"/>
    <cellStyle name="표준 24 4 3 2 3" xfId="14048"/>
    <cellStyle name="표준 24 4 3 2 3 2" xfId="34924"/>
    <cellStyle name="표준 24 4 3 2 4" xfId="26186"/>
    <cellStyle name="표준 24 4 3 3" xfId="5710"/>
    <cellStyle name="표준 24 4 3 3 2" xfId="14719"/>
    <cellStyle name="표준 24 4 3 3 2 2" xfId="35595"/>
    <cellStyle name="표준 24 4 3 3 3" xfId="26857"/>
    <cellStyle name="표준 24 4 3 4" xfId="7503"/>
    <cellStyle name="표준 24 4 3 4 2" xfId="16510"/>
    <cellStyle name="표준 24 4 3 4 2 2" xfId="37386"/>
    <cellStyle name="표준 24 4 3 4 3" xfId="28648"/>
    <cellStyle name="표준 24 4 3 5" xfId="8147"/>
    <cellStyle name="표준 24 4 3 5 2" xfId="17153"/>
    <cellStyle name="표준 24 4 3 5 2 2" xfId="38029"/>
    <cellStyle name="표준 24 4 3 5 3" xfId="29291"/>
    <cellStyle name="표준 24 4 3 6" xfId="8995"/>
    <cellStyle name="표준 24 4 3 6 2" xfId="18000"/>
    <cellStyle name="표준 24 4 3 6 2 2" xfId="38876"/>
    <cellStyle name="표준 24 4 3 6 3" xfId="30138"/>
    <cellStyle name="표준 24 4 3 7" xfId="9820"/>
    <cellStyle name="표준 24 4 3 7 2" xfId="18818"/>
    <cellStyle name="표준 24 4 3 7 2 2" xfId="39694"/>
    <cellStyle name="표준 24 4 3 7 3" xfId="30956"/>
    <cellStyle name="표준 24 4 3 8" xfId="10875"/>
    <cellStyle name="표준 24 4 3 8 2" xfId="19646"/>
    <cellStyle name="표준 24 4 3 8 2 2" xfId="40522"/>
    <cellStyle name="표준 24 4 3 8 3" xfId="31786"/>
    <cellStyle name="표준 24 4 3 9" xfId="11741"/>
    <cellStyle name="표준 24 4 3 9 2" xfId="20507"/>
    <cellStyle name="표준 24 4 3 9 2 2" xfId="41383"/>
    <cellStyle name="표준 24 4 3 9 3" xfId="32647"/>
    <cellStyle name="표준 24 4 4" xfId="4596"/>
    <cellStyle name="표준 24 4 4 2" xfId="6430"/>
    <cellStyle name="표준 24 4 4 2 2" xfId="15439"/>
    <cellStyle name="표준 24 4 4 2 2 2" xfId="36315"/>
    <cellStyle name="표준 24 4 4 2 3" xfId="27577"/>
    <cellStyle name="표준 24 4 4 3" xfId="11093"/>
    <cellStyle name="표준 24 4 4 3 2" xfId="19863"/>
    <cellStyle name="표준 24 4 4 3 2 2" xfId="40739"/>
    <cellStyle name="표준 24 4 4 3 3" xfId="32003"/>
    <cellStyle name="표준 24 4 4 4" xfId="11958"/>
    <cellStyle name="표준 24 4 4 4 2" xfId="20724"/>
    <cellStyle name="표준 24 4 4 4 2 2" xfId="41600"/>
    <cellStyle name="표준 24 4 4 4 3" xfId="32864"/>
    <cellStyle name="표준 24 4 4 5" xfId="13621"/>
    <cellStyle name="표준 24 4 4 5 2" xfId="34497"/>
    <cellStyle name="표준 24 4 4 6" xfId="25759"/>
    <cellStyle name="표준 24 4 5" xfId="5273"/>
    <cellStyle name="표준 24 4 5 2" xfId="14282"/>
    <cellStyle name="표준 24 4 5 2 2" xfId="35158"/>
    <cellStyle name="표준 24 4 5 3" xfId="26420"/>
    <cellStyle name="표준 24 4 6" xfId="7075"/>
    <cellStyle name="표준 24 4 6 2" xfId="16083"/>
    <cellStyle name="표준 24 4 6 2 2" xfId="36959"/>
    <cellStyle name="표준 24 4 6 3" xfId="28221"/>
    <cellStyle name="표준 24 4 7" xfId="7720"/>
    <cellStyle name="표준 24 4 7 2" xfId="16726"/>
    <cellStyle name="표준 24 4 7 2 2" xfId="37602"/>
    <cellStyle name="표준 24 4 7 3" xfId="28864"/>
    <cellStyle name="표준 24 4 8" xfId="8568"/>
    <cellStyle name="표준 24 4 8 2" xfId="17573"/>
    <cellStyle name="표준 24 4 8 2 2" xfId="38449"/>
    <cellStyle name="표준 24 4 8 3" xfId="29711"/>
    <cellStyle name="표준 24 4 9" xfId="9392"/>
    <cellStyle name="표준 24 4 9 2" xfId="18391"/>
    <cellStyle name="표준 24 4 9 2 2" xfId="39267"/>
    <cellStyle name="표준 24 4 9 3" xfId="30529"/>
    <cellStyle name="표준 24 5" xfId="2988"/>
    <cellStyle name="표준 24 5 10" xfId="10449"/>
    <cellStyle name="표준 24 5 10 2" xfId="19220"/>
    <cellStyle name="표준 24 5 10 2 2" xfId="40096"/>
    <cellStyle name="표준 24 5 10 3" xfId="31360"/>
    <cellStyle name="표준 24 5 11" xfId="11315"/>
    <cellStyle name="표준 24 5 11 2" xfId="20081"/>
    <cellStyle name="표준 24 5 11 2 2" xfId="40957"/>
    <cellStyle name="표준 24 5 11 3" xfId="32221"/>
    <cellStyle name="표준 24 5 12" xfId="12463"/>
    <cellStyle name="표준 24 5 12 2" xfId="33341"/>
    <cellStyle name="표준 24 5 13" xfId="24591"/>
    <cellStyle name="표준 24 5 2" xfId="3206"/>
    <cellStyle name="표준 24 5 2 10" xfId="11525"/>
    <cellStyle name="표준 24 5 2 10 2" xfId="20291"/>
    <cellStyle name="표준 24 5 2 10 2 2" xfId="41167"/>
    <cellStyle name="표준 24 5 2 10 3" xfId="32431"/>
    <cellStyle name="표준 24 5 2 11" xfId="12674"/>
    <cellStyle name="표준 24 5 2 11 2" xfId="33551"/>
    <cellStyle name="표준 24 5 2 12" xfId="24801"/>
    <cellStyle name="표준 24 5 2 2" xfId="3648"/>
    <cellStyle name="표준 24 5 2 2 2" xfId="5921"/>
    <cellStyle name="표준 24 5 2 2 2 2" xfId="14930"/>
    <cellStyle name="표준 24 5 2 2 2 2 2" xfId="35806"/>
    <cellStyle name="표준 24 5 2 2 2 3" xfId="27068"/>
    <cellStyle name="표준 24 5 2 2 3" xfId="13111"/>
    <cellStyle name="표준 24 5 2 2 3 2" xfId="33988"/>
    <cellStyle name="표준 24 5 2 2 4" xfId="25238"/>
    <cellStyle name="표준 24 5 2 3" xfId="4809"/>
    <cellStyle name="표준 24 5 2 3 2" xfId="6641"/>
    <cellStyle name="표준 24 5 2 3 2 2" xfId="15650"/>
    <cellStyle name="표준 24 5 2 3 2 2 2" xfId="36526"/>
    <cellStyle name="표준 24 5 2 3 2 3" xfId="27788"/>
    <cellStyle name="표준 24 5 2 3 3" xfId="13832"/>
    <cellStyle name="표준 24 5 2 3 3 2" xfId="34708"/>
    <cellStyle name="표준 24 5 2 3 4" xfId="25970"/>
    <cellStyle name="표준 24 5 2 4" xfId="5484"/>
    <cellStyle name="표준 24 5 2 4 2" xfId="14493"/>
    <cellStyle name="표준 24 5 2 4 2 2" xfId="35369"/>
    <cellStyle name="표준 24 5 2 4 3" xfId="26631"/>
    <cellStyle name="표준 24 5 2 5" xfId="7287"/>
    <cellStyle name="표준 24 5 2 5 2" xfId="16294"/>
    <cellStyle name="표준 24 5 2 5 2 2" xfId="37170"/>
    <cellStyle name="표준 24 5 2 5 3" xfId="28432"/>
    <cellStyle name="표준 24 5 2 6" xfId="7931"/>
    <cellStyle name="표준 24 5 2 6 2" xfId="16937"/>
    <cellStyle name="표준 24 5 2 6 2 2" xfId="37813"/>
    <cellStyle name="표준 24 5 2 6 3" xfId="29075"/>
    <cellStyle name="표준 24 5 2 7" xfId="8779"/>
    <cellStyle name="표준 24 5 2 7 2" xfId="17784"/>
    <cellStyle name="표준 24 5 2 7 2 2" xfId="38660"/>
    <cellStyle name="표준 24 5 2 7 3" xfId="29922"/>
    <cellStyle name="표준 24 5 2 8" xfId="9604"/>
    <cellStyle name="표준 24 5 2 8 2" xfId="18602"/>
    <cellStyle name="표준 24 5 2 8 2 2" xfId="39478"/>
    <cellStyle name="표준 24 5 2 8 3" xfId="30740"/>
    <cellStyle name="표준 24 5 2 9" xfId="10659"/>
    <cellStyle name="표준 24 5 2 9 2" xfId="19430"/>
    <cellStyle name="표준 24 5 2 9 2 2" xfId="40306"/>
    <cellStyle name="표준 24 5 2 9 3" xfId="31570"/>
    <cellStyle name="표준 24 5 3" xfId="3438"/>
    <cellStyle name="표준 24 5 3 10" xfId="12901"/>
    <cellStyle name="표준 24 5 3 10 2" xfId="33778"/>
    <cellStyle name="표준 24 5 3 11" xfId="25028"/>
    <cellStyle name="표준 24 5 3 2" xfId="5031"/>
    <cellStyle name="표준 24 5 3 2 2" xfId="6858"/>
    <cellStyle name="표준 24 5 3 2 2 2" xfId="15867"/>
    <cellStyle name="표준 24 5 3 2 2 2 2" xfId="36743"/>
    <cellStyle name="표준 24 5 3 2 2 3" xfId="28005"/>
    <cellStyle name="표준 24 5 3 2 3" xfId="14049"/>
    <cellStyle name="표준 24 5 3 2 3 2" xfId="34925"/>
    <cellStyle name="표준 24 5 3 2 4" xfId="26187"/>
    <cellStyle name="표준 24 5 3 3" xfId="5711"/>
    <cellStyle name="표준 24 5 3 3 2" xfId="14720"/>
    <cellStyle name="표준 24 5 3 3 2 2" xfId="35596"/>
    <cellStyle name="표준 24 5 3 3 3" xfId="26858"/>
    <cellStyle name="표준 24 5 3 4" xfId="7504"/>
    <cellStyle name="표준 24 5 3 4 2" xfId="16511"/>
    <cellStyle name="표준 24 5 3 4 2 2" xfId="37387"/>
    <cellStyle name="표준 24 5 3 4 3" xfId="28649"/>
    <cellStyle name="표준 24 5 3 5" xfId="8148"/>
    <cellStyle name="표준 24 5 3 5 2" xfId="17154"/>
    <cellStyle name="표준 24 5 3 5 2 2" xfId="38030"/>
    <cellStyle name="표준 24 5 3 5 3" xfId="29292"/>
    <cellStyle name="표준 24 5 3 6" xfId="8996"/>
    <cellStyle name="표준 24 5 3 6 2" xfId="18001"/>
    <cellStyle name="표준 24 5 3 6 2 2" xfId="38877"/>
    <cellStyle name="표준 24 5 3 6 3" xfId="30139"/>
    <cellStyle name="표준 24 5 3 7" xfId="9821"/>
    <cellStyle name="표준 24 5 3 7 2" xfId="18819"/>
    <cellStyle name="표준 24 5 3 7 2 2" xfId="39695"/>
    <cellStyle name="표준 24 5 3 7 3" xfId="30957"/>
    <cellStyle name="표준 24 5 3 8" xfId="10876"/>
    <cellStyle name="표준 24 5 3 8 2" xfId="19647"/>
    <cellStyle name="표준 24 5 3 8 2 2" xfId="40523"/>
    <cellStyle name="표준 24 5 3 8 3" xfId="31787"/>
    <cellStyle name="표준 24 5 3 9" xfId="11742"/>
    <cellStyle name="표준 24 5 3 9 2" xfId="20508"/>
    <cellStyle name="표준 24 5 3 9 2 2" xfId="41384"/>
    <cellStyle name="표준 24 5 3 9 3" xfId="32648"/>
    <cellStyle name="표준 24 5 4" xfId="4597"/>
    <cellStyle name="표준 24 5 4 2" xfId="6431"/>
    <cellStyle name="표준 24 5 4 2 2" xfId="15440"/>
    <cellStyle name="표준 24 5 4 2 2 2" xfId="36316"/>
    <cellStyle name="표준 24 5 4 2 3" xfId="27578"/>
    <cellStyle name="표준 24 5 4 3" xfId="11094"/>
    <cellStyle name="표준 24 5 4 3 2" xfId="19864"/>
    <cellStyle name="표준 24 5 4 3 2 2" xfId="40740"/>
    <cellStyle name="표준 24 5 4 3 3" xfId="32004"/>
    <cellStyle name="표준 24 5 4 4" xfId="11959"/>
    <cellStyle name="표준 24 5 4 4 2" xfId="20725"/>
    <cellStyle name="표준 24 5 4 4 2 2" xfId="41601"/>
    <cellStyle name="표준 24 5 4 4 3" xfId="32865"/>
    <cellStyle name="표준 24 5 4 5" xfId="13622"/>
    <cellStyle name="표준 24 5 4 5 2" xfId="34498"/>
    <cellStyle name="표준 24 5 4 6" xfId="25760"/>
    <cellStyle name="표준 24 5 5" xfId="5274"/>
    <cellStyle name="표준 24 5 5 2" xfId="14283"/>
    <cellStyle name="표준 24 5 5 2 2" xfId="35159"/>
    <cellStyle name="표준 24 5 5 3" xfId="26421"/>
    <cellStyle name="표준 24 5 6" xfId="7076"/>
    <cellStyle name="표준 24 5 6 2" xfId="16084"/>
    <cellStyle name="표준 24 5 6 2 2" xfId="36960"/>
    <cellStyle name="표준 24 5 6 3" xfId="28222"/>
    <cellStyle name="표준 24 5 7" xfId="7721"/>
    <cellStyle name="표준 24 5 7 2" xfId="16727"/>
    <cellStyle name="표준 24 5 7 2 2" xfId="37603"/>
    <cellStyle name="표준 24 5 7 3" xfId="28865"/>
    <cellStyle name="표준 24 5 8" xfId="8569"/>
    <cellStyle name="표준 24 5 8 2" xfId="17574"/>
    <cellStyle name="표준 24 5 8 2 2" xfId="38450"/>
    <cellStyle name="표준 24 5 8 3" xfId="29712"/>
    <cellStyle name="표준 24 5 9" xfId="9393"/>
    <cellStyle name="표준 24 5 9 2" xfId="18392"/>
    <cellStyle name="표준 24 5 9 2 2" xfId="39268"/>
    <cellStyle name="표준 24 5 9 3" xfId="30530"/>
    <cellStyle name="표준 24 6" xfId="2989"/>
    <cellStyle name="표준 24 6 10" xfId="10450"/>
    <cellStyle name="표준 24 6 10 2" xfId="19221"/>
    <cellStyle name="표준 24 6 10 2 2" xfId="40097"/>
    <cellStyle name="표준 24 6 10 3" xfId="31361"/>
    <cellStyle name="표준 24 6 11" xfId="11316"/>
    <cellStyle name="표준 24 6 11 2" xfId="20082"/>
    <cellStyle name="표준 24 6 11 2 2" xfId="40958"/>
    <cellStyle name="표준 24 6 11 3" xfId="32222"/>
    <cellStyle name="표준 24 6 12" xfId="12464"/>
    <cellStyle name="표준 24 6 12 2" xfId="33342"/>
    <cellStyle name="표준 24 6 13" xfId="24592"/>
    <cellStyle name="표준 24 6 2" xfId="3207"/>
    <cellStyle name="표준 24 6 2 10" xfId="11526"/>
    <cellStyle name="표준 24 6 2 10 2" xfId="20292"/>
    <cellStyle name="표준 24 6 2 10 2 2" xfId="41168"/>
    <cellStyle name="표준 24 6 2 10 3" xfId="32432"/>
    <cellStyle name="표준 24 6 2 11" xfId="12675"/>
    <cellStyle name="표준 24 6 2 11 2" xfId="33552"/>
    <cellStyle name="표준 24 6 2 12" xfId="24802"/>
    <cellStyle name="표준 24 6 2 2" xfId="3649"/>
    <cellStyle name="표준 24 6 2 2 2" xfId="5922"/>
    <cellStyle name="표준 24 6 2 2 2 2" xfId="14931"/>
    <cellStyle name="표준 24 6 2 2 2 2 2" xfId="35807"/>
    <cellStyle name="표준 24 6 2 2 2 3" xfId="27069"/>
    <cellStyle name="표준 24 6 2 2 3" xfId="13112"/>
    <cellStyle name="표준 24 6 2 2 3 2" xfId="33989"/>
    <cellStyle name="표준 24 6 2 2 4" xfId="25239"/>
    <cellStyle name="표준 24 6 2 3" xfId="4810"/>
    <cellStyle name="표준 24 6 2 3 2" xfId="6642"/>
    <cellStyle name="표준 24 6 2 3 2 2" xfId="15651"/>
    <cellStyle name="표준 24 6 2 3 2 2 2" xfId="36527"/>
    <cellStyle name="표준 24 6 2 3 2 3" xfId="27789"/>
    <cellStyle name="표준 24 6 2 3 3" xfId="13833"/>
    <cellStyle name="표준 24 6 2 3 3 2" xfId="34709"/>
    <cellStyle name="표준 24 6 2 3 4" xfId="25971"/>
    <cellStyle name="표준 24 6 2 4" xfId="5485"/>
    <cellStyle name="표준 24 6 2 4 2" xfId="14494"/>
    <cellStyle name="표준 24 6 2 4 2 2" xfId="35370"/>
    <cellStyle name="표준 24 6 2 4 3" xfId="26632"/>
    <cellStyle name="표준 24 6 2 5" xfId="7288"/>
    <cellStyle name="표준 24 6 2 5 2" xfId="16295"/>
    <cellStyle name="표준 24 6 2 5 2 2" xfId="37171"/>
    <cellStyle name="표준 24 6 2 5 3" xfId="28433"/>
    <cellStyle name="표준 24 6 2 6" xfId="7932"/>
    <cellStyle name="표준 24 6 2 6 2" xfId="16938"/>
    <cellStyle name="표준 24 6 2 6 2 2" xfId="37814"/>
    <cellStyle name="표준 24 6 2 6 3" xfId="29076"/>
    <cellStyle name="표준 24 6 2 7" xfId="8780"/>
    <cellStyle name="표준 24 6 2 7 2" xfId="17785"/>
    <cellStyle name="표준 24 6 2 7 2 2" xfId="38661"/>
    <cellStyle name="표준 24 6 2 7 3" xfId="29923"/>
    <cellStyle name="표준 24 6 2 8" xfId="9605"/>
    <cellStyle name="표준 24 6 2 8 2" xfId="18603"/>
    <cellStyle name="표준 24 6 2 8 2 2" xfId="39479"/>
    <cellStyle name="표준 24 6 2 8 3" xfId="30741"/>
    <cellStyle name="표준 24 6 2 9" xfId="10660"/>
    <cellStyle name="표준 24 6 2 9 2" xfId="19431"/>
    <cellStyle name="표준 24 6 2 9 2 2" xfId="40307"/>
    <cellStyle name="표준 24 6 2 9 3" xfId="31571"/>
    <cellStyle name="표준 24 6 3" xfId="3439"/>
    <cellStyle name="표준 24 6 3 10" xfId="12902"/>
    <cellStyle name="표준 24 6 3 10 2" xfId="33779"/>
    <cellStyle name="표준 24 6 3 11" xfId="25029"/>
    <cellStyle name="표준 24 6 3 2" xfId="5032"/>
    <cellStyle name="표준 24 6 3 2 2" xfId="6859"/>
    <cellStyle name="표준 24 6 3 2 2 2" xfId="15868"/>
    <cellStyle name="표준 24 6 3 2 2 2 2" xfId="36744"/>
    <cellStyle name="표준 24 6 3 2 2 3" xfId="28006"/>
    <cellStyle name="표준 24 6 3 2 3" xfId="14050"/>
    <cellStyle name="표준 24 6 3 2 3 2" xfId="34926"/>
    <cellStyle name="표준 24 6 3 2 4" xfId="26188"/>
    <cellStyle name="표준 24 6 3 3" xfId="5712"/>
    <cellStyle name="표준 24 6 3 3 2" xfId="14721"/>
    <cellStyle name="표준 24 6 3 3 2 2" xfId="35597"/>
    <cellStyle name="표준 24 6 3 3 3" xfId="26859"/>
    <cellStyle name="표준 24 6 3 4" xfId="7505"/>
    <cellStyle name="표준 24 6 3 4 2" xfId="16512"/>
    <cellStyle name="표준 24 6 3 4 2 2" xfId="37388"/>
    <cellStyle name="표준 24 6 3 4 3" xfId="28650"/>
    <cellStyle name="표준 24 6 3 5" xfId="8149"/>
    <cellStyle name="표준 24 6 3 5 2" xfId="17155"/>
    <cellStyle name="표준 24 6 3 5 2 2" xfId="38031"/>
    <cellStyle name="표준 24 6 3 5 3" xfId="29293"/>
    <cellStyle name="표준 24 6 3 6" xfId="8997"/>
    <cellStyle name="표준 24 6 3 6 2" xfId="18002"/>
    <cellStyle name="표준 24 6 3 6 2 2" xfId="38878"/>
    <cellStyle name="표준 24 6 3 6 3" xfId="30140"/>
    <cellStyle name="표준 24 6 3 7" xfId="9822"/>
    <cellStyle name="표준 24 6 3 7 2" xfId="18820"/>
    <cellStyle name="표준 24 6 3 7 2 2" xfId="39696"/>
    <cellStyle name="표준 24 6 3 7 3" xfId="30958"/>
    <cellStyle name="표준 24 6 3 8" xfId="10877"/>
    <cellStyle name="표준 24 6 3 8 2" xfId="19648"/>
    <cellStyle name="표준 24 6 3 8 2 2" xfId="40524"/>
    <cellStyle name="표준 24 6 3 8 3" xfId="31788"/>
    <cellStyle name="표준 24 6 3 9" xfId="11743"/>
    <cellStyle name="표준 24 6 3 9 2" xfId="20509"/>
    <cellStyle name="표준 24 6 3 9 2 2" xfId="41385"/>
    <cellStyle name="표준 24 6 3 9 3" xfId="32649"/>
    <cellStyle name="표준 24 6 4" xfId="4598"/>
    <cellStyle name="표준 24 6 4 2" xfId="6432"/>
    <cellStyle name="표준 24 6 4 2 2" xfId="15441"/>
    <cellStyle name="표준 24 6 4 2 2 2" xfId="36317"/>
    <cellStyle name="표준 24 6 4 2 3" xfId="27579"/>
    <cellStyle name="표준 24 6 4 3" xfId="11095"/>
    <cellStyle name="표준 24 6 4 3 2" xfId="19865"/>
    <cellStyle name="표준 24 6 4 3 2 2" xfId="40741"/>
    <cellStyle name="표준 24 6 4 3 3" xfId="32005"/>
    <cellStyle name="표준 24 6 4 4" xfId="11960"/>
    <cellStyle name="표준 24 6 4 4 2" xfId="20726"/>
    <cellStyle name="표준 24 6 4 4 2 2" xfId="41602"/>
    <cellStyle name="표준 24 6 4 4 3" xfId="32866"/>
    <cellStyle name="표준 24 6 4 5" xfId="13623"/>
    <cellStyle name="표준 24 6 4 5 2" xfId="34499"/>
    <cellStyle name="표준 24 6 4 6" xfId="25761"/>
    <cellStyle name="표준 24 6 5" xfId="5275"/>
    <cellStyle name="표준 24 6 5 2" xfId="14284"/>
    <cellStyle name="표준 24 6 5 2 2" xfId="35160"/>
    <cellStyle name="표준 24 6 5 3" xfId="26422"/>
    <cellStyle name="표준 24 6 6" xfId="7077"/>
    <cellStyle name="표준 24 6 6 2" xfId="16085"/>
    <cellStyle name="표준 24 6 6 2 2" xfId="36961"/>
    <cellStyle name="표준 24 6 6 3" xfId="28223"/>
    <cellStyle name="표준 24 6 7" xfId="7722"/>
    <cellStyle name="표준 24 6 7 2" xfId="16728"/>
    <cellStyle name="표준 24 6 7 2 2" xfId="37604"/>
    <cellStyle name="표준 24 6 7 3" xfId="28866"/>
    <cellStyle name="표준 24 6 8" xfId="8570"/>
    <cellStyle name="표준 24 6 8 2" xfId="17575"/>
    <cellStyle name="표준 24 6 8 2 2" xfId="38451"/>
    <cellStyle name="표준 24 6 8 3" xfId="29713"/>
    <cellStyle name="표준 24 6 9" xfId="9394"/>
    <cellStyle name="표준 24 6 9 2" xfId="18393"/>
    <cellStyle name="표준 24 6 9 2 2" xfId="39269"/>
    <cellStyle name="표준 24 6 9 3" xfId="30531"/>
    <cellStyle name="표준 24 7" xfId="2990"/>
    <cellStyle name="표준 24 7 10" xfId="10451"/>
    <cellStyle name="표준 24 7 10 2" xfId="19222"/>
    <cellStyle name="표준 24 7 10 2 2" xfId="40098"/>
    <cellStyle name="표준 24 7 10 3" xfId="31362"/>
    <cellStyle name="표준 24 7 11" xfId="11317"/>
    <cellStyle name="표준 24 7 11 2" xfId="20083"/>
    <cellStyle name="표준 24 7 11 2 2" xfId="40959"/>
    <cellStyle name="표준 24 7 11 3" xfId="32223"/>
    <cellStyle name="표준 24 7 12" xfId="12465"/>
    <cellStyle name="표준 24 7 12 2" xfId="33343"/>
    <cellStyle name="표준 24 7 13" xfId="24593"/>
    <cellStyle name="표준 24 7 2" xfId="3208"/>
    <cellStyle name="표준 24 7 2 10" xfId="11527"/>
    <cellStyle name="표준 24 7 2 10 2" xfId="20293"/>
    <cellStyle name="표준 24 7 2 10 2 2" xfId="41169"/>
    <cellStyle name="표준 24 7 2 10 3" xfId="32433"/>
    <cellStyle name="표준 24 7 2 11" xfId="12676"/>
    <cellStyle name="표준 24 7 2 11 2" xfId="33553"/>
    <cellStyle name="표준 24 7 2 12" xfId="24803"/>
    <cellStyle name="표준 24 7 2 2" xfId="3650"/>
    <cellStyle name="표준 24 7 2 2 2" xfId="5923"/>
    <cellStyle name="표준 24 7 2 2 2 2" xfId="14932"/>
    <cellStyle name="표준 24 7 2 2 2 2 2" xfId="35808"/>
    <cellStyle name="표준 24 7 2 2 2 3" xfId="27070"/>
    <cellStyle name="표준 24 7 2 2 3" xfId="13113"/>
    <cellStyle name="표준 24 7 2 2 3 2" xfId="33990"/>
    <cellStyle name="표준 24 7 2 2 4" xfId="25240"/>
    <cellStyle name="표준 24 7 2 3" xfId="4811"/>
    <cellStyle name="표준 24 7 2 3 2" xfId="6643"/>
    <cellStyle name="표준 24 7 2 3 2 2" xfId="15652"/>
    <cellStyle name="표준 24 7 2 3 2 2 2" xfId="36528"/>
    <cellStyle name="표준 24 7 2 3 2 3" xfId="27790"/>
    <cellStyle name="표준 24 7 2 3 3" xfId="13834"/>
    <cellStyle name="표준 24 7 2 3 3 2" xfId="34710"/>
    <cellStyle name="표준 24 7 2 3 4" xfId="25972"/>
    <cellStyle name="표준 24 7 2 4" xfId="5486"/>
    <cellStyle name="표준 24 7 2 4 2" xfId="14495"/>
    <cellStyle name="표준 24 7 2 4 2 2" xfId="35371"/>
    <cellStyle name="표준 24 7 2 4 3" xfId="26633"/>
    <cellStyle name="표준 24 7 2 5" xfId="7289"/>
    <cellStyle name="표준 24 7 2 5 2" xfId="16296"/>
    <cellStyle name="표준 24 7 2 5 2 2" xfId="37172"/>
    <cellStyle name="표준 24 7 2 5 3" xfId="28434"/>
    <cellStyle name="표준 24 7 2 6" xfId="7933"/>
    <cellStyle name="표준 24 7 2 6 2" xfId="16939"/>
    <cellStyle name="표준 24 7 2 6 2 2" xfId="37815"/>
    <cellStyle name="표준 24 7 2 6 3" xfId="29077"/>
    <cellStyle name="표준 24 7 2 7" xfId="8781"/>
    <cellStyle name="표준 24 7 2 7 2" xfId="17786"/>
    <cellStyle name="표준 24 7 2 7 2 2" xfId="38662"/>
    <cellStyle name="표준 24 7 2 7 3" xfId="29924"/>
    <cellStyle name="표준 24 7 2 8" xfId="9606"/>
    <cellStyle name="표준 24 7 2 8 2" xfId="18604"/>
    <cellStyle name="표준 24 7 2 8 2 2" xfId="39480"/>
    <cellStyle name="표준 24 7 2 8 3" xfId="30742"/>
    <cellStyle name="표준 24 7 2 9" xfId="10661"/>
    <cellStyle name="표준 24 7 2 9 2" xfId="19432"/>
    <cellStyle name="표준 24 7 2 9 2 2" xfId="40308"/>
    <cellStyle name="표준 24 7 2 9 3" xfId="31572"/>
    <cellStyle name="표준 24 7 3" xfId="3440"/>
    <cellStyle name="표준 24 7 3 10" xfId="12903"/>
    <cellStyle name="표준 24 7 3 10 2" xfId="33780"/>
    <cellStyle name="표준 24 7 3 11" xfId="25030"/>
    <cellStyle name="표준 24 7 3 2" xfId="5033"/>
    <cellStyle name="표준 24 7 3 2 2" xfId="6860"/>
    <cellStyle name="표준 24 7 3 2 2 2" xfId="15869"/>
    <cellStyle name="표준 24 7 3 2 2 2 2" xfId="36745"/>
    <cellStyle name="표준 24 7 3 2 2 3" xfId="28007"/>
    <cellStyle name="표준 24 7 3 2 3" xfId="14051"/>
    <cellStyle name="표준 24 7 3 2 3 2" xfId="34927"/>
    <cellStyle name="표준 24 7 3 2 4" xfId="26189"/>
    <cellStyle name="표준 24 7 3 3" xfId="5713"/>
    <cellStyle name="표준 24 7 3 3 2" xfId="14722"/>
    <cellStyle name="표준 24 7 3 3 2 2" xfId="35598"/>
    <cellStyle name="표준 24 7 3 3 3" xfId="26860"/>
    <cellStyle name="표준 24 7 3 4" xfId="7506"/>
    <cellStyle name="표준 24 7 3 4 2" xfId="16513"/>
    <cellStyle name="표준 24 7 3 4 2 2" xfId="37389"/>
    <cellStyle name="표준 24 7 3 4 3" xfId="28651"/>
    <cellStyle name="표준 24 7 3 5" xfId="8150"/>
    <cellStyle name="표준 24 7 3 5 2" xfId="17156"/>
    <cellStyle name="표준 24 7 3 5 2 2" xfId="38032"/>
    <cellStyle name="표준 24 7 3 5 3" xfId="29294"/>
    <cellStyle name="표준 24 7 3 6" xfId="8998"/>
    <cellStyle name="표준 24 7 3 6 2" xfId="18003"/>
    <cellStyle name="표준 24 7 3 6 2 2" xfId="38879"/>
    <cellStyle name="표준 24 7 3 6 3" xfId="30141"/>
    <cellStyle name="표준 24 7 3 7" xfId="9823"/>
    <cellStyle name="표준 24 7 3 7 2" xfId="18821"/>
    <cellStyle name="표준 24 7 3 7 2 2" xfId="39697"/>
    <cellStyle name="표준 24 7 3 7 3" xfId="30959"/>
    <cellStyle name="표준 24 7 3 8" xfId="10878"/>
    <cellStyle name="표준 24 7 3 8 2" xfId="19649"/>
    <cellStyle name="표준 24 7 3 8 2 2" xfId="40525"/>
    <cellStyle name="표준 24 7 3 8 3" xfId="31789"/>
    <cellStyle name="표준 24 7 3 9" xfId="11744"/>
    <cellStyle name="표준 24 7 3 9 2" xfId="20510"/>
    <cellStyle name="표준 24 7 3 9 2 2" xfId="41386"/>
    <cellStyle name="표준 24 7 3 9 3" xfId="32650"/>
    <cellStyle name="표준 24 7 4" xfId="4599"/>
    <cellStyle name="표준 24 7 4 2" xfId="6433"/>
    <cellStyle name="표준 24 7 4 2 2" xfId="15442"/>
    <cellStyle name="표준 24 7 4 2 2 2" xfId="36318"/>
    <cellStyle name="표준 24 7 4 2 3" xfId="27580"/>
    <cellStyle name="표준 24 7 4 3" xfId="11096"/>
    <cellStyle name="표준 24 7 4 3 2" xfId="19866"/>
    <cellStyle name="표준 24 7 4 3 2 2" xfId="40742"/>
    <cellStyle name="표준 24 7 4 3 3" xfId="32006"/>
    <cellStyle name="표준 24 7 4 4" xfId="11961"/>
    <cellStyle name="표준 24 7 4 4 2" xfId="20727"/>
    <cellStyle name="표준 24 7 4 4 2 2" xfId="41603"/>
    <cellStyle name="표준 24 7 4 4 3" xfId="32867"/>
    <cellStyle name="표준 24 7 4 5" xfId="13624"/>
    <cellStyle name="표준 24 7 4 5 2" xfId="34500"/>
    <cellStyle name="표준 24 7 4 6" xfId="25762"/>
    <cellStyle name="표준 24 7 5" xfId="5276"/>
    <cellStyle name="표준 24 7 5 2" xfId="14285"/>
    <cellStyle name="표준 24 7 5 2 2" xfId="35161"/>
    <cellStyle name="표준 24 7 5 3" xfId="26423"/>
    <cellStyle name="표준 24 7 6" xfId="7078"/>
    <cellStyle name="표준 24 7 6 2" xfId="16086"/>
    <cellStyle name="표준 24 7 6 2 2" xfId="36962"/>
    <cellStyle name="표준 24 7 6 3" xfId="28224"/>
    <cellStyle name="표준 24 7 7" xfId="7723"/>
    <cellStyle name="표준 24 7 7 2" xfId="16729"/>
    <cellStyle name="표준 24 7 7 2 2" xfId="37605"/>
    <cellStyle name="표준 24 7 7 3" xfId="28867"/>
    <cellStyle name="표준 24 7 8" xfId="8571"/>
    <cellStyle name="표준 24 7 8 2" xfId="17576"/>
    <cellStyle name="표준 24 7 8 2 2" xfId="38452"/>
    <cellStyle name="표준 24 7 8 3" xfId="29714"/>
    <cellStyle name="표준 24 7 9" xfId="9395"/>
    <cellStyle name="표준 24 7 9 2" xfId="18394"/>
    <cellStyle name="표준 24 7 9 2 2" xfId="39270"/>
    <cellStyle name="표준 24 7 9 3" xfId="30532"/>
    <cellStyle name="표준 24 8" xfId="3202"/>
    <cellStyle name="표준 24 8 10" xfId="11521"/>
    <cellStyle name="표준 24 8 10 2" xfId="20287"/>
    <cellStyle name="표준 24 8 10 2 2" xfId="41163"/>
    <cellStyle name="표준 24 8 10 3" xfId="32427"/>
    <cellStyle name="표준 24 8 11" xfId="12670"/>
    <cellStyle name="표준 24 8 11 2" xfId="33547"/>
    <cellStyle name="표준 24 8 12" xfId="24797"/>
    <cellStyle name="표준 24 8 2" xfId="3644"/>
    <cellStyle name="표준 24 8 2 2" xfId="5917"/>
    <cellStyle name="표준 24 8 2 2 2" xfId="14926"/>
    <cellStyle name="표준 24 8 2 2 2 2" xfId="35802"/>
    <cellStyle name="표준 24 8 2 2 3" xfId="27064"/>
    <cellStyle name="표준 24 8 2 3" xfId="13107"/>
    <cellStyle name="표준 24 8 2 3 2" xfId="33984"/>
    <cellStyle name="표준 24 8 2 4" xfId="25234"/>
    <cellStyle name="표준 24 8 3" xfId="4805"/>
    <cellStyle name="표준 24 8 3 2" xfId="6637"/>
    <cellStyle name="표준 24 8 3 2 2" xfId="15646"/>
    <cellStyle name="표준 24 8 3 2 2 2" xfId="36522"/>
    <cellStyle name="표준 24 8 3 2 3" xfId="27784"/>
    <cellStyle name="표준 24 8 3 3" xfId="13828"/>
    <cellStyle name="표준 24 8 3 3 2" xfId="34704"/>
    <cellStyle name="표준 24 8 3 4" xfId="25966"/>
    <cellStyle name="표준 24 8 4" xfId="5480"/>
    <cellStyle name="표준 24 8 4 2" xfId="14489"/>
    <cellStyle name="표준 24 8 4 2 2" xfId="35365"/>
    <cellStyle name="표준 24 8 4 3" xfId="26627"/>
    <cellStyle name="표준 24 8 5" xfId="7283"/>
    <cellStyle name="표준 24 8 5 2" xfId="16290"/>
    <cellStyle name="표준 24 8 5 2 2" xfId="37166"/>
    <cellStyle name="표준 24 8 5 3" xfId="28428"/>
    <cellStyle name="표준 24 8 6" xfId="7927"/>
    <cellStyle name="표준 24 8 6 2" xfId="16933"/>
    <cellStyle name="표준 24 8 6 2 2" xfId="37809"/>
    <cellStyle name="표준 24 8 6 3" xfId="29071"/>
    <cellStyle name="표준 24 8 7" xfId="8775"/>
    <cellStyle name="표준 24 8 7 2" xfId="17780"/>
    <cellStyle name="표준 24 8 7 2 2" xfId="38656"/>
    <cellStyle name="표준 24 8 7 3" xfId="29918"/>
    <cellStyle name="표준 24 8 8" xfId="9600"/>
    <cellStyle name="표준 24 8 8 2" xfId="18598"/>
    <cellStyle name="표준 24 8 8 2 2" xfId="39474"/>
    <cellStyle name="표준 24 8 8 3" xfId="30736"/>
    <cellStyle name="표준 24 8 9" xfId="10655"/>
    <cellStyle name="표준 24 8 9 2" xfId="19426"/>
    <cellStyle name="표준 24 8 9 2 2" xfId="40302"/>
    <cellStyle name="표준 24 8 9 3" xfId="31566"/>
    <cellStyle name="표준 24 9" xfId="3434"/>
    <cellStyle name="표준 24 9 10" xfId="12897"/>
    <cellStyle name="표준 24 9 10 2" xfId="33774"/>
    <cellStyle name="표준 24 9 11" xfId="25024"/>
    <cellStyle name="표준 24 9 2" xfId="5027"/>
    <cellStyle name="표준 24 9 2 2" xfId="6854"/>
    <cellStyle name="표준 24 9 2 2 2" xfId="15863"/>
    <cellStyle name="표준 24 9 2 2 2 2" xfId="36739"/>
    <cellStyle name="표준 24 9 2 2 3" xfId="28001"/>
    <cellStyle name="표준 24 9 2 3" xfId="14045"/>
    <cellStyle name="표준 24 9 2 3 2" xfId="34921"/>
    <cellStyle name="표준 24 9 2 4" xfId="26183"/>
    <cellStyle name="표준 24 9 3" xfId="5707"/>
    <cellStyle name="표준 24 9 3 2" xfId="14716"/>
    <cellStyle name="표준 24 9 3 2 2" xfId="35592"/>
    <cellStyle name="표준 24 9 3 3" xfId="26854"/>
    <cellStyle name="표준 24 9 4" xfId="7500"/>
    <cellStyle name="표준 24 9 4 2" xfId="16507"/>
    <cellStyle name="표준 24 9 4 2 2" xfId="37383"/>
    <cellStyle name="표준 24 9 4 3" xfId="28645"/>
    <cellStyle name="표준 24 9 5" xfId="8144"/>
    <cellStyle name="표준 24 9 5 2" xfId="17150"/>
    <cellStyle name="표준 24 9 5 2 2" xfId="38026"/>
    <cellStyle name="표준 24 9 5 3" xfId="29288"/>
    <cellStyle name="표준 24 9 6" xfId="8992"/>
    <cellStyle name="표준 24 9 6 2" xfId="17997"/>
    <cellStyle name="표준 24 9 6 2 2" xfId="38873"/>
    <cellStyle name="표준 24 9 6 3" xfId="30135"/>
    <cellStyle name="표준 24 9 7" xfId="9817"/>
    <cellStyle name="표준 24 9 7 2" xfId="18815"/>
    <cellStyle name="표준 24 9 7 2 2" xfId="39691"/>
    <cellStyle name="표준 24 9 7 3" xfId="30953"/>
    <cellStyle name="표준 24 9 8" xfId="10872"/>
    <cellStyle name="표준 24 9 8 2" xfId="19643"/>
    <cellStyle name="표준 24 9 8 2 2" xfId="40519"/>
    <cellStyle name="표준 24 9 8 3" xfId="31783"/>
    <cellStyle name="표준 24 9 9" xfId="11738"/>
    <cellStyle name="표준 24 9 9 2" xfId="20504"/>
    <cellStyle name="표준 24 9 9 2 2" xfId="41380"/>
    <cellStyle name="표준 24 9 9 3" xfId="32644"/>
    <cellStyle name="표준 25" xfId="2991"/>
    <cellStyle name="표준 25 10" xfId="4600"/>
    <cellStyle name="표준 25 10 2" xfId="6434"/>
    <cellStyle name="표준 25 10 2 2" xfId="15443"/>
    <cellStyle name="표준 25 10 2 2 2" xfId="36319"/>
    <cellStyle name="표준 25 10 2 3" xfId="27581"/>
    <cellStyle name="표준 25 10 3" xfId="11097"/>
    <cellStyle name="표준 25 10 3 2" xfId="19867"/>
    <cellStyle name="표준 25 10 3 2 2" xfId="40743"/>
    <cellStyle name="표준 25 10 3 3" xfId="32007"/>
    <cellStyle name="표준 25 10 4" xfId="11962"/>
    <cellStyle name="표준 25 10 4 2" xfId="20728"/>
    <cellStyle name="표준 25 10 4 2 2" xfId="41604"/>
    <cellStyle name="표준 25 10 4 3" xfId="32868"/>
    <cellStyle name="표준 25 10 5" xfId="13625"/>
    <cellStyle name="표준 25 10 5 2" xfId="34501"/>
    <cellStyle name="표준 25 10 6" xfId="25763"/>
    <cellStyle name="표준 25 11" xfId="5277"/>
    <cellStyle name="표준 25 11 2" xfId="14286"/>
    <cellStyle name="표준 25 11 2 2" xfId="35162"/>
    <cellStyle name="표준 25 11 3" xfId="26424"/>
    <cellStyle name="표준 25 12" xfId="7079"/>
    <cellStyle name="표준 25 12 2" xfId="16087"/>
    <cellStyle name="표준 25 12 2 2" xfId="36963"/>
    <cellStyle name="표준 25 12 3" xfId="28225"/>
    <cellStyle name="표준 25 13" xfId="7724"/>
    <cellStyle name="표준 25 13 2" xfId="16730"/>
    <cellStyle name="표준 25 13 2 2" xfId="37606"/>
    <cellStyle name="표준 25 13 3" xfId="28868"/>
    <cellStyle name="표준 25 14" xfId="8572"/>
    <cellStyle name="표준 25 14 2" xfId="17577"/>
    <cellStyle name="표준 25 14 2 2" xfId="38453"/>
    <cellStyle name="표준 25 14 3" xfId="29715"/>
    <cellStyle name="표준 25 15" xfId="9396"/>
    <cellStyle name="표준 25 15 2" xfId="18395"/>
    <cellStyle name="표준 25 15 2 2" xfId="39271"/>
    <cellStyle name="표준 25 15 3" xfId="30533"/>
    <cellStyle name="표준 25 16" xfId="10452"/>
    <cellStyle name="표준 25 16 2" xfId="19223"/>
    <cellStyle name="표준 25 16 2 2" xfId="40099"/>
    <cellStyle name="표준 25 16 3" xfId="31363"/>
    <cellStyle name="표준 25 17" xfId="11318"/>
    <cellStyle name="표준 25 17 2" xfId="20084"/>
    <cellStyle name="표준 25 17 2 2" xfId="40960"/>
    <cellStyle name="표준 25 17 3" xfId="32224"/>
    <cellStyle name="표준 25 18" xfId="12466"/>
    <cellStyle name="표준 25 18 2" xfId="33344"/>
    <cellStyle name="표준 25 19" xfId="24594"/>
    <cellStyle name="표준 25 2" xfId="2992"/>
    <cellStyle name="표준 25 2 10" xfId="10453"/>
    <cellStyle name="표준 25 2 10 2" xfId="19224"/>
    <cellStyle name="표준 25 2 10 2 2" xfId="40100"/>
    <cellStyle name="표준 25 2 10 3" xfId="31364"/>
    <cellStyle name="표준 25 2 11" xfId="11319"/>
    <cellStyle name="표준 25 2 11 2" xfId="20085"/>
    <cellStyle name="표준 25 2 11 2 2" xfId="40961"/>
    <cellStyle name="표준 25 2 11 3" xfId="32225"/>
    <cellStyle name="표준 25 2 12" xfId="12467"/>
    <cellStyle name="표준 25 2 12 2" xfId="33345"/>
    <cellStyle name="표준 25 2 13" xfId="24595"/>
    <cellStyle name="표준 25 2 2" xfId="3210"/>
    <cellStyle name="표준 25 2 2 10" xfId="11529"/>
    <cellStyle name="표준 25 2 2 10 2" xfId="20295"/>
    <cellStyle name="표준 25 2 2 10 2 2" xfId="41171"/>
    <cellStyle name="표준 25 2 2 10 3" xfId="32435"/>
    <cellStyle name="표준 25 2 2 11" xfId="12678"/>
    <cellStyle name="표준 25 2 2 11 2" xfId="33555"/>
    <cellStyle name="표준 25 2 2 12" xfId="24805"/>
    <cellStyle name="표준 25 2 2 2" xfId="3652"/>
    <cellStyle name="표준 25 2 2 2 2" xfId="5925"/>
    <cellStyle name="표준 25 2 2 2 2 2" xfId="14934"/>
    <cellStyle name="표준 25 2 2 2 2 2 2" xfId="35810"/>
    <cellStyle name="표준 25 2 2 2 2 3" xfId="27072"/>
    <cellStyle name="표준 25 2 2 2 3" xfId="13115"/>
    <cellStyle name="표준 25 2 2 2 3 2" xfId="33992"/>
    <cellStyle name="표준 25 2 2 2 4" xfId="25242"/>
    <cellStyle name="표준 25 2 2 3" xfId="4813"/>
    <cellStyle name="표준 25 2 2 3 2" xfId="6645"/>
    <cellStyle name="표준 25 2 2 3 2 2" xfId="15654"/>
    <cellStyle name="표준 25 2 2 3 2 2 2" xfId="36530"/>
    <cellStyle name="표준 25 2 2 3 2 3" xfId="27792"/>
    <cellStyle name="표준 25 2 2 3 3" xfId="13836"/>
    <cellStyle name="표준 25 2 2 3 3 2" xfId="34712"/>
    <cellStyle name="표준 25 2 2 3 4" xfId="25974"/>
    <cellStyle name="표준 25 2 2 4" xfId="5488"/>
    <cellStyle name="표준 25 2 2 4 2" xfId="14497"/>
    <cellStyle name="표준 25 2 2 4 2 2" xfId="35373"/>
    <cellStyle name="표준 25 2 2 4 3" xfId="26635"/>
    <cellStyle name="표준 25 2 2 5" xfId="7291"/>
    <cellStyle name="표준 25 2 2 5 2" xfId="16298"/>
    <cellStyle name="표준 25 2 2 5 2 2" xfId="37174"/>
    <cellStyle name="표준 25 2 2 5 3" xfId="28436"/>
    <cellStyle name="표준 25 2 2 6" xfId="7935"/>
    <cellStyle name="표준 25 2 2 6 2" xfId="16941"/>
    <cellStyle name="표준 25 2 2 6 2 2" xfId="37817"/>
    <cellStyle name="표준 25 2 2 6 3" xfId="29079"/>
    <cellStyle name="표준 25 2 2 7" xfId="8783"/>
    <cellStyle name="표준 25 2 2 7 2" xfId="17788"/>
    <cellStyle name="표준 25 2 2 7 2 2" xfId="38664"/>
    <cellStyle name="표준 25 2 2 7 3" xfId="29926"/>
    <cellStyle name="표준 25 2 2 8" xfId="9608"/>
    <cellStyle name="표준 25 2 2 8 2" xfId="18606"/>
    <cellStyle name="표준 25 2 2 8 2 2" xfId="39482"/>
    <cellStyle name="표준 25 2 2 8 3" xfId="30744"/>
    <cellStyle name="표준 25 2 2 9" xfId="10663"/>
    <cellStyle name="표준 25 2 2 9 2" xfId="19434"/>
    <cellStyle name="표준 25 2 2 9 2 2" xfId="40310"/>
    <cellStyle name="표준 25 2 2 9 3" xfId="31574"/>
    <cellStyle name="표준 25 2 3" xfId="3442"/>
    <cellStyle name="표준 25 2 3 10" xfId="12905"/>
    <cellStyle name="표준 25 2 3 10 2" xfId="33782"/>
    <cellStyle name="표준 25 2 3 11" xfId="25032"/>
    <cellStyle name="표준 25 2 3 2" xfId="5035"/>
    <cellStyle name="표준 25 2 3 2 2" xfId="6862"/>
    <cellStyle name="표준 25 2 3 2 2 2" xfId="15871"/>
    <cellStyle name="표준 25 2 3 2 2 2 2" xfId="36747"/>
    <cellStyle name="표준 25 2 3 2 2 3" xfId="28009"/>
    <cellStyle name="표준 25 2 3 2 3" xfId="14053"/>
    <cellStyle name="표준 25 2 3 2 3 2" xfId="34929"/>
    <cellStyle name="표준 25 2 3 2 4" xfId="26191"/>
    <cellStyle name="표준 25 2 3 3" xfId="5715"/>
    <cellStyle name="표준 25 2 3 3 2" xfId="14724"/>
    <cellStyle name="표준 25 2 3 3 2 2" xfId="35600"/>
    <cellStyle name="표준 25 2 3 3 3" xfId="26862"/>
    <cellStyle name="표준 25 2 3 4" xfId="7508"/>
    <cellStyle name="표준 25 2 3 4 2" xfId="16515"/>
    <cellStyle name="표준 25 2 3 4 2 2" xfId="37391"/>
    <cellStyle name="표준 25 2 3 4 3" xfId="28653"/>
    <cellStyle name="표준 25 2 3 5" xfId="8152"/>
    <cellStyle name="표준 25 2 3 5 2" xfId="17158"/>
    <cellStyle name="표준 25 2 3 5 2 2" xfId="38034"/>
    <cellStyle name="표준 25 2 3 5 3" xfId="29296"/>
    <cellStyle name="표준 25 2 3 6" xfId="9000"/>
    <cellStyle name="표준 25 2 3 6 2" xfId="18005"/>
    <cellStyle name="표준 25 2 3 6 2 2" xfId="38881"/>
    <cellStyle name="표준 25 2 3 6 3" xfId="30143"/>
    <cellStyle name="표준 25 2 3 7" xfId="9825"/>
    <cellStyle name="표준 25 2 3 7 2" xfId="18823"/>
    <cellStyle name="표준 25 2 3 7 2 2" xfId="39699"/>
    <cellStyle name="표준 25 2 3 7 3" xfId="30961"/>
    <cellStyle name="표준 25 2 3 8" xfId="10880"/>
    <cellStyle name="표준 25 2 3 8 2" xfId="19651"/>
    <cellStyle name="표준 25 2 3 8 2 2" xfId="40527"/>
    <cellStyle name="표준 25 2 3 8 3" xfId="31791"/>
    <cellStyle name="표준 25 2 3 9" xfId="11746"/>
    <cellStyle name="표준 25 2 3 9 2" xfId="20512"/>
    <cellStyle name="표준 25 2 3 9 2 2" xfId="41388"/>
    <cellStyle name="표준 25 2 3 9 3" xfId="32652"/>
    <cellStyle name="표준 25 2 4" xfId="4601"/>
    <cellStyle name="표준 25 2 4 2" xfId="6435"/>
    <cellStyle name="표준 25 2 4 2 2" xfId="15444"/>
    <cellStyle name="표준 25 2 4 2 2 2" xfId="36320"/>
    <cellStyle name="표준 25 2 4 2 3" xfId="27582"/>
    <cellStyle name="표준 25 2 4 3" xfId="11098"/>
    <cellStyle name="표준 25 2 4 3 2" xfId="19868"/>
    <cellStyle name="표준 25 2 4 3 2 2" xfId="40744"/>
    <cellStyle name="표준 25 2 4 3 3" xfId="32008"/>
    <cellStyle name="표준 25 2 4 4" xfId="11963"/>
    <cellStyle name="표준 25 2 4 4 2" xfId="20729"/>
    <cellStyle name="표준 25 2 4 4 2 2" xfId="41605"/>
    <cellStyle name="표준 25 2 4 4 3" xfId="32869"/>
    <cellStyle name="표준 25 2 4 5" xfId="13626"/>
    <cellStyle name="표준 25 2 4 5 2" xfId="34502"/>
    <cellStyle name="표준 25 2 4 6" xfId="25764"/>
    <cellStyle name="표준 25 2 5" xfId="5278"/>
    <cellStyle name="표준 25 2 5 2" xfId="14287"/>
    <cellStyle name="표준 25 2 5 2 2" xfId="35163"/>
    <cellStyle name="표준 25 2 5 3" xfId="26425"/>
    <cellStyle name="표준 25 2 6" xfId="7080"/>
    <cellStyle name="표준 25 2 6 2" xfId="16088"/>
    <cellStyle name="표준 25 2 6 2 2" xfId="36964"/>
    <cellStyle name="표준 25 2 6 3" xfId="28226"/>
    <cellStyle name="표준 25 2 7" xfId="7725"/>
    <cellStyle name="표준 25 2 7 2" xfId="16731"/>
    <cellStyle name="표준 25 2 7 2 2" xfId="37607"/>
    <cellStyle name="표준 25 2 7 3" xfId="28869"/>
    <cellStyle name="표준 25 2 8" xfId="8573"/>
    <cellStyle name="표준 25 2 8 2" xfId="17578"/>
    <cellStyle name="표준 25 2 8 2 2" xfId="38454"/>
    <cellStyle name="표준 25 2 8 3" xfId="29716"/>
    <cellStyle name="표준 25 2 9" xfId="9397"/>
    <cellStyle name="표준 25 2 9 2" xfId="18396"/>
    <cellStyle name="표준 25 2 9 2 2" xfId="39272"/>
    <cellStyle name="표준 25 2 9 3" xfId="30534"/>
    <cellStyle name="표준 25 3" xfId="2993"/>
    <cellStyle name="표준 25 3 10" xfId="10454"/>
    <cellStyle name="표준 25 3 10 2" xfId="19225"/>
    <cellStyle name="표준 25 3 10 2 2" xfId="40101"/>
    <cellStyle name="표준 25 3 10 3" xfId="31365"/>
    <cellStyle name="표준 25 3 11" xfId="11320"/>
    <cellStyle name="표준 25 3 11 2" xfId="20086"/>
    <cellStyle name="표준 25 3 11 2 2" xfId="40962"/>
    <cellStyle name="표준 25 3 11 3" xfId="32226"/>
    <cellStyle name="표준 25 3 12" xfId="12468"/>
    <cellStyle name="표준 25 3 12 2" xfId="33346"/>
    <cellStyle name="표준 25 3 13" xfId="24596"/>
    <cellStyle name="표준 25 3 2" xfId="3211"/>
    <cellStyle name="표준 25 3 2 10" xfId="11530"/>
    <cellStyle name="표준 25 3 2 10 2" xfId="20296"/>
    <cellStyle name="표준 25 3 2 10 2 2" xfId="41172"/>
    <cellStyle name="표준 25 3 2 10 3" xfId="32436"/>
    <cellStyle name="표준 25 3 2 11" xfId="12679"/>
    <cellStyle name="표준 25 3 2 11 2" xfId="33556"/>
    <cellStyle name="표준 25 3 2 12" xfId="24806"/>
    <cellStyle name="표준 25 3 2 2" xfId="3653"/>
    <cellStyle name="표준 25 3 2 2 2" xfId="5926"/>
    <cellStyle name="표준 25 3 2 2 2 2" xfId="14935"/>
    <cellStyle name="표준 25 3 2 2 2 2 2" xfId="35811"/>
    <cellStyle name="표준 25 3 2 2 2 3" xfId="27073"/>
    <cellStyle name="표준 25 3 2 2 3" xfId="13116"/>
    <cellStyle name="표준 25 3 2 2 3 2" xfId="33993"/>
    <cellStyle name="표준 25 3 2 2 4" xfId="25243"/>
    <cellStyle name="표준 25 3 2 3" xfId="4814"/>
    <cellStyle name="표준 25 3 2 3 2" xfId="6646"/>
    <cellStyle name="표준 25 3 2 3 2 2" xfId="15655"/>
    <cellStyle name="표준 25 3 2 3 2 2 2" xfId="36531"/>
    <cellStyle name="표준 25 3 2 3 2 3" xfId="27793"/>
    <cellStyle name="표준 25 3 2 3 3" xfId="13837"/>
    <cellStyle name="표준 25 3 2 3 3 2" xfId="34713"/>
    <cellStyle name="표준 25 3 2 3 4" xfId="25975"/>
    <cellStyle name="표준 25 3 2 4" xfId="5489"/>
    <cellStyle name="표준 25 3 2 4 2" xfId="14498"/>
    <cellStyle name="표준 25 3 2 4 2 2" xfId="35374"/>
    <cellStyle name="표준 25 3 2 4 3" xfId="26636"/>
    <cellStyle name="표준 25 3 2 5" xfId="7292"/>
    <cellStyle name="표준 25 3 2 5 2" xfId="16299"/>
    <cellStyle name="표준 25 3 2 5 2 2" xfId="37175"/>
    <cellStyle name="표준 25 3 2 5 3" xfId="28437"/>
    <cellStyle name="표준 25 3 2 6" xfId="7936"/>
    <cellStyle name="표준 25 3 2 6 2" xfId="16942"/>
    <cellStyle name="표준 25 3 2 6 2 2" xfId="37818"/>
    <cellStyle name="표준 25 3 2 6 3" xfId="29080"/>
    <cellStyle name="표준 25 3 2 7" xfId="8784"/>
    <cellStyle name="표준 25 3 2 7 2" xfId="17789"/>
    <cellStyle name="표준 25 3 2 7 2 2" xfId="38665"/>
    <cellStyle name="표준 25 3 2 7 3" xfId="29927"/>
    <cellStyle name="표준 25 3 2 8" xfId="9609"/>
    <cellStyle name="표준 25 3 2 8 2" xfId="18607"/>
    <cellStyle name="표준 25 3 2 8 2 2" xfId="39483"/>
    <cellStyle name="표준 25 3 2 8 3" xfId="30745"/>
    <cellStyle name="표준 25 3 2 9" xfId="10664"/>
    <cellStyle name="표준 25 3 2 9 2" xfId="19435"/>
    <cellStyle name="표준 25 3 2 9 2 2" xfId="40311"/>
    <cellStyle name="표준 25 3 2 9 3" xfId="31575"/>
    <cellStyle name="표준 25 3 3" xfId="3443"/>
    <cellStyle name="표준 25 3 3 10" xfId="12906"/>
    <cellStyle name="표준 25 3 3 10 2" xfId="33783"/>
    <cellStyle name="표준 25 3 3 11" xfId="25033"/>
    <cellStyle name="표준 25 3 3 2" xfId="5036"/>
    <cellStyle name="표준 25 3 3 2 2" xfId="6863"/>
    <cellStyle name="표준 25 3 3 2 2 2" xfId="15872"/>
    <cellStyle name="표준 25 3 3 2 2 2 2" xfId="36748"/>
    <cellStyle name="표준 25 3 3 2 2 3" xfId="28010"/>
    <cellStyle name="표준 25 3 3 2 3" xfId="14054"/>
    <cellStyle name="표준 25 3 3 2 3 2" xfId="34930"/>
    <cellStyle name="표준 25 3 3 2 4" xfId="26192"/>
    <cellStyle name="표준 25 3 3 3" xfId="5716"/>
    <cellStyle name="표준 25 3 3 3 2" xfId="14725"/>
    <cellStyle name="표준 25 3 3 3 2 2" xfId="35601"/>
    <cellStyle name="표준 25 3 3 3 3" xfId="26863"/>
    <cellStyle name="표준 25 3 3 4" xfId="7509"/>
    <cellStyle name="표준 25 3 3 4 2" xfId="16516"/>
    <cellStyle name="표준 25 3 3 4 2 2" xfId="37392"/>
    <cellStyle name="표준 25 3 3 4 3" xfId="28654"/>
    <cellStyle name="표준 25 3 3 5" xfId="8153"/>
    <cellStyle name="표준 25 3 3 5 2" xfId="17159"/>
    <cellStyle name="표준 25 3 3 5 2 2" xfId="38035"/>
    <cellStyle name="표준 25 3 3 5 3" xfId="29297"/>
    <cellStyle name="표준 25 3 3 6" xfId="9001"/>
    <cellStyle name="표준 25 3 3 6 2" xfId="18006"/>
    <cellStyle name="표준 25 3 3 6 2 2" xfId="38882"/>
    <cellStyle name="표준 25 3 3 6 3" xfId="30144"/>
    <cellStyle name="표준 25 3 3 7" xfId="9826"/>
    <cellStyle name="표준 25 3 3 7 2" xfId="18824"/>
    <cellStyle name="표준 25 3 3 7 2 2" xfId="39700"/>
    <cellStyle name="표준 25 3 3 7 3" xfId="30962"/>
    <cellStyle name="표준 25 3 3 8" xfId="10881"/>
    <cellStyle name="표준 25 3 3 8 2" xfId="19652"/>
    <cellStyle name="표준 25 3 3 8 2 2" xfId="40528"/>
    <cellStyle name="표준 25 3 3 8 3" xfId="31792"/>
    <cellStyle name="표준 25 3 3 9" xfId="11747"/>
    <cellStyle name="표준 25 3 3 9 2" xfId="20513"/>
    <cellStyle name="표준 25 3 3 9 2 2" xfId="41389"/>
    <cellStyle name="표준 25 3 3 9 3" xfId="32653"/>
    <cellStyle name="표준 25 3 4" xfId="4602"/>
    <cellStyle name="표준 25 3 4 2" xfId="6436"/>
    <cellStyle name="표준 25 3 4 2 2" xfId="15445"/>
    <cellStyle name="표준 25 3 4 2 2 2" xfId="36321"/>
    <cellStyle name="표준 25 3 4 2 3" xfId="27583"/>
    <cellStyle name="표준 25 3 4 3" xfId="11099"/>
    <cellStyle name="표준 25 3 4 3 2" xfId="19869"/>
    <cellStyle name="표준 25 3 4 3 2 2" xfId="40745"/>
    <cellStyle name="표준 25 3 4 3 3" xfId="32009"/>
    <cellStyle name="표준 25 3 4 4" xfId="11964"/>
    <cellStyle name="표준 25 3 4 4 2" xfId="20730"/>
    <cellStyle name="표준 25 3 4 4 2 2" xfId="41606"/>
    <cellStyle name="표준 25 3 4 4 3" xfId="32870"/>
    <cellStyle name="표준 25 3 4 5" xfId="13627"/>
    <cellStyle name="표준 25 3 4 5 2" xfId="34503"/>
    <cellStyle name="표준 25 3 4 6" xfId="25765"/>
    <cellStyle name="표준 25 3 5" xfId="5279"/>
    <cellStyle name="표준 25 3 5 2" xfId="14288"/>
    <cellStyle name="표준 25 3 5 2 2" xfId="35164"/>
    <cellStyle name="표준 25 3 5 3" xfId="26426"/>
    <cellStyle name="표준 25 3 6" xfId="7081"/>
    <cellStyle name="표준 25 3 6 2" xfId="16089"/>
    <cellStyle name="표준 25 3 6 2 2" xfId="36965"/>
    <cellStyle name="표준 25 3 6 3" xfId="28227"/>
    <cellStyle name="표준 25 3 7" xfId="7726"/>
    <cellStyle name="표준 25 3 7 2" xfId="16732"/>
    <cellStyle name="표준 25 3 7 2 2" xfId="37608"/>
    <cellStyle name="표준 25 3 7 3" xfId="28870"/>
    <cellStyle name="표준 25 3 8" xfId="8574"/>
    <cellStyle name="표준 25 3 8 2" xfId="17579"/>
    <cellStyle name="표준 25 3 8 2 2" xfId="38455"/>
    <cellStyle name="표준 25 3 8 3" xfId="29717"/>
    <cellStyle name="표준 25 3 9" xfId="9398"/>
    <cellStyle name="표준 25 3 9 2" xfId="18397"/>
    <cellStyle name="표준 25 3 9 2 2" xfId="39273"/>
    <cellStyle name="표준 25 3 9 3" xfId="30535"/>
    <cellStyle name="표준 25 4" xfId="2994"/>
    <cellStyle name="표준 25 4 10" xfId="10455"/>
    <cellStyle name="표준 25 4 10 2" xfId="19226"/>
    <cellStyle name="표준 25 4 10 2 2" xfId="40102"/>
    <cellStyle name="표준 25 4 10 3" xfId="31366"/>
    <cellStyle name="표준 25 4 11" xfId="11321"/>
    <cellStyle name="표준 25 4 11 2" xfId="20087"/>
    <cellStyle name="표준 25 4 11 2 2" xfId="40963"/>
    <cellStyle name="표준 25 4 11 3" xfId="32227"/>
    <cellStyle name="표준 25 4 12" xfId="12469"/>
    <cellStyle name="표준 25 4 12 2" xfId="33347"/>
    <cellStyle name="표준 25 4 13" xfId="24597"/>
    <cellStyle name="표준 25 4 2" xfId="3212"/>
    <cellStyle name="표준 25 4 2 10" xfId="11531"/>
    <cellStyle name="표준 25 4 2 10 2" xfId="20297"/>
    <cellStyle name="표준 25 4 2 10 2 2" xfId="41173"/>
    <cellStyle name="표준 25 4 2 10 3" xfId="32437"/>
    <cellStyle name="표준 25 4 2 11" xfId="12680"/>
    <cellStyle name="표준 25 4 2 11 2" xfId="33557"/>
    <cellStyle name="표준 25 4 2 12" xfId="24807"/>
    <cellStyle name="표준 25 4 2 2" xfId="3654"/>
    <cellStyle name="표준 25 4 2 2 2" xfId="5927"/>
    <cellStyle name="표준 25 4 2 2 2 2" xfId="14936"/>
    <cellStyle name="표준 25 4 2 2 2 2 2" xfId="35812"/>
    <cellStyle name="표준 25 4 2 2 2 3" xfId="27074"/>
    <cellStyle name="표준 25 4 2 2 3" xfId="13117"/>
    <cellStyle name="표준 25 4 2 2 3 2" xfId="33994"/>
    <cellStyle name="표준 25 4 2 2 4" xfId="25244"/>
    <cellStyle name="표준 25 4 2 3" xfId="4815"/>
    <cellStyle name="표준 25 4 2 3 2" xfId="6647"/>
    <cellStyle name="표준 25 4 2 3 2 2" xfId="15656"/>
    <cellStyle name="표준 25 4 2 3 2 2 2" xfId="36532"/>
    <cellStyle name="표준 25 4 2 3 2 3" xfId="27794"/>
    <cellStyle name="표준 25 4 2 3 3" xfId="13838"/>
    <cellStyle name="표준 25 4 2 3 3 2" xfId="34714"/>
    <cellStyle name="표준 25 4 2 3 4" xfId="25976"/>
    <cellStyle name="표준 25 4 2 4" xfId="5490"/>
    <cellStyle name="표준 25 4 2 4 2" xfId="14499"/>
    <cellStyle name="표준 25 4 2 4 2 2" xfId="35375"/>
    <cellStyle name="표준 25 4 2 4 3" xfId="26637"/>
    <cellStyle name="표준 25 4 2 5" xfId="7293"/>
    <cellStyle name="표준 25 4 2 5 2" xfId="16300"/>
    <cellStyle name="표준 25 4 2 5 2 2" xfId="37176"/>
    <cellStyle name="표준 25 4 2 5 3" xfId="28438"/>
    <cellStyle name="표준 25 4 2 6" xfId="7937"/>
    <cellStyle name="표준 25 4 2 6 2" xfId="16943"/>
    <cellStyle name="표준 25 4 2 6 2 2" xfId="37819"/>
    <cellStyle name="표준 25 4 2 6 3" xfId="29081"/>
    <cellStyle name="표준 25 4 2 7" xfId="8785"/>
    <cellStyle name="표준 25 4 2 7 2" xfId="17790"/>
    <cellStyle name="표준 25 4 2 7 2 2" xfId="38666"/>
    <cellStyle name="표준 25 4 2 7 3" xfId="29928"/>
    <cellStyle name="표준 25 4 2 8" xfId="9610"/>
    <cellStyle name="표준 25 4 2 8 2" xfId="18608"/>
    <cellStyle name="표준 25 4 2 8 2 2" xfId="39484"/>
    <cellStyle name="표준 25 4 2 8 3" xfId="30746"/>
    <cellStyle name="표준 25 4 2 9" xfId="10665"/>
    <cellStyle name="표준 25 4 2 9 2" xfId="19436"/>
    <cellStyle name="표준 25 4 2 9 2 2" xfId="40312"/>
    <cellStyle name="표준 25 4 2 9 3" xfId="31576"/>
    <cellStyle name="표준 25 4 3" xfId="3444"/>
    <cellStyle name="표준 25 4 3 10" xfId="12907"/>
    <cellStyle name="표준 25 4 3 10 2" xfId="33784"/>
    <cellStyle name="표준 25 4 3 11" xfId="25034"/>
    <cellStyle name="표준 25 4 3 2" xfId="5037"/>
    <cellStyle name="표준 25 4 3 2 2" xfId="6864"/>
    <cellStyle name="표준 25 4 3 2 2 2" xfId="15873"/>
    <cellStyle name="표준 25 4 3 2 2 2 2" xfId="36749"/>
    <cellStyle name="표준 25 4 3 2 2 3" xfId="28011"/>
    <cellStyle name="표준 25 4 3 2 3" xfId="14055"/>
    <cellStyle name="표준 25 4 3 2 3 2" xfId="34931"/>
    <cellStyle name="표준 25 4 3 2 4" xfId="26193"/>
    <cellStyle name="표준 25 4 3 3" xfId="5717"/>
    <cellStyle name="표준 25 4 3 3 2" xfId="14726"/>
    <cellStyle name="표준 25 4 3 3 2 2" xfId="35602"/>
    <cellStyle name="표준 25 4 3 3 3" xfId="26864"/>
    <cellStyle name="표준 25 4 3 4" xfId="7510"/>
    <cellStyle name="표준 25 4 3 4 2" xfId="16517"/>
    <cellStyle name="표준 25 4 3 4 2 2" xfId="37393"/>
    <cellStyle name="표준 25 4 3 4 3" xfId="28655"/>
    <cellStyle name="표준 25 4 3 5" xfId="8154"/>
    <cellStyle name="표준 25 4 3 5 2" xfId="17160"/>
    <cellStyle name="표준 25 4 3 5 2 2" xfId="38036"/>
    <cellStyle name="표준 25 4 3 5 3" xfId="29298"/>
    <cellStyle name="표준 25 4 3 6" xfId="9002"/>
    <cellStyle name="표준 25 4 3 6 2" xfId="18007"/>
    <cellStyle name="표준 25 4 3 6 2 2" xfId="38883"/>
    <cellStyle name="표준 25 4 3 6 3" xfId="30145"/>
    <cellStyle name="표준 25 4 3 7" xfId="9827"/>
    <cellStyle name="표준 25 4 3 7 2" xfId="18825"/>
    <cellStyle name="표준 25 4 3 7 2 2" xfId="39701"/>
    <cellStyle name="표준 25 4 3 7 3" xfId="30963"/>
    <cellStyle name="표준 25 4 3 8" xfId="10882"/>
    <cellStyle name="표준 25 4 3 8 2" xfId="19653"/>
    <cellStyle name="표준 25 4 3 8 2 2" xfId="40529"/>
    <cellStyle name="표준 25 4 3 8 3" xfId="31793"/>
    <cellStyle name="표준 25 4 3 9" xfId="11748"/>
    <cellStyle name="표준 25 4 3 9 2" xfId="20514"/>
    <cellStyle name="표준 25 4 3 9 2 2" xfId="41390"/>
    <cellStyle name="표준 25 4 3 9 3" xfId="32654"/>
    <cellStyle name="표준 25 4 4" xfId="4603"/>
    <cellStyle name="표준 25 4 4 2" xfId="6437"/>
    <cellStyle name="표준 25 4 4 2 2" xfId="15446"/>
    <cellStyle name="표준 25 4 4 2 2 2" xfId="36322"/>
    <cellStyle name="표준 25 4 4 2 3" xfId="27584"/>
    <cellStyle name="표준 25 4 4 3" xfId="11100"/>
    <cellStyle name="표준 25 4 4 3 2" xfId="19870"/>
    <cellStyle name="표준 25 4 4 3 2 2" xfId="40746"/>
    <cellStyle name="표준 25 4 4 3 3" xfId="32010"/>
    <cellStyle name="표준 25 4 4 4" xfId="11965"/>
    <cellStyle name="표준 25 4 4 4 2" xfId="20731"/>
    <cellStyle name="표준 25 4 4 4 2 2" xfId="41607"/>
    <cellStyle name="표준 25 4 4 4 3" xfId="32871"/>
    <cellStyle name="표준 25 4 4 5" xfId="13628"/>
    <cellStyle name="표준 25 4 4 5 2" xfId="34504"/>
    <cellStyle name="표준 25 4 4 6" xfId="25766"/>
    <cellStyle name="표준 25 4 5" xfId="5280"/>
    <cellStyle name="표준 25 4 5 2" xfId="14289"/>
    <cellStyle name="표준 25 4 5 2 2" xfId="35165"/>
    <cellStyle name="표준 25 4 5 3" xfId="26427"/>
    <cellStyle name="표준 25 4 6" xfId="7082"/>
    <cellStyle name="표준 25 4 6 2" xfId="16090"/>
    <cellStyle name="표준 25 4 6 2 2" xfId="36966"/>
    <cellStyle name="표준 25 4 6 3" xfId="28228"/>
    <cellStyle name="표준 25 4 7" xfId="7727"/>
    <cellStyle name="표준 25 4 7 2" xfId="16733"/>
    <cellStyle name="표준 25 4 7 2 2" xfId="37609"/>
    <cellStyle name="표준 25 4 7 3" xfId="28871"/>
    <cellStyle name="표준 25 4 8" xfId="8575"/>
    <cellStyle name="표준 25 4 8 2" xfId="17580"/>
    <cellStyle name="표준 25 4 8 2 2" xfId="38456"/>
    <cellStyle name="표준 25 4 8 3" xfId="29718"/>
    <cellStyle name="표준 25 4 9" xfId="9399"/>
    <cellStyle name="표준 25 4 9 2" xfId="18398"/>
    <cellStyle name="표준 25 4 9 2 2" xfId="39274"/>
    <cellStyle name="표준 25 4 9 3" xfId="30536"/>
    <cellStyle name="표준 25 5" xfId="2995"/>
    <cellStyle name="표준 25 5 10" xfId="10456"/>
    <cellStyle name="표준 25 5 10 2" xfId="19227"/>
    <cellStyle name="표준 25 5 10 2 2" xfId="40103"/>
    <cellStyle name="표준 25 5 10 3" xfId="31367"/>
    <cellStyle name="표준 25 5 11" xfId="11322"/>
    <cellStyle name="표준 25 5 11 2" xfId="20088"/>
    <cellStyle name="표준 25 5 11 2 2" xfId="40964"/>
    <cellStyle name="표준 25 5 11 3" xfId="32228"/>
    <cellStyle name="표준 25 5 12" xfId="12470"/>
    <cellStyle name="표준 25 5 12 2" xfId="33348"/>
    <cellStyle name="표준 25 5 13" xfId="24598"/>
    <cellStyle name="표준 25 5 2" xfId="3213"/>
    <cellStyle name="표준 25 5 2 10" xfId="11532"/>
    <cellStyle name="표준 25 5 2 10 2" xfId="20298"/>
    <cellStyle name="표준 25 5 2 10 2 2" xfId="41174"/>
    <cellStyle name="표준 25 5 2 10 3" xfId="32438"/>
    <cellStyle name="표준 25 5 2 11" xfId="12681"/>
    <cellStyle name="표준 25 5 2 11 2" xfId="33558"/>
    <cellStyle name="표준 25 5 2 12" xfId="24808"/>
    <cellStyle name="표준 25 5 2 2" xfId="3655"/>
    <cellStyle name="표준 25 5 2 2 2" xfId="5928"/>
    <cellStyle name="표준 25 5 2 2 2 2" xfId="14937"/>
    <cellStyle name="표준 25 5 2 2 2 2 2" xfId="35813"/>
    <cellStyle name="표준 25 5 2 2 2 3" xfId="27075"/>
    <cellStyle name="표준 25 5 2 2 3" xfId="13118"/>
    <cellStyle name="표준 25 5 2 2 3 2" xfId="33995"/>
    <cellStyle name="표준 25 5 2 2 4" xfId="25245"/>
    <cellStyle name="표준 25 5 2 3" xfId="4816"/>
    <cellStyle name="표준 25 5 2 3 2" xfId="6648"/>
    <cellStyle name="표준 25 5 2 3 2 2" xfId="15657"/>
    <cellStyle name="표준 25 5 2 3 2 2 2" xfId="36533"/>
    <cellStyle name="표준 25 5 2 3 2 3" xfId="27795"/>
    <cellStyle name="표준 25 5 2 3 3" xfId="13839"/>
    <cellStyle name="표준 25 5 2 3 3 2" xfId="34715"/>
    <cellStyle name="표준 25 5 2 3 4" xfId="25977"/>
    <cellStyle name="표준 25 5 2 4" xfId="5491"/>
    <cellStyle name="표준 25 5 2 4 2" xfId="14500"/>
    <cellStyle name="표준 25 5 2 4 2 2" xfId="35376"/>
    <cellStyle name="표준 25 5 2 4 3" xfId="26638"/>
    <cellStyle name="표준 25 5 2 5" xfId="7294"/>
    <cellStyle name="표준 25 5 2 5 2" xfId="16301"/>
    <cellStyle name="표준 25 5 2 5 2 2" xfId="37177"/>
    <cellStyle name="표준 25 5 2 5 3" xfId="28439"/>
    <cellStyle name="표준 25 5 2 6" xfId="7938"/>
    <cellStyle name="표준 25 5 2 6 2" xfId="16944"/>
    <cellStyle name="표준 25 5 2 6 2 2" xfId="37820"/>
    <cellStyle name="표준 25 5 2 6 3" xfId="29082"/>
    <cellStyle name="표준 25 5 2 7" xfId="8786"/>
    <cellStyle name="표준 25 5 2 7 2" xfId="17791"/>
    <cellStyle name="표준 25 5 2 7 2 2" xfId="38667"/>
    <cellStyle name="표준 25 5 2 7 3" xfId="29929"/>
    <cellStyle name="표준 25 5 2 8" xfId="9611"/>
    <cellStyle name="표준 25 5 2 8 2" xfId="18609"/>
    <cellStyle name="표준 25 5 2 8 2 2" xfId="39485"/>
    <cellStyle name="표준 25 5 2 8 3" xfId="30747"/>
    <cellStyle name="표준 25 5 2 9" xfId="10666"/>
    <cellStyle name="표준 25 5 2 9 2" xfId="19437"/>
    <cellStyle name="표준 25 5 2 9 2 2" xfId="40313"/>
    <cellStyle name="표준 25 5 2 9 3" xfId="31577"/>
    <cellStyle name="표준 25 5 3" xfId="3445"/>
    <cellStyle name="표준 25 5 3 10" xfId="12908"/>
    <cellStyle name="표준 25 5 3 10 2" xfId="33785"/>
    <cellStyle name="표준 25 5 3 11" xfId="25035"/>
    <cellStyle name="표준 25 5 3 2" xfId="5038"/>
    <cellStyle name="표준 25 5 3 2 2" xfId="6865"/>
    <cellStyle name="표준 25 5 3 2 2 2" xfId="15874"/>
    <cellStyle name="표준 25 5 3 2 2 2 2" xfId="36750"/>
    <cellStyle name="표준 25 5 3 2 2 3" xfId="28012"/>
    <cellStyle name="표준 25 5 3 2 3" xfId="14056"/>
    <cellStyle name="표준 25 5 3 2 3 2" xfId="34932"/>
    <cellStyle name="표준 25 5 3 2 4" xfId="26194"/>
    <cellStyle name="표준 25 5 3 3" xfId="5718"/>
    <cellStyle name="표준 25 5 3 3 2" xfId="14727"/>
    <cellStyle name="표준 25 5 3 3 2 2" xfId="35603"/>
    <cellStyle name="표준 25 5 3 3 3" xfId="26865"/>
    <cellStyle name="표준 25 5 3 4" xfId="7511"/>
    <cellStyle name="표준 25 5 3 4 2" xfId="16518"/>
    <cellStyle name="표준 25 5 3 4 2 2" xfId="37394"/>
    <cellStyle name="표준 25 5 3 4 3" xfId="28656"/>
    <cellStyle name="표준 25 5 3 5" xfId="8155"/>
    <cellStyle name="표준 25 5 3 5 2" xfId="17161"/>
    <cellStyle name="표준 25 5 3 5 2 2" xfId="38037"/>
    <cellStyle name="표준 25 5 3 5 3" xfId="29299"/>
    <cellStyle name="표준 25 5 3 6" xfId="9003"/>
    <cellStyle name="표준 25 5 3 6 2" xfId="18008"/>
    <cellStyle name="표준 25 5 3 6 2 2" xfId="38884"/>
    <cellStyle name="표준 25 5 3 6 3" xfId="30146"/>
    <cellStyle name="표준 25 5 3 7" xfId="9828"/>
    <cellStyle name="표준 25 5 3 7 2" xfId="18826"/>
    <cellStyle name="표준 25 5 3 7 2 2" xfId="39702"/>
    <cellStyle name="표준 25 5 3 7 3" xfId="30964"/>
    <cellStyle name="표준 25 5 3 8" xfId="10883"/>
    <cellStyle name="표준 25 5 3 8 2" xfId="19654"/>
    <cellStyle name="표준 25 5 3 8 2 2" xfId="40530"/>
    <cellStyle name="표준 25 5 3 8 3" xfId="31794"/>
    <cellStyle name="표준 25 5 3 9" xfId="11749"/>
    <cellStyle name="표준 25 5 3 9 2" xfId="20515"/>
    <cellStyle name="표준 25 5 3 9 2 2" xfId="41391"/>
    <cellStyle name="표준 25 5 3 9 3" xfId="32655"/>
    <cellStyle name="표준 25 5 4" xfId="4604"/>
    <cellStyle name="표준 25 5 4 2" xfId="6438"/>
    <cellStyle name="표준 25 5 4 2 2" xfId="15447"/>
    <cellStyle name="표준 25 5 4 2 2 2" xfId="36323"/>
    <cellStyle name="표준 25 5 4 2 3" xfId="27585"/>
    <cellStyle name="표준 25 5 4 3" xfId="11101"/>
    <cellStyle name="표준 25 5 4 3 2" xfId="19871"/>
    <cellStyle name="표준 25 5 4 3 2 2" xfId="40747"/>
    <cellStyle name="표준 25 5 4 3 3" xfId="32011"/>
    <cellStyle name="표준 25 5 4 4" xfId="11966"/>
    <cellStyle name="표준 25 5 4 4 2" xfId="20732"/>
    <cellStyle name="표준 25 5 4 4 2 2" xfId="41608"/>
    <cellStyle name="표준 25 5 4 4 3" xfId="32872"/>
    <cellStyle name="표준 25 5 4 5" xfId="13629"/>
    <cellStyle name="표준 25 5 4 5 2" xfId="34505"/>
    <cellStyle name="표준 25 5 4 6" xfId="25767"/>
    <cellStyle name="표준 25 5 5" xfId="5281"/>
    <cellStyle name="표준 25 5 5 2" xfId="14290"/>
    <cellStyle name="표준 25 5 5 2 2" xfId="35166"/>
    <cellStyle name="표준 25 5 5 3" xfId="26428"/>
    <cellStyle name="표준 25 5 6" xfId="7083"/>
    <cellStyle name="표준 25 5 6 2" xfId="16091"/>
    <cellStyle name="표준 25 5 6 2 2" xfId="36967"/>
    <cellStyle name="표준 25 5 6 3" xfId="28229"/>
    <cellStyle name="표준 25 5 7" xfId="7728"/>
    <cellStyle name="표준 25 5 7 2" xfId="16734"/>
    <cellStyle name="표준 25 5 7 2 2" xfId="37610"/>
    <cellStyle name="표준 25 5 7 3" xfId="28872"/>
    <cellStyle name="표준 25 5 8" xfId="8576"/>
    <cellStyle name="표준 25 5 8 2" xfId="17581"/>
    <cellStyle name="표준 25 5 8 2 2" xfId="38457"/>
    <cellStyle name="표준 25 5 8 3" xfId="29719"/>
    <cellStyle name="표준 25 5 9" xfId="9400"/>
    <cellStyle name="표준 25 5 9 2" xfId="18399"/>
    <cellStyle name="표준 25 5 9 2 2" xfId="39275"/>
    <cellStyle name="표준 25 5 9 3" xfId="30537"/>
    <cellStyle name="표준 25 6" xfId="2996"/>
    <cellStyle name="표준 25 6 10" xfId="10457"/>
    <cellStyle name="표준 25 6 10 2" xfId="19228"/>
    <cellStyle name="표준 25 6 10 2 2" xfId="40104"/>
    <cellStyle name="표준 25 6 10 3" xfId="31368"/>
    <cellStyle name="표준 25 6 11" xfId="11323"/>
    <cellStyle name="표준 25 6 11 2" xfId="20089"/>
    <cellStyle name="표준 25 6 11 2 2" xfId="40965"/>
    <cellStyle name="표준 25 6 11 3" xfId="32229"/>
    <cellStyle name="표준 25 6 12" xfId="12471"/>
    <cellStyle name="표준 25 6 12 2" xfId="33349"/>
    <cellStyle name="표준 25 6 13" xfId="24599"/>
    <cellStyle name="표준 25 6 2" xfId="3214"/>
    <cellStyle name="표준 25 6 2 10" xfId="11533"/>
    <cellStyle name="표준 25 6 2 10 2" xfId="20299"/>
    <cellStyle name="표준 25 6 2 10 2 2" xfId="41175"/>
    <cellStyle name="표준 25 6 2 10 3" xfId="32439"/>
    <cellStyle name="표준 25 6 2 11" xfId="12682"/>
    <cellStyle name="표준 25 6 2 11 2" xfId="33559"/>
    <cellStyle name="표준 25 6 2 12" xfId="24809"/>
    <cellStyle name="표준 25 6 2 2" xfId="3656"/>
    <cellStyle name="표준 25 6 2 2 2" xfId="5929"/>
    <cellStyle name="표준 25 6 2 2 2 2" xfId="14938"/>
    <cellStyle name="표준 25 6 2 2 2 2 2" xfId="35814"/>
    <cellStyle name="표준 25 6 2 2 2 3" xfId="27076"/>
    <cellStyle name="표준 25 6 2 2 3" xfId="13119"/>
    <cellStyle name="표준 25 6 2 2 3 2" xfId="33996"/>
    <cellStyle name="표준 25 6 2 2 4" xfId="25246"/>
    <cellStyle name="표준 25 6 2 3" xfId="4817"/>
    <cellStyle name="표준 25 6 2 3 2" xfId="6649"/>
    <cellStyle name="표준 25 6 2 3 2 2" xfId="15658"/>
    <cellStyle name="표준 25 6 2 3 2 2 2" xfId="36534"/>
    <cellStyle name="표준 25 6 2 3 2 3" xfId="27796"/>
    <cellStyle name="표준 25 6 2 3 3" xfId="13840"/>
    <cellStyle name="표준 25 6 2 3 3 2" xfId="34716"/>
    <cellStyle name="표준 25 6 2 3 4" xfId="25978"/>
    <cellStyle name="표준 25 6 2 4" xfId="5492"/>
    <cellStyle name="표준 25 6 2 4 2" xfId="14501"/>
    <cellStyle name="표준 25 6 2 4 2 2" xfId="35377"/>
    <cellStyle name="표준 25 6 2 4 3" xfId="26639"/>
    <cellStyle name="표준 25 6 2 5" xfId="7295"/>
    <cellStyle name="표준 25 6 2 5 2" xfId="16302"/>
    <cellStyle name="표준 25 6 2 5 2 2" xfId="37178"/>
    <cellStyle name="표준 25 6 2 5 3" xfId="28440"/>
    <cellStyle name="표준 25 6 2 6" xfId="7939"/>
    <cellStyle name="표준 25 6 2 6 2" xfId="16945"/>
    <cellStyle name="표준 25 6 2 6 2 2" xfId="37821"/>
    <cellStyle name="표준 25 6 2 6 3" xfId="29083"/>
    <cellStyle name="표준 25 6 2 7" xfId="8787"/>
    <cellStyle name="표준 25 6 2 7 2" xfId="17792"/>
    <cellStyle name="표준 25 6 2 7 2 2" xfId="38668"/>
    <cellStyle name="표준 25 6 2 7 3" xfId="29930"/>
    <cellStyle name="표준 25 6 2 8" xfId="9612"/>
    <cellStyle name="표준 25 6 2 8 2" xfId="18610"/>
    <cellStyle name="표준 25 6 2 8 2 2" xfId="39486"/>
    <cellStyle name="표준 25 6 2 8 3" xfId="30748"/>
    <cellStyle name="표준 25 6 2 9" xfId="10667"/>
    <cellStyle name="표준 25 6 2 9 2" xfId="19438"/>
    <cellStyle name="표준 25 6 2 9 2 2" xfId="40314"/>
    <cellStyle name="표준 25 6 2 9 3" xfId="31578"/>
    <cellStyle name="표준 25 6 3" xfId="3446"/>
    <cellStyle name="표준 25 6 3 10" xfId="12909"/>
    <cellStyle name="표준 25 6 3 10 2" xfId="33786"/>
    <cellStyle name="표준 25 6 3 11" xfId="25036"/>
    <cellStyle name="표준 25 6 3 2" xfId="5039"/>
    <cellStyle name="표준 25 6 3 2 2" xfId="6866"/>
    <cellStyle name="표준 25 6 3 2 2 2" xfId="15875"/>
    <cellStyle name="표준 25 6 3 2 2 2 2" xfId="36751"/>
    <cellStyle name="표준 25 6 3 2 2 3" xfId="28013"/>
    <cellStyle name="표준 25 6 3 2 3" xfId="14057"/>
    <cellStyle name="표준 25 6 3 2 3 2" xfId="34933"/>
    <cellStyle name="표준 25 6 3 2 4" xfId="26195"/>
    <cellStyle name="표준 25 6 3 3" xfId="5719"/>
    <cellStyle name="표준 25 6 3 3 2" xfId="14728"/>
    <cellStyle name="표준 25 6 3 3 2 2" xfId="35604"/>
    <cellStyle name="표준 25 6 3 3 3" xfId="26866"/>
    <cellStyle name="표준 25 6 3 4" xfId="7512"/>
    <cellStyle name="표준 25 6 3 4 2" xfId="16519"/>
    <cellStyle name="표준 25 6 3 4 2 2" xfId="37395"/>
    <cellStyle name="표준 25 6 3 4 3" xfId="28657"/>
    <cellStyle name="표준 25 6 3 5" xfId="8156"/>
    <cellStyle name="표준 25 6 3 5 2" xfId="17162"/>
    <cellStyle name="표준 25 6 3 5 2 2" xfId="38038"/>
    <cellStyle name="표준 25 6 3 5 3" xfId="29300"/>
    <cellStyle name="표준 25 6 3 6" xfId="9004"/>
    <cellStyle name="표준 25 6 3 6 2" xfId="18009"/>
    <cellStyle name="표준 25 6 3 6 2 2" xfId="38885"/>
    <cellStyle name="표준 25 6 3 6 3" xfId="30147"/>
    <cellStyle name="표준 25 6 3 7" xfId="9829"/>
    <cellStyle name="표준 25 6 3 7 2" xfId="18827"/>
    <cellStyle name="표준 25 6 3 7 2 2" xfId="39703"/>
    <cellStyle name="표준 25 6 3 7 3" xfId="30965"/>
    <cellStyle name="표준 25 6 3 8" xfId="10884"/>
    <cellStyle name="표준 25 6 3 8 2" xfId="19655"/>
    <cellStyle name="표준 25 6 3 8 2 2" xfId="40531"/>
    <cellStyle name="표준 25 6 3 8 3" xfId="31795"/>
    <cellStyle name="표준 25 6 3 9" xfId="11750"/>
    <cellStyle name="표준 25 6 3 9 2" xfId="20516"/>
    <cellStyle name="표준 25 6 3 9 2 2" xfId="41392"/>
    <cellStyle name="표준 25 6 3 9 3" xfId="32656"/>
    <cellStyle name="표준 25 6 4" xfId="4605"/>
    <cellStyle name="표준 25 6 4 2" xfId="6439"/>
    <cellStyle name="표준 25 6 4 2 2" xfId="15448"/>
    <cellStyle name="표준 25 6 4 2 2 2" xfId="36324"/>
    <cellStyle name="표준 25 6 4 2 3" xfId="27586"/>
    <cellStyle name="표준 25 6 4 3" xfId="11102"/>
    <cellStyle name="표준 25 6 4 3 2" xfId="19872"/>
    <cellStyle name="표준 25 6 4 3 2 2" xfId="40748"/>
    <cellStyle name="표준 25 6 4 3 3" xfId="32012"/>
    <cellStyle name="표준 25 6 4 4" xfId="11967"/>
    <cellStyle name="표준 25 6 4 4 2" xfId="20733"/>
    <cellStyle name="표준 25 6 4 4 2 2" xfId="41609"/>
    <cellStyle name="표준 25 6 4 4 3" xfId="32873"/>
    <cellStyle name="표준 25 6 4 5" xfId="13630"/>
    <cellStyle name="표준 25 6 4 5 2" xfId="34506"/>
    <cellStyle name="표준 25 6 4 6" xfId="25768"/>
    <cellStyle name="표준 25 6 5" xfId="5282"/>
    <cellStyle name="표준 25 6 5 2" xfId="14291"/>
    <cellStyle name="표준 25 6 5 2 2" xfId="35167"/>
    <cellStyle name="표준 25 6 5 3" xfId="26429"/>
    <cellStyle name="표준 25 6 6" xfId="7084"/>
    <cellStyle name="표준 25 6 6 2" xfId="16092"/>
    <cellStyle name="표준 25 6 6 2 2" xfId="36968"/>
    <cellStyle name="표준 25 6 6 3" xfId="28230"/>
    <cellStyle name="표준 25 6 7" xfId="7729"/>
    <cellStyle name="표준 25 6 7 2" xfId="16735"/>
    <cellStyle name="표준 25 6 7 2 2" xfId="37611"/>
    <cellStyle name="표준 25 6 7 3" xfId="28873"/>
    <cellStyle name="표준 25 6 8" xfId="8577"/>
    <cellStyle name="표준 25 6 8 2" xfId="17582"/>
    <cellStyle name="표준 25 6 8 2 2" xfId="38458"/>
    <cellStyle name="표준 25 6 8 3" xfId="29720"/>
    <cellStyle name="표준 25 6 9" xfId="9401"/>
    <cellStyle name="표준 25 6 9 2" xfId="18400"/>
    <cellStyle name="표준 25 6 9 2 2" xfId="39276"/>
    <cellStyle name="표준 25 6 9 3" xfId="30538"/>
    <cellStyle name="표준 25 7" xfId="2997"/>
    <cellStyle name="표준 25 7 10" xfId="10458"/>
    <cellStyle name="표준 25 7 10 2" xfId="19229"/>
    <cellStyle name="표준 25 7 10 2 2" xfId="40105"/>
    <cellStyle name="표준 25 7 10 3" xfId="31369"/>
    <cellStyle name="표준 25 7 11" xfId="11324"/>
    <cellStyle name="표준 25 7 11 2" xfId="20090"/>
    <cellStyle name="표준 25 7 11 2 2" xfId="40966"/>
    <cellStyle name="표준 25 7 11 3" xfId="32230"/>
    <cellStyle name="표준 25 7 12" xfId="12472"/>
    <cellStyle name="표준 25 7 12 2" xfId="33350"/>
    <cellStyle name="표준 25 7 13" xfId="24600"/>
    <cellStyle name="표준 25 7 2" xfId="3215"/>
    <cellStyle name="표준 25 7 2 10" xfId="11534"/>
    <cellStyle name="표준 25 7 2 10 2" xfId="20300"/>
    <cellStyle name="표준 25 7 2 10 2 2" xfId="41176"/>
    <cellStyle name="표준 25 7 2 10 3" xfId="32440"/>
    <cellStyle name="표준 25 7 2 11" xfId="12683"/>
    <cellStyle name="표준 25 7 2 11 2" xfId="33560"/>
    <cellStyle name="표준 25 7 2 12" xfId="24810"/>
    <cellStyle name="표준 25 7 2 2" xfId="3657"/>
    <cellStyle name="표준 25 7 2 2 2" xfId="5930"/>
    <cellStyle name="표준 25 7 2 2 2 2" xfId="14939"/>
    <cellStyle name="표준 25 7 2 2 2 2 2" xfId="35815"/>
    <cellStyle name="표준 25 7 2 2 2 3" xfId="27077"/>
    <cellStyle name="표준 25 7 2 2 3" xfId="13120"/>
    <cellStyle name="표준 25 7 2 2 3 2" xfId="33997"/>
    <cellStyle name="표준 25 7 2 2 4" xfId="25247"/>
    <cellStyle name="표준 25 7 2 3" xfId="4818"/>
    <cellStyle name="표준 25 7 2 3 2" xfId="6650"/>
    <cellStyle name="표준 25 7 2 3 2 2" xfId="15659"/>
    <cellStyle name="표준 25 7 2 3 2 2 2" xfId="36535"/>
    <cellStyle name="표준 25 7 2 3 2 3" xfId="27797"/>
    <cellStyle name="표준 25 7 2 3 3" xfId="13841"/>
    <cellStyle name="표준 25 7 2 3 3 2" xfId="34717"/>
    <cellStyle name="표준 25 7 2 3 4" xfId="25979"/>
    <cellStyle name="표준 25 7 2 4" xfId="5493"/>
    <cellStyle name="표준 25 7 2 4 2" xfId="14502"/>
    <cellStyle name="표준 25 7 2 4 2 2" xfId="35378"/>
    <cellStyle name="표준 25 7 2 4 3" xfId="26640"/>
    <cellStyle name="표준 25 7 2 5" xfId="7296"/>
    <cellStyle name="표준 25 7 2 5 2" xfId="16303"/>
    <cellStyle name="표준 25 7 2 5 2 2" xfId="37179"/>
    <cellStyle name="표준 25 7 2 5 3" xfId="28441"/>
    <cellStyle name="표준 25 7 2 6" xfId="7940"/>
    <cellStyle name="표준 25 7 2 6 2" xfId="16946"/>
    <cellStyle name="표준 25 7 2 6 2 2" xfId="37822"/>
    <cellStyle name="표준 25 7 2 6 3" xfId="29084"/>
    <cellStyle name="표준 25 7 2 7" xfId="8788"/>
    <cellStyle name="표준 25 7 2 7 2" xfId="17793"/>
    <cellStyle name="표준 25 7 2 7 2 2" xfId="38669"/>
    <cellStyle name="표준 25 7 2 7 3" xfId="29931"/>
    <cellStyle name="표준 25 7 2 8" xfId="9613"/>
    <cellStyle name="표준 25 7 2 8 2" xfId="18611"/>
    <cellStyle name="표준 25 7 2 8 2 2" xfId="39487"/>
    <cellStyle name="표준 25 7 2 8 3" xfId="30749"/>
    <cellStyle name="표준 25 7 2 9" xfId="10668"/>
    <cellStyle name="표준 25 7 2 9 2" xfId="19439"/>
    <cellStyle name="표준 25 7 2 9 2 2" xfId="40315"/>
    <cellStyle name="표준 25 7 2 9 3" xfId="31579"/>
    <cellStyle name="표준 25 7 3" xfId="3447"/>
    <cellStyle name="표준 25 7 3 10" xfId="12910"/>
    <cellStyle name="표준 25 7 3 10 2" xfId="33787"/>
    <cellStyle name="표준 25 7 3 11" xfId="25037"/>
    <cellStyle name="표준 25 7 3 2" xfId="5040"/>
    <cellStyle name="표준 25 7 3 2 2" xfId="6867"/>
    <cellStyle name="표준 25 7 3 2 2 2" xfId="15876"/>
    <cellStyle name="표준 25 7 3 2 2 2 2" xfId="36752"/>
    <cellStyle name="표준 25 7 3 2 2 3" xfId="28014"/>
    <cellStyle name="표준 25 7 3 2 3" xfId="14058"/>
    <cellStyle name="표준 25 7 3 2 3 2" xfId="34934"/>
    <cellStyle name="표준 25 7 3 2 4" xfId="26196"/>
    <cellStyle name="표준 25 7 3 3" xfId="5720"/>
    <cellStyle name="표준 25 7 3 3 2" xfId="14729"/>
    <cellStyle name="표준 25 7 3 3 2 2" xfId="35605"/>
    <cellStyle name="표준 25 7 3 3 3" xfId="26867"/>
    <cellStyle name="표준 25 7 3 4" xfId="7513"/>
    <cellStyle name="표준 25 7 3 4 2" xfId="16520"/>
    <cellStyle name="표준 25 7 3 4 2 2" xfId="37396"/>
    <cellStyle name="표준 25 7 3 4 3" xfId="28658"/>
    <cellStyle name="표준 25 7 3 5" xfId="8157"/>
    <cellStyle name="표준 25 7 3 5 2" xfId="17163"/>
    <cellStyle name="표준 25 7 3 5 2 2" xfId="38039"/>
    <cellStyle name="표준 25 7 3 5 3" xfId="29301"/>
    <cellStyle name="표준 25 7 3 6" xfId="9005"/>
    <cellStyle name="표준 25 7 3 6 2" xfId="18010"/>
    <cellStyle name="표준 25 7 3 6 2 2" xfId="38886"/>
    <cellStyle name="표준 25 7 3 6 3" xfId="30148"/>
    <cellStyle name="표준 25 7 3 7" xfId="9830"/>
    <cellStyle name="표준 25 7 3 7 2" xfId="18828"/>
    <cellStyle name="표준 25 7 3 7 2 2" xfId="39704"/>
    <cellStyle name="표준 25 7 3 7 3" xfId="30966"/>
    <cellStyle name="표준 25 7 3 8" xfId="10885"/>
    <cellStyle name="표준 25 7 3 8 2" xfId="19656"/>
    <cellStyle name="표준 25 7 3 8 2 2" xfId="40532"/>
    <cellStyle name="표준 25 7 3 8 3" xfId="31796"/>
    <cellStyle name="표준 25 7 3 9" xfId="11751"/>
    <cellStyle name="표준 25 7 3 9 2" xfId="20517"/>
    <cellStyle name="표준 25 7 3 9 2 2" xfId="41393"/>
    <cellStyle name="표준 25 7 3 9 3" xfId="32657"/>
    <cellStyle name="표준 25 7 4" xfId="4606"/>
    <cellStyle name="표준 25 7 4 2" xfId="6440"/>
    <cellStyle name="표준 25 7 4 2 2" xfId="15449"/>
    <cellStyle name="표준 25 7 4 2 2 2" xfId="36325"/>
    <cellStyle name="표준 25 7 4 2 3" xfId="27587"/>
    <cellStyle name="표준 25 7 4 3" xfId="11103"/>
    <cellStyle name="표준 25 7 4 3 2" xfId="19873"/>
    <cellStyle name="표준 25 7 4 3 2 2" xfId="40749"/>
    <cellStyle name="표준 25 7 4 3 3" xfId="32013"/>
    <cellStyle name="표준 25 7 4 4" xfId="11968"/>
    <cellStyle name="표준 25 7 4 4 2" xfId="20734"/>
    <cellStyle name="표준 25 7 4 4 2 2" xfId="41610"/>
    <cellStyle name="표준 25 7 4 4 3" xfId="32874"/>
    <cellStyle name="표준 25 7 4 5" xfId="13631"/>
    <cellStyle name="표준 25 7 4 5 2" xfId="34507"/>
    <cellStyle name="표준 25 7 4 6" xfId="25769"/>
    <cellStyle name="표준 25 7 5" xfId="5283"/>
    <cellStyle name="표준 25 7 5 2" xfId="14292"/>
    <cellStyle name="표준 25 7 5 2 2" xfId="35168"/>
    <cellStyle name="표준 25 7 5 3" xfId="26430"/>
    <cellStyle name="표준 25 7 6" xfId="7085"/>
    <cellStyle name="표준 25 7 6 2" xfId="16093"/>
    <cellStyle name="표준 25 7 6 2 2" xfId="36969"/>
    <cellStyle name="표준 25 7 6 3" xfId="28231"/>
    <cellStyle name="표준 25 7 7" xfId="7730"/>
    <cellStyle name="표준 25 7 7 2" xfId="16736"/>
    <cellStyle name="표준 25 7 7 2 2" xfId="37612"/>
    <cellStyle name="표준 25 7 7 3" xfId="28874"/>
    <cellStyle name="표준 25 7 8" xfId="8578"/>
    <cellStyle name="표준 25 7 8 2" xfId="17583"/>
    <cellStyle name="표준 25 7 8 2 2" xfId="38459"/>
    <cellStyle name="표준 25 7 8 3" xfId="29721"/>
    <cellStyle name="표준 25 7 9" xfId="9402"/>
    <cellStyle name="표준 25 7 9 2" xfId="18401"/>
    <cellStyle name="표준 25 7 9 2 2" xfId="39277"/>
    <cellStyle name="표준 25 7 9 3" xfId="30539"/>
    <cellStyle name="표준 25 8" xfId="3209"/>
    <cellStyle name="표준 25 8 10" xfId="11528"/>
    <cellStyle name="표준 25 8 10 2" xfId="20294"/>
    <cellStyle name="표준 25 8 10 2 2" xfId="41170"/>
    <cellStyle name="표준 25 8 10 3" xfId="32434"/>
    <cellStyle name="표준 25 8 11" xfId="12677"/>
    <cellStyle name="표준 25 8 11 2" xfId="33554"/>
    <cellStyle name="표준 25 8 12" xfId="24804"/>
    <cellStyle name="표준 25 8 2" xfId="3651"/>
    <cellStyle name="표준 25 8 2 2" xfId="5924"/>
    <cellStyle name="표준 25 8 2 2 2" xfId="14933"/>
    <cellStyle name="표준 25 8 2 2 2 2" xfId="35809"/>
    <cellStyle name="표준 25 8 2 2 3" xfId="27071"/>
    <cellStyle name="표준 25 8 2 3" xfId="13114"/>
    <cellStyle name="표준 25 8 2 3 2" xfId="33991"/>
    <cellStyle name="표준 25 8 2 4" xfId="25241"/>
    <cellStyle name="표준 25 8 3" xfId="4812"/>
    <cellStyle name="표준 25 8 3 2" xfId="6644"/>
    <cellStyle name="표준 25 8 3 2 2" xfId="15653"/>
    <cellStyle name="표준 25 8 3 2 2 2" xfId="36529"/>
    <cellStyle name="표준 25 8 3 2 3" xfId="27791"/>
    <cellStyle name="표준 25 8 3 3" xfId="13835"/>
    <cellStyle name="표준 25 8 3 3 2" xfId="34711"/>
    <cellStyle name="표준 25 8 3 4" xfId="25973"/>
    <cellStyle name="표준 25 8 4" xfId="5487"/>
    <cellStyle name="표준 25 8 4 2" xfId="14496"/>
    <cellStyle name="표준 25 8 4 2 2" xfId="35372"/>
    <cellStyle name="표준 25 8 4 3" xfId="26634"/>
    <cellStyle name="표준 25 8 5" xfId="7290"/>
    <cellStyle name="표준 25 8 5 2" xfId="16297"/>
    <cellStyle name="표준 25 8 5 2 2" xfId="37173"/>
    <cellStyle name="표준 25 8 5 3" xfId="28435"/>
    <cellStyle name="표준 25 8 6" xfId="7934"/>
    <cellStyle name="표준 25 8 6 2" xfId="16940"/>
    <cellStyle name="표준 25 8 6 2 2" xfId="37816"/>
    <cellStyle name="표준 25 8 6 3" xfId="29078"/>
    <cellStyle name="표준 25 8 7" xfId="8782"/>
    <cellStyle name="표준 25 8 7 2" xfId="17787"/>
    <cellStyle name="표준 25 8 7 2 2" xfId="38663"/>
    <cellStyle name="표준 25 8 7 3" xfId="29925"/>
    <cellStyle name="표준 25 8 8" xfId="9607"/>
    <cellStyle name="표준 25 8 8 2" xfId="18605"/>
    <cellStyle name="표준 25 8 8 2 2" xfId="39481"/>
    <cellStyle name="표준 25 8 8 3" xfId="30743"/>
    <cellStyle name="표준 25 8 9" xfId="10662"/>
    <cellStyle name="표준 25 8 9 2" xfId="19433"/>
    <cellStyle name="표준 25 8 9 2 2" xfId="40309"/>
    <cellStyle name="표준 25 8 9 3" xfId="31573"/>
    <cellStyle name="표준 25 9" xfId="3441"/>
    <cellStyle name="표준 25 9 10" xfId="12904"/>
    <cellStyle name="표준 25 9 10 2" xfId="33781"/>
    <cellStyle name="표준 25 9 11" xfId="25031"/>
    <cellStyle name="표준 25 9 2" xfId="5034"/>
    <cellStyle name="표준 25 9 2 2" xfId="6861"/>
    <cellStyle name="표준 25 9 2 2 2" xfId="15870"/>
    <cellStyle name="표준 25 9 2 2 2 2" xfId="36746"/>
    <cellStyle name="표준 25 9 2 2 3" xfId="28008"/>
    <cellStyle name="표준 25 9 2 3" xfId="14052"/>
    <cellStyle name="표준 25 9 2 3 2" xfId="34928"/>
    <cellStyle name="표준 25 9 2 4" xfId="26190"/>
    <cellStyle name="표준 25 9 3" xfId="5714"/>
    <cellStyle name="표준 25 9 3 2" xfId="14723"/>
    <cellStyle name="표준 25 9 3 2 2" xfId="35599"/>
    <cellStyle name="표준 25 9 3 3" xfId="26861"/>
    <cellStyle name="표준 25 9 4" xfId="7507"/>
    <cellStyle name="표준 25 9 4 2" xfId="16514"/>
    <cellStyle name="표준 25 9 4 2 2" xfId="37390"/>
    <cellStyle name="표준 25 9 4 3" xfId="28652"/>
    <cellStyle name="표준 25 9 5" xfId="8151"/>
    <cellStyle name="표준 25 9 5 2" xfId="17157"/>
    <cellStyle name="표준 25 9 5 2 2" xfId="38033"/>
    <cellStyle name="표준 25 9 5 3" xfId="29295"/>
    <cellStyle name="표준 25 9 6" xfId="8999"/>
    <cellStyle name="표준 25 9 6 2" xfId="18004"/>
    <cellStyle name="표준 25 9 6 2 2" xfId="38880"/>
    <cellStyle name="표준 25 9 6 3" xfId="30142"/>
    <cellStyle name="표준 25 9 7" xfId="9824"/>
    <cellStyle name="표준 25 9 7 2" xfId="18822"/>
    <cellStyle name="표준 25 9 7 2 2" xfId="39698"/>
    <cellStyle name="표준 25 9 7 3" xfId="30960"/>
    <cellStyle name="표준 25 9 8" xfId="10879"/>
    <cellStyle name="표준 25 9 8 2" xfId="19650"/>
    <cellStyle name="표준 25 9 8 2 2" xfId="40526"/>
    <cellStyle name="표준 25 9 8 3" xfId="31790"/>
    <cellStyle name="표준 25 9 9" xfId="11745"/>
    <cellStyle name="표준 25 9 9 2" xfId="20511"/>
    <cellStyle name="표준 25 9 9 2 2" xfId="41387"/>
    <cellStyle name="표준 25 9 9 3" xfId="32651"/>
    <cellStyle name="표준 26" xfId="2998"/>
    <cellStyle name="표준 26 10" xfId="4607"/>
    <cellStyle name="표준 26 10 2" xfId="6441"/>
    <cellStyle name="표준 26 10 2 2" xfId="15450"/>
    <cellStyle name="표준 26 10 2 2 2" xfId="36326"/>
    <cellStyle name="표준 26 10 2 3" xfId="27588"/>
    <cellStyle name="표준 26 10 3" xfId="11104"/>
    <cellStyle name="표준 26 10 3 2" xfId="19874"/>
    <cellStyle name="표준 26 10 3 2 2" xfId="40750"/>
    <cellStyle name="표준 26 10 3 3" xfId="32014"/>
    <cellStyle name="표준 26 10 4" xfId="11969"/>
    <cellStyle name="표준 26 10 4 2" xfId="20735"/>
    <cellStyle name="표준 26 10 4 2 2" xfId="41611"/>
    <cellStyle name="표준 26 10 4 3" xfId="32875"/>
    <cellStyle name="표준 26 10 5" xfId="13632"/>
    <cellStyle name="표준 26 10 5 2" xfId="34508"/>
    <cellStyle name="표준 26 10 6" xfId="25770"/>
    <cellStyle name="표준 26 11" xfId="5284"/>
    <cellStyle name="표준 26 11 2" xfId="14293"/>
    <cellStyle name="표준 26 11 2 2" xfId="35169"/>
    <cellStyle name="표준 26 11 3" xfId="26431"/>
    <cellStyle name="표준 26 12" xfId="7086"/>
    <cellStyle name="표준 26 12 2" xfId="16094"/>
    <cellStyle name="표준 26 12 2 2" xfId="36970"/>
    <cellStyle name="표준 26 12 3" xfId="28232"/>
    <cellStyle name="표준 26 13" xfId="7731"/>
    <cellStyle name="표준 26 13 2" xfId="16737"/>
    <cellStyle name="표준 26 13 2 2" xfId="37613"/>
    <cellStyle name="표준 26 13 3" xfId="28875"/>
    <cellStyle name="표준 26 14" xfId="8579"/>
    <cellStyle name="표준 26 14 2" xfId="17584"/>
    <cellStyle name="표준 26 14 2 2" xfId="38460"/>
    <cellStyle name="표준 26 14 3" xfId="29722"/>
    <cellStyle name="표준 26 15" xfId="9403"/>
    <cellStyle name="표준 26 15 2" xfId="18402"/>
    <cellStyle name="표준 26 15 2 2" xfId="39278"/>
    <cellStyle name="표준 26 15 3" xfId="30540"/>
    <cellStyle name="표준 26 16" xfId="10459"/>
    <cellStyle name="표준 26 16 2" xfId="19230"/>
    <cellStyle name="표준 26 16 2 2" xfId="40106"/>
    <cellStyle name="표준 26 16 3" xfId="31370"/>
    <cellStyle name="표준 26 17" xfId="11325"/>
    <cellStyle name="표준 26 17 2" xfId="20091"/>
    <cellStyle name="표준 26 17 2 2" xfId="40967"/>
    <cellStyle name="표준 26 17 3" xfId="32231"/>
    <cellStyle name="표준 26 18" xfId="12473"/>
    <cellStyle name="표준 26 18 2" xfId="33351"/>
    <cellStyle name="표준 26 19" xfId="24601"/>
    <cellStyle name="표준 26 2" xfId="2999"/>
    <cellStyle name="표준 26 2 10" xfId="10460"/>
    <cellStyle name="표준 26 2 10 2" xfId="19231"/>
    <cellStyle name="표준 26 2 10 2 2" xfId="40107"/>
    <cellStyle name="표준 26 2 10 3" xfId="31371"/>
    <cellStyle name="표준 26 2 11" xfId="11326"/>
    <cellStyle name="표준 26 2 11 2" xfId="20092"/>
    <cellStyle name="표준 26 2 11 2 2" xfId="40968"/>
    <cellStyle name="표준 26 2 11 3" xfId="32232"/>
    <cellStyle name="표준 26 2 12" xfId="12474"/>
    <cellStyle name="표준 26 2 12 2" xfId="33352"/>
    <cellStyle name="표준 26 2 13" xfId="24602"/>
    <cellStyle name="표준 26 2 2" xfId="3217"/>
    <cellStyle name="표준 26 2 2 10" xfId="11536"/>
    <cellStyle name="표준 26 2 2 10 2" xfId="20302"/>
    <cellStyle name="표준 26 2 2 10 2 2" xfId="41178"/>
    <cellStyle name="표준 26 2 2 10 3" xfId="32442"/>
    <cellStyle name="표준 26 2 2 11" xfId="12685"/>
    <cellStyle name="표준 26 2 2 11 2" xfId="33562"/>
    <cellStyle name="표준 26 2 2 12" xfId="24812"/>
    <cellStyle name="표준 26 2 2 2" xfId="3659"/>
    <cellStyle name="표준 26 2 2 2 2" xfId="5932"/>
    <cellStyle name="표준 26 2 2 2 2 2" xfId="14941"/>
    <cellStyle name="표준 26 2 2 2 2 2 2" xfId="35817"/>
    <cellStyle name="표준 26 2 2 2 2 3" xfId="27079"/>
    <cellStyle name="표준 26 2 2 2 3" xfId="13122"/>
    <cellStyle name="표준 26 2 2 2 3 2" xfId="33999"/>
    <cellStyle name="표준 26 2 2 2 4" xfId="25249"/>
    <cellStyle name="표준 26 2 2 3" xfId="4820"/>
    <cellStyle name="표준 26 2 2 3 2" xfId="6652"/>
    <cellStyle name="표준 26 2 2 3 2 2" xfId="15661"/>
    <cellStyle name="표준 26 2 2 3 2 2 2" xfId="36537"/>
    <cellStyle name="표준 26 2 2 3 2 3" xfId="27799"/>
    <cellStyle name="표준 26 2 2 3 3" xfId="13843"/>
    <cellStyle name="표준 26 2 2 3 3 2" xfId="34719"/>
    <cellStyle name="표준 26 2 2 3 4" xfId="25981"/>
    <cellStyle name="표준 26 2 2 4" xfId="5495"/>
    <cellStyle name="표준 26 2 2 4 2" xfId="14504"/>
    <cellStyle name="표준 26 2 2 4 2 2" xfId="35380"/>
    <cellStyle name="표준 26 2 2 4 3" xfId="26642"/>
    <cellStyle name="표준 26 2 2 5" xfId="7298"/>
    <cellStyle name="표준 26 2 2 5 2" xfId="16305"/>
    <cellStyle name="표준 26 2 2 5 2 2" xfId="37181"/>
    <cellStyle name="표준 26 2 2 5 3" xfId="28443"/>
    <cellStyle name="표준 26 2 2 6" xfId="7942"/>
    <cellStyle name="표준 26 2 2 6 2" xfId="16948"/>
    <cellStyle name="표준 26 2 2 6 2 2" xfId="37824"/>
    <cellStyle name="표준 26 2 2 6 3" xfId="29086"/>
    <cellStyle name="표준 26 2 2 7" xfId="8790"/>
    <cellStyle name="표준 26 2 2 7 2" xfId="17795"/>
    <cellStyle name="표준 26 2 2 7 2 2" xfId="38671"/>
    <cellStyle name="표준 26 2 2 7 3" xfId="29933"/>
    <cellStyle name="표준 26 2 2 8" xfId="9615"/>
    <cellStyle name="표준 26 2 2 8 2" xfId="18613"/>
    <cellStyle name="표준 26 2 2 8 2 2" xfId="39489"/>
    <cellStyle name="표준 26 2 2 8 3" xfId="30751"/>
    <cellStyle name="표준 26 2 2 9" xfId="10670"/>
    <cellStyle name="표준 26 2 2 9 2" xfId="19441"/>
    <cellStyle name="표준 26 2 2 9 2 2" xfId="40317"/>
    <cellStyle name="표준 26 2 2 9 3" xfId="31581"/>
    <cellStyle name="표준 26 2 3" xfId="3449"/>
    <cellStyle name="표준 26 2 3 10" xfId="12912"/>
    <cellStyle name="표준 26 2 3 10 2" xfId="33789"/>
    <cellStyle name="표준 26 2 3 11" xfId="25039"/>
    <cellStyle name="표준 26 2 3 2" xfId="5042"/>
    <cellStyle name="표준 26 2 3 2 2" xfId="6869"/>
    <cellStyle name="표준 26 2 3 2 2 2" xfId="15878"/>
    <cellStyle name="표준 26 2 3 2 2 2 2" xfId="36754"/>
    <cellStyle name="표준 26 2 3 2 2 3" xfId="28016"/>
    <cellStyle name="표준 26 2 3 2 3" xfId="14060"/>
    <cellStyle name="표준 26 2 3 2 3 2" xfId="34936"/>
    <cellStyle name="표준 26 2 3 2 4" xfId="26198"/>
    <cellStyle name="표준 26 2 3 3" xfId="5722"/>
    <cellStyle name="표준 26 2 3 3 2" xfId="14731"/>
    <cellStyle name="표준 26 2 3 3 2 2" xfId="35607"/>
    <cellStyle name="표준 26 2 3 3 3" xfId="26869"/>
    <cellStyle name="표준 26 2 3 4" xfId="7515"/>
    <cellStyle name="표준 26 2 3 4 2" xfId="16522"/>
    <cellStyle name="표준 26 2 3 4 2 2" xfId="37398"/>
    <cellStyle name="표준 26 2 3 4 3" xfId="28660"/>
    <cellStyle name="표준 26 2 3 5" xfId="8159"/>
    <cellStyle name="표준 26 2 3 5 2" xfId="17165"/>
    <cellStyle name="표준 26 2 3 5 2 2" xfId="38041"/>
    <cellStyle name="표준 26 2 3 5 3" xfId="29303"/>
    <cellStyle name="표준 26 2 3 6" xfId="9007"/>
    <cellStyle name="표준 26 2 3 6 2" xfId="18012"/>
    <cellStyle name="표준 26 2 3 6 2 2" xfId="38888"/>
    <cellStyle name="표준 26 2 3 6 3" xfId="30150"/>
    <cellStyle name="표준 26 2 3 7" xfId="9832"/>
    <cellStyle name="표준 26 2 3 7 2" xfId="18830"/>
    <cellStyle name="표준 26 2 3 7 2 2" xfId="39706"/>
    <cellStyle name="표준 26 2 3 7 3" xfId="30968"/>
    <cellStyle name="표준 26 2 3 8" xfId="10887"/>
    <cellStyle name="표준 26 2 3 8 2" xfId="19658"/>
    <cellStyle name="표준 26 2 3 8 2 2" xfId="40534"/>
    <cellStyle name="표준 26 2 3 8 3" xfId="31798"/>
    <cellStyle name="표준 26 2 3 9" xfId="11753"/>
    <cellStyle name="표준 26 2 3 9 2" xfId="20519"/>
    <cellStyle name="표준 26 2 3 9 2 2" xfId="41395"/>
    <cellStyle name="표준 26 2 3 9 3" xfId="32659"/>
    <cellStyle name="표준 26 2 4" xfId="4608"/>
    <cellStyle name="표준 26 2 4 2" xfId="6442"/>
    <cellStyle name="표준 26 2 4 2 2" xfId="15451"/>
    <cellStyle name="표준 26 2 4 2 2 2" xfId="36327"/>
    <cellStyle name="표준 26 2 4 2 3" xfId="27589"/>
    <cellStyle name="표준 26 2 4 3" xfId="11105"/>
    <cellStyle name="표준 26 2 4 3 2" xfId="19875"/>
    <cellStyle name="표준 26 2 4 3 2 2" xfId="40751"/>
    <cellStyle name="표준 26 2 4 3 3" xfId="32015"/>
    <cellStyle name="표준 26 2 4 4" xfId="11970"/>
    <cellStyle name="표준 26 2 4 4 2" xfId="20736"/>
    <cellStyle name="표준 26 2 4 4 2 2" xfId="41612"/>
    <cellStyle name="표준 26 2 4 4 3" xfId="32876"/>
    <cellStyle name="표준 26 2 4 5" xfId="13633"/>
    <cellStyle name="표준 26 2 4 5 2" xfId="34509"/>
    <cellStyle name="표준 26 2 4 6" xfId="25771"/>
    <cellStyle name="표준 26 2 5" xfId="5285"/>
    <cellStyle name="표준 26 2 5 2" xfId="14294"/>
    <cellStyle name="표준 26 2 5 2 2" xfId="35170"/>
    <cellStyle name="표준 26 2 5 3" xfId="26432"/>
    <cellStyle name="표준 26 2 6" xfId="7087"/>
    <cellStyle name="표준 26 2 6 2" xfId="16095"/>
    <cellStyle name="표준 26 2 6 2 2" xfId="36971"/>
    <cellStyle name="표준 26 2 6 3" xfId="28233"/>
    <cellStyle name="표준 26 2 7" xfId="7732"/>
    <cellStyle name="표준 26 2 7 2" xfId="16738"/>
    <cellStyle name="표준 26 2 7 2 2" xfId="37614"/>
    <cellStyle name="표준 26 2 7 3" xfId="28876"/>
    <cellStyle name="표준 26 2 8" xfId="8580"/>
    <cellStyle name="표준 26 2 8 2" xfId="17585"/>
    <cellStyle name="표준 26 2 8 2 2" xfId="38461"/>
    <cellStyle name="표준 26 2 8 3" xfId="29723"/>
    <cellStyle name="표준 26 2 9" xfId="9404"/>
    <cellStyle name="표준 26 2 9 2" xfId="18403"/>
    <cellStyle name="표준 26 2 9 2 2" xfId="39279"/>
    <cellStyle name="표준 26 2 9 3" xfId="30541"/>
    <cellStyle name="표준 26 3" xfId="3000"/>
    <cellStyle name="표준 26 3 10" xfId="10461"/>
    <cellStyle name="표준 26 3 10 2" xfId="19232"/>
    <cellStyle name="표준 26 3 10 2 2" xfId="40108"/>
    <cellStyle name="표준 26 3 10 3" xfId="31372"/>
    <cellStyle name="표준 26 3 11" xfId="11327"/>
    <cellStyle name="표준 26 3 11 2" xfId="20093"/>
    <cellStyle name="표준 26 3 11 2 2" xfId="40969"/>
    <cellStyle name="표준 26 3 11 3" xfId="32233"/>
    <cellStyle name="표준 26 3 12" xfId="12475"/>
    <cellStyle name="표준 26 3 12 2" xfId="33353"/>
    <cellStyle name="표준 26 3 13" xfId="24603"/>
    <cellStyle name="표준 26 3 2" xfId="3218"/>
    <cellStyle name="표준 26 3 2 10" xfId="11537"/>
    <cellStyle name="표준 26 3 2 10 2" xfId="20303"/>
    <cellStyle name="표준 26 3 2 10 2 2" xfId="41179"/>
    <cellStyle name="표준 26 3 2 10 3" xfId="32443"/>
    <cellStyle name="표준 26 3 2 11" xfId="12686"/>
    <cellStyle name="표준 26 3 2 11 2" xfId="33563"/>
    <cellStyle name="표준 26 3 2 12" xfId="24813"/>
    <cellStyle name="표준 26 3 2 2" xfId="3660"/>
    <cellStyle name="표준 26 3 2 2 2" xfId="5933"/>
    <cellStyle name="표준 26 3 2 2 2 2" xfId="14942"/>
    <cellStyle name="표준 26 3 2 2 2 2 2" xfId="35818"/>
    <cellStyle name="표준 26 3 2 2 2 3" xfId="27080"/>
    <cellStyle name="표준 26 3 2 2 3" xfId="13123"/>
    <cellStyle name="표준 26 3 2 2 3 2" xfId="34000"/>
    <cellStyle name="표준 26 3 2 2 4" xfId="25250"/>
    <cellStyle name="표준 26 3 2 3" xfId="4821"/>
    <cellStyle name="표준 26 3 2 3 2" xfId="6653"/>
    <cellStyle name="표준 26 3 2 3 2 2" xfId="15662"/>
    <cellStyle name="표준 26 3 2 3 2 2 2" xfId="36538"/>
    <cellStyle name="표준 26 3 2 3 2 3" xfId="27800"/>
    <cellStyle name="표준 26 3 2 3 3" xfId="13844"/>
    <cellStyle name="표준 26 3 2 3 3 2" xfId="34720"/>
    <cellStyle name="표준 26 3 2 3 4" xfId="25982"/>
    <cellStyle name="표준 26 3 2 4" xfId="5496"/>
    <cellStyle name="표준 26 3 2 4 2" xfId="14505"/>
    <cellStyle name="표준 26 3 2 4 2 2" xfId="35381"/>
    <cellStyle name="표준 26 3 2 4 3" xfId="26643"/>
    <cellStyle name="표준 26 3 2 5" xfId="7299"/>
    <cellStyle name="표준 26 3 2 5 2" xfId="16306"/>
    <cellStyle name="표준 26 3 2 5 2 2" xfId="37182"/>
    <cellStyle name="표준 26 3 2 5 3" xfId="28444"/>
    <cellStyle name="표준 26 3 2 6" xfId="7943"/>
    <cellStyle name="표준 26 3 2 6 2" xfId="16949"/>
    <cellStyle name="표준 26 3 2 6 2 2" xfId="37825"/>
    <cellStyle name="표준 26 3 2 6 3" xfId="29087"/>
    <cellStyle name="표준 26 3 2 7" xfId="8791"/>
    <cellStyle name="표준 26 3 2 7 2" xfId="17796"/>
    <cellStyle name="표준 26 3 2 7 2 2" xfId="38672"/>
    <cellStyle name="표준 26 3 2 7 3" xfId="29934"/>
    <cellStyle name="표준 26 3 2 8" xfId="9616"/>
    <cellStyle name="표준 26 3 2 8 2" xfId="18614"/>
    <cellStyle name="표준 26 3 2 8 2 2" xfId="39490"/>
    <cellStyle name="표준 26 3 2 8 3" xfId="30752"/>
    <cellStyle name="표준 26 3 2 9" xfId="10671"/>
    <cellStyle name="표준 26 3 2 9 2" xfId="19442"/>
    <cellStyle name="표준 26 3 2 9 2 2" xfId="40318"/>
    <cellStyle name="표준 26 3 2 9 3" xfId="31582"/>
    <cellStyle name="표준 26 3 3" xfId="3450"/>
    <cellStyle name="표준 26 3 3 10" xfId="12913"/>
    <cellStyle name="표준 26 3 3 10 2" xfId="33790"/>
    <cellStyle name="표준 26 3 3 11" xfId="25040"/>
    <cellStyle name="표준 26 3 3 2" xfId="5043"/>
    <cellStyle name="표준 26 3 3 2 2" xfId="6870"/>
    <cellStyle name="표준 26 3 3 2 2 2" xfId="15879"/>
    <cellStyle name="표준 26 3 3 2 2 2 2" xfId="36755"/>
    <cellStyle name="표준 26 3 3 2 2 3" xfId="28017"/>
    <cellStyle name="표준 26 3 3 2 3" xfId="14061"/>
    <cellStyle name="표준 26 3 3 2 3 2" xfId="34937"/>
    <cellStyle name="표준 26 3 3 2 4" xfId="26199"/>
    <cellStyle name="표준 26 3 3 3" xfId="5723"/>
    <cellStyle name="표준 26 3 3 3 2" xfId="14732"/>
    <cellStyle name="표준 26 3 3 3 2 2" xfId="35608"/>
    <cellStyle name="표준 26 3 3 3 3" xfId="26870"/>
    <cellStyle name="표준 26 3 3 4" xfId="7516"/>
    <cellStyle name="표준 26 3 3 4 2" xfId="16523"/>
    <cellStyle name="표준 26 3 3 4 2 2" xfId="37399"/>
    <cellStyle name="표준 26 3 3 4 3" xfId="28661"/>
    <cellStyle name="표준 26 3 3 5" xfId="8160"/>
    <cellStyle name="표준 26 3 3 5 2" xfId="17166"/>
    <cellStyle name="표준 26 3 3 5 2 2" xfId="38042"/>
    <cellStyle name="표준 26 3 3 5 3" xfId="29304"/>
    <cellStyle name="표준 26 3 3 6" xfId="9008"/>
    <cellStyle name="표준 26 3 3 6 2" xfId="18013"/>
    <cellStyle name="표준 26 3 3 6 2 2" xfId="38889"/>
    <cellStyle name="표준 26 3 3 6 3" xfId="30151"/>
    <cellStyle name="표준 26 3 3 7" xfId="9833"/>
    <cellStyle name="표준 26 3 3 7 2" xfId="18831"/>
    <cellStyle name="표준 26 3 3 7 2 2" xfId="39707"/>
    <cellStyle name="표준 26 3 3 7 3" xfId="30969"/>
    <cellStyle name="표준 26 3 3 8" xfId="10888"/>
    <cellStyle name="표준 26 3 3 8 2" xfId="19659"/>
    <cellStyle name="표준 26 3 3 8 2 2" xfId="40535"/>
    <cellStyle name="표준 26 3 3 8 3" xfId="31799"/>
    <cellStyle name="표준 26 3 3 9" xfId="11754"/>
    <cellStyle name="표준 26 3 3 9 2" xfId="20520"/>
    <cellStyle name="표준 26 3 3 9 2 2" xfId="41396"/>
    <cellStyle name="표준 26 3 3 9 3" xfId="32660"/>
    <cellStyle name="표준 26 3 4" xfId="4609"/>
    <cellStyle name="표준 26 3 4 2" xfId="6443"/>
    <cellStyle name="표준 26 3 4 2 2" xfId="15452"/>
    <cellStyle name="표준 26 3 4 2 2 2" xfId="36328"/>
    <cellStyle name="표준 26 3 4 2 3" xfId="27590"/>
    <cellStyle name="표준 26 3 4 3" xfId="11106"/>
    <cellStyle name="표준 26 3 4 3 2" xfId="19876"/>
    <cellStyle name="표준 26 3 4 3 2 2" xfId="40752"/>
    <cellStyle name="표준 26 3 4 3 3" xfId="32016"/>
    <cellStyle name="표준 26 3 4 4" xfId="11971"/>
    <cellStyle name="표준 26 3 4 4 2" xfId="20737"/>
    <cellStyle name="표준 26 3 4 4 2 2" xfId="41613"/>
    <cellStyle name="표준 26 3 4 4 3" xfId="32877"/>
    <cellStyle name="표준 26 3 4 5" xfId="13634"/>
    <cellStyle name="표준 26 3 4 5 2" xfId="34510"/>
    <cellStyle name="표준 26 3 4 6" xfId="25772"/>
    <cellStyle name="표준 26 3 5" xfId="5286"/>
    <cellStyle name="표준 26 3 5 2" xfId="14295"/>
    <cellStyle name="표준 26 3 5 2 2" xfId="35171"/>
    <cellStyle name="표준 26 3 5 3" xfId="26433"/>
    <cellStyle name="표준 26 3 6" xfId="7088"/>
    <cellStyle name="표준 26 3 6 2" xfId="16096"/>
    <cellStyle name="표준 26 3 6 2 2" xfId="36972"/>
    <cellStyle name="표준 26 3 6 3" xfId="28234"/>
    <cellStyle name="표준 26 3 7" xfId="7733"/>
    <cellStyle name="표준 26 3 7 2" xfId="16739"/>
    <cellStyle name="표준 26 3 7 2 2" xfId="37615"/>
    <cellStyle name="표준 26 3 7 3" xfId="28877"/>
    <cellStyle name="표준 26 3 8" xfId="8581"/>
    <cellStyle name="표준 26 3 8 2" xfId="17586"/>
    <cellStyle name="표준 26 3 8 2 2" xfId="38462"/>
    <cellStyle name="표준 26 3 8 3" xfId="29724"/>
    <cellStyle name="표준 26 3 9" xfId="9405"/>
    <cellStyle name="표준 26 3 9 2" xfId="18404"/>
    <cellStyle name="표준 26 3 9 2 2" xfId="39280"/>
    <cellStyle name="표준 26 3 9 3" xfId="30542"/>
    <cellStyle name="표준 26 4" xfId="3001"/>
    <cellStyle name="표준 26 4 10" xfId="10462"/>
    <cellStyle name="표준 26 4 10 2" xfId="19233"/>
    <cellStyle name="표준 26 4 10 2 2" xfId="40109"/>
    <cellStyle name="표준 26 4 10 3" xfId="31373"/>
    <cellStyle name="표준 26 4 11" xfId="11328"/>
    <cellStyle name="표준 26 4 11 2" xfId="20094"/>
    <cellStyle name="표준 26 4 11 2 2" xfId="40970"/>
    <cellStyle name="표준 26 4 11 3" xfId="32234"/>
    <cellStyle name="표준 26 4 12" xfId="12476"/>
    <cellStyle name="표준 26 4 12 2" xfId="33354"/>
    <cellStyle name="표준 26 4 13" xfId="24604"/>
    <cellStyle name="표준 26 4 2" xfId="3219"/>
    <cellStyle name="표준 26 4 2 10" xfId="11538"/>
    <cellStyle name="표준 26 4 2 10 2" xfId="20304"/>
    <cellStyle name="표준 26 4 2 10 2 2" xfId="41180"/>
    <cellStyle name="표준 26 4 2 10 3" xfId="32444"/>
    <cellStyle name="표준 26 4 2 11" xfId="12687"/>
    <cellStyle name="표준 26 4 2 11 2" xfId="33564"/>
    <cellStyle name="표준 26 4 2 12" xfId="24814"/>
    <cellStyle name="표준 26 4 2 2" xfId="3661"/>
    <cellStyle name="표준 26 4 2 2 2" xfId="5934"/>
    <cellStyle name="표준 26 4 2 2 2 2" xfId="14943"/>
    <cellStyle name="표준 26 4 2 2 2 2 2" xfId="35819"/>
    <cellStyle name="표준 26 4 2 2 2 3" xfId="27081"/>
    <cellStyle name="표준 26 4 2 2 3" xfId="13124"/>
    <cellStyle name="표준 26 4 2 2 3 2" xfId="34001"/>
    <cellStyle name="표준 26 4 2 2 4" xfId="25251"/>
    <cellStyle name="표준 26 4 2 3" xfId="4822"/>
    <cellStyle name="표준 26 4 2 3 2" xfId="6654"/>
    <cellStyle name="표준 26 4 2 3 2 2" xfId="15663"/>
    <cellStyle name="표준 26 4 2 3 2 2 2" xfId="36539"/>
    <cellStyle name="표준 26 4 2 3 2 3" xfId="27801"/>
    <cellStyle name="표준 26 4 2 3 3" xfId="13845"/>
    <cellStyle name="표준 26 4 2 3 3 2" xfId="34721"/>
    <cellStyle name="표준 26 4 2 3 4" xfId="25983"/>
    <cellStyle name="표준 26 4 2 4" xfId="5497"/>
    <cellStyle name="표준 26 4 2 4 2" xfId="14506"/>
    <cellStyle name="표준 26 4 2 4 2 2" xfId="35382"/>
    <cellStyle name="표준 26 4 2 4 3" xfId="26644"/>
    <cellStyle name="표준 26 4 2 5" xfId="7300"/>
    <cellStyle name="표준 26 4 2 5 2" xfId="16307"/>
    <cellStyle name="표준 26 4 2 5 2 2" xfId="37183"/>
    <cellStyle name="표준 26 4 2 5 3" xfId="28445"/>
    <cellStyle name="표준 26 4 2 6" xfId="7944"/>
    <cellStyle name="표준 26 4 2 6 2" xfId="16950"/>
    <cellStyle name="표준 26 4 2 6 2 2" xfId="37826"/>
    <cellStyle name="표준 26 4 2 6 3" xfId="29088"/>
    <cellStyle name="표준 26 4 2 7" xfId="8792"/>
    <cellStyle name="표준 26 4 2 7 2" xfId="17797"/>
    <cellStyle name="표준 26 4 2 7 2 2" xfId="38673"/>
    <cellStyle name="표준 26 4 2 7 3" xfId="29935"/>
    <cellStyle name="표준 26 4 2 8" xfId="9617"/>
    <cellStyle name="표준 26 4 2 8 2" xfId="18615"/>
    <cellStyle name="표준 26 4 2 8 2 2" xfId="39491"/>
    <cellStyle name="표준 26 4 2 8 3" xfId="30753"/>
    <cellStyle name="표준 26 4 2 9" xfId="10672"/>
    <cellStyle name="표준 26 4 2 9 2" xfId="19443"/>
    <cellStyle name="표준 26 4 2 9 2 2" xfId="40319"/>
    <cellStyle name="표준 26 4 2 9 3" xfId="31583"/>
    <cellStyle name="표준 26 4 3" xfId="3451"/>
    <cellStyle name="표준 26 4 3 10" xfId="12914"/>
    <cellStyle name="표준 26 4 3 10 2" xfId="33791"/>
    <cellStyle name="표준 26 4 3 11" xfId="25041"/>
    <cellStyle name="표준 26 4 3 2" xfId="5044"/>
    <cellStyle name="표준 26 4 3 2 2" xfId="6871"/>
    <cellStyle name="표준 26 4 3 2 2 2" xfId="15880"/>
    <cellStyle name="표준 26 4 3 2 2 2 2" xfId="36756"/>
    <cellStyle name="표준 26 4 3 2 2 3" xfId="28018"/>
    <cellStyle name="표준 26 4 3 2 3" xfId="14062"/>
    <cellStyle name="표준 26 4 3 2 3 2" xfId="34938"/>
    <cellStyle name="표준 26 4 3 2 4" xfId="26200"/>
    <cellStyle name="표준 26 4 3 3" xfId="5724"/>
    <cellStyle name="표준 26 4 3 3 2" xfId="14733"/>
    <cellStyle name="표준 26 4 3 3 2 2" xfId="35609"/>
    <cellStyle name="표준 26 4 3 3 3" xfId="26871"/>
    <cellStyle name="표준 26 4 3 4" xfId="7517"/>
    <cellStyle name="표준 26 4 3 4 2" xfId="16524"/>
    <cellStyle name="표준 26 4 3 4 2 2" xfId="37400"/>
    <cellStyle name="표준 26 4 3 4 3" xfId="28662"/>
    <cellStyle name="표준 26 4 3 5" xfId="8161"/>
    <cellStyle name="표준 26 4 3 5 2" xfId="17167"/>
    <cellStyle name="표준 26 4 3 5 2 2" xfId="38043"/>
    <cellStyle name="표준 26 4 3 5 3" xfId="29305"/>
    <cellStyle name="표준 26 4 3 6" xfId="9009"/>
    <cellStyle name="표준 26 4 3 6 2" xfId="18014"/>
    <cellStyle name="표준 26 4 3 6 2 2" xfId="38890"/>
    <cellStyle name="표준 26 4 3 6 3" xfId="30152"/>
    <cellStyle name="표준 26 4 3 7" xfId="9834"/>
    <cellStyle name="표준 26 4 3 7 2" xfId="18832"/>
    <cellStyle name="표준 26 4 3 7 2 2" xfId="39708"/>
    <cellStyle name="표준 26 4 3 7 3" xfId="30970"/>
    <cellStyle name="표준 26 4 3 8" xfId="10889"/>
    <cellStyle name="표준 26 4 3 8 2" xfId="19660"/>
    <cellStyle name="표준 26 4 3 8 2 2" xfId="40536"/>
    <cellStyle name="표준 26 4 3 8 3" xfId="31800"/>
    <cellStyle name="표준 26 4 3 9" xfId="11755"/>
    <cellStyle name="표준 26 4 3 9 2" xfId="20521"/>
    <cellStyle name="표준 26 4 3 9 2 2" xfId="41397"/>
    <cellStyle name="표준 26 4 3 9 3" xfId="32661"/>
    <cellStyle name="표준 26 4 4" xfId="4610"/>
    <cellStyle name="표준 26 4 4 2" xfId="6444"/>
    <cellStyle name="표준 26 4 4 2 2" xfId="15453"/>
    <cellStyle name="표준 26 4 4 2 2 2" xfId="36329"/>
    <cellStyle name="표준 26 4 4 2 3" xfId="27591"/>
    <cellStyle name="표준 26 4 4 3" xfId="11107"/>
    <cellStyle name="표준 26 4 4 3 2" xfId="19877"/>
    <cellStyle name="표준 26 4 4 3 2 2" xfId="40753"/>
    <cellStyle name="표준 26 4 4 3 3" xfId="32017"/>
    <cellStyle name="표준 26 4 4 4" xfId="11972"/>
    <cellStyle name="표준 26 4 4 4 2" xfId="20738"/>
    <cellStyle name="표준 26 4 4 4 2 2" xfId="41614"/>
    <cellStyle name="표준 26 4 4 4 3" xfId="32878"/>
    <cellStyle name="표준 26 4 4 5" xfId="13635"/>
    <cellStyle name="표준 26 4 4 5 2" xfId="34511"/>
    <cellStyle name="표준 26 4 4 6" xfId="25773"/>
    <cellStyle name="표준 26 4 5" xfId="5287"/>
    <cellStyle name="표준 26 4 5 2" xfId="14296"/>
    <cellStyle name="표준 26 4 5 2 2" xfId="35172"/>
    <cellStyle name="표준 26 4 5 3" xfId="26434"/>
    <cellStyle name="표준 26 4 6" xfId="7089"/>
    <cellStyle name="표준 26 4 6 2" xfId="16097"/>
    <cellStyle name="표준 26 4 6 2 2" xfId="36973"/>
    <cellStyle name="표준 26 4 6 3" xfId="28235"/>
    <cellStyle name="표준 26 4 7" xfId="7734"/>
    <cellStyle name="표준 26 4 7 2" xfId="16740"/>
    <cellStyle name="표준 26 4 7 2 2" xfId="37616"/>
    <cellStyle name="표준 26 4 7 3" xfId="28878"/>
    <cellStyle name="표준 26 4 8" xfId="8582"/>
    <cellStyle name="표준 26 4 8 2" xfId="17587"/>
    <cellStyle name="표준 26 4 8 2 2" xfId="38463"/>
    <cellStyle name="표준 26 4 8 3" xfId="29725"/>
    <cellStyle name="표준 26 4 9" xfId="9406"/>
    <cellStyle name="표준 26 4 9 2" xfId="18405"/>
    <cellStyle name="표준 26 4 9 2 2" xfId="39281"/>
    <cellStyle name="표준 26 4 9 3" xfId="30543"/>
    <cellStyle name="표준 26 5" xfId="3002"/>
    <cellStyle name="표준 26 5 10" xfId="10463"/>
    <cellStyle name="표준 26 5 10 2" xfId="19234"/>
    <cellStyle name="표준 26 5 10 2 2" xfId="40110"/>
    <cellStyle name="표준 26 5 10 3" xfId="31374"/>
    <cellStyle name="표준 26 5 11" xfId="11329"/>
    <cellStyle name="표준 26 5 11 2" xfId="20095"/>
    <cellStyle name="표준 26 5 11 2 2" xfId="40971"/>
    <cellStyle name="표준 26 5 11 3" xfId="32235"/>
    <cellStyle name="표준 26 5 12" xfId="12477"/>
    <cellStyle name="표준 26 5 12 2" xfId="33355"/>
    <cellStyle name="표준 26 5 13" xfId="24605"/>
    <cellStyle name="표준 26 5 2" xfId="3220"/>
    <cellStyle name="표준 26 5 2 10" xfId="11539"/>
    <cellStyle name="표준 26 5 2 10 2" xfId="20305"/>
    <cellStyle name="표준 26 5 2 10 2 2" xfId="41181"/>
    <cellStyle name="표준 26 5 2 10 3" xfId="32445"/>
    <cellStyle name="표준 26 5 2 11" xfId="12688"/>
    <cellStyle name="표준 26 5 2 11 2" xfId="33565"/>
    <cellStyle name="표준 26 5 2 12" xfId="24815"/>
    <cellStyle name="표준 26 5 2 2" xfId="3662"/>
    <cellStyle name="표준 26 5 2 2 2" xfId="5935"/>
    <cellStyle name="표준 26 5 2 2 2 2" xfId="14944"/>
    <cellStyle name="표준 26 5 2 2 2 2 2" xfId="35820"/>
    <cellStyle name="표준 26 5 2 2 2 3" xfId="27082"/>
    <cellStyle name="표준 26 5 2 2 3" xfId="13125"/>
    <cellStyle name="표준 26 5 2 2 3 2" xfId="34002"/>
    <cellStyle name="표준 26 5 2 2 4" xfId="25252"/>
    <cellStyle name="표준 26 5 2 3" xfId="4823"/>
    <cellStyle name="표준 26 5 2 3 2" xfId="6655"/>
    <cellStyle name="표준 26 5 2 3 2 2" xfId="15664"/>
    <cellStyle name="표준 26 5 2 3 2 2 2" xfId="36540"/>
    <cellStyle name="표준 26 5 2 3 2 3" xfId="27802"/>
    <cellStyle name="표준 26 5 2 3 3" xfId="13846"/>
    <cellStyle name="표준 26 5 2 3 3 2" xfId="34722"/>
    <cellStyle name="표준 26 5 2 3 4" xfId="25984"/>
    <cellStyle name="표준 26 5 2 4" xfId="5498"/>
    <cellStyle name="표준 26 5 2 4 2" xfId="14507"/>
    <cellStyle name="표준 26 5 2 4 2 2" xfId="35383"/>
    <cellStyle name="표준 26 5 2 4 3" xfId="26645"/>
    <cellStyle name="표준 26 5 2 5" xfId="7301"/>
    <cellStyle name="표준 26 5 2 5 2" xfId="16308"/>
    <cellStyle name="표준 26 5 2 5 2 2" xfId="37184"/>
    <cellStyle name="표준 26 5 2 5 3" xfId="28446"/>
    <cellStyle name="표준 26 5 2 6" xfId="7945"/>
    <cellStyle name="표준 26 5 2 6 2" xfId="16951"/>
    <cellStyle name="표준 26 5 2 6 2 2" xfId="37827"/>
    <cellStyle name="표준 26 5 2 6 3" xfId="29089"/>
    <cellStyle name="표준 26 5 2 7" xfId="8793"/>
    <cellStyle name="표준 26 5 2 7 2" xfId="17798"/>
    <cellStyle name="표준 26 5 2 7 2 2" xfId="38674"/>
    <cellStyle name="표준 26 5 2 7 3" xfId="29936"/>
    <cellStyle name="표준 26 5 2 8" xfId="9618"/>
    <cellStyle name="표준 26 5 2 8 2" xfId="18616"/>
    <cellStyle name="표준 26 5 2 8 2 2" xfId="39492"/>
    <cellStyle name="표준 26 5 2 8 3" xfId="30754"/>
    <cellStyle name="표준 26 5 2 9" xfId="10673"/>
    <cellStyle name="표준 26 5 2 9 2" xfId="19444"/>
    <cellStyle name="표준 26 5 2 9 2 2" xfId="40320"/>
    <cellStyle name="표준 26 5 2 9 3" xfId="31584"/>
    <cellStyle name="표준 26 5 3" xfId="3452"/>
    <cellStyle name="표준 26 5 3 10" xfId="12915"/>
    <cellStyle name="표준 26 5 3 10 2" xfId="33792"/>
    <cellStyle name="표준 26 5 3 11" xfId="25042"/>
    <cellStyle name="표준 26 5 3 2" xfId="5045"/>
    <cellStyle name="표준 26 5 3 2 2" xfId="6872"/>
    <cellStyle name="표준 26 5 3 2 2 2" xfId="15881"/>
    <cellStyle name="표준 26 5 3 2 2 2 2" xfId="36757"/>
    <cellStyle name="표준 26 5 3 2 2 3" xfId="28019"/>
    <cellStyle name="표준 26 5 3 2 3" xfId="14063"/>
    <cellStyle name="표준 26 5 3 2 3 2" xfId="34939"/>
    <cellStyle name="표준 26 5 3 2 4" xfId="26201"/>
    <cellStyle name="표준 26 5 3 3" xfId="5725"/>
    <cellStyle name="표준 26 5 3 3 2" xfId="14734"/>
    <cellStyle name="표준 26 5 3 3 2 2" xfId="35610"/>
    <cellStyle name="표준 26 5 3 3 3" xfId="26872"/>
    <cellStyle name="표준 26 5 3 4" xfId="7518"/>
    <cellStyle name="표준 26 5 3 4 2" xfId="16525"/>
    <cellStyle name="표준 26 5 3 4 2 2" xfId="37401"/>
    <cellStyle name="표준 26 5 3 4 3" xfId="28663"/>
    <cellStyle name="표준 26 5 3 5" xfId="8162"/>
    <cellStyle name="표준 26 5 3 5 2" xfId="17168"/>
    <cellStyle name="표준 26 5 3 5 2 2" xfId="38044"/>
    <cellStyle name="표준 26 5 3 5 3" xfId="29306"/>
    <cellStyle name="표준 26 5 3 6" xfId="9010"/>
    <cellStyle name="표준 26 5 3 6 2" xfId="18015"/>
    <cellStyle name="표준 26 5 3 6 2 2" xfId="38891"/>
    <cellStyle name="표준 26 5 3 6 3" xfId="30153"/>
    <cellStyle name="표준 26 5 3 7" xfId="9835"/>
    <cellStyle name="표준 26 5 3 7 2" xfId="18833"/>
    <cellStyle name="표준 26 5 3 7 2 2" xfId="39709"/>
    <cellStyle name="표준 26 5 3 7 3" xfId="30971"/>
    <cellStyle name="표준 26 5 3 8" xfId="10890"/>
    <cellStyle name="표준 26 5 3 8 2" xfId="19661"/>
    <cellStyle name="표준 26 5 3 8 2 2" xfId="40537"/>
    <cellStyle name="표준 26 5 3 8 3" xfId="31801"/>
    <cellStyle name="표준 26 5 3 9" xfId="11756"/>
    <cellStyle name="표준 26 5 3 9 2" xfId="20522"/>
    <cellStyle name="표준 26 5 3 9 2 2" xfId="41398"/>
    <cellStyle name="표준 26 5 3 9 3" xfId="32662"/>
    <cellStyle name="표준 26 5 4" xfId="4611"/>
    <cellStyle name="표준 26 5 4 2" xfId="6445"/>
    <cellStyle name="표준 26 5 4 2 2" xfId="15454"/>
    <cellStyle name="표준 26 5 4 2 2 2" xfId="36330"/>
    <cellStyle name="표준 26 5 4 2 3" xfId="27592"/>
    <cellStyle name="표준 26 5 4 3" xfId="11108"/>
    <cellStyle name="표준 26 5 4 3 2" xfId="19878"/>
    <cellStyle name="표준 26 5 4 3 2 2" xfId="40754"/>
    <cellStyle name="표준 26 5 4 3 3" xfId="32018"/>
    <cellStyle name="표준 26 5 4 4" xfId="11973"/>
    <cellStyle name="표준 26 5 4 4 2" xfId="20739"/>
    <cellStyle name="표준 26 5 4 4 2 2" xfId="41615"/>
    <cellStyle name="표준 26 5 4 4 3" xfId="32879"/>
    <cellStyle name="표준 26 5 4 5" xfId="13636"/>
    <cellStyle name="표준 26 5 4 5 2" xfId="34512"/>
    <cellStyle name="표준 26 5 4 6" xfId="25774"/>
    <cellStyle name="표준 26 5 5" xfId="5288"/>
    <cellStyle name="표준 26 5 5 2" xfId="14297"/>
    <cellStyle name="표준 26 5 5 2 2" xfId="35173"/>
    <cellStyle name="표준 26 5 5 3" xfId="26435"/>
    <cellStyle name="표준 26 5 6" xfId="7090"/>
    <cellStyle name="표준 26 5 6 2" xfId="16098"/>
    <cellStyle name="표준 26 5 6 2 2" xfId="36974"/>
    <cellStyle name="표준 26 5 6 3" xfId="28236"/>
    <cellStyle name="표준 26 5 7" xfId="7735"/>
    <cellStyle name="표준 26 5 7 2" xfId="16741"/>
    <cellStyle name="표준 26 5 7 2 2" xfId="37617"/>
    <cellStyle name="표준 26 5 7 3" xfId="28879"/>
    <cellStyle name="표준 26 5 8" xfId="8583"/>
    <cellStyle name="표준 26 5 8 2" xfId="17588"/>
    <cellStyle name="표준 26 5 8 2 2" xfId="38464"/>
    <cellStyle name="표준 26 5 8 3" xfId="29726"/>
    <cellStyle name="표준 26 5 9" xfId="9407"/>
    <cellStyle name="표준 26 5 9 2" xfId="18406"/>
    <cellStyle name="표준 26 5 9 2 2" xfId="39282"/>
    <cellStyle name="표준 26 5 9 3" xfId="30544"/>
    <cellStyle name="표준 26 6" xfId="3003"/>
    <cellStyle name="표준 26 6 10" xfId="10464"/>
    <cellStyle name="표준 26 6 10 2" xfId="19235"/>
    <cellStyle name="표준 26 6 10 2 2" xfId="40111"/>
    <cellStyle name="표준 26 6 10 3" xfId="31375"/>
    <cellStyle name="표준 26 6 11" xfId="11330"/>
    <cellStyle name="표준 26 6 11 2" xfId="20096"/>
    <cellStyle name="표준 26 6 11 2 2" xfId="40972"/>
    <cellStyle name="표준 26 6 11 3" xfId="32236"/>
    <cellStyle name="표준 26 6 12" xfId="12478"/>
    <cellStyle name="표준 26 6 12 2" xfId="33356"/>
    <cellStyle name="표준 26 6 13" xfId="24606"/>
    <cellStyle name="표준 26 6 2" xfId="3221"/>
    <cellStyle name="표준 26 6 2 10" xfId="11540"/>
    <cellStyle name="표준 26 6 2 10 2" xfId="20306"/>
    <cellStyle name="표준 26 6 2 10 2 2" xfId="41182"/>
    <cellStyle name="표준 26 6 2 10 3" xfId="32446"/>
    <cellStyle name="표준 26 6 2 11" xfId="12689"/>
    <cellStyle name="표준 26 6 2 11 2" xfId="33566"/>
    <cellStyle name="표준 26 6 2 12" xfId="24816"/>
    <cellStyle name="표준 26 6 2 2" xfId="3663"/>
    <cellStyle name="표준 26 6 2 2 2" xfId="5936"/>
    <cellStyle name="표준 26 6 2 2 2 2" xfId="14945"/>
    <cellStyle name="표준 26 6 2 2 2 2 2" xfId="35821"/>
    <cellStyle name="표준 26 6 2 2 2 3" xfId="27083"/>
    <cellStyle name="표준 26 6 2 2 3" xfId="13126"/>
    <cellStyle name="표준 26 6 2 2 3 2" xfId="34003"/>
    <cellStyle name="표준 26 6 2 2 4" xfId="25253"/>
    <cellStyle name="표준 26 6 2 3" xfId="4824"/>
    <cellStyle name="표준 26 6 2 3 2" xfId="6656"/>
    <cellStyle name="표준 26 6 2 3 2 2" xfId="15665"/>
    <cellStyle name="표준 26 6 2 3 2 2 2" xfId="36541"/>
    <cellStyle name="표준 26 6 2 3 2 3" xfId="27803"/>
    <cellStyle name="표준 26 6 2 3 3" xfId="13847"/>
    <cellStyle name="표준 26 6 2 3 3 2" xfId="34723"/>
    <cellStyle name="표준 26 6 2 3 4" xfId="25985"/>
    <cellStyle name="표준 26 6 2 4" xfId="5499"/>
    <cellStyle name="표준 26 6 2 4 2" xfId="14508"/>
    <cellStyle name="표준 26 6 2 4 2 2" xfId="35384"/>
    <cellStyle name="표준 26 6 2 4 3" xfId="26646"/>
    <cellStyle name="표준 26 6 2 5" xfId="7302"/>
    <cellStyle name="표준 26 6 2 5 2" xfId="16309"/>
    <cellStyle name="표준 26 6 2 5 2 2" xfId="37185"/>
    <cellStyle name="표준 26 6 2 5 3" xfId="28447"/>
    <cellStyle name="표준 26 6 2 6" xfId="7946"/>
    <cellStyle name="표준 26 6 2 6 2" xfId="16952"/>
    <cellStyle name="표준 26 6 2 6 2 2" xfId="37828"/>
    <cellStyle name="표준 26 6 2 6 3" xfId="29090"/>
    <cellStyle name="표준 26 6 2 7" xfId="8794"/>
    <cellStyle name="표준 26 6 2 7 2" xfId="17799"/>
    <cellStyle name="표준 26 6 2 7 2 2" xfId="38675"/>
    <cellStyle name="표준 26 6 2 7 3" xfId="29937"/>
    <cellStyle name="표준 26 6 2 8" xfId="9619"/>
    <cellStyle name="표준 26 6 2 8 2" xfId="18617"/>
    <cellStyle name="표준 26 6 2 8 2 2" xfId="39493"/>
    <cellStyle name="표준 26 6 2 8 3" xfId="30755"/>
    <cellStyle name="표준 26 6 2 9" xfId="10674"/>
    <cellStyle name="표준 26 6 2 9 2" xfId="19445"/>
    <cellStyle name="표준 26 6 2 9 2 2" xfId="40321"/>
    <cellStyle name="표준 26 6 2 9 3" xfId="31585"/>
    <cellStyle name="표준 26 6 3" xfId="3453"/>
    <cellStyle name="표준 26 6 3 10" xfId="12916"/>
    <cellStyle name="표준 26 6 3 10 2" xfId="33793"/>
    <cellStyle name="표준 26 6 3 11" xfId="25043"/>
    <cellStyle name="표준 26 6 3 2" xfId="5046"/>
    <cellStyle name="표준 26 6 3 2 2" xfId="6873"/>
    <cellStyle name="표준 26 6 3 2 2 2" xfId="15882"/>
    <cellStyle name="표준 26 6 3 2 2 2 2" xfId="36758"/>
    <cellStyle name="표준 26 6 3 2 2 3" xfId="28020"/>
    <cellStyle name="표준 26 6 3 2 3" xfId="14064"/>
    <cellStyle name="표준 26 6 3 2 3 2" xfId="34940"/>
    <cellStyle name="표준 26 6 3 2 4" xfId="26202"/>
    <cellStyle name="표준 26 6 3 3" xfId="5726"/>
    <cellStyle name="표준 26 6 3 3 2" xfId="14735"/>
    <cellStyle name="표준 26 6 3 3 2 2" xfId="35611"/>
    <cellStyle name="표준 26 6 3 3 3" xfId="26873"/>
    <cellStyle name="표준 26 6 3 4" xfId="7519"/>
    <cellStyle name="표준 26 6 3 4 2" xfId="16526"/>
    <cellStyle name="표준 26 6 3 4 2 2" xfId="37402"/>
    <cellStyle name="표준 26 6 3 4 3" xfId="28664"/>
    <cellStyle name="표준 26 6 3 5" xfId="8163"/>
    <cellStyle name="표준 26 6 3 5 2" xfId="17169"/>
    <cellStyle name="표준 26 6 3 5 2 2" xfId="38045"/>
    <cellStyle name="표준 26 6 3 5 3" xfId="29307"/>
    <cellStyle name="표준 26 6 3 6" xfId="9011"/>
    <cellStyle name="표준 26 6 3 6 2" xfId="18016"/>
    <cellStyle name="표준 26 6 3 6 2 2" xfId="38892"/>
    <cellStyle name="표준 26 6 3 6 3" xfId="30154"/>
    <cellStyle name="표준 26 6 3 7" xfId="9836"/>
    <cellStyle name="표준 26 6 3 7 2" xfId="18834"/>
    <cellStyle name="표준 26 6 3 7 2 2" xfId="39710"/>
    <cellStyle name="표준 26 6 3 7 3" xfId="30972"/>
    <cellStyle name="표준 26 6 3 8" xfId="10891"/>
    <cellStyle name="표준 26 6 3 8 2" xfId="19662"/>
    <cellStyle name="표준 26 6 3 8 2 2" xfId="40538"/>
    <cellStyle name="표준 26 6 3 8 3" xfId="31802"/>
    <cellStyle name="표준 26 6 3 9" xfId="11757"/>
    <cellStyle name="표준 26 6 3 9 2" xfId="20523"/>
    <cellStyle name="표준 26 6 3 9 2 2" xfId="41399"/>
    <cellStyle name="표준 26 6 3 9 3" xfId="32663"/>
    <cellStyle name="표준 26 6 4" xfId="4612"/>
    <cellStyle name="표준 26 6 4 2" xfId="6446"/>
    <cellStyle name="표준 26 6 4 2 2" xfId="15455"/>
    <cellStyle name="표준 26 6 4 2 2 2" xfId="36331"/>
    <cellStyle name="표준 26 6 4 2 3" xfId="27593"/>
    <cellStyle name="표준 26 6 4 3" xfId="11109"/>
    <cellStyle name="표준 26 6 4 3 2" xfId="19879"/>
    <cellStyle name="표준 26 6 4 3 2 2" xfId="40755"/>
    <cellStyle name="표준 26 6 4 3 3" xfId="32019"/>
    <cellStyle name="표준 26 6 4 4" xfId="11974"/>
    <cellStyle name="표준 26 6 4 4 2" xfId="20740"/>
    <cellStyle name="표준 26 6 4 4 2 2" xfId="41616"/>
    <cellStyle name="표준 26 6 4 4 3" xfId="32880"/>
    <cellStyle name="표준 26 6 4 5" xfId="13637"/>
    <cellStyle name="표준 26 6 4 5 2" xfId="34513"/>
    <cellStyle name="표준 26 6 4 6" xfId="25775"/>
    <cellStyle name="표준 26 6 5" xfId="5289"/>
    <cellStyle name="표준 26 6 5 2" xfId="14298"/>
    <cellStyle name="표준 26 6 5 2 2" xfId="35174"/>
    <cellStyle name="표준 26 6 5 3" xfId="26436"/>
    <cellStyle name="표준 26 6 6" xfId="7091"/>
    <cellStyle name="표준 26 6 6 2" xfId="16099"/>
    <cellStyle name="표준 26 6 6 2 2" xfId="36975"/>
    <cellStyle name="표준 26 6 6 3" xfId="28237"/>
    <cellStyle name="표준 26 6 7" xfId="7736"/>
    <cellStyle name="표준 26 6 7 2" xfId="16742"/>
    <cellStyle name="표준 26 6 7 2 2" xfId="37618"/>
    <cellStyle name="표준 26 6 7 3" xfId="28880"/>
    <cellStyle name="표준 26 6 8" xfId="8584"/>
    <cellStyle name="표준 26 6 8 2" xfId="17589"/>
    <cellStyle name="표준 26 6 8 2 2" xfId="38465"/>
    <cellStyle name="표준 26 6 8 3" xfId="29727"/>
    <cellStyle name="표준 26 6 9" xfId="9408"/>
    <cellStyle name="표준 26 6 9 2" xfId="18407"/>
    <cellStyle name="표준 26 6 9 2 2" xfId="39283"/>
    <cellStyle name="표준 26 6 9 3" xfId="30545"/>
    <cellStyle name="표준 26 7" xfId="3004"/>
    <cellStyle name="표준 26 7 10" xfId="10465"/>
    <cellStyle name="표준 26 7 10 2" xfId="19236"/>
    <cellStyle name="표준 26 7 10 2 2" xfId="40112"/>
    <cellStyle name="표준 26 7 10 3" xfId="31376"/>
    <cellStyle name="표준 26 7 11" xfId="11331"/>
    <cellStyle name="표준 26 7 11 2" xfId="20097"/>
    <cellStyle name="표준 26 7 11 2 2" xfId="40973"/>
    <cellStyle name="표준 26 7 11 3" xfId="32237"/>
    <cellStyle name="표준 26 7 12" xfId="12479"/>
    <cellStyle name="표준 26 7 12 2" xfId="33357"/>
    <cellStyle name="표준 26 7 13" xfId="24607"/>
    <cellStyle name="표준 26 7 2" xfId="3222"/>
    <cellStyle name="표준 26 7 2 10" xfId="11541"/>
    <cellStyle name="표준 26 7 2 10 2" xfId="20307"/>
    <cellStyle name="표준 26 7 2 10 2 2" xfId="41183"/>
    <cellStyle name="표준 26 7 2 10 3" xfId="32447"/>
    <cellStyle name="표준 26 7 2 11" xfId="12690"/>
    <cellStyle name="표준 26 7 2 11 2" xfId="33567"/>
    <cellStyle name="표준 26 7 2 12" xfId="24817"/>
    <cellStyle name="표준 26 7 2 2" xfId="3664"/>
    <cellStyle name="표준 26 7 2 2 2" xfId="5937"/>
    <cellStyle name="표준 26 7 2 2 2 2" xfId="14946"/>
    <cellStyle name="표준 26 7 2 2 2 2 2" xfId="35822"/>
    <cellStyle name="표준 26 7 2 2 2 3" xfId="27084"/>
    <cellStyle name="표준 26 7 2 2 3" xfId="13127"/>
    <cellStyle name="표준 26 7 2 2 3 2" xfId="34004"/>
    <cellStyle name="표준 26 7 2 2 4" xfId="25254"/>
    <cellStyle name="표준 26 7 2 3" xfId="4825"/>
    <cellStyle name="표준 26 7 2 3 2" xfId="6657"/>
    <cellStyle name="표준 26 7 2 3 2 2" xfId="15666"/>
    <cellStyle name="표준 26 7 2 3 2 2 2" xfId="36542"/>
    <cellStyle name="표준 26 7 2 3 2 3" xfId="27804"/>
    <cellStyle name="표준 26 7 2 3 3" xfId="13848"/>
    <cellStyle name="표준 26 7 2 3 3 2" xfId="34724"/>
    <cellStyle name="표준 26 7 2 3 4" xfId="25986"/>
    <cellStyle name="표준 26 7 2 4" xfId="5500"/>
    <cellStyle name="표준 26 7 2 4 2" xfId="14509"/>
    <cellStyle name="표준 26 7 2 4 2 2" xfId="35385"/>
    <cellStyle name="표준 26 7 2 4 3" xfId="26647"/>
    <cellStyle name="표준 26 7 2 5" xfId="7303"/>
    <cellStyle name="표준 26 7 2 5 2" xfId="16310"/>
    <cellStyle name="표준 26 7 2 5 2 2" xfId="37186"/>
    <cellStyle name="표준 26 7 2 5 3" xfId="28448"/>
    <cellStyle name="표준 26 7 2 6" xfId="7947"/>
    <cellStyle name="표준 26 7 2 6 2" xfId="16953"/>
    <cellStyle name="표준 26 7 2 6 2 2" xfId="37829"/>
    <cellStyle name="표준 26 7 2 6 3" xfId="29091"/>
    <cellStyle name="표준 26 7 2 7" xfId="8795"/>
    <cellStyle name="표준 26 7 2 7 2" xfId="17800"/>
    <cellStyle name="표준 26 7 2 7 2 2" xfId="38676"/>
    <cellStyle name="표준 26 7 2 7 3" xfId="29938"/>
    <cellStyle name="표준 26 7 2 8" xfId="9620"/>
    <cellStyle name="표준 26 7 2 8 2" xfId="18618"/>
    <cellStyle name="표준 26 7 2 8 2 2" xfId="39494"/>
    <cellStyle name="표준 26 7 2 8 3" xfId="30756"/>
    <cellStyle name="표준 26 7 2 9" xfId="10675"/>
    <cellStyle name="표준 26 7 2 9 2" xfId="19446"/>
    <cellStyle name="표준 26 7 2 9 2 2" xfId="40322"/>
    <cellStyle name="표준 26 7 2 9 3" xfId="31586"/>
    <cellStyle name="표준 26 7 3" xfId="3454"/>
    <cellStyle name="표준 26 7 3 10" xfId="12917"/>
    <cellStyle name="표준 26 7 3 10 2" xfId="33794"/>
    <cellStyle name="표준 26 7 3 11" xfId="25044"/>
    <cellStyle name="표준 26 7 3 2" xfId="5047"/>
    <cellStyle name="표준 26 7 3 2 2" xfId="6874"/>
    <cellStyle name="표준 26 7 3 2 2 2" xfId="15883"/>
    <cellStyle name="표준 26 7 3 2 2 2 2" xfId="36759"/>
    <cellStyle name="표준 26 7 3 2 2 3" xfId="28021"/>
    <cellStyle name="표준 26 7 3 2 3" xfId="14065"/>
    <cellStyle name="표준 26 7 3 2 3 2" xfId="34941"/>
    <cellStyle name="표준 26 7 3 2 4" xfId="26203"/>
    <cellStyle name="표준 26 7 3 3" xfId="5727"/>
    <cellStyle name="표준 26 7 3 3 2" xfId="14736"/>
    <cellStyle name="표준 26 7 3 3 2 2" xfId="35612"/>
    <cellStyle name="표준 26 7 3 3 3" xfId="26874"/>
    <cellStyle name="표준 26 7 3 4" xfId="7520"/>
    <cellStyle name="표준 26 7 3 4 2" xfId="16527"/>
    <cellStyle name="표준 26 7 3 4 2 2" xfId="37403"/>
    <cellStyle name="표준 26 7 3 4 3" xfId="28665"/>
    <cellStyle name="표준 26 7 3 5" xfId="8164"/>
    <cellStyle name="표준 26 7 3 5 2" xfId="17170"/>
    <cellStyle name="표준 26 7 3 5 2 2" xfId="38046"/>
    <cellStyle name="표준 26 7 3 5 3" xfId="29308"/>
    <cellStyle name="표준 26 7 3 6" xfId="9012"/>
    <cellStyle name="표준 26 7 3 6 2" xfId="18017"/>
    <cellStyle name="표준 26 7 3 6 2 2" xfId="38893"/>
    <cellStyle name="표준 26 7 3 6 3" xfId="30155"/>
    <cellStyle name="표준 26 7 3 7" xfId="9837"/>
    <cellStyle name="표준 26 7 3 7 2" xfId="18835"/>
    <cellStyle name="표준 26 7 3 7 2 2" xfId="39711"/>
    <cellStyle name="표준 26 7 3 7 3" xfId="30973"/>
    <cellStyle name="표준 26 7 3 8" xfId="10892"/>
    <cellStyle name="표준 26 7 3 8 2" xfId="19663"/>
    <cellStyle name="표준 26 7 3 8 2 2" xfId="40539"/>
    <cellStyle name="표준 26 7 3 8 3" xfId="31803"/>
    <cellStyle name="표준 26 7 3 9" xfId="11758"/>
    <cellStyle name="표준 26 7 3 9 2" xfId="20524"/>
    <cellStyle name="표준 26 7 3 9 2 2" xfId="41400"/>
    <cellStyle name="표준 26 7 3 9 3" xfId="32664"/>
    <cellStyle name="표준 26 7 4" xfId="4613"/>
    <cellStyle name="표준 26 7 4 2" xfId="6447"/>
    <cellStyle name="표준 26 7 4 2 2" xfId="15456"/>
    <cellStyle name="표준 26 7 4 2 2 2" xfId="36332"/>
    <cellStyle name="표준 26 7 4 2 3" xfId="27594"/>
    <cellStyle name="표준 26 7 4 3" xfId="11110"/>
    <cellStyle name="표준 26 7 4 3 2" xfId="19880"/>
    <cellStyle name="표준 26 7 4 3 2 2" xfId="40756"/>
    <cellStyle name="표준 26 7 4 3 3" xfId="32020"/>
    <cellStyle name="표준 26 7 4 4" xfId="11975"/>
    <cellStyle name="표준 26 7 4 4 2" xfId="20741"/>
    <cellStyle name="표준 26 7 4 4 2 2" xfId="41617"/>
    <cellStyle name="표준 26 7 4 4 3" xfId="32881"/>
    <cellStyle name="표준 26 7 4 5" xfId="13638"/>
    <cellStyle name="표준 26 7 4 5 2" xfId="34514"/>
    <cellStyle name="표준 26 7 4 6" xfId="25776"/>
    <cellStyle name="표준 26 7 5" xfId="5290"/>
    <cellStyle name="표준 26 7 5 2" xfId="14299"/>
    <cellStyle name="표준 26 7 5 2 2" xfId="35175"/>
    <cellStyle name="표준 26 7 5 3" xfId="26437"/>
    <cellStyle name="표준 26 7 6" xfId="7092"/>
    <cellStyle name="표준 26 7 6 2" xfId="16100"/>
    <cellStyle name="표준 26 7 6 2 2" xfId="36976"/>
    <cellStyle name="표준 26 7 6 3" xfId="28238"/>
    <cellStyle name="표준 26 7 7" xfId="7737"/>
    <cellStyle name="표준 26 7 7 2" xfId="16743"/>
    <cellStyle name="표준 26 7 7 2 2" xfId="37619"/>
    <cellStyle name="표준 26 7 7 3" xfId="28881"/>
    <cellStyle name="표준 26 7 8" xfId="8585"/>
    <cellStyle name="표준 26 7 8 2" xfId="17590"/>
    <cellStyle name="표준 26 7 8 2 2" xfId="38466"/>
    <cellStyle name="표준 26 7 8 3" xfId="29728"/>
    <cellStyle name="표준 26 7 9" xfId="9409"/>
    <cellStyle name="표준 26 7 9 2" xfId="18408"/>
    <cellStyle name="표준 26 7 9 2 2" xfId="39284"/>
    <cellStyle name="표준 26 7 9 3" xfId="30546"/>
    <cellStyle name="표준 26 8" xfId="3216"/>
    <cellStyle name="표준 26 8 10" xfId="11535"/>
    <cellStyle name="표준 26 8 10 2" xfId="20301"/>
    <cellStyle name="표준 26 8 10 2 2" xfId="41177"/>
    <cellStyle name="표준 26 8 10 3" xfId="32441"/>
    <cellStyle name="표준 26 8 11" xfId="12684"/>
    <cellStyle name="표준 26 8 11 2" xfId="33561"/>
    <cellStyle name="표준 26 8 12" xfId="24811"/>
    <cellStyle name="표준 26 8 2" xfId="3658"/>
    <cellStyle name="표준 26 8 2 2" xfId="5931"/>
    <cellStyle name="표준 26 8 2 2 2" xfId="14940"/>
    <cellStyle name="표준 26 8 2 2 2 2" xfId="35816"/>
    <cellStyle name="표준 26 8 2 2 3" xfId="27078"/>
    <cellStyle name="표준 26 8 2 3" xfId="13121"/>
    <cellStyle name="표준 26 8 2 3 2" xfId="33998"/>
    <cellStyle name="표준 26 8 2 4" xfId="25248"/>
    <cellStyle name="표준 26 8 3" xfId="4819"/>
    <cellStyle name="표준 26 8 3 2" xfId="6651"/>
    <cellStyle name="표준 26 8 3 2 2" xfId="15660"/>
    <cellStyle name="표준 26 8 3 2 2 2" xfId="36536"/>
    <cellStyle name="표준 26 8 3 2 3" xfId="27798"/>
    <cellStyle name="표준 26 8 3 3" xfId="13842"/>
    <cellStyle name="표준 26 8 3 3 2" xfId="34718"/>
    <cellStyle name="표준 26 8 3 4" xfId="25980"/>
    <cellStyle name="표준 26 8 4" xfId="5494"/>
    <cellStyle name="표준 26 8 4 2" xfId="14503"/>
    <cellStyle name="표준 26 8 4 2 2" xfId="35379"/>
    <cellStyle name="표준 26 8 4 3" xfId="26641"/>
    <cellStyle name="표준 26 8 5" xfId="7297"/>
    <cellStyle name="표준 26 8 5 2" xfId="16304"/>
    <cellStyle name="표준 26 8 5 2 2" xfId="37180"/>
    <cellStyle name="표준 26 8 5 3" xfId="28442"/>
    <cellStyle name="표준 26 8 6" xfId="7941"/>
    <cellStyle name="표준 26 8 6 2" xfId="16947"/>
    <cellStyle name="표준 26 8 6 2 2" xfId="37823"/>
    <cellStyle name="표준 26 8 6 3" xfId="29085"/>
    <cellStyle name="표준 26 8 7" xfId="8789"/>
    <cellStyle name="표준 26 8 7 2" xfId="17794"/>
    <cellStyle name="표준 26 8 7 2 2" xfId="38670"/>
    <cellStyle name="표준 26 8 7 3" xfId="29932"/>
    <cellStyle name="표준 26 8 8" xfId="9614"/>
    <cellStyle name="표준 26 8 8 2" xfId="18612"/>
    <cellStyle name="표준 26 8 8 2 2" xfId="39488"/>
    <cellStyle name="표준 26 8 8 3" xfId="30750"/>
    <cellStyle name="표준 26 8 9" xfId="10669"/>
    <cellStyle name="표준 26 8 9 2" xfId="19440"/>
    <cellStyle name="표준 26 8 9 2 2" xfId="40316"/>
    <cellStyle name="표준 26 8 9 3" xfId="31580"/>
    <cellStyle name="표준 26 9" xfId="3448"/>
    <cellStyle name="표준 26 9 10" xfId="12911"/>
    <cellStyle name="표준 26 9 10 2" xfId="33788"/>
    <cellStyle name="표준 26 9 11" xfId="25038"/>
    <cellStyle name="표준 26 9 2" xfId="5041"/>
    <cellStyle name="표준 26 9 2 2" xfId="6868"/>
    <cellStyle name="표준 26 9 2 2 2" xfId="15877"/>
    <cellStyle name="표준 26 9 2 2 2 2" xfId="36753"/>
    <cellStyle name="표준 26 9 2 2 3" xfId="28015"/>
    <cellStyle name="표준 26 9 2 3" xfId="14059"/>
    <cellStyle name="표준 26 9 2 3 2" xfId="34935"/>
    <cellStyle name="표준 26 9 2 4" xfId="26197"/>
    <cellStyle name="표준 26 9 3" xfId="5721"/>
    <cellStyle name="표준 26 9 3 2" xfId="14730"/>
    <cellStyle name="표준 26 9 3 2 2" xfId="35606"/>
    <cellStyle name="표준 26 9 3 3" xfId="26868"/>
    <cellStyle name="표준 26 9 4" xfId="7514"/>
    <cellStyle name="표준 26 9 4 2" xfId="16521"/>
    <cellStyle name="표준 26 9 4 2 2" xfId="37397"/>
    <cellStyle name="표준 26 9 4 3" xfId="28659"/>
    <cellStyle name="표준 26 9 5" xfId="8158"/>
    <cellStyle name="표준 26 9 5 2" xfId="17164"/>
    <cellStyle name="표준 26 9 5 2 2" xfId="38040"/>
    <cellStyle name="표준 26 9 5 3" xfId="29302"/>
    <cellStyle name="표준 26 9 6" xfId="9006"/>
    <cellStyle name="표준 26 9 6 2" xfId="18011"/>
    <cellStyle name="표준 26 9 6 2 2" xfId="38887"/>
    <cellStyle name="표준 26 9 6 3" xfId="30149"/>
    <cellStyle name="표준 26 9 7" xfId="9831"/>
    <cellStyle name="표준 26 9 7 2" xfId="18829"/>
    <cellStyle name="표준 26 9 7 2 2" xfId="39705"/>
    <cellStyle name="표준 26 9 7 3" xfId="30967"/>
    <cellStyle name="표준 26 9 8" xfId="10886"/>
    <cellStyle name="표준 26 9 8 2" xfId="19657"/>
    <cellStyle name="표준 26 9 8 2 2" xfId="40533"/>
    <cellStyle name="표준 26 9 8 3" xfId="31797"/>
    <cellStyle name="표준 26 9 9" xfId="11752"/>
    <cellStyle name="표준 26 9 9 2" xfId="20518"/>
    <cellStyle name="표준 26 9 9 2 2" xfId="41394"/>
    <cellStyle name="표준 26 9 9 3" xfId="32658"/>
    <cellStyle name="표준 27" xfId="3005"/>
    <cellStyle name="표준 27 10" xfId="4614"/>
    <cellStyle name="표준 27 10 2" xfId="6448"/>
    <cellStyle name="표준 27 10 2 2" xfId="15457"/>
    <cellStyle name="표준 27 10 2 2 2" xfId="36333"/>
    <cellStyle name="표준 27 10 2 3" xfId="27595"/>
    <cellStyle name="표준 27 10 3" xfId="11111"/>
    <cellStyle name="표준 27 10 3 2" xfId="19881"/>
    <cellStyle name="표준 27 10 3 2 2" xfId="40757"/>
    <cellStyle name="표준 27 10 3 3" xfId="32021"/>
    <cellStyle name="표준 27 10 4" xfId="11976"/>
    <cellStyle name="표준 27 10 4 2" xfId="20742"/>
    <cellStyle name="표준 27 10 4 2 2" xfId="41618"/>
    <cellStyle name="표준 27 10 4 3" xfId="32882"/>
    <cellStyle name="표준 27 10 5" xfId="13639"/>
    <cellStyle name="표준 27 10 5 2" xfId="34515"/>
    <cellStyle name="표준 27 10 6" xfId="25777"/>
    <cellStyle name="표준 27 11" xfId="5291"/>
    <cellStyle name="표준 27 11 2" xfId="14300"/>
    <cellStyle name="표준 27 11 2 2" xfId="35176"/>
    <cellStyle name="표준 27 11 3" xfId="26438"/>
    <cellStyle name="표준 27 12" xfId="7093"/>
    <cellStyle name="표준 27 12 2" xfId="16101"/>
    <cellStyle name="표준 27 12 2 2" xfId="36977"/>
    <cellStyle name="표준 27 12 3" xfId="28239"/>
    <cellStyle name="표준 27 13" xfId="7738"/>
    <cellStyle name="표준 27 13 2" xfId="16744"/>
    <cellStyle name="표준 27 13 2 2" xfId="37620"/>
    <cellStyle name="표준 27 13 3" xfId="28882"/>
    <cellStyle name="표준 27 14" xfId="8586"/>
    <cellStyle name="표준 27 14 2" xfId="17591"/>
    <cellStyle name="표준 27 14 2 2" xfId="38467"/>
    <cellStyle name="표준 27 14 3" xfId="29729"/>
    <cellStyle name="표준 27 15" xfId="9410"/>
    <cellStyle name="표준 27 15 2" xfId="18409"/>
    <cellStyle name="표준 27 15 2 2" xfId="39285"/>
    <cellStyle name="표준 27 15 3" xfId="30547"/>
    <cellStyle name="표준 27 16" xfId="10466"/>
    <cellStyle name="표준 27 16 2" xfId="19237"/>
    <cellStyle name="표준 27 16 2 2" xfId="40113"/>
    <cellStyle name="표준 27 16 3" xfId="31377"/>
    <cellStyle name="표준 27 17" xfId="11332"/>
    <cellStyle name="표준 27 17 2" xfId="20098"/>
    <cellStyle name="표준 27 17 2 2" xfId="40974"/>
    <cellStyle name="표준 27 17 3" xfId="32238"/>
    <cellStyle name="표준 27 18" xfId="12480"/>
    <cellStyle name="표준 27 18 2" xfId="33358"/>
    <cellStyle name="표준 27 19" xfId="24608"/>
    <cellStyle name="표준 27 2" xfId="3006"/>
    <cellStyle name="표준 27 2 10" xfId="10467"/>
    <cellStyle name="표준 27 2 10 2" xfId="19238"/>
    <cellStyle name="표준 27 2 10 2 2" xfId="40114"/>
    <cellStyle name="표준 27 2 10 3" xfId="31378"/>
    <cellStyle name="표준 27 2 11" xfId="11333"/>
    <cellStyle name="표준 27 2 11 2" xfId="20099"/>
    <cellStyle name="표준 27 2 11 2 2" xfId="40975"/>
    <cellStyle name="표준 27 2 11 3" xfId="32239"/>
    <cellStyle name="표준 27 2 12" xfId="12481"/>
    <cellStyle name="표준 27 2 12 2" xfId="33359"/>
    <cellStyle name="표준 27 2 13" xfId="24609"/>
    <cellStyle name="표준 27 2 2" xfId="3224"/>
    <cellStyle name="표준 27 2 2 10" xfId="11543"/>
    <cellStyle name="표준 27 2 2 10 2" xfId="20309"/>
    <cellStyle name="표준 27 2 2 10 2 2" xfId="41185"/>
    <cellStyle name="표준 27 2 2 10 3" xfId="32449"/>
    <cellStyle name="표준 27 2 2 11" xfId="12692"/>
    <cellStyle name="표준 27 2 2 11 2" xfId="33569"/>
    <cellStyle name="표준 27 2 2 12" xfId="24819"/>
    <cellStyle name="표준 27 2 2 2" xfId="3666"/>
    <cellStyle name="표준 27 2 2 2 2" xfId="5939"/>
    <cellStyle name="표준 27 2 2 2 2 2" xfId="14948"/>
    <cellStyle name="표준 27 2 2 2 2 2 2" xfId="35824"/>
    <cellStyle name="표준 27 2 2 2 2 3" xfId="27086"/>
    <cellStyle name="표준 27 2 2 2 3" xfId="13129"/>
    <cellStyle name="표준 27 2 2 2 3 2" xfId="34006"/>
    <cellStyle name="표준 27 2 2 2 4" xfId="25256"/>
    <cellStyle name="표준 27 2 2 3" xfId="4827"/>
    <cellStyle name="표준 27 2 2 3 2" xfId="6659"/>
    <cellStyle name="표준 27 2 2 3 2 2" xfId="15668"/>
    <cellStyle name="표준 27 2 2 3 2 2 2" xfId="36544"/>
    <cellStyle name="표준 27 2 2 3 2 3" xfId="27806"/>
    <cellStyle name="표준 27 2 2 3 3" xfId="13850"/>
    <cellStyle name="표준 27 2 2 3 3 2" xfId="34726"/>
    <cellStyle name="표준 27 2 2 3 4" xfId="25988"/>
    <cellStyle name="표준 27 2 2 4" xfId="5502"/>
    <cellStyle name="표준 27 2 2 4 2" xfId="14511"/>
    <cellStyle name="표준 27 2 2 4 2 2" xfId="35387"/>
    <cellStyle name="표준 27 2 2 4 3" xfId="26649"/>
    <cellStyle name="표준 27 2 2 5" xfId="7305"/>
    <cellStyle name="표준 27 2 2 5 2" xfId="16312"/>
    <cellStyle name="표준 27 2 2 5 2 2" xfId="37188"/>
    <cellStyle name="표준 27 2 2 5 3" xfId="28450"/>
    <cellStyle name="표준 27 2 2 6" xfId="7949"/>
    <cellStyle name="표준 27 2 2 6 2" xfId="16955"/>
    <cellStyle name="표준 27 2 2 6 2 2" xfId="37831"/>
    <cellStyle name="표준 27 2 2 6 3" xfId="29093"/>
    <cellStyle name="표준 27 2 2 7" xfId="8797"/>
    <cellStyle name="표준 27 2 2 7 2" xfId="17802"/>
    <cellStyle name="표준 27 2 2 7 2 2" xfId="38678"/>
    <cellStyle name="표준 27 2 2 7 3" xfId="29940"/>
    <cellStyle name="표준 27 2 2 8" xfId="9622"/>
    <cellStyle name="표준 27 2 2 8 2" xfId="18620"/>
    <cellStyle name="표준 27 2 2 8 2 2" xfId="39496"/>
    <cellStyle name="표준 27 2 2 8 3" xfId="30758"/>
    <cellStyle name="표준 27 2 2 9" xfId="10677"/>
    <cellStyle name="표준 27 2 2 9 2" xfId="19448"/>
    <cellStyle name="표준 27 2 2 9 2 2" xfId="40324"/>
    <cellStyle name="표준 27 2 2 9 3" xfId="31588"/>
    <cellStyle name="표준 27 2 3" xfId="3456"/>
    <cellStyle name="표준 27 2 3 10" xfId="12919"/>
    <cellStyle name="표준 27 2 3 10 2" xfId="33796"/>
    <cellStyle name="표준 27 2 3 11" xfId="25046"/>
    <cellStyle name="표준 27 2 3 2" xfId="5049"/>
    <cellStyle name="표준 27 2 3 2 2" xfId="6876"/>
    <cellStyle name="표준 27 2 3 2 2 2" xfId="15885"/>
    <cellStyle name="표준 27 2 3 2 2 2 2" xfId="36761"/>
    <cellStyle name="표준 27 2 3 2 2 3" xfId="28023"/>
    <cellStyle name="표준 27 2 3 2 3" xfId="14067"/>
    <cellStyle name="표준 27 2 3 2 3 2" xfId="34943"/>
    <cellStyle name="표준 27 2 3 2 4" xfId="26205"/>
    <cellStyle name="표준 27 2 3 3" xfId="5729"/>
    <cellStyle name="표준 27 2 3 3 2" xfId="14738"/>
    <cellStyle name="표준 27 2 3 3 2 2" xfId="35614"/>
    <cellStyle name="표준 27 2 3 3 3" xfId="26876"/>
    <cellStyle name="표준 27 2 3 4" xfId="7522"/>
    <cellStyle name="표준 27 2 3 4 2" xfId="16529"/>
    <cellStyle name="표준 27 2 3 4 2 2" xfId="37405"/>
    <cellStyle name="표준 27 2 3 4 3" xfId="28667"/>
    <cellStyle name="표준 27 2 3 5" xfId="8166"/>
    <cellStyle name="표준 27 2 3 5 2" xfId="17172"/>
    <cellStyle name="표준 27 2 3 5 2 2" xfId="38048"/>
    <cellStyle name="표준 27 2 3 5 3" xfId="29310"/>
    <cellStyle name="표준 27 2 3 6" xfId="9014"/>
    <cellStyle name="표준 27 2 3 6 2" xfId="18019"/>
    <cellStyle name="표준 27 2 3 6 2 2" xfId="38895"/>
    <cellStyle name="표준 27 2 3 6 3" xfId="30157"/>
    <cellStyle name="표준 27 2 3 7" xfId="9839"/>
    <cellStyle name="표준 27 2 3 7 2" xfId="18837"/>
    <cellStyle name="표준 27 2 3 7 2 2" xfId="39713"/>
    <cellStyle name="표준 27 2 3 7 3" xfId="30975"/>
    <cellStyle name="표준 27 2 3 8" xfId="10894"/>
    <cellStyle name="표준 27 2 3 8 2" xfId="19665"/>
    <cellStyle name="표준 27 2 3 8 2 2" xfId="40541"/>
    <cellStyle name="표준 27 2 3 8 3" xfId="31805"/>
    <cellStyle name="표준 27 2 3 9" xfId="11760"/>
    <cellStyle name="표준 27 2 3 9 2" xfId="20526"/>
    <cellStyle name="표준 27 2 3 9 2 2" xfId="41402"/>
    <cellStyle name="표준 27 2 3 9 3" xfId="32666"/>
    <cellStyle name="표준 27 2 4" xfId="4615"/>
    <cellStyle name="표준 27 2 4 2" xfId="6449"/>
    <cellStyle name="표준 27 2 4 2 2" xfId="15458"/>
    <cellStyle name="표준 27 2 4 2 2 2" xfId="36334"/>
    <cellStyle name="표준 27 2 4 2 3" xfId="27596"/>
    <cellStyle name="표준 27 2 4 3" xfId="11112"/>
    <cellStyle name="표준 27 2 4 3 2" xfId="19882"/>
    <cellStyle name="표준 27 2 4 3 2 2" xfId="40758"/>
    <cellStyle name="표준 27 2 4 3 3" xfId="32022"/>
    <cellStyle name="표준 27 2 4 4" xfId="11977"/>
    <cellStyle name="표준 27 2 4 4 2" xfId="20743"/>
    <cellStyle name="표준 27 2 4 4 2 2" xfId="41619"/>
    <cellStyle name="표준 27 2 4 4 3" xfId="32883"/>
    <cellStyle name="표준 27 2 4 5" xfId="13640"/>
    <cellStyle name="표준 27 2 4 5 2" xfId="34516"/>
    <cellStyle name="표준 27 2 4 6" xfId="25778"/>
    <cellStyle name="표준 27 2 5" xfId="5292"/>
    <cellStyle name="표준 27 2 5 2" xfId="14301"/>
    <cellStyle name="표준 27 2 5 2 2" xfId="35177"/>
    <cellStyle name="표준 27 2 5 3" xfId="26439"/>
    <cellStyle name="표준 27 2 6" xfId="7094"/>
    <cellStyle name="표준 27 2 6 2" xfId="16102"/>
    <cellStyle name="표준 27 2 6 2 2" xfId="36978"/>
    <cellStyle name="표준 27 2 6 3" xfId="28240"/>
    <cellStyle name="표준 27 2 7" xfId="7739"/>
    <cellStyle name="표준 27 2 7 2" xfId="16745"/>
    <cellStyle name="표준 27 2 7 2 2" xfId="37621"/>
    <cellStyle name="표준 27 2 7 3" xfId="28883"/>
    <cellStyle name="표준 27 2 8" xfId="8587"/>
    <cellStyle name="표준 27 2 8 2" xfId="17592"/>
    <cellStyle name="표준 27 2 8 2 2" xfId="38468"/>
    <cellStyle name="표준 27 2 8 3" xfId="29730"/>
    <cellStyle name="표준 27 2 9" xfId="9411"/>
    <cellStyle name="표준 27 2 9 2" xfId="18410"/>
    <cellStyle name="표준 27 2 9 2 2" xfId="39286"/>
    <cellStyle name="표준 27 2 9 3" xfId="30548"/>
    <cellStyle name="표준 27 3" xfId="3007"/>
    <cellStyle name="표준 27 3 10" xfId="10468"/>
    <cellStyle name="표준 27 3 10 2" xfId="19239"/>
    <cellStyle name="표준 27 3 10 2 2" xfId="40115"/>
    <cellStyle name="표준 27 3 10 3" xfId="31379"/>
    <cellStyle name="표준 27 3 11" xfId="11334"/>
    <cellStyle name="표준 27 3 11 2" xfId="20100"/>
    <cellStyle name="표준 27 3 11 2 2" xfId="40976"/>
    <cellStyle name="표준 27 3 11 3" xfId="32240"/>
    <cellStyle name="표준 27 3 12" xfId="12482"/>
    <cellStyle name="표준 27 3 12 2" xfId="33360"/>
    <cellStyle name="표준 27 3 13" xfId="24610"/>
    <cellStyle name="표준 27 3 2" xfId="3225"/>
    <cellStyle name="표준 27 3 2 10" xfId="11544"/>
    <cellStyle name="표준 27 3 2 10 2" xfId="20310"/>
    <cellStyle name="표준 27 3 2 10 2 2" xfId="41186"/>
    <cellStyle name="표준 27 3 2 10 3" xfId="32450"/>
    <cellStyle name="표준 27 3 2 11" xfId="12693"/>
    <cellStyle name="표준 27 3 2 11 2" xfId="33570"/>
    <cellStyle name="표준 27 3 2 12" xfId="24820"/>
    <cellStyle name="표준 27 3 2 2" xfId="3667"/>
    <cellStyle name="표준 27 3 2 2 2" xfId="5940"/>
    <cellStyle name="표준 27 3 2 2 2 2" xfId="14949"/>
    <cellStyle name="표준 27 3 2 2 2 2 2" xfId="35825"/>
    <cellStyle name="표준 27 3 2 2 2 3" xfId="27087"/>
    <cellStyle name="표준 27 3 2 2 3" xfId="13130"/>
    <cellStyle name="표준 27 3 2 2 3 2" xfId="34007"/>
    <cellStyle name="표준 27 3 2 2 4" xfId="25257"/>
    <cellStyle name="표준 27 3 2 3" xfId="4828"/>
    <cellStyle name="표준 27 3 2 3 2" xfId="6660"/>
    <cellStyle name="표준 27 3 2 3 2 2" xfId="15669"/>
    <cellStyle name="표준 27 3 2 3 2 2 2" xfId="36545"/>
    <cellStyle name="표준 27 3 2 3 2 3" xfId="27807"/>
    <cellStyle name="표준 27 3 2 3 3" xfId="13851"/>
    <cellStyle name="표준 27 3 2 3 3 2" xfId="34727"/>
    <cellStyle name="표준 27 3 2 3 4" xfId="25989"/>
    <cellStyle name="표준 27 3 2 4" xfId="5503"/>
    <cellStyle name="표준 27 3 2 4 2" xfId="14512"/>
    <cellStyle name="표준 27 3 2 4 2 2" xfId="35388"/>
    <cellStyle name="표준 27 3 2 4 3" xfId="26650"/>
    <cellStyle name="표준 27 3 2 5" xfId="7306"/>
    <cellStyle name="표준 27 3 2 5 2" xfId="16313"/>
    <cellStyle name="표준 27 3 2 5 2 2" xfId="37189"/>
    <cellStyle name="표준 27 3 2 5 3" xfId="28451"/>
    <cellStyle name="표준 27 3 2 6" xfId="7950"/>
    <cellStyle name="표준 27 3 2 6 2" xfId="16956"/>
    <cellStyle name="표준 27 3 2 6 2 2" xfId="37832"/>
    <cellStyle name="표준 27 3 2 6 3" xfId="29094"/>
    <cellStyle name="표준 27 3 2 7" xfId="8798"/>
    <cellStyle name="표준 27 3 2 7 2" xfId="17803"/>
    <cellStyle name="표준 27 3 2 7 2 2" xfId="38679"/>
    <cellStyle name="표준 27 3 2 7 3" xfId="29941"/>
    <cellStyle name="표준 27 3 2 8" xfId="9623"/>
    <cellStyle name="표준 27 3 2 8 2" xfId="18621"/>
    <cellStyle name="표준 27 3 2 8 2 2" xfId="39497"/>
    <cellStyle name="표준 27 3 2 8 3" xfId="30759"/>
    <cellStyle name="표준 27 3 2 9" xfId="10678"/>
    <cellStyle name="표준 27 3 2 9 2" xfId="19449"/>
    <cellStyle name="표준 27 3 2 9 2 2" xfId="40325"/>
    <cellStyle name="표준 27 3 2 9 3" xfId="31589"/>
    <cellStyle name="표준 27 3 3" xfId="3457"/>
    <cellStyle name="표준 27 3 3 10" xfId="12920"/>
    <cellStyle name="표준 27 3 3 10 2" xfId="33797"/>
    <cellStyle name="표준 27 3 3 11" xfId="25047"/>
    <cellStyle name="표준 27 3 3 2" xfId="5050"/>
    <cellStyle name="표준 27 3 3 2 2" xfId="6877"/>
    <cellStyle name="표준 27 3 3 2 2 2" xfId="15886"/>
    <cellStyle name="표준 27 3 3 2 2 2 2" xfId="36762"/>
    <cellStyle name="표준 27 3 3 2 2 3" xfId="28024"/>
    <cellStyle name="표준 27 3 3 2 3" xfId="14068"/>
    <cellStyle name="표준 27 3 3 2 3 2" xfId="34944"/>
    <cellStyle name="표준 27 3 3 2 4" xfId="26206"/>
    <cellStyle name="표준 27 3 3 3" xfId="5730"/>
    <cellStyle name="표준 27 3 3 3 2" xfId="14739"/>
    <cellStyle name="표준 27 3 3 3 2 2" xfId="35615"/>
    <cellStyle name="표준 27 3 3 3 3" xfId="26877"/>
    <cellStyle name="표준 27 3 3 4" xfId="7523"/>
    <cellStyle name="표준 27 3 3 4 2" xfId="16530"/>
    <cellStyle name="표준 27 3 3 4 2 2" xfId="37406"/>
    <cellStyle name="표준 27 3 3 4 3" xfId="28668"/>
    <cellStyle name="표준 27 3 3 5" xfId="8167"/>
    <cellStyle name="표준 27 3 3 5 2" xfId="17173"/>
    <cellStyle name="표준 27 3 3 5 2 2" xfId="38049"/>
    <cellStyle name="표준 27 3 3 5 3" xfId="29311"/>
    <cellStyle name="표준 27 3 3 6" xfId="9015"/>
    <cellStyle name="표준 27 3 3 6 2" xfId="18020"/>
    <cellStyle name="표준 27 3 3 6 2 2" xfId="38896"/>
    <cellStyle name="표준 27 3 3 6 3" xfId="30158"/>
    <cellStyle name="표준 27 3 3 7" xfId="9840"/>
    <cellStyle name="표준 27 3 3 7 2" xfId="18838"/>
    <cellStyle name="표준 27 3 3 7 2 2" xfId="39714"/>
    <cellStyle name="표준 27 3 3 7 3" xfId="30976"/>
    <cellStyle name="표준 27 3 3 8" xfId="10895"/>
    <cellStyle name="표준 27 3 3 8 2" xfId="19666"/>
    <cellStyle name="표준 27 3 3 8 2 2" xfId="40542"/>
    <cellStyle name="표준 27 3 3 8 3" xfId="31806"/>
    <cellStyle name="표준 27 3 3 9" xfId="11761"/>
    <cellStyle name="표준 27 3 3 9 2" xfId="20527"/>
    <cellStyle name="표준 27 3 3 9 2 2" xfId="41403"/>
    <cellStyle name="표준 27 3 3 9 3" xfId="32667"/>
    <cellStyle name="표준 27 3 4" xfId="4616"/>
    <cellStyle name="표준 27 3 4 2" xfId="6450"/>
    <cellStyle name="표준 27 3 4 2 2" xfId="15459"/>
    <cellStyle name="표준 27 3 4 2 2 2" xfId="36335"/>
    <cellStyle name="표준 27 3 4 2 3" xfId="27597"/>
    <cellStyle name="표준 27 3 4 3" xfId="11113"/>
    <cellStyle name="표준 27 3 4 3 2" xfId="19883"/>
    <cellStyle name="표준 27 3 4 3 2 2" xfId="40759"/>
    <cellStyle name="표준 27 3 4 3 3" xfId="32023"/>
    <cellStyle name="표준 27 3 4 4" xfId="11978"/>
    <cellStyle name="표준 27 3 4 4 2" xfId="20744"/>
    <cellStyle name="표준 27 3 4 4 2 2" xfId="41620"/>
    <cellStyle name="표준 27 3 4 4 3" xfId="32884"/>
    <cellStyle name="표준 27 3 4 5" xfId="13641"/>
    <cellStyle name="표준 27 3 4 5 2" xfId="34517"/>
    <cellStyle name="표준 27 3 4 6" xfId="25779"/>
    <cellStyle name="표준 27 3 5" xfId="5293"/>
    <cellStyle name="표준 27 3 5 2" xfId="14302"/>
    <cellStyle name="표준 27 3 5 2 2" xfId="35178"/>
    <cellStyle name="표준 27 3 5 3" xfId="26440"/>
    <cellStyle name="표준 27 3 6" xfId="7095"/>
    <cellStyle name="표준 27 3 6 2" xfId="16103"/>
    <cellStyle name="표준 27 3 6 2 2" xfId="36979"/>
    <cellStyle name="표준 27 3 6 3" xfId="28241"/>
    <cellStyle name="표준 27 3 7" xfId="7740"/>
    <cellStyle name="표준 27 3 7 2" xfId="16746"/>
    <cellStyle name="표준 27 3 7 2 2" xfId="37622"/>
    <cellStyle name="표준 27 3 7 3" xfId="28884"/>
    <cellStyle name="표준 27 3 8" xfId="8588"/>
    <cellStyle name="표준 27 3 8 2" xfId="17593"/>
    <cellStyle name="표준 27 3 8 2 2" xfId="38469"/>
    <cellStyle name="표준 27 3 8 3" xfId="29731"/>
    <cellStyle name="표준 27 3 9" xfId="9412"/>
    <cellStyle name="표준 27 3 9 2" xfId="18411"/>
    <cellStyle name="표준 27 3 9 2 2" xfId="39287"/>
    <cellStyle name="표준 27 3 9 3" xfId="30549"/>
    <cellStyle name="표준 27 4" xfId="3008"/>
    <cellStyle name="표준 27 4 10" xfId="10469"/>
    <cellStyle name="표준 27 4 10 2" xfId="19240"/>
    <cellStyle name="표준 27 4 10 2 2" xfId="40116"/>
    <cellStyle name="표준 27 4 10 3" xfId="31380"/>
    <cellStyle name="표준 27 4 11" xfId="11335"/>
    <cellStyle name="표준 27 4 11 2" xfId="20101"/>
    <cellStyle name="표준 27 4 11 2 2" xfId="40977"/>
    <cellStyle name="표준 27 4 11 3" xfId="32241"/>
    <cellStyle name="표준 27 4 12" xfId="12483"/>
    <cellStyle name="표준 27 4 12 2" xfId="33361"/>
    <cellStyle name="표준 27 4 13" xfId="24611"/>
    <cellStyle name="표준 27 4 2" xfId="3226"/>
    <cellStyle name="표준 27 4 2 10" xfId="11545"/>
    <cellStyle name="표준 27 4 2 10 2" xfId="20311"/>
    <cellStyle name="표준 27 4 2 10 2 2" xfId="41187"/>
    <cellStyle name="표준 27 4 2 10 3" xfId="32451"/>
    <cellStyle name="표준 27 4 2 11" xfId="12694"/>
    <cellStyle name="표준 27 4 2 11 2" xfId="33571"/>
    <cellStyle name="표준 27 4 2 12" xfId="24821"/>
    <cellStyle name="표준 27 4 2 2" xfId="3668"/>
    <cellStyle name="표준 27 4 2 2 2" xfId="5941"/>
    <cellStyle name="표준 27 4 2 2 2 2" xfId="14950"/>
    <cellStyle name="표준 27 4 2 2 2 2 2" xfId="35826"/>
    <cellStyle name="표준 27 4 2 2 2 3" xfId="27088"/>
    <cellStyle name="표준 27 4 2 2 3" xfId="13131"/>
    <cellStyle name="표준 27 4 2 2 3 2" xfId="34008"/>
    <cellStyle name="표준 27 4 2 2 4" xfId="25258"/>
    <cellStyle name="표준 27 4 2 3" xfId="4829"/>
    <cellStyle name="표준 27 4 2 3 2" xfId="6661"/>
    <cellStyle name="표준 27 4 2 3 2 2" xfId="15670"/>
    <cellStyle name="표준 27 4 2 3 2 2 2" xfId="36546"/>
    <cellStyle name="표준 27 4 2 3 2 3" xfId="27808"/>
    <cellStyle name="표준 27 4 2 3 3" xfId="13852"/>
    <cellStyle name="표준 27 4 2 3 3 2" xfId="34728"/>
    <cellStyle name="표준 27 4 2 3 4" xfId="25990"/>
    <cellStyle name="표준 27 4 2 4" xfId="5504"/>
    <cellStyle name="표준 27 4 2 4 2" xfId="14513"/>
    <cellStyle name="표준 27 4 2 4 2 2" xfId="35389"/>
    <cellStyle name="표준 27 4 2 4 3" xfId="26651"/>
    <cellStyle name="표준 27 4 2 5" xfId="7307"/>
    <cellStyle name="표준 27 4 2 5 2" xfId="16314"/>
    <cellStyle name="표준 27 4 2 5 2 2" xfId="37190"/>
    <cellStyle name="표준 27 4 2 5 3" xfId="28452"/>
    <cellStyle name="표준 27 4 2 6" xfId="7951"/>
    <cellStyle name="표준 27 4 2 6 2" xfId="16957"/>
    <cellStyle name="표준 27 4 2 6 2 2" xfId="37833"/>
    <cellStyle name="표준 27 4 2 6 3" xfId="29095"/>
    <cellStyle name="표준 27 4 2 7" xfId="8799"/>
    <cellStyle name="표준 27 4 2 7 2" xfId="17804"/>
    <cellStyle name="표준 27 4 2 7 2 2" xfId="38680"/>
    <cellStyle name="표준 27 4 2 7 3" xfId="29942"/>
    <cellStyle name="표준 27 4 2 8" xfId="9624"/>
    <cellStyle name="표준 27 4 2 8 2" xfId="18622"/>
    <cellStyle name="표준 27 4 2 8 2 2" xfId="39498"/>
    <cellStyle name="표준 27 4 2 8 3" xfId="30760"/>
    <cellStyle name="표준 27 4 2 9" xfId="10679"/>
    <cellStyle name="표준 27 4 2 9 2" xfId="19450"/>
    <cellStyle name="표준 27 4 2 9 2 2" xfId="40326"/>
    <cellStyle name="표준 27 4 2 9 3" xfId="31590"/>
    <cellStyle name="표준 27 4 3" xfId="3458"/>
    <cellStyle name="표준 27 4 3 10" xfId="12921"/>
    <cellStyle name="표준 27 4 3 10 2" xfId="33798"/>
    <cellStyle name="표준 27 4 3 11" xfId="25048"/>
    <cellStyle name="표준 27 4 3 2" xfId="5051"/>
    <cellStyle name="표준 27 4 3 2 2" xfId="6878"/>
    <cellStyle name="표준 27 4 3 2 2 2" xfId="15887"/>
    <cellStyle name="표준 27 4 3 2 2 2 2" xfId="36763"/>
    <cellStyle name="표준 27 4 3 2 2 3" xfId="28025"/>
    <cellStyle name="표준 27 4 3 2 3" xfId="14069"/>
    <cellStyle name="표준 27 4 3 2 3 2" xfId="34945"/>
    <cellStyle name="표준 27 4 3 2 4" xfId="26207"/>
    <cellStyle name="표준 27 4 3 3" xfId="5731"/>
    <cellStyle name="표준 27 4 3 3 2" xfId="14740"/>
    <cellStyle name="표준 27 4 3 3 2 2" xfId="35616"/>
    <cellStyle name="표준 27 4 3 3 3" xfId="26878"/>
    <cellStyle name="표준 27 4 3 4" xfId="7524"/>
    <cellStyle name="표준 27 4 3 4 2" xfId="16531"/>
    <cellStyle name="표준 27 4 3 4 2 2" xfId="37407"/>
    <cellStyle name="표준 27 4 3 4 3" xfId="28669"/>
    <cellStyle name="표준 27 4 3 5" xfId="8168"/>
    <cellStyle name="표준 27 4 3 5 2" xfId="17174"/>
    <cellStyle name="표준 27 4 3 5 2 2" xfId="38050"/>
    <cellStyle name="표준 27 4 3 5 3" xfId="29312"/>
    <cellStyle name="표준 27 4 3 6" xfId="9016"/>
    <cellStyle name="표준 27 4 3 6 2" xfId="18021"/>
    <cellStyle name="표준 27 4 3 6 2 2" xfId="38897"/>
    <cellStyle name="표준 27 4 3 6 3" xfId="30159"/>
    <cellStyle name="표준 27 4 3 7" xfId="9841"/>
    <cellStyle name="표준 27 4 3 7 2" xfId="18839"/>
    <cellStyle name="표준 27 4 3 7 2 2" xfId="39715"/>
    <cellStyle name="표준 27 4 3 7 3" xfId="30977"/>
    <cellStyle name="표준 27 4 3 8" xfId="10896"/>
    <cellStyle name="표준 27 4 3 8 2" xfId="19667"/>
    <cellStyle name="표준 27 4 3 8 2 2" xfId="40543"/>
    <cellStyle name="표준 27 4 3 8 3" xfId="31807"/>
    <cellStyle name="표준 27 4 3 9" xfId="11762"/>
    <cellStyle name="표준 27 4 3 9 2" xfId="20528"/>
    <cellStyle name="표준 27 4 3 9 2 2" xfId="41404"/>
    <cellStyle name="표준 27 4 3 9 3" xfId="32668"/>
    <cellStyle name="표준 27 4 4" xfId="4617"/>
    <cellStyle name="표준 27 4 4 2" xfId="6451"/>
    <cellStyle name="표준 27 4 4 2 2" xfId="15460"/>
    <cellStyle name="표준 27 4 4 2 2 2" xfId="36336"/>
    <cellStyle name="표준 27 4 4 2 3" xfId="27598"/>
    <cellStyle name="표준 27 4 4 3" xfId="11114"/>
    <cellStyle name="표준 27 4 4 3 2" xfId="19884"/>
    <cellStyle name="표준 27 4 4 3 2 2" xfId="40760"/>
    <cellStyle name="표준 27 4 4 3 3" xfId="32024"/>
    <cellStyle name="표준 27 4 4 4" xfId="11979"/>
    <cellStyle name="표준 27 4 4 4 2" xfId="20745"/>
    <cellStyle name="표준 27 4 4 4 2 2" xfId="41621"/>
    <cellStyle name="표준 27 4 4 4 3" xfId="32885"/>
    <cellStyle name="표준 27 4 4 5" xfId="13642"/>
    <cellStyle name="표준 27 4 4 5 2" xfId="34518"/>
    <cellStyle name="표준 27 4 4 6" xfId="25780"/>
    <cellStyle name="표준 27 4 5" xfId="5294"/>
    <cellStyle name="표준 27 4 5 2" xfId="14303"/>
    <cellStyle name="표준 27 4 5 2 2" xfId="35179"/>
    <cellStyle name="표준 27 4 5 3" xfId="26441"/>
    <cellStyle name="표준 27 4 6" xfId="7096"/>
    <cellStyle name="표준 27 4 6 2" xfId="16104"/>
    <cellStyle name="표준 27 4 6 2 2" xfId="36980"/>
    <cellStyle name="표준 27 4 6 3" xfId="28242"/>
    <cellStyle name="표준 27 4 7" xfId="7741"/>
    <cellStyle name="표준 27 4 7 2" xfId="16747"/>
    <cellStyle name="표준 27 4 7 2 2" xfId="37623"/>
    <cellStyle name="표준 27 4 7 3" xfId="28885"/>
    <cellStyle name="표준 27 4 8" xfId="8589"/>
    <cellStyle name="표준 27 4 8 2" xfId="17594"/>
    <cellStyle name="표준 27 4 8 2 2" xfId="38470"/>
    <cellStyle name="표준 27 4 8 3" xfId="29732"/>
    <cellStyle name="표준 27 4 9" xfId="9413"/>
    <cellStyle name="표준 27 4 9 2" xfId="18412"/>
    <cellStyle name="표준 27 4 9 2 2" xfId="39288"/>
    <cellStyle name="표준 27 4 9 3" xfId="30550"/>
    <cellStyle name="표준 27 5" xfId="3009"/>
    <cellStyle name="표준 27 5 10" xfId="10470"/>
    <cellStyle name="표준 27 5 10 2" xfId="19241"/>
    <cellStyle name="표준 27 5 10 2 2" xfId="40117"/>
    <cellStyle name="표준 27 5 10 3" xfId="31381"/>
    <cellStyle name="표준 27 5 11" xfId="11336"/>
    <cellStyle name="표준 27 5 11 2" xfId="20102"/>
    <cellStyle name="표준 27 5 11 2 2" xfId="40978"/>
    <cellStyle name="표준 27 5 11 3" xfId="32242"/>
    <cellStyle name="표준 27 5 12" xfId="12484"/>
    <cellStyle name="표준 27 5 12 2" xfId="33362"/>
    <cellStyle name="표준 27 5 13" xfId="24612"/>
    <cellStyle name="표준 27 5 2" xfId="3227"/>
    <cellStyle name="표준 27 5 2 10" xfId="11546"/>
    <cellStyle name="표준 27 5 2 10 2" xfId="20312"/>
    <cellStyle name="표준 27 5 2 10 2 2" xfId="41188"/>
    <cellStyle name="표준 27 5 2 10 3" xfId="32452"/>
    <cellStyle name="표준 27 5 2 11" xfId="12695"/>
    <cellStyle name="표준 27 5 2 11 2" xfId="33572"/>
    <cellStyle name="표준 27 5 2 12" xfId="24822"/>
    <cellStyle name="표준 27 5 2 2" xfId="3669"/>
    <cellStyle name="표준 27 5 2 2 2" xfId="5942"/>
    <cellStyle name="표준 27 5 2 2 2 2" xfId="14951"/>
    <cellStyle name="표준 27 5 2 2 2 2 2" xfId="35827"/>
    <cellStyle name="표준 27 5 2 2 2 3" xfId="27089"/>
    <cellStyle name="표준 27 5 2 2 3" xfId="13132"/>
    <cellStyle name="표준 27 5 2 2 3 2" xfId="34009"/>
    <cellStyle name="표준 27 5 2 2 4" xfId="25259"/>
    <cellStyle name="표준 27 5 2 3" xfId="4830"/>
    <cellStyle name="표준 27 5 2 3 2" xfId="6662"/>
    <cellStyle name="표준 27 5 2 3 2 2" xfId="15671"/>
    <cellStyle name="표준 27 5 2 3 2 2 2" xfId="36547"/>
    <cellStyle name="표준 27 5 2 3 2 3" xfId="27809"/>
    <cellStyle name="표준 27 5 2 3 3" xfId="13853"/>
    <cellStyle name="표준 27 5 2 3 3 2" xfId="34729"/>
    <cellStyle name="표준 27 5 2 3 4" xfId="25991"/>
    <cellStyle name="표준 27 5 2 4" xfId="5505"/>
    <cellStyle name="표준 27 5 2 4 2" xfId="14514"/>
    <cellStyle name="표준 27 5 2 4 2 2" xfId="35390"/>
    <cellStyle name="표준 27 5 2 4 3" xfId="26652"/>
    <cellStyle name="표준 27 5 2 5" xfId="7308"/>
    <cellStyle name="표준 27 5 2 5 2" xfId="16315"/>
    <cellStyle name="표준 27 5 2 5 2 2" xfId="37191"/>
    <cellStyle name="표준 27 5 2 5 3" xfId="28453"/>
    <cellStyle name="표준 27 5 2 6" xfId="7952"/>
    <cellStyle name="표준 27 5 2 6 2" xfId="16958"/>
    <cellStyle name="표준 27 5 2 6 2 2" xfId="37834"/>
    <cellStyle name="표준 27 5 2 6 3" xfId="29096"/>
    <cellStyle name="표준 27 5 2 7" xfId="8800"/>
    <cellStyle name="표준 27 5 2 7 2" xfId="17805"/>
    <cellStyle name="표준 27 5 2 7 2 2" xfId="38681"/>
    <cellStyle name="표준 27 5 2 7 3" xfId="29943"/>
    <cellStyle name="표준 27 5 2 8" xfId="9625"/>
    <cellStyle name="표준 27 5 2 8 2" xfId="18623"/>
    <cellStyle name="표준 27 5 2 8 2 2" xfId="39499"/>
    <cellStyle name="표준 27 5 2 8 3" xfId="30761"/>
    <cellStyle name="표준 27 5 2 9" xfId="10680"/>
    <cellStyle name="표준 27 5 2 9 2" xfId="19451"/>
    <cellStyle name="표준 27 5 2 9 2 2" xfId="40327"/>
    <cellStyle name="표준 27 5 2 9 3" xfId="31591"/>
    <cellStyle name="표준 27 5 3" xfId="3459"/>
    <cellStyle name="표준 27 5 3 10" xfId="12922"/>
    <cellStyle name="표준 27 5 3 10 2" xfId="33799"/>
    <cellStyle name="표준 27 5 3 11" xfId="25049"/>
    <cellStyle name="표준 27 5 3 2" xfId="5052"/>
    <cellStyle name="표준 27 5 3 2 2" xfId="6879"/>
    <cellStyle name="표준 27 5 3 2 2 2" xfId="15888"/>
    <cellStyle name="표준 27 5 3 2 2 2 2" xfId="36764"/>
    <cellStyle name="표준 27 5 3 2 2 3" xfId="28026"/>
    <cellStyle name="표준 27 5 3 2 3" xfId="14070"/>
    <cellStyle name="표준 27 5 3 2 3 2" xfId="34946"/>
    <cellStyle name="표준 27 5 3 2 4" xfId="26208"/>
    <cellStyle name="표준 27 5 3 3" xfId="5732"/>
    <cellStyle name="표준 27 5 3 3 2" xfId="14741"/>
    <cellStyle name="표준 27 5 3 3 2 2" xfId="35617"/>
    <cellStyle name="표준 27 5 3 3 3" xfId="26879"/>
    <cellStyle name="표준 27 5 3 4" xfId="7525"/>
    <cellStyle name="표준 27 5 3 4 2" xfId="16532"/>
    <cellStyle name="표준 27 5 3 4 2 2" xfId="37408"/>
    <cellStyle name="표준 27 5 3 4 3" xfId="28670"/>
    <cellStyle name="표준 27 5 3 5" xfId="8169"/>
    <cellStyle name="표준 27 5 3 5 2" xfId="17175"/>
    <cellStyle name="표준 27 5 3 5 2 2" xfId="38051"/>
    <cellStyle name="표준 27 5 3 5 3" xfId="29313"/>
    <cellStyle name="표준 27 5 3 6" xfId="9017"/>
    <cellStyle name="표준 27 5 3 6 2" xfId="18022"/>
    <cellStyle name="표준 27 5 3 6 2 2" xfId="38898"/>
    <cellStyle name="표준 27 5 3 6 3" xfId="30160"/>
    <cellStyle name="표준 27 5 3 7" xfId="9842"/>
    <cellStyle name="표준 27 5 3 7 2" xfId="18840"/>
    <cellStyle name="표준 27 5 3 7 2 2" xfId="39716"/>
    <cellStyle name="표준 27 5 3 7 3" xfId="30978"/>
    <cellStyle name="표준 27 5 3 8" xfId="10897"/>
    <cellStyle name="표준 27 5 3 8 2" xfId="19668"/>
    <cellStyle name="표준 27 5 3 8 2 2" xfId="40544"/>
    <cellStyle name="표준 27 5 3 8 3" xfId="31808"/>
    <cellStyle name="표준 27 5 3 9" xfId="11763"/>
    <cellStyle name="표준 27 5 3 9 2" xfId="20529"/>
    <cellStyle name="표준 27 5 3 9 2 2" xfId="41405"/>
    <cellStyle name="표준 27 5 3 9 3" xfId="32669"/>
    <cellStyle name="표준 27 5 4" xfId="4618"/>
    <cellStyle name="표준 27 5 4 2" xfId="6452"/>
    <cellStyle name="표준 27 5 4 2 2" xfId="15461"/>
    <cellStyle name="표준 27 5 4 2 2 2" xfId="36337"/>
    <cellStyle name="표준 27 5 4 2 3" xfId="27599"/>
    <cellStyle name="표준 27 5 4 3" xfId="11115"/>
    <cellStyle name="표준 27 5 4 3 2" xfId="19885"/>
    <cellStyle name="표준 27 5 4 3 2 2" xfId="40761"/>
    <cellStyle name="표준 27 5 4 3 3" xfId="32025"/>
    <cellStyle name="표준 27 5 4 4" xfId="11980"/>
    <cellStyle name="표준 27 5 4 4 2" xfId="20746"/>
    <cellStyle name="표준 27 5 4 4 2 2" xfId="41622"/>
    <cellStyle name="표준 27 5 4 4 3" xfId="32886"/>
    <cellStyle name="표준 27 5 4 5" xfId="13643"/>
    <cellStyle name="표준 27 5 4 5 2" xfId="34519"/>
    <cellStyle name="표준 27 5 4 6" xfId="25781"/>
    <cellStyle name="표준 27 5 5" xfId="5295"/>
    <cellStyle name="표준 27 5 5 2" xfId="14304"/>
    <cellStyle name="표준 27 5 5 2 2" xfId="35180"/>
    <cellStyle name="표준 27 5 5 3" xfId="26442"/>
    <cellStyle name="표준 27 5 6" xfId="7097"/>
    <cellStyle name="표준 27 5 6 2" xfId="16105"/>
    <cellStyle name="표준 27 5 6 2 2" xfId="36981"/>
    <cellStyle name="표준 27 5 6 3" xfId="28243"/>
    <cellStyle name="표준 27 5 7" xfId="7742"/>
    <cellStyle name="표준 27 5 7 2" xfId="16748"/>
    <cellStyle name="표준 27 5 7 2 2" xfId="37624"/>
    <cellStyle name="표준 27 5 7 3" xfId="28886"/>
    <cellStyle name="표준 27 5 8" xfId="8590"/>
    <cellStyle name="표준 27 5 8 2" xfId="17595"/>
    <cellStyle name="표준 27 5 8 2 2" xfId="38471"/>
    <cellStyle name="표준 27 5 8 3" xfId="29733"/>
    <cellStyle name="표준 27 5 9" xfId="9414"/>
    <cellStyle name="표준 27 5 9 2" xfId="18413"/>
    <cellStyle name="표준 27 5 9 2 2" xfId="39289"/>
    <cellStyle name="표준 27 5 9 3" xfId="30551"/>
    <cellStyle name="표준 27 6" xfId="3010"/>
    <cellStyle name="표준 27 6 10" xfId="10471"/>
    <cellStyle name="표준 27 6 10 2" xfId="19242"/>
    <cellStyle name="표준 27 6 10 2 2" xfId="40118"/>
    <cellStyle name="표준 27 6 10 3" xfId="31382"/>
    <cellStyle name="표준 27 6 11" xfId="11337"/>
    <cellStyle name="표준 27 6 11 2" xfId="20103"/>
    <cellStyle name="표준 27 6 11 2 2" xfId="40979"/>
    <cellStyle name="표준 27 6 11 3" xfId="32243"/>
    <cellStyle name="표준 27 6 12" xfId="12485"/>
    <cellStyle name="표준 27 6 12 2" xfId="33363"/>
    <cellStyle name="표준 27 6 13" xfId="24613"/>
    <cellStyle name="표준 27 6 2" xfId="3228"/>
    <cellStyle name="표준 27 6 2 10" xfId="11547"/>
    <cellStyle name="표준 27 6 2 10 2" xfId="20313"/>
    <cellStyle name="표준 27 6 2 10 2 2" xfId="41189"/>
    <cellStyle name="표준 27 6 2 10 3" xfId="32453"/>
    <cellStyle name="표준 27 6 2 11" xfId="12696"/>
    <cellStyle name="표준 27 6 2 11 2" xfId="33573"/>
    <cellStyle name="표준 27 6 2 12" xfId="24823"/>
    <cellStyle name="표준 27 6 2 2" xfId="3670"/>
    <cellStyle name="표준 27 6 2 2 2" xfId="5943"/>
    <cellStyle name="표준 27 6 2 2 2 2" xfId="14952"/>
    <cellStyle name="표준 27 6 2 2 2 2 2" xfId="35828"/>
    <cellStyle name="표준 27 6 2 2 2 3" xfId="27090"/>
    <cellStyle name="표준 27 6 2 2 3" xfId="13133"/>
    <cellStyle name="표준 27 6 2 2 3 2" xfId="34010"/>
    <cellStyle name="표준 27 6 2 2 4" xfId="25260"/>
    <cellStyle name="표준 27 6 2 3" xfId="4831"/>
    <cellStyle name="표준 27 6 2 3 2" xfId="6663"/>
    <cellStyle name="표준 27 6 2 3 2 2" xfId="15672"/>
    <cellStyle name="표준 27 6 2 3 2 2 2" xfId="36548"/>
    <cellStyle name="표준 27 6 2 3 2 3" xfId="27810"/>
    <cellStyle name="표준 27 6 2 3 3" xfId="13854"/>
    <cellStyle name="표준 27 6 2 3 3 2" xfId="34730"/>
    <cellStyle name="표준 27 6 2 3 4" xfId="25992"/>
    <cellStyle name="표준 27 6 2 4" xfId="5506"/>
    <cellStyle name="표준 27 6 2 4 2" xfId="14515"/>
    <cellStyle name="표준 27 6 2 4 2 2" xfId="35391"/>
    <cellStyle name="표준 27 6 2 4 3" xfId="26653"/>
    <cellStyle name="표준 27 6 2 5" xfId="7309"/>
    <cellStyle name="표준 27 6 2 5 2" xfId="16316"/>
    <cellStyle name="표준 27 6 2 5 2 2" xfId="37192"/>
    <cellStyle name="표준 27 6 2 5 3" xfId="28454"/>
    <cellStyle name="표준 27 6 2 6" xfId="7953"/>
    <cellStyle name="표준 27 6 2 6 2" xfId="16959"/>
    <cellStyle name="표준 27 6 2 6 2 2" xfId="37835"/>
    <cellStyle name="표준 27 6 2 6 3" xfId="29097"/>
    <cellStyle name="표준 27 6 2 7" xfId="8801"/>
    <cellStyle name="표준 27 6 2 7 2" xfId="17806"/>
    <cellStyle name="표준 27 6 2 7 2 2" xfId="38682"/>
    <cellStyle name="표준 27 6 2 7 3" xfId="29944"/>
    <cellStyle name="표준 27 6 2 8" xfId="9626"/>
    <cellStyle name="표준 27 6 2 8 2" xfId="18624"/>
    <cellStyle name="표준 27 6 2 8 2 2" xfId="39500"/>
    <cellStyle name="표준 27 6 2 8 3" xfId="30762"/>
    <cellStyle name="표준 27 6 2 9" xfId="10681"/>
    <cellStyle name="표준 27 6 2 9 2" xfId="19452"/>
    <cellStyle name="표준 27 6 2 9 2 2" xfId="40328"/>
    <cellStyle name="표준 27 6 2 9 3" xfId="31592"/>
    <cellStyle name="표준 27 6 3" xfId="3460"/>
    <cellStyle name="표준 27 6 3 10" xfId="12923"/>
    <cellStyle name="표준 27 6 3 10 2" xfId="33800"/>
    <cellStyle name="표준 27 6 3 11" xfId="25050"/>
    <cellStyle name="표준 27 6 3 2" xfId="5053"/>
    <cellStyle name="표준 27 6 3 2 2" xfId="6880"/>
    <cellStyle name="표준 27 6 3 2 2 2" xfId="15889"/>
    <cellStyle name="표준 27 6 3 2 2 2 2" xfId="36765"/>
    <cellStyle name="표준 27 6 3 2 2 3" xfId="28027"/>
    <cellStyle name="표준 27 6 3 2 3" xfId="14071"/>
    <cellStyle name="표준 27 6 3 2 3 2" xfId="34947"/>
    <cellStyle name="표준 27 6 3 2 4" xfId="26209"/>
    <cellStyle name="표준 27 6 3 3" xfId="5733"/>
    <cellStyle name="표준 27 6 3 3 2" xfId="14742"/>
    <cellStyle name="표준 27 6 3 3 2 2" xfId="35618"/>
    <cellStyle name="표준 27 6 3 3 3" xfId="26880"/>
    <cellStyle name="표준 27 6 3 4" xfId="7526"/>
    <cellStyle name="표준 27 6 3 4 2" xfId="16533"/>
    <cellStyle name="표준 27 6 3 4 2 2" xfId="37409"/>
    <cellStyle name="표준 27 6 3 4 3" xfId="28671"/>
    <cellStyle name="표준 27 6 3 5" xfId="8170"/>
    <cellStyle name="표준 27 6 3 5 2" xfId="17176"/>
    <cellStyle name="표준 27 6 3 5 2 2" xfId="38052"/>
    <cellStyle name="표준 27 6 3 5 3" xfId="29314"/>
    <cellStyle name="표준 27 6 3 6" xfId="9018"/>
    <cellStyle name="표준 27 6 3 6 2" xfId="18023"/>
    <cellStyle name="표준 27 6 3 6 2 2" xfId="38899"/>
    <cellStyle name="표준 27 6 3 6 3" xfId="30161"/>
    <cellStyle name="표준 27 6 3 7" xfId="9843"/>
    <cellStyle name="표준 27 6 3 7 2" xfId="18841"/>
    <cellStyle name="표준 27 6 3 7 2 2" xfId="39717"/>
    <cellStyle name="표준 27 6 3 7 3" xfId="30979"/>
    <cellStyle name="표준 27 6 3 8" xfId="10898"/>
    <cellStyle name="표준 27 6 3 8 2" xfId="19669"/>
    <cellStyle name="표준 27 6 3 8 2 2" xfId="40545"/>
    <cellStyle name="표준 27 6 3 8 3" xfId="31809"/>
    <cellStyle name="표준 27 6 3 9" xfId="11764"/>
    <cellStyle name="표준 27 6 3 9 2" xfId="20530"/>
    <cellStyle name="표준 27 6 3 9 2 2" xfId="41406"/>
    <cellStyle name="표준 27 6 3 9 3" xfId="32670"/>
    <cellStyle name="표준 27 6 4" xfId="4619"/>
    <cellStyle name="표준 27 6 4 2" xfId="6453"/>
    <cellStyle name="표준 27 6 4 2 2" xfId="15462"/>
    <cellStyle name="표준 27 6 4 2 2 2" xfId="36338"/>
    <cellStyle name="표준 27 6 4 2 3" xfId="27600"/>
    <cellStyle name="표준 27 6 4 3" xfId="11116"/>
    <cellStyle name="표준 27 6 4 3 2" xfId="19886"/>
    <cellStyle name="표준 27 6 4 3 2 2" xfId="40762"/>
    <cellStyle name="표준 27 6 4 3 3" xfId="32026"/>
    <cellStyle name="표준 27 6 4 4" xfId="11981"/>
    <cellStyle name="표준 27 6 4 4 2" xfId="20747"/>
    <cellStyle name="표준 27 6 4 4 2 2" xfId="41623"/>
    <cellStyle name="표준 27 6 4 4 3" xfId="32887"/>
    <cellStyle name="표준 27 6 4 5" xfId="13644"/>
    <cellStyle name="표준 27 6 4 5 2" xfId="34520"/>
    <cellStyle name="표준 27 6 4 6" xfId="25782"/>
    <cellStyle name="표준 27 6 5" xfId="5296"/>
    <cellStyle name="표준 27 6 5 2" xfId="14305"/>
    <cellStyle name="표준 27 6 5 2 2" xfId="35181"/>
    <cellStyle name="표준 27 6 5 3" xfId="26443"/>
    <cellStyle name="표준 27 6 6" xfId="7098"/>
    <cellStyle name="표준 27 6 6 2" xfId="16106"/>
    <cellStyle name="표준 27 6 6 2 2" xfId="36982"/>
    <cellStyle name="표준 27 6 6 3" xfId="28244"/>
    <cellStyle name="표준 27 6 7" xfId="7743"/>
    <cellStyle name="표준 27 6 7 2" xfId="16749"/>
    <cellStyle name="표준 27 6 7 2 2" xfId="37625"/>
    <cellStyle name="표준 27 6 7 3" xfId="28887"/>
    <cellStyle name="표준 27 6 8" xfId="8591"/>
    <cellStyle name="표준 27 6 8 2" xfId="17596"/>
    <cellStyle name="표준 27 6 8 2 2" xfId="38472"/>
    <cellStyle name="표준 27 6 8 3" xfId="29734"/>
    <cellStyle name="표준 27 6 9" xfId="9415"/>
    <cellStyle name="표준 27 6 9 2" xfId="18414"/>
    <cellStyle name="표준 27 6 9 2 2" xfId="39290"/>
    <cellStyle name="표준 27 6 9 3" xfId="30552"/>
    <cellStyle name="표준 27 7" xfId="3011"/>
    <cellStyle name="표준 27 7 10" xfId="10472"/>
    <cellStyle name="표준 27 7 10 2" xfId="19243"/>
    <cellStyle name="표준 27 7 10 2 2" xfId="40119"/>
    <cellStyle name="표준 27 7 10 3" xfId="31383"/>
    <cellStyle name="표준 27 7 11" xfId="11338"/>
    <cellStyle name="표준 27 7 11 2" xfId="20104"/>
    <cellStyle name="표준 27 7 11 2 2" xfId="40980"/>
    <cellStyle name="표준 27 7 11 3" xfId="32244"/>
    <cellStyle name="표준 27 7 12" xfId="12486"/>
    <cellStyle name="표준 27 7 12 2" xfId="33364"/>
    <cellStyle name="표준 27 7 13" xfId="24614"/>
    <cellStyle name="표준 27 7 2" xfId="3229"/>
    <cellStyle name="표준 27 7 2 10" xfId="11548"/>
    <cellStyle name="표준 27 7 2 10 2" xfId="20314"/>
    <cellStyle name="표준 27 7 2 10 2 2" xfId="41190"/>
    <cellStyle name="표준 27 7 2 10 3" xfId="32454"/>
    <cellStyle name="표준 27 7 2 11" xfId="12697"/>
    <cellStyle name="표준 27 7 2 11 2" xfId="33574"/>
    <cellStyle name="표준 27 7 2 12" xfId="24824"/>
    <cellStyle name="표준 27 7 2 2" xfId="3671"/>
    <cellStyle name="표준 27 7 2 2 2" xfId="5944"/>
    <cellStyle name="표준 27 7 2 2 2 2" xfId="14953"/>
    <cellStyle name="표준 27 7 2 2 2 2 2" xfId="35829"/>
    <cellStyle name="표준 27 7 2 2 2 3" xfId="27091"/>
    <cellStyle name="표준 27 7 2 2 3" xfId="13134"/>
    <cellStyle name="표준 27 7 2 2 3 2" xfId="34011"/>
    <cellStyle name="표준 27 7 2 2 4" xfId="25261"/>
    <cellStyle name="표준 27 7 2 3" xfId="4832"/>
    <cellStyle name="표준 27 7 2 3 2" xfId="6664"/>
    <cellStyle name="표준 27 7 2 3 2 2" xfId="15673"/>
    <cellStyle name="표준 27 7 2 3 2 2 2" xfId="36549"/>
    <cellStyle name="표준 27 7 2 3 2 3" xfId="27811"/>
    <cellStyle name="표준 27 7 2 3 3" xfId="13855"/>
    <cellStyle name="표준 27 7 2 3 3 2" xfId="34731"/>
    <cellStyle name="표준 27 7 2 3 4" xfId="25993"/>
    <cellStyle name="표준 27 7 2 4" xfId="5507"/>
    <cellStyle name="표준 27 7 2 4 2" xfId="14516"/>
    <cellStyle name="표준 27 7 2 4 2 2" xfId="35392"/>
    <cellStyle name="표준 27 7 2 4 3" xfId="26654"/>
    <cellStyle name="표준 27 7 2 5" xfId="7310"/>
    <cellStyle name="표준 27 7 2 5 2" xfId="16317"/>
    <cellStyle name="표준 27 7 2 5 2 2" xfId="37193"/>
    <cellStyle name="표준 27 7 2 5 3" xfId="28455"/>
    <cellStyle name="표준 27 7 2 6" xfId="7954"/>
    <cellStyle name="표준 27 7 2 6 2" xfId="16960"/>
    <cellStyle name="표준 27 7 2 6 2 2" xfId="37836"/>
    <cellStyle name="표준 27 7 2 6 3" xfId="29098"/>
    <cellStyle name="표준 27 7 2 7" xfId="8802"/>
    <cellStyle name="표준 27 7 2 7 2" xfId="17807"/>
    <cellStyle name="표준 27 7 2 7 2 2" xfId="38683"/>
    <cellStyle name="표준 27 7 2 7 3" xfId="29945"/>
    <cellStyle name="표준 27 7 2 8" xfId="9627"/>
    <cellStyle name="표준 27 7 2 8 2" xfId="18625"/>
    <cellStyle name="표준 27 7 2 8 2 2" xfId="39501"/>
    <cellStyle name="표준 27 7 2 8 3" xfId="30763"/>
    <cellStyle name="표준 27 7 2 9" xfId="10682"/>
    <cellStyle name="표준 27 7 2 9 2" xfId="19453"/>
    <cellStyle name="표준 27 7 2 9 2 2" xfId="40329"/>
    <cellStyle name="표준 27 7 2 9 3" xfId="31593"/>
    <cellStyle name="표준 27 7 3" xfId="3461"/>
    <cellStyle name="표준 27 7 3 10" xfId="12924"/>
    <cellStyle name="표준 27 7 3 10 2" xfId="33801"/>
    <cellStyle name="표준 27 7 3 11" xfId="25051"/>
    <cellStyle name="표준 27 7 3 2" xfId="5054"/>
    <cellStyle name="표준 27 7 3 2 2" xfId="6881"/>
    <cellStyle name="표준 27 7 3 2 2 2" xfId="15890"/>
    <cellStyle name="표준 27 7 3 2 2 2 2" xfId="36766"/>
    <cellStyle name="표준 27 7 3 2 2 3" xfId="28028"/>
    <cellStyle name="표준 27 7 3 2 3" xfId="14072"/>
    <cellStyle name="표준 27 7 3 2 3 2" xfId="34948"/>
    <cellStyle name="표준 27 7 3 2 4" xfId="26210"/>
    <cellStyle name="표준 27 7 3 3" xfId="5734"/>
    <cellStyle name="표준 27 7 3 3 2" xfId="14743"/>
    <cellStyle name="표준 27 7 3 3 2 2" xfId="35619"/>
    <cellStyle name="표준 27 7 3 3 3" xfId="26881"/>
    <cellStyle name="표준 27 7 3 4" xfId="7527"/>
    <cellStyle name="표준 27 7 3 4 2" xfId="16534"/>
    <cellStyle name="표준 27 7 3 4 2 2" xfId="37410"/>
    <cellStyle name="표준 27 7 3 4 3" xfId="28672"/>
    <cellStyle name="표준 27 7 3 5" xfId="8171"/>
    <cellStyle name="표준 27 7 3 5 2" xfId="17177"/>
    <cellStyle name="표준 27 7 3 5 2 2" xfId="38053"/>
    <cellStyle name="표준 27 7 3 5 3" xfId="29315"/>
    <cellStyle name="표준 27 7 3 6" xfId="9019"/>
    <cellStyle name="표준 27 7 3 6 2" xfId="18024"/>
    <cellStyle name="표준 27 7 3 6 2 2" xfId="38900"/>
    <cellStyle name="표준 27 7 3 6 3" xfId="30162"/>
    <cellStyle name="표준 27 7 3 7" xfId="9844"/>
    <cellStyle name="표준 27 7 3 7 2" xfId="18842"/>
    <cellStyle name="표준 27 7 3 7 2 2" xfId="39718"/>
    <cellStyle name="표준 27 7 3 7 3" xfId="30980"/>
    <cellStyle name="표준 27 7 3 8" xfId="10899"/>
    <cellStyle name="표준 27 7 3 8 2" xfId="19670"/>
    <cellStyle name="표준 27 7 3 8 2 2" xfId="40546"/>
    <cellStyle name="표준 27 7 3 8 3" xfId="31810"/>
    <cellStyle name="표준 27 7 3 9" xfId="11765"/>
    <cellStyle name="표준 27 7 3 9 2" xfId="20531"/>
    <cellStyle name="표준 27 7 3 9 2 2" xfId="41407"/>
    <cellStyle name="표준 27 7 3 9 3" xfId="32671"/>
    <cellStyle name="표준 27 7 4" xfId="4620"/>
    <cellStyle name="표준 27 7 4 2" xfId="6454"/>
    <cellStyle name="표준 27 7 4 2 2" xfId="15463"/>
    <cellStyle name="표준 27 7 4 2 2 2" xfId="36339"/>
    <cellStyle name="표준 27 7 4 2 3" xfId="27601"/>
    <cellStyle name="표준 27 7 4 3" xfId="11117"/>
    <cellStyle name="표준 27 7 4 3 2" xfId="19887"/>
    <cellStyle name="표준 27 7 4 3 2 2" xfId="40763"/>
    <cellStyle name="표준 27 7 4 3 3" xfId="32027"/>
    <cellStyle name="표준 27 7 4 4" xfId="11982"/>
    <cellStyle name="표준 27 7 4 4 2" xfId="20748"/>
    <cellStyle name="표준 27 7 4 4 2 2" xfId="41624"/>
    <cellStyle name="표준 27 7 4 4 3" xfId="32888"/>
    <cellStyle name="표준 27 7 4 5" xfId="13645"/>
    <cellStyle name="표준 27 7 4 5 2" xfId="34521"/>
    <cellStyle name="표준 27 7 4 6" xfId="25783"/>
    <cellStyle name="표준 27 7 5" xfId="5297"/>
    <cellStyle name="표준 27 7 5 2" xfId="14306"/>
    <cellStyle name="표준 27 7 5 2 2" xfId="35182"/>
    <cellStyle name="표준 27 7 5 3" xfId="26444"/>
    <cellStyle name="표준 27 7 6" xfId="7099"/>
    <cellStyle name="표준 27 7 6 2" xfId="16107"/>
    <cellStyle name="표준 27 7 6 2 2" xfId="36983"/>
    <cellStyle name="표준 27 7 6 3" xfId="28245"/>
    <cellStyle name="표준 27 7 7" xfId="7744"/>
    <cellStyle name="표준 27 7 7 2" xfId="16750"/>
    <cellStyle name="표준 27 7 7 2 2" xfId="37626"/>
    <cellStyle name="표준 27 7 7 3" xfId="28888"/>
    <cellStyle name="표준 27 7 8" xfId="8592"/>
    <cellStyle name="표준 27 7 8 2" xfId="17597"/>
    <cellStyle name="표준 27 7 8 2 2" xfId="38473"/>
    <cellStyle name="표준 27 7 8 3" xfId="29735"/>
    <cellStyle name="표준 27 7 9" xfId="9416"/>
    <cellStyle name="표준 27 7 9 2" xfId="18415"/>
    <cellStyle name="표준 27 7 9 2 2" xfId="39291"/>
    <cellStyle name="표준 27 7 9 3" xfId="30553"/>
    <cellStyle name="표준 27 8" xfId="3223"/>
    <cellStyle name="표준 27 8 10" xfId="11542"/>
    <cellStyle name="표준 27 8 10 2" xfId="20308"/>
    <cellStyle name="표준 27 8 10 2 2" xfId="41184"/>
    <cellStyle name="표준 27 8 10 3" xfId="32448"/>
    <cellStyle name="표준 27 8 11" xfId="12691"/>
    <cellStyle name="표준 27 8 11 2" xfId="33568"/>
    <cellStyle name="표준 27 8 12" xfId="24818"/>
    <cellStyle name="표준 27 8 2" xfId="3665"/>
    <cellStyle name="표준 27 8 2 2" xfId="5938"/>
    <cellStyle name="표준 27 8 2 2 2" xfId="14947"/>
    <cellStyle name="표준 27 8 2 2 2 2" xfId="35823"/>
    <cellStyle name="표준 27 8 2 2 3" xfId="27085"/>
    <cellStyle name="표준 27 8 2 3" xfId="13128"/>
    <cellStyle name="표준 27 8 2 3 2" xfId="34005"/>
    <cellStyle name="표준 27 8 2 4" xfId="25255"/>
    <cellStyle name="표준 27 8 3" xfId="4826"/>
    <cellStyle name="표준 27 8 3 2" xfId="6658"/>
    <cellStyle name="표준 27 8 3 2 2" xfId="15667"/>
    <cellStyle name="표준 27 8 3 2 2 2" xfId="36543"/>
    <cellStyle name="표준 27 8 3 2 3" xfId="27805"/>
    <cellStyle name="표준 27 8 3 3" xfId="13849"/>
    <cellStyle name="표준 27 8 3 3 2" xfId="34725"/>
    <cellStyle name="표준 27 8 3 4" xfId="25987"/>
    <cellStyle name="표준 27 8 4" xfId="5501"/>
    <cellStyle name="표준 27 8 4 2" xfId="14510"/>
    <cellStyle name="표준 27 8 4 2 2" xfId="35386"/>
    <cellStyle name="표준 27 8 4 3" xfId="26648"/>
    <cellStyle name="표준 27 8 5" xfId="7304"/>
    <cellStyle name="표준 27 8 5 2" xfId="16311"/>
    <cellStyle name="표준 27 8 5 2 2" xfId="37187"/>
    <cellStyle name="표준 27 8 5 3" xfId="28449"/>
    <cellStyle name="표준 27 8 6" xfId="7948"/>
    <cellStyle name="표준 27 8 6 2" xfId="16954"/>
    <cellStyle name="표준 27 8 6 2 2" xfId="37830"/>
    <cellStyle name="표준 27 8 6 3" xfId="29092"/>
    <cellStyle name="표준 27 8 7" xfId="8796"/>
    <cellStyle name="표준 27 8 7 2" xfId="17801"/>
    <cellStyle name="표준 27 8 7 2 2" xfId="38677"/>
    <cellStyle name="표준 27 8 7 3" xfId="29939"/>
    <cellStyle name="표준 27 8 8" xfId="9621"/>
    <cellStyle name="표준 27 8 8 2" xfId="18619"/>
    <cellStyle name="표준 27 8 8 2 2" xfId="39495"/>
    <cellStyle name="표준 27 8 8 3" xfId="30757"/>
    <cellStyle name="표준 27 8 9" xfId="10676"/>
    <cellStyle name="표준 27 8 9 2" xfId="19447"/>
    <cellStyle name="표준 27 8 9 2 2" xfId="40323"/>
    <cellStyle name="표준 27 8 9 3" xfId="31587"/>
    <cellStyle name="표준 27 9" xfId="3455"/>
    <cellStyle name="표준 27 9 10" xfId="12918"/>
    <cellStyle name="표준 27 9 10 2" xfId="33795"/>
    <cellStyle name="표준 27 9 11" xfId="25045"/>
    <cellStyle name="표준 27 9 2" xfId="5048"/>
    <cellStyle name="표준 27 9 2 2" xfId="6875"/>
    <cellStyle name="표준 27 9 2 2 2" xfId="15884"/>
    <cellStyle name="표준 27 9 2 2 2 2" xfId="36760"/>
    <cellStyle name="표준 27 9 2 2 3" xfId="28022"/>
    <cellStyle name="표준 27 9 2 3" xfId="14066"/>
    <cellStyle name="표준 27 9 2 3 2" xfId="34942"/>
    <cellStyle name="표준 27 9 2 4" xfId="26204"/>
    <cellStyle name="표준 27 9 3" xfId="5728"/>
    <cellStyle name="표준 27 9 3 2" xfId="14737"/>
    <cellStyle name="표준 27 9 3 2 2" xfId="35613"/>
    <cellStyle name="표준 27 9 3 3" xfId="26875"/>
    <cellStyle name="표준 27 9 4" xfId="7521"/>
    <cellStyle name="표준 27 9 4 2" xfId="16528"/>
    <cellStyle name="표준 27 9 4 2 2" xfId="37404"/>
    <cellStyle name="표준 27 9 4 3" xfId="28666"/>
    <cellStyle name="표준 27 9 5" xfId="8165"/>
    <cellStyle name="표준 27 9 5 2" xfId="17171"/>
    <cellStyle name="표준 27 9 5 2 2" xfId="38047"/>
    <cellStyle name="표준 27 9 5 3" xfId="29309"/>
    <cellStyle name="표준 27 9 6" xfId="9013"/>
    <cellStyle name="표준 27 9 6 2" xfId="18018"/>
    <cellStyle name="표준 27 9 6 2 2" xfId="38894"/>
    <cellStyle name="표준 27 9 6 3" xfId="30156"/>
    <cellStyle name="표준 27 9 7" xfId="9838"/>
    <cellStyle name="표준 27 9 7 2" xfId="18836"/>
    <cellStyle name="표준 27 9 7 2 2" xfId="39712"/>
    <cellStyle name="표준 27 9 7 3" xfId="30974"/>
    <cellStyle name="표준 27 9 8" xfId="10893"/>
    <cellStyle name="표준 27 9 8 2" xfId="19664"/>
    <cellStyle name="표준 27 9 8 2 2" xfId="40540"/>
    <cellStyle name="표준 27 9 8 3" xfId="31804"/>
    <cellStyle name="표준 27 9 9" xfId="11759"/>
    <cellStyle name="표준 27 9 9 2" xfId="20525"/>
    <cellStyle name="표준 27 9 9 2 2" xfId="41401"/>
    <cellStyle name="표준 27 9 9 3" xfId="32665"/>
    <cellStyle name="표준 28" xfId="3012"/>
    <cellStyle name="표준 28 10" xfId="4621"/>
    <cellStyle name="표준 28 10 2" xfId="6455"/>
    <cellStyle name="표준 28 10 2 2" xfId="15464"/>
    <cellStyle name="표준 28 10 2 2 2" xfId="36340"/>
    <cellStyle name="표준 28 10 2 3" xfId="27602"/>
    <cellStyle name="표준 28 10 3" xfId="11118"/>
    <cellStyle name="표준 28 10 3 2" xfId="19888"/>
    <cellStyle name="표준 28 10 3 2 2" xfId="40764"/>
    <cellStyle name="표준 28 10 3 3" xfId="32028"/>
    <cellStyle name="표준 28 10 4" xfId="11983"/>
    <cellStyle name="표준 28 10 4 2" xfId="20749"/>
    <cellStyle name="표준 28 10 4 2 2" xfId="41625"/>
    <cellStyle name="표준 28 10 4 3" xfId="32889"/>
    <cellStyle name="표준 28 10 5" xfId="13646"/>
    <cellStyle name="표준 28 10 5 2" xfId="34522"/>
    <cellStyle name="표준 28 10 6" xfId="25784"/>
    <cellStyle name="표준 28 11" xfId="5298"/>
    <cellStyle name="표준 28 11 2" xfId="14307"/>
    <cellStyle name="표준 28 11 2 2" xfId="35183"/>
    <cellStyle name="표준 28 11 3" xfId="26445"/>
    <cellStyle name="표준 28 12" xfId="7100"/>
    <cellStyle name="표준 28 12 2" xfId="16108"/>
    <cellStyle name="표준 28 12 2 2" xfId="36984"/>
    <cellStyle name="표준 28 12 3" xfId="28246"/>
    <cellStyle name="표준 28 13" xfId="7745"/>
    <cellStyle name="표준 28 13 2" xfId="16751"/>
    <cellStyle name="표준 28 13 2 2" xfId="37627"/>
    <cellStyle name="표준 28 13 3" xfId="28889"/>
    <cellStyle name="표준 28 14" xfId="8593"/>
    <cellStyle name="표준 28 14 2" xfId="17598"/>
    <cellStyle name="표준 28 14 2 2" xfId="38474"/>
    <cellStyle name="표준 28 14 3" xfId="29736"/>
    <cellStyle name="표준 28 15" xfId="9417"/>
    <cellStyle name="표준 28 15 2" xfId="18416"/>
    <cellStyle name="표준 28 15 2 2" xfId="39292"/>
    <cellStyle name="표준 28 15 3" xfId="30554"/>
    <cellStyle name="표준 28 16" xfId="10473"/>
    <cellStyle name="표준 28 16 2" xfId="19244"/>
    <cellStyle name="표준 28 16 2 2" xfId="40120"/>
    <cellStyle name="표준 28 16 3" xfId="31384"/>
    <cellStyle name="표준 28 17" xfId="11339"/>
    <cellStyle name="표준 28 17 2" xfId="20105"/>
    <cellStyle name="표준 28 17 2 2" xfId="40981"/>
    <cellStyle name="표준 28 17 3" xfId="32245"/>
    <cellStyle name="표준 28 18" xfId="12487"/>
    <cellStyle name="표준 28 18 2" xfId="33365"/>
    <cellStyle name="표준 28 19" xfId="24615"/>
    <cellStyle name="표준 28 2" xfId="3013"/>
    <cellStyle name="표준 28 2 10" xfId="10474"/>
    <cellStyle name="표준 28 2 10 2" xfId="19245"/>
    <cellStyle name="표준 28 2 10 2 2" xfId="40121"/>
    <cellStyle name="표준 28 2 10 3" xfId="31385"/>
    <cellStyle name="표준 28 2 11" xfId="11340"/>
    <cellStyle name="표준 28 2 11 2" xfId="20106"/>
    <cellStyle name="표준 28 2 11 2 2" xfId="40982"/>
    <cellStyle name="표준 28 2 11 3" xfId="32246"/>
    <cellStyle name="표준 28 2 12" xfId="12488"/>
    <cellStyle name="표준 28 2 12 2" xfId="33366"/>
    <cellStyle name="표준 28 2 13" xfId="24616"/>
    <cellStyle name="표준 28 2 2" xfId="3231"/>
    <cellStyle name="표준 28 2 2 10" xfId="11550"/>
    <cellStyle name="표준 28 2 2 10 2" xfId="20316"/>
    <cellStyle name="표준 28 2 2 10 2 2" xfId="41192"/>
    <cellStyle name="표준 28 2 2 10 3" xfId="32456"/>
    <cellStyle name="표준 28 2 2 11" xfId="12699"/>
    <cellStyle name="표준 28 2 2 11 2" xfId="33576"/>
    <cellStyle name="표준 28 2 2 12" xfId="24826"/>
    <cellStyle name="표준 28 2 2 2" xfId="3673"/>
    <cellStyle name="표준 28 2 2 2 2" xfId="5946"/>
    <cellStyle name="표준 28 2 2 2 2 2" xfId="14955"/>
    <cellStyle name="표준 28 2 2 2 2 2 2" xfId="35831"/>
    <cellStyle name="표준 28 2 2 2 2 3" xfId="27093"/>
    <cellStyle name="표준 28 2 2 2 3" xfId="13136"/>
    <cellStyle name="표준 28 2 2 2 3 2" xfId="34013"/>
    <cellStyle name="표준 28 2 2 2 4" xfId="25263"/>
    <cellStyle name="표준 28 2 2 3" xfId="4834"/>
    <cellStyle name="표준 28 2 2 3 2" xfId="6666"/>
    <cellStyle name="표준 28 2 2 3 2 2" xfId="15675"/>
    <cellStyle name="표준 28 2 2 3 2 2 2" xfId="36551"/>
    <cellStyle name="표준 28 2 2 3 2 3" xfId="27813"/>
    <cellStyle name="표준 28 2 2 3 3" xfId="13857"/>
    <cellStyle name="표준 28 2 2 3 3 2" xfId="34733"/>
    <cellStyle name="표준 28 2 2 3 4" xfId="25995"/>
    <cellStyle name="표준 28 2 2 4" xfId="5509"/>
    <cellStyle name="표준 28 2 2 4 2" xfId="14518"/>
    <cellStyle name="표준 28 2 2 4 2 2" xfId="35394"/>
    <cellStyle name="표준 28 2 2 4 3" xfId="26656"/>
    <cellStyle name="표준 28 2 2 5" xfId="7312"/>
    <cellStyle name="표준 28 2 2 5 2" xfId="16319"/>
    <cellStyle name="표준 28 2 2 5 2 2" xfId="37195"/>
    <cellStyle name="표준 28 2 2 5 3" xfId="28457"/>
    <cellStyle name="표준 28 2 2 6" xfId="7956"/>
    <cellStyle name="표준 28 2 2 6 2" xfId="16962"/>
    <cellStyle name="표준 28 2 2 6 2 2" xfId="37838"/>
    <cellStyle name="표준 28 2 2 6 3" xfId="29100"/>
    <cellStyle name="표준 28 2 2 7" xfId="8804"/>
    <cellStyle name="표준 28 2 2 7 2" xfId="17809"/>
    <cellStyle name="표준 28 2 2 7 2 2" xfId="38685"/>
    <cellStyle name="표준 28 2 2 7 3" xfId="29947"/>
    <cellStyle name="표준 28 2 2 8" xfId="9629"/>
    <cellStyle name="표준 28 2 2 8 2" xfId="18627"/>
    <cellStyle name="표준 28 2 2 8 2 2" xfId="39503"/>
    <cellStyle name="표준 28 2 2 8 3" xfId="30765"/>
    <cellStyle name="표준 28 2 2 9" xfId="10684"/>
    <cellStyle name="표준 28 2 2 9 2" xfId="19455"/>
    <cellStyle name="표준 28 2 2 9 2 2" xfId="40331"/>
    <cellStyle name="표준 28 2 2 9 3" xfId="31595"/>
    <cellStyle name="표준 28 2 3" xfId="3463"/>
    <cellStyle name="표준 28 2 3 10" xfId="12926"/>
    <cellStyle name="표준 28 2 3 10 2" xfId="33803"/>
    <cellStyle name="표준 28 2 3 11" xfId="25053"/>
    <cellStyle name="표준 28 2 3 2" xfId="5056"/>
    <cellStyle name="표준 28 2 3 2 2" xfId="6883"/>
    <cellStyle name="표준 28 2 3 2 2 2" xfId="15892"/>
    <cellStyle name="표준 28 2 3 2 2 2 2" xfId="36768"/>
    <cellStyle name="표준 28 2 3 2 2 3" xfId="28030"/>
    <cellStyle name="표준 28 2 3 2 3" xfId="14074"/>
    <cellStyle name="표준 28 2 3 2 3 2" xfId="34950"/>
    <cellStyle name="표준 28 2 3 2 4" xfId="26212"/>
    <cellStyle name="표준 28 2 3 3" xfId="5736"/>
    <cellStyle name="표준 28 2 3 3 2" xfId="14745"/>
    <cellStyle name="표준 28 2 3 3 2 2" xfId="35621"/>
    <cellStyle name="표준 28 2 3 3 3" xfId="26883"/>
    <cellStyle name="표준 28 2 3 4" xfId="7529"/>
    <cellStyle name="표준 28 2 3 4 2" xfId="16536"/>
    <cellStyle name="표준 28 2 3 4 2 2" xfId="37412"/>
    <cellStyle name="표준 28 2 3 4 3" xfId="28674"/>
    <cellStyle name="표준 28 2 3 5" xfId="8173"/>
    <cellStyle name="표준 28 2 3 5 2" xfId="17179"/>
    <cellStyle name="표준 28 2 3 5 2 2" xfId="38055"/>
    <cellStyle name="표준 28 2 3 5 3" xfId="29317"/>
    <cellStyle name="표준 28 2 3 6" xfId="9021"/>
    <cellStyle name="표준 28 2 3 6 2" xfId="18026"/>
    <cellStyle name="표준 28 2 3 6 2 2" xfId="38902"/>
    <cellStyle name="표준 28 2 3 6 3" xfId="30164"/>
    <cellStyle name="표준 28 2 3 7" xfId="9846"/>
    <cellStyle name="표준 28 2 3 7 2" xfId="18844"/>
    <cellStyle name="표준 28 2 3 7 2 2" xfId="39720"/>
    <cellStyle name="표준 28 2 3 7 3" xfId="30982"/>
    <cellStyle name="표준 28 2 3 8" xfId="10901"/>
    <cellStyle name="표준 28 2 3 8 2" xfId="19672"/>
    <cellStyle name="표준 28 2 3 8 2 2" xfId="40548"/>
    <cellStyle name="표준 28 2 3 8 3" xfId="31812"/>
    <cellStyle name="표준 28 2 3 9" xfId="11767"/>
    <cellStyle name="표준 28 2 3 9 2" xfId="20533"/>
    <cellStyle name="표준 28 2 3 9 2 2" xfId="41409"/>
    <cellStyle name="표준 28 2 3 9 3" xfId="32673"/>
    <cellStyle name="표준 28 2 4" xfId="4622"/>
    <cellStyle name="표준 28 2 4 2" xfId="6456"/>
    <cellStyle name="표준 28 2 4 2 2" xfId="15465"/>
    <cellStyle name="표준 28 2 4 2 2 2" xfId="36341"/>
    <cellStyle name="표준 28 2 4 2 3" xfId="27603"/>
    <cellStyle name="표준 28 2 4 3" xfId="11119"/>
    <cellStyle name="표준 28 2 4 3 2" xfId="19889"/>
    <cellStyle name="표준 28 2 4 3 2 2" xfId="40765"/>
    <cellStyle name="표준 28 2 4 3 3" xfId="32029"/>
    <cellStyle name="표준 28 2 4 4" xfId="11984"/>
    <cellStyle name="표준 28 2 4 4 2" xfId="20750"/>
    <cellStyle name="표준 28 2 4 4 2 2" xfId="41626"/>
    <cellStyle name="표준 28 2 4 4 3" xfId="32890"/>
    <cellStyle name="표준 28 2 4 5" xfId="13647"/>
    <cellStyle name="표준 28 2 4 5 2" xfId="34523"/>
    <cellStyle name="표준 28 2 4 6" xfId="25785"/>
    <cellStyle name="표준 28 2 5" xfId="5299"/>
    <cellStyle name="표준 28 2 5 2" xfId="14308"/>
    <cellStyle name="표준 28 2 5 2 2" xfId="35184"/>
    <cellStyle name="표준 28 2 5 3" xfId="26446"/>
    <cellStyle name="표준 28 2 6" xfId="7101"/>
    <cellStyle name="표준 28 2 6 2" xfId="16109"/>
    <cellStyle name="표준 28 2 6 2 2" xfId="36985"/>
    <cellStyle name="표준 28 2 6 3" xfId="28247"/>
    <cellStyle name="표준 28 2 7" xfId="7746"/>
    <cellStyle name="표준 28 2 7 2" xfId="16752"/>
    <cellStyle name="표준 28 2 7 2 2" xfId="37628"/>
    <cellStyle name="표준 28 2 7 3" xfId="28890"/>
    <cellStyle name="표준 28 2 8" xfId="8594"/>
    <cellStyle name="표준 28 2 8 2" xfId="17599"/>
    <cellStyle name="표준 28 2 8 2 2" xfId="38475"/>
    <cellStyle name="표준 28 2 8 3" xfId="29737"/>
    <cellStyle name="표준 28 2 9" xfId="9418"/>
    <cellStyle name="표준 28 2 9 2" xfId="18417"/>
    <cellStyle name="표준 28 2 9 2 2" xfId="39293"/>
    <cellStyle name="표준 28 2 9 3" xfId="30555"/>
    <cellStyle name="표준 28 3" xfId="3014"/>
    <cellStyle name="표준 28 3 10" xfId="10475"/>
    <cellStyle name="표준 28 3 10 2" xfId="19246"/>
    <cellStyle name="표준 28 3 10 2 2" xfId="40122"/>
    <cellStyle name="표준 28 3 10 3" xfId="31386"/>
    <cellStyle name="표준 28 3 11" xfId="11341"/>
    <cellStyle name="표준 28 3 11 2" xfId="20107"/>
    <cellStyle name="표준 28 3 11 2 2" xfId="40983"/>
    <cellStyle name="표준 28 3 11 3" xfId="32247"/>
    <cellStyle name="표준 28 3 12" xfId="12489"/>
    <cellStyle name="표준 28 3 12 2" xfId="33367"/>
    <cellStyle name="표준 28 3 13" xfId="24617"/>
    <cellStyle name="표준 28 3 2" xfId="3232"/>
    <cellStyle name="표준 28 3 2 10" xfId="11551"/>
    <cellStyle name="표준 28 3 2 10 2" xfId="20317"/>
    <cellStyle name="표준 28 3 2 10 2 2" xfId="41193"/>
    <cellStyle name="표준 28 3 2 10 3" xfId="32457"/>
    <cellStyle name="표준 28 3 2 11" xfId="12700"/>
    <cellStyle name="표준 28 3 2 11 2" xfId="33577"/>
    <cellStyle name="표준 28 3 2 12" xfId="24827"/>
    <cellStyle name="표준 28 3 2 2" xfId="3674"/>
    <cellStyle name="표준 28 3 2 2 2" xfId="5947"/>
    <cellStyle name="표준 28 3 2 2 2 2" xfId="14956"/>
    <cellStyle name="표준 28 3 2 2 2 2 2" xfId="35832"/>
    <cellStyle name="표준 28 3 2 2 2 3" xfId="27094"/>
    <cellStyle name="표준 28 3 2 2 3" xfId="13137"/>
    <cellStyle name="표준 28 3 2 2 3 2" xfId="34014"/>
    <cellStyle name="표준 28 3 2 2 4" xfId="25264"/>
    <cellStyle name="표준 28 3 2 3" xfId="4835"/>
    <cellStyle name="표준 28 3 2 3 2" xfId="6667"/>
    <cellStyle name="표준 28 3 2 3 2 2" xfId="15676"/>
    <cellStyle name="표준 28 3 2 3 2 2 2" xfId="36552"/>
    <cellStyle name="표준 28 3 2 3 2 3" xfId="27814"/>
    <cellStyle name="표준 28 3 2 3 3" xfId="13858"/>
    <cellStyle name="표준 28 3 2 3 3 2" xfId="34734"/>
    <cellStyle name="표준 28 3 2 3 4" xfId="25996"/>
    <cellStyle name="표준 28 3 2 4" xfId="5510"/>
    <cellStyle name="표준 28 3 2 4 2" xfId="14519"/>
    <cellStyle name="표준 28 3 2 4 2 2" xfId="35395"/>
    <cellStyle name="표준 28 3 2 4 3" xfId="26657"/>
    <cellStyle name="표준 28 3 2 5" xfId="7313"/>
    <cellStyle name="표준 28 3 2 5 2" xfId="16320"/>
    <cellStyle name="표준 28 3 2 5 2 2" xfId="37196"/>
    <cellStyle name="표준 28 3 2 5 3" xfId="28458"/>
    <cellStyle name="표준 28 3 2 6" xfId="7957"/>
    <cellStyle name="표준 28 3 2 6 2" xfId="16963"/>
    <cellStyle name="표준 28 3 2 6 2 2" xfId="37839"/>
    <cellStyle name="표준 28 3 2 6 3" xfId="29101"/>
    <cellStyle name="표준 28 3 2 7" xfId="8805"/>
    <cellStyle name="표준 28 3 2 7 2" xfId="17810"/>
    <cellStyle name="표준 28 3 2 7 2 2" xfId="38686"/>
    <cellStyle name="표준 28 3 2 7 3" xfId="29948"/>
    <cellStyle name="표준 28 3 2 8" xfId="9630"/>
    <cellStyle name="표준 28 3 2 8 2" xfId="18628"/>
    <cellStyle name="표준 28 3 2 8 2 2" xfId="39504"/>
    <cellStyle name="표준 28 3 2 8 3" xfId="30766"/>
    <cellStyle name="표준 28 3 2 9" xfId="10685"/>
    <cellStyle name="표준 28 3 2 9 2" xfId="19456"/>
    <cellStyle name="표준 28 3 2 9 2 2" xfId="40332"/>
    <cellStyle name="표준 28 3 2 9 3" xfId="31596"/>
    <cellStyle name="표준 28 3 3" xfId="3464"/>
    <cellStyle name="표준 28 3 3 10" xfId="12927"/>
    <cellStyle name="표준 28 3 3 10 2" xfId="33804"/>
    <cellStyle name="표준 28 3 3 11" xfId="25054"/>
    <cellStyle name="표준 28 3 3 2" xfId="5057"/>
    <cellStyle name="표준 28 3 3 2 2" xfId="6884"/>
    <cellStyle name="표준 28 3 3 2 2 2" xfId="15893"/>
    <cellStyle name="표준 28 3 3 2 2 2 2" xfId="36769"/>
    <cellStyle name="표준 28 3 3 2 2 3" xfId="28031"/>
    <cellStyle name="표준 28 3 3 2 3" xfId="14075"/>
    <cellStyle name="표준 28 3 3 2 3 2" xfId="34951"/>
    <cellStyle name="표준 28 3 3 2 4" xfId="26213"/>
    <cellStyle name="표준 28 3 3 3" xfId="5737"/>
    <cellStyle name="표준 28 3 3 3 2" xfId="14746"/>
    <cellStyle name="표준 28 3 3 3 2 2" xfId="35622"/>
    <cellStyle name="표준 28 3 3 3 3" xfId="26884"/>
    <cellStyle name="표준 28 3 3 4" xfId="7530"/>
    <cellStyle name="표준 28 3 3 4 2" xfId="16537"/>
    <cellStyle name="표준 28 3 3 4 2 2" xfId="37413"/>
    <cellStyle name="표준 28 3 3 4 3" xfId="28675"/>
    <cellStyle name="표준 28 3 3 5" xfId="8174"/>
    <cellStyle name="표준 28 3 3 5 2" xfId="17180"/>
    <cellStyle name="표준 28 3 3 5 2 2" xfId="38056"/>
    <cellStyle name="표준 28 3 3 5 3" xfId="29318"/>
    <cellStyle name="표준 28 3 3 6" xfId="9022"/>
    <cellStyle name="표준 28 3 3 6 2" xfId="18027"/>
    <cellStyle name="표준 28 3 3 6 2 2" xfId="38903"/>
    <cellStyle name="표준 28 3 3 6 3" xfId="30165"/>
    <cellStyle name="표준 28 3 3 7" xfId="9847"/>
    <cellStyle name="표준 28 3 3 7 2" xfId="18845"/>
    <cellStyle name="표준 28 3 3 7 2 2" xfId="39721"/>
    <cellStyle name="표준 28 3 3 7 3" xfId="30983"/>
    <cellStyle name="표준 28 3 3 8" xfId="10902"/>
    <cellStyle name="표준 28 3 3 8 2" xfId="19673"/>
    <cellStyle name="표준 28 3 3 8 2 2" xfId="40549"/>
    <cellStyle name="표준 28 3 3 8 3" xfId="31813"/>
    <cellStyle name="표준 28 3 3 9" xfId="11768"/>
    <cellStyle name="표준 28 3 3 9 2" xfId="20534"/>
    <cellStyle name="표준 28 3 3 9 2 2" xfId="41410"/>
    <cellStyle name="표준 28 3 3 9 3" xfId="32674"/>
    <cellStyle name="표준 28 3 4" xfId="4623"/>
    <cellStyle name="표준 28 3 4 2" xfId="6457"/>
    <cellStyle name="표준 28 3 4 2 2" xfId="15466"/>
    <cellStyle name="표준 28 3 4 2 2 2" xfId="36342"/>
    <cellStyle name="표준 28 3 4 2 3" xfId="27604"/>
    <cellStyle name="표준 28 3 4 3" xfId="11120"/>
    <cellStyle name="표준 28 3 4 3 2" xfId="19890"/>
    <cellStyle name="표준 28 3 4 3 2 2" xfId="40766"/>
    <cellStyle name="표준 28 3 4 3 3" xfId="32030"/>
    <cellStyle name="표준 28 3 4 4" xfId="11985"/>
    <cellStyle name="표준 28 3 4 4 2" xfId="20751"/>
    <cellStyle name="표준 28 3 4 4 2 2" xfId="41627"/>
    <cellStyle name="표준 28 3 4 4 3" xfId="32891"/>
    <cellStyle name="표준 28 3 4 5" xfId="13648"/>
    <cellStyle name="표준 28 3 4 5 2" xfId="34524"/>
    <cellStyle name="표준 28 3 4 6" xfId="25786"/>
    <cellStyle name="표준 28 3 5" xfId="5300"/>
    <cellStyle name="표준 28 3 5 2" xfId="14309"/>
    <cellStyle name="표준 28 3 5 2 2" xfId="35185"/>
    <cellStyle name="표준 28 3 5 3" xfId="26447"/>
    <cellStyle name="표준 28 3 6" xfId="7102"/>
    <cellStyle name="표준 28 3 6 2" xfId="16110"/>
    <cellStyle name="표준 28 3 6 2 2" xfId="36986"/>
    <cellStyle name="표준 28 3 6 3" xfId="28248"/>
    <cellStyle name="표준 28 3 7" xfId="7747"/>
    <cellStyle name="표준 28 3 7 2" xfId="16753"/>
    <cellStyle name="표준 28 3 7 2 2" xfId="37629"/>
    <cellStyle name="표준 28 3 7 3" xfId="28891"/>
    <cellStyle name="표준 28 3 8" xfId="8595"/>
    <cellStyle name="표준 28 3 8 2" xfId="17600"/>
    <cellStyle name="표준 28 3 8 2 2" xfId="38476"/>
    <cellStyle name="표준 28 3 8 3" xfId="29738"/>
    <cellStyle name="표준 28 3 9" xfId="9419"/>
    <cellStyle name="표준 28 3 9 2" xfId="18418"/>
    <cellStyle name="표준 28 3 9 2 2" xfId="39294"/>
    <cellStyle name="표준 28 3 9 3" xfId="30556"/>
    <cellStyle name="표준 28 4" xfId="3015"/>
    <cellStyle name="표준 28 4 10" xfId="10476"/>
    <cellStyle name="표준 28 4 10 2" xfId="19247"/>
    <cellStyle name="표준 28 4 10 2 2" xfId="40123"/>
    <cellStyle name="표준 28 4 10 3" xfId="31387"/>
    <cellStyle name="표준 28 4 11" xfId="11342"/>
    <cellStyle name="표준 28 4 11 2" xfId="20108"/>
    <cellStyle name="표준 28 4 11 2 2" xfId="40984"/>
    <cellStyle name="표준 28 4 11 3" xfId="32248"/>
    <cellStyle name="표준 28 4 12" xfId="12490"/>
    <cellStyle name="표준 28 4 12 2" xfId="33368"/>
    <cellStyle name="표준 28 4 13" xfId="24618"/>
    <cellStyle name="표준 28 4 2" xfId="3233"/>
    <cellStyle name="표준 28 4 2 10" xfId="11552"/>
    <cellStyle name="표준 28 4 2 10 2" xfId="20318"/>
    <cellStyle name="표준 28 4 2 10 2 2" xfId="41194"/>
    <cellStyle name="표준 28 4 2 10 3" xfId="32458"/>
    <cellStyle name="표준 28 4 2 11" xfId="12701"/>
    <cellStyle name="표준 28 4 2 11 2" xfId="33578"/>
    <cellStyle name="표준 28 4 2 12" xfId="24828"/>
    <cellStyle name="표준 28 4 2 2" xfId="3675"/>
    <cellStyle name="표준 28 4 2 2 2" xfId="5948"/>
    <cellStyle name="표준 28 4 2 2 2 2" xfId="14957"/>
    <cellStyle name="표준 28 4 2 2 2 2 2" xfId="35833"/>
    <cellStyle name="표준 28 4 2 2 2 3" xfId="27095"/>
    <cellStyle name="표준 28 4 2 2 3" xfId="13138"/>
    <cellStyle name="표준 28 4 2 2 3 2" xfId="34015"/>
    <cellStyle name="표준 28 4 2 2 4" xfId="25265"/>
    <cellStyle name="표준 28 4 2 3" xfId="4836"/>
    <cellStyle name="표준 28 4 2 3 2" xfId="6668"/>
    <cellStyle name="표준 28 4 2 3 2 2" xfId="15677"/>
    <cellStyle name="표준 28 4 2 3 2 2 2" xfId="36553"/>
    <cellStyle name="표준 28 4 2 3 2 3" xfId="27815"/>
    <cellStyle name="표준 28 4 2 3 3" xfId="13859"/>
    <cellStyle name="표준 28 4 2 3 3 2" xfId="34735"/>
    <cellStyle name="표준 28 4 2 3 4" xfId="25997"/>
    <cellStyle name="표준 28 4 2 4" xfId="5511"/>
    <cellStyle name="표준 28 4 2 4 2" xfId="14520"/>
    <cellStyle name="표준 28 4 2 4 2 2" xfId="35396"/>
    <cellStyle name="표준 28 4 2 4 3" xfId="26658"/>
    <cellStyle name="표준 28 4 2 5" xfId="7314"/>
    <cellStyle name="표준 28 4 2 5 2" xfId="16321"/>
    <cellStyle name="표준 28 4 2 5 2 2" xfId="37197"/>
    <cellStyle name="표준 28 4 2 5 3" xfId="28459"/>
    <cellStyle name="표준 28 4 2 6" xfId="7958"/>
    <cellStyle name="표준 28 4 2 6 2" xfId="16964"/>
    <cellStyle name="표준 28 4 2 6 2 2" xfId="37840"/>
    <cellStyle name="표준 28 4 2 6 3" xfId="29102"/>
    <cellStyle name="표준 28 4 2 7" xfId="8806"/>
    <cellStyle name="표준 28 4 2 7 2" xfId="17811"/>
    <cellStyle name="표준 28 4 2 7 2 2" xfId="38687"/>
    <cellStyle name="표준 28 4 2 7 3" xfId="29949"/>
    <cellStyle name="표준 28 4 2 8" xfId="9631"/>
    <cellStyle name="표준 28 4 2 8 2" xfId="18629"/>
    <cellStyle name="표준 28 4 2 8 2 2" xfId="39505"/>
    <cellStyle name="표준 28 4 2 8 3" xfId="30767"/>
    <cellStyle name="표준 28 4 2 9" xfId="10686"/>
    <cellStyle name="표준 28 4 2 9 2" xfId="19457"/>
    <cellStyle name="표준 28 4 2 9 2 2" xfId="40333"/>
    <cellStyle name="표준 28 4 2 9 3" xfId="31597"/>
    <cellStyle name="표준 28 4 3" xfId="3465"/>
    <cellStyle name="표준 28 4 3 10" xfId="12928"/>
    <cellStyle name="표준 28 4 3 10 2" xfId="33805"/>
    <cellStyle name="표준 28 4 3 11" xfId="25055"/>
    <cellStyle name="표준 28 4 3 2" xfId="5058"/>
    <cellStyle name="표준 28 4 3 2 2" xfId="6885"/>
    <cellStyle name="표준 28 4 3 2 2 2" xfId="15894"/>
    <cellStyle name="표준 28 4 3 2 2 2 2" xfId="36770"/>
    <cellStyle name="표준 28 4 3 2 2 3" xfId="28032"/>
    <cellStyle name="표준 28 4 3 2 3" xfId="14076"/>
    <cellStyle name="표준 28 4 3 2 3 2" xfId="34952"/>
    <cellStyle name="표준 28 4 3 2 4" xfId="26214"/>
    <cellStyle name="표준 28 4 3 3" xfId="5738"/>
    <cellStyle name="표준 28 4 3 3 2" xfId="14747"/>
    <cellStyle name="표준 28 4 3 3 2 2" xfId="35623"/>
    <cellStyle name="표준 28 4 3 3 3" xfId="26885"/>
    <cellStyle name="표준 28 4 3 4" xfId="7531"/>
    <cellStyle name="표준 28 4 3 4 2" xfId="16538"/>
    <cellStyle name="표준 28 4 3 4 2 2" xfId="37414"/>
    <cellStyle name="표준 28 4 3 4 3" xfId="28676"/>
    <cellStyle name="표준 28 4 3 5" xfId="8175"/>
    <cellStyle name="표준 28 4 3 5 2" xfId="17181"/>
    <cellStyle name="표준 28 4 3 5 2 2" xfId="38057"/>
    <cellStyle name="표준 28 4 3 5 3" xfId="29319"/>
    <cellStyle name="표준 28 4 3 6" xfId="9023"/>
    <cellStyle name="표준 28 4 3 6 2" xfId="18028"/>
    <cellStyle name="표준 28 4 3 6 2 2" xfId="38904"/>
    <cellStyle name="표준 28 4 3 6 3" xfId="30166"/>
    <cellStyle name="표준 28 4 3 7" xfId="9848"/>
    <cellStyle name="표준 28 4 3 7 2" xfId="18846"/>
    <cellStyle name="표준 28 4 3 7 2 2" xfId="39722"/>
    <cellStyle name="표준 28 4 3 7 3" xfId="30984"/>
    <cellStyle name="표준 28 4 3 8" xfId="10903"/>
    <cellStyle name="표준 28 4 3 8 2" xfId="19674"/>
    <cellStyle name="표준 28 4 3 8 2 2" xfId="40550"/>
    <cellStyle name="표준 28 4 3 8 3" xfId="31814"/>
    <cellStyle name="표준 28 4 3 9" xfId="11769"/>
    <cellStyle name="표준 28 4 3 9 2" xfId="20535"/>
    <cellStyle name="표준 28 4 3 9 2 2" xfId="41411"/>
    <cellStyle name="표준 28 4 3 9 3" xfId="32675"/>
    <cellStyle name="표준 28 4 4" xfId="4624"/>
    <cellStyle name="표준 28 4 4 2" xfId="6458"/>
    <cellStyle name="표준 28 4 4 2 2" xfId="15467"/>
    <cellStyle name="표준 28 4 4 2 2 2" xfId="36343"/>
    <cellStyle name="표준 28 4 4 2 3" xfId="27605"/>
    <cellStyle name="표준 28 4 4 3" xfId="11121"/>
    <cellStyle name="표준 28 4 4 3 2" xfId="19891"/>
    <cellStyle name="표준 28 4 4 3 2 2" xfId="40767"/>
    <cellStyle name="표준 28 4 4 3 3" xfId="32031"/>
    <cellStyle name="표준 28 4 4 4" xfId="11986"/>
    <cellStyle name="표준 28 4 4 4 2" xfId="20752"/>
    <cellStyle name="표준 28 4 4 4 2 2" xfId="41628"/>
    <cellStyle name="표준 28 4 4 4 3" xfId="32892"/>
    <cellStyle name="표준 28 4 4 5" xfId="13649"/>
    <cellStyle name="표준 28 4 4 5 2" xfId="34525"/>
    <cellStyle name="표준 28 4 4 6" xfId="25787"/>
    <cellStyle name="표준 28 4 5" xfId="5301"/>
    <cellStyle name="표준 28 4 5 2" xfId="14310"/>
    <cellStyle name="표준 28 4 5 2 2" xfId="35186"/>
    <cellStyle name="표준 28 4 5 3" xfId="26448"/>
    <cellStyle name="표준 28 4 6" xfId="7103"/>
    <cellStyle name="표준 28 4 6 2" xfId="16111"/>
    <cellStyle name="표준 28 4 6 2 2" xfId="36987"/>
    <cellStyle name="표준 28 4 6 3" xfId="28249"/>
    <cellStyle name="표준 28 4 7" xfId="7748"/>
    <cellStyle name="표준 28 4 7 2" xfId="16754"/>
    <cellStyle name="표준 28 4 7 2 2" xfId="37630"/>
    <cellStyle name="표준 28 4 7 3" xfId="28892"/>
    <cellStyle name="표준 28 4 8" xfId="8596"/>
    <cellStyle name="표준 28 4 8 2" xfId="17601"/>
    <cellStyle name="표준 28 4 8 2 2" xfId="38477"/>
    <cellStyle name="표준 28 4 8 3" xfId="29739"/>
    <cellStyle name="표준 28 4 9" xfId="9420"/>
    <cellStyle name="표준 28 4 9 2" xfId="18419"/>
    <cellStyle name="표준 28 4 9 2 2" xfId="39295"/>
    <cellStyle name="표준 28 4 9 3" xfId="30557"/>
    <cellStyle name="표준 28 5" xfId="3016"/>
    <cellStyle name="표준 28 5 10" xfId="10477"/>
    <cellStyle name="표준 28 5 10 2" xfId="19248"/>
    <cellStyle name="표준 28 5 10 2 2" xfId="40124"/>
    <cellStyle name="표준 28 5 10 3" xfId="31388"/>
    <cellStyle name="표준 28 5 11" xfId="11343"/>
    <cellStyle name="표준 28 5 11 2" xfId="20109"/>
    <cellStyle name="표준 28 5 11 2 2" xfId="40985"/>
    <cellStyle name="표준 28 5 11 3" xfId="32249"/>
    <cellStyle name="표준 28 5 12" xfId="12491"/>
    <cellStyle name="표준 28 5 12 2" xfId="33369"/>
    <cellStyle name="표준 28 5 13" xfId="24619"/>
    <cellStyle name="표준 28 5 2" xfId="3234"/>
    <cellStyle name="표준 28 5 2 10" xfId="11553"/>
    <cellStyle name="표준 28 5 2 10 2" xfId="20319"/>
    <cellStyle name="표준 28 5 2 10 2 2" xfId="41195"/>
    <cellStyle name="표준 28 5 2 10 3" xfId="32459"/>
    <cellStyle name="표준 28 5 2 11" xfId="12702"/>
    <cellStyle name="표준 28 5 2 11 2" xfId="33579"/>
    <cellStyle name="표준 28 5 2 12" xfId="24829"/>
    <cellStyle name="표준 28 5 2 2" xfId="3676"/>
    <cellStyle name="표준 28 5 2 2 2" xfId="5949"/>
    <cellStyle name="표준 28 5 2 2 2 2" xfId="14958"/>
    <cellStyle name="표준 28 5 2 2 2 2 2" xfId="35834"/>
    <cellStyle name="표준 28 5 2 2 2 3" xfId="27096"/>
    <cellStyle name="표준 28 5 2 2 3" xfId="13139"/>
    <cellStyle name="표준 28 5 2 2 3 2" xfId="34016"/>
    <cellStyle name="표준 28 5 2 2 4" xfId="25266"/>
    <cellStyle name="표준 28 5 2 3" xfId="4837"/>
    <cellStyle name="표준 28 5 2 3 2" xfId="6669"/>
    <cellStyle name="표준 28 5 2 3 2 2" xfId="15678"/>
    <cellStyle name="표준 28 5 2 3 2 2 2" xfId="36554"/>
    <cellStyle name="표준 28 5 2 3 2 3" xfId="27816"/>
    <cellStyle name="표준 28 5 2 3 3" xfId="13860"/>
    <cellStyle name="표준 28 5 2 3 3 2" xfId="34736"/>
    <cellStyle name="표준 28 5 2 3 4" xfId="25998"/>
    <cellStyle name="표준 28 5 2 4" xfId="5512"/>
    <cellStyle name="표준 28 5 2 4 2" xfId="14521"/>
    <cellStyle name="표준 28 5 2 4 2 2" xfId="35397"/>
    <cellStyle name="표준 28 5 2 4 3" xfId="26659"/>
    <cellStyle name="표준 28 5 2 5" xfId="7315"/>
    <cellStyle name="표준 28 5 2 5 2" xfId="16322"/>
    <cellStyle name="표준 28 5 2 5 2 2" xfId="37198"/>
    <cellStyle name="표준 28 5 2 5 3" xfId="28460"/>
    <cellStyle name="표준 28 5 2 6" xfId="7959"/>
    <cellStyle name="표준 28 5 2 6 2" xfId="16965"/>
    <cellStyle name="표준 28 5 2 6 2 2" xfId="37841"/>
    <cellStyle name="표준 28 5 2 6 3" xfId="29103"/>
    <cellStyle name="표준 28 5 2 7" xfId="8807"/>
    <cellStyle name="표준 28 5 2 7 2" xfId="17812"/>
    <cellStyle name="표준 28 5 2 7 2 2" xfId="38688"/>
    <cellStyle name="표준 28 5 2 7 3" xfId="29950"/>
    <cellStyle name="표준 28 5 2 8" xfId="9632"/>
    <cellStyle name="표준 28 5 2 8 2" xfId="18630"/>
    <cellStyle name="표준 28 5 2 8 2 2" xfId="39506"/>
    <cellStyle name="표준 28 5 2 8 3" xfId="30768"/>
    <cellStyle name="표준 28 5 2 9" xfId="10687"/>
    <cellStyle name="표준 28 5 2 9 2" xfId="19458"/>
    <cellStyle name="표준 28 5 2 9 2 2" xfId="40334"/>
    <cellStyle name="표준 28 5 2 9 3" xfId="31598"/>
    <cellStyle name="표준 28 5 3" xfId="3466"/>
    <cellStyle name="표준 28 5 3 10" xfId="12929"/>
    <cellStyle name="표준 28 5 3 10 2" xfId="33806"/>
    <cellStyle name="표준 28 5 3 11" xfId="25056"/>
    <cellStyle name="표준 28 5 3 2" xfId="5059"/>
    <cellStyle name="표준 28 5 3 2 2" xfId="6886"/>
    <cellStyle name="표준 28 5 3 2 2 2" xfId="15895"/>
    <cellStyle name="표준 28 5 3 2 2 2 2" xfId="36771"/>
    <cellStyle name="표준 28 5 3 2 2 3" xfId="28033"/>
    <cellStyle name="표준 28 5 3 2 3" xfId="14077"/>
    <cellStyle name="표준 28 5 3 2 3 2" xfId="34953"/>
    <cellStyle name="표준 28 5 3 2 4" xfId="26215"/>
    <cellStyle name="표준 28 5 3 3" xfId="5739"/>
    <cellStyle name="표준 28 5 3 3 2" xfId="14748"/>
    <cellStyle name="표준 28 5 3 3 2 2" xfId="35624"/>
    <cellStyle name="표준 28 5 3 3 3" xfId="26886"/>
    <cellStyle name="표준 28 5 3 4" xfId="7532"/>
    <cellStyle name="표준 28 5 3 4 2" xfId="16539"/>
    <cellStyle name="표준 28 5 3 4 2 2" xfId="37415"/>
    <cellStyle name="표준 28 5 3 4 3" xfId="28677"/>
    <cellStyle name="표준 28 5 3 5" xfId="8176"/>
    <cellStyle name="표준 28 5 3 5 2" xfId="17182"/>
    <cellStyle name="표준 28 5 3 5 2 2" xfId="38058"/>
    <cellStyle name="표준 28 5 3 5 3" xfId="29320"/>
    <cellStyle name="표준 28 5 3 6" xfId="9024"/>
    <cellStyle name="표준 28 5 3 6 2" xfId="18029"/>
    <cellStyle name="표준 28 5 3 6 2 2" xfId="38905"/>
    <cellStyle name="표준 28 5 3 6 3" xfId="30167"/>
    <cellStyle name="표준 28 5 3 7" xfId="9849"/>
    <cellStyle name="표준 28 5 3 7 2" xfId="18847"/>
    <cellStyle name="표준 28 5 3 7 2 2" xfId="39723"/>
    <cellStyle name="표준 28 5 3 7 3" xfId="30985"/>
    <cellStyle name="표준 28 5 3 8" xfId="10904"/>
    <cellStyle name="표준 28 5 3 8 2" xfId="19675"/>
    <cellStyle name="표준 28 5 3 8 2 2" xfId="40551"/>
    <cellStyle name="표준 28 5 3 8 3" xfId="31815"/>
    <cellStyle name="표준 28 5 3 9" xfId="11770"/>
    <cellStyle name="표준 28 5 3 9 2" xfId="20536"/>
    <cellStyle name="표준 28 5 3 9 2 2" xfId="41412"/>
    <cellStyle name="표준 28 5 3 9 3" xfId="32676"/>
    <cellStyle name="표준 28 5 4" xfId="4625"/>
    <cellStyle name="표준 28 5 4 2" xfId="6459"/>
    <cellStyle name="표준 28 5 4 2 2" xfId="15468"/>
    <cellStyle name="표준 28 5 4 2 2 2" xfId="36344"/>
    <cellStyle name="표준 28 5 4 2 3" xfId="27606"/>
    <cellStyle name="표준 28 5 4 3" xfId="11122"/>
    <cellStyle name="표준 28 5 4 3 2" xfId="19892"/>
    <cellStyle name="표준 28 5 4 3 2 2" xfId="40768"/>
    <cellStyle name="표준 28 5 4 3 3" xfId="32032"/>
    <cellStyle name="표준 28 5 4 4" xfId="11987"/>
    <cellStyle name="표준 28 5 4 4 2" xfId="20753"/>
    <cellStyle name="표준 28 5 4 4 2 2" xfId="41629"/>
    <cellStyle name="표준 28 5 4 4 3" xfId="32893"/>
    <cellStyle name="표준 28 5 4 5" xfId="13650"/>
    <cellStyle name="표준 28 5 4 5 2" xfId="34526"/>
    <cellStyle name="표준 28 5 4 6" xfId="25788"/>
    <cellStyle name="표준 28 5 5" xfId="5302"/>
    <cellStyle name="표준 28 5 5 2" xfId="14311"/>
    <cellStyle name="표준 28 5 5 2 2" xfId="35187"/>
    <cellStyle name="표준 28 5 5 3" xfId="26449"/>
    <cellStyle name="표준 28 5 6" xfId="7104"/>
    <cellStyle name="표준 28 5 6 2" xfId="16112"/>
    <cellStyle name="표준 28 5 6 2 2" xfId="36988"/>
    <cellStyle name="표준 28 5 6 3" xfId="28250"/>
    <cellStyle name="표준 28 5 7" xfId="7749"/>
    <cellStyle name="표준 28 5 7 2" xfId="16755"/>
    <cellStyle name="표준 28 5 7 2 2" xfId="37631"/>
    <cellStyle name="표준 28 5 7 3" xfId="28893"/>
    <cellStyle name="표준 28 5 8" xfId="8597"/>
    <cellStyle name="표준 28 5 8 2" xfId="17602"/>
    <cellStyle name="표준 28 5 8 2 2" xfId="38478"/>
    <cellStyle name="표준 28 5 8 3" xfId="29740"/>
    <cellStyle name="표준 28 5 9" xfId="9421"/>
    <cellStyle name="표준 28 5 9 2" xfId="18420"/>
    <cellStyle name="표준 28 5 9 2 2" xfId="39296"/>
    <cellStyle name="표준 28 5 9 3" xfId="30558"/>
    <cellStyle name="표준 28 6" xfId="3017"/>
    <cellStyle name="표준 28 6 10" xfId="10478"/>
    <cellStyle name="표준 28 6 10 2" xfId="19249"/>
    <cellStyle name="표준 28 6 10 2 2" xfId="40125"/>
    <cellStyle name="표준 28 6 10 3" xfId="31389"/>
    <cellStyle name="표준 28 6 11" xfId="11344"/>
    <cellStyle name="표준 28 6 11 2" xfId="20110"/>
    <cellStyle name="표준 28 6 11 2 2" xfId="40986"/>
    <cellStyle name="표준 28 6 11 3" xfId="32250"/>
    <cellStyle name="표준 28 6 12" xfId="12492"/>
    <cellStyle name="표준 28 6 12 2" xfId="33370"/>
    <cellStyle name="표준 28 6 13" xfId="24620"/>
    <cellStyle name="표준 28 6 2" xfId="3235"/>
    <cellStyle name="표준 28 6 2 10" xfId="11554"/>
    <cellStyle name="표준 28 6 2 10 2" xfId="20320"/>
    <cellStyle name="표준 28 6 2 10 2 2" xfId="41196"/>
    <cellStyle name="표준 28 6 2 10 3" xfId="32460"/>
    <cellStyle name="표준 28 6 2 11" xfId="12703"/>
    <cellStyle name="표준 28 6 2 11 2" xfId="33580"/>
    <cellStyle name="표준 28 6 2 12" xfId="24830"/>
    <cellStyle name="표준 28 6 2 2" xfId="3677"/>
    <cellStyle name="표준 28 6 2 2 2" xfId="5950"/>
    <cellStyle name="표준 28 6 2 2 2 2" xfId="14959"/>
    <cellStyle name="표준 28 6 2 2 2 2 2" xfId="35835"/>
    <cellStyle name="표준 28 6 2 2 2 3" xfId="27097"/>
    <cellStyle name="표준 28 6 2 2 3" xfId="13140"/>
    <cellStyle name="표준 28 6 2 2 3 2" xfId="34017"/>
    <cellStyle name="표준 28 6 2 2 4" xfId="25267"/>
    <cellStyle name="표준 28 6 2 3" xfId="4838"/>
    <cellStyle name="표준 28 6 2 3 2" xfId="6670"/>
    <cellStyle name="표준 28 6 2 3 2 2" xfId="15679"/>
    <cellStyle name="표준 28 6 2 3 2 2 2" xfId="36555"/>
    <cellStyle name="표준 28 6 2 3 2 3" xfId="27817"/>
    <cellStyle name="표준 28 6 2 3 3" xfId="13861"/>
    <cellStyle name="표준 28 6 2 3 3 2" xfId="34737"/>
    <cellStyle name="표준 28 6 2 3 4" xfId="25999"/>
    <cellStyle name="표준 28 6 2 4" xfId="5513"/>
    <cellStyle name="표준 28 6 2 4 2" xfId="14522"/>
    <cellStyle name="표준 28 6 2 4 2 2" xfId="35398"/>
    <cellStyle name="표준 28 6 2 4 3" xfId="26660"/>
    <cellStyle name="표준 28 6 2 5" xfId="7316"/>
    <cellStyle name="표준 28 6 2 5 2" xfId="16323"/>
    <cellStyle name="표준 28 6 2 5 2 2" xfId="37199"/>
    <cellStyle name="표준 28 6 2 5 3" xfId="28461"/>
    <cellStyle name="표준 28 6 2 6" xfId="7960"/>
    <cellStyle name="표준 28 6 2 6 2" xfId="16966"/>
    <cellStyle name="표준 28 6 2 6 2 2" xfId="37842"/>
    <cellStyle name="표준 28 6 2 6 3" xfId="29104"/>
    <cellStyle name="표준 28 6 2 7" xfId="8808"/>
    <cellStyle name="표준 28 6 2 7 2" xfId="17813"/>
    <cellStyle name="표준 28 6 2 7 2 2" xfId="38689"/>
    <cellStyle name="표준 28 6 2 7 3" xfId="29951"/>
    <cellStyle name="표준 28 6 2 8" xfId="9633"/>
    <cellStyle name="표준 28 6 2 8 2" xfId="18631"/>
    <cellStyle name="표준 28 6 2 8 2 2" xfId="39507"/>
    <cellStyle name="표준 28 6 2 8 3" xfId="30769"/>
    <cellStyle name="표준 28 6 2 9" xfId="10688"/>
    <cellStyle name="표준 28 6 2 9 2" xfId="19459"/>
    <cellStyle name="표준 28 6 2 9 2 2" xfId="40335"/>
    <cellStyle name="표준 28 6 2 9 3" xfId="31599"/>
    <cellStyle name="표준 28 6 3" xfId="3467"/>
    <cellStyle name="표준 28 6 3 10" xfId="12930"/>
    <cellStyle name="표준 28 6 3 10 2" xfId="33807"/>
    <cellStyle name="표준 28 6 3 11" xfId="25057"/>
    <cellStyle name="표준 28 6 3 2" xfId="5060"/>
    <cellStyle name="표준 28 6 3 2 2" xfId="6887"/>
    <cellStyle name="표준 28 6 3 2 2 2" xfId="15896"/>
    <cellStyle name="표준 28 6 3 2 2 2 2" xfId="36772"/>
    <cellStyle name="표준 28 6 3 2 2 3" xfId="28034"/>
    <cellStyle name="표준 28 6 3 2 3" xfId="14078"/>
    <cellStyle name="표준 28 6 3 2 3 2" xfId="34954"/>
    <cellStyle name="표준 28 6 3 2 4" xfId="26216"/>
    <cellStyle name="표준 28 6 3 3" xfId="5740"/>
    <cellStyle name="표준 28 6 3 3 2" xfId="14749"/>
    <cellStyle name="표준 28 6 3 3 2 2" xfId="35625"/>
    <cellStyle name="표준 28 6 3 3 3" xfId="26887"/>
    <cellStyle name="표준 28 6 3 4" xfId="7533"/>
    <cellStyle name="표준 28 6 3 4 2" xfId="16540"/>
    <cellStyle name="표준 28 6 3 4 2 2" xfId="37416"/>
    <cellStyle name="표준 28 6 3 4 3" xfId="28678"/>
    <cellStyle name="표준 28 6 3 5" xfId="8177"/>
    <cellStyle name="표준 28 6 3 5 2" xfId="17183"/>
    <cellStyle name="표준 28 6 3 5 2 2" xfId="38059"/>
    <cellStyle name="표준 28 6 3 5 3" xfId="29321"/>
    <cellStyle name="표준 28 6 3 6" xfId="9025"/>
    <cellStyle name="표준 28 6 3 6 2" xfId="18030"/>
    <cellStyle name="표준 28 6 3 6 2 2" xfId="38906"/>
    <cellStyle name="표준 28 6 3 6 3" xfId="30168"/>
    <cellStyle name="표준 28 6 3 7" xfId="9850"/>
    <cellStyle name="표준 28 6 3 7 2" xfId="18848"/>
    <cellStyle name="표준 28 6 3 7 2 2" xfId="39724"/>
    <cellStyle name="표준 28 6 3 7 3" xfId="30986"/>
    <cellStyle name="표준 28 6 3 8" xfId="10905"/>
    <cellStyle name="표준 28 6 3 8 2" xfId="19676"/>
    <cellStyle name="표준 28 6 3 8 2 2" xfId="40552"/>
    <cellStyle name="표준 28 6 3 8 3" xfId="31816"/>
    <cellStyle name="표준 28 6 3 9" xfId="11771"/>
    <cellStyle name="표준 28 6 3 9 2" xfId="20537"/>
    <cellStyle name="표준 28 6 3 9 2 2" xfId="41413"/>
    <cellStyle name="표준 28 6 3 9 3" xfId="32677"/>
    <cellStyle name="표준 28 6 4" xfId="4626"/>
    <cellStyle name="표준 28 6 4 2" xfId="6460"/>
    <cellStyle name="표준 28 6 4 2 2" xfId="15469"/>
    <cellStyle name="표준 28 6 4 2 2 2" xfId="36345"/>
    <cellStyle name="표준 28 6 4 2 3" xfId="27607"/>
    <cellStyle name="표준 28 6 4 3" xfId="11123"/>
    <cellStyle name="표준 28 6 4 3 2" xfId="19893"/>
    <cellStyle name="표준 28 6 4 3 2 2" xfId="40769"/>
    <cellStyle name="표준 28 6 4 3 3" xfId="32033"/>
    <cellStyle name="표준 28 6 4 4" xfId="11988"/>
    <cellStyle name="표준 28 6 4 4 2" xfId="20754"/>
    <cellStyle name="표준 28 6 4 4 2 2" xfId="41630"/>
    <cellStyle name="표준 28 6 4 4 3" xfId="32894"/>
    <cellStyle name="표준 28 6 4 5" xfId="13651"/>
    <cellStyle name="표준 28 6 4 5 2" xfId="34527"/>
    <cellStyle name="표준 28 6 4 6" xfId="25789"/>
    <cellStyle name="표준 28 6 5" xfId="5303"/>
    <cellStyle name="표준 28 6 5 2" xfId="14312"/>
    <cellStyle name="표준 28 6 5 2 2" xfId="35188"/>
    <cellStyle name="표준 28 6 5 3" xfId="26450"/>
    <cellStyle name="표준 28 6 6" xfId="7105"/>
    <cellStyle name="표준 28 6 6 2" xfId="16113"/>
    <cellStyle name="표준 28 6 6 2 2" xfId="36989"/>
    <cellStyle name="표준 28 6 6 3" xfId="28251"/>
    <cellStyle name="표준 28 6 7" xfId="7750"/>
    <cellStyle name="표준 28 6 7 2" xfId="16756"/>
    <cellStyle name="표준 28 6 7 2 2" xfId="37632"/>
    <cellStyle name="표준 28 6 7 3" xfId="28894"/>
    <cellStyle name="표준 28 6 8" xfId="8598"/>
    <cellStyle name="표준 28 6 8 2" xfId="17603"/>
    <cellStyle name="표준 28 6 8 2 2" xfId="38479"/>
    <cellStyle name="표준 28 6 8 3" xfId="29741"/>
    <cellStyle name="표준 28 6 9" xfId="9422"/>
    <cellStyle name="표준 28 6 9 2" xfId="18421"/>
    <cellStyle name="표준 28 6 9 2 2" xfId="39297"/>
    <cellStyle name="표준 28 6 9 3" xfId="30559"/>
    <cellStyle name="표준 28 7" xfId="3018"/>
    <cellStyle name="표준 28 7 10" xfId="10479"/>
    <cellStyle name="표준 28 7 10 2" xfId="19250"/>
    <cellStyle name="표준 28 7 10 2 2" xfId="40126"/>
    <cellStyle name="표준 28 7 10 3" xfId="31390"/>
    <cellStyle name="표준 28 7 11" xfId="11345"/>
    <cellStyle name="표준 28 7 11 2" xfId="20111"/>
    <cellStyle name="표준 28 7 11 2 2" xfId="40987"/>
    <cellStyle name="표준 28 7 11 3" xfId="32251"/>
    <cellStyle name="표준 28 7 12" xfId="12493"/>
    <cellStyle name="표준 28 7 12 2" xfId="33371"/>
    <cellStyle name="표준 28 7 13" xfId="24621"/>
    <cellStyle name="표준 28 7 2" xfId="3236"/>
    <cellStyle name="표준 28 7 2 10" xfId="11555"/>
    <cellStyle name="표준 28 7 2 10 2" xfId="20321"/>
    <cellStyle name="표준 28 7 2 10 2 2" xfId="41197"/>
    <cellStyle name="표준 28 7 2 10 3" xfId="32461"/>
    <cellStyle name="표준 28 7 2 11" xfId="12704"/>
    <cellStyle name="표준 28 7 2 11 2" xfId="33581"/>
    <cellStyle name="표준 28 7 2 12" xfId="24831"/>
    <cellStyle name="표준 28 7 2 2" xfId="3678"/>
    <cellStyle name="표준 28 7 2 2 2" xfId="5951"/>
    <cellStyle name="표준 28 7 2 2 2 2" xfId="14960"/>
    <cellStyle name="표준 28 7 2 2 2 2 2" xfId="35836"/>
    <cellStyle name="표준 28 7 2 2 2 3" xfId="27098"/>
    <cellStyle name="표준 28 7 2 2 3" xfId="13141"/>
    <cellStyle name="표준 28 7 2 2 3 2" xfId="34018"/>
    <cellStyle name="표준 28 7 2 2 4" xfId="25268"/>
    <cellStyle name="표준 28 7 2 3" xfId="4839"/>
    <cellStyle name="표준 28 7 2 3 2" xfId="6671"/>
    <cellStyle name="표준 28 7 2 3 2 2" xfId="15680"/>
    <cellStyle name="표준 28 7 2 3 2 2 2" xfId="36556"/>
    <cellStyle name="표준 28 7 2 3 2 3" xfId="27818"/>
    <cellStyle name="표준 28 7 2 3 3" xfId="13862"/>
    <cellStyle name="표준 28 7 2 3 3 2" xfId="34738"/>
    <cellStyle name="표준 28 7 2 3 4" xfId="26000"/>
    <cellStyle name="표준 28 7 2 4" xfId="5514"/>
    <cellStyle name="표준 28 7 2 4 2" xfId="14523"/>
    <cellStyle name="표준 28 7 2 4 2 2" xfId="35399"/>
    <cellStyle name="표준 28 7 2 4 3" xfId="26661"/>
    <cellStyle name="표준 28 7 2 5" xfId="7317"/>
    <cellStyle name="표준 28 7 2 5 2" xfId="16324"/>
    <cellStyle name="표준 28 7 2 5 2 2" xfId="37200"/>
    <cellStyle name="표준 28 7 2 5 3" xfId="28462"/>
    <cellStyle name="표준 28 7 2 6" xfId="7961"/>
    <cellStyle name="표준 28 7 2 6 2" xfId="16967"/>
    <cellStyle name="표준 28 7 2 6 2 2" xfId="37843"/>
    <cellStyle name="표준 28 7 2 6 3" xfId="29105"/>
    <cellStyle name="표준 28 7 2 7" xfId="8809"/>
    <cellStyle name="표준 28 7 2 7 2" xfId="17814"/>
    <cellStyle name="표준 28 7 2 7 2 2" xfId="38690"/>
    <cellStyle name="표준 28 7 2 7 3" xfId="29952"/>
    <cellStyle name="표준 28 7 2 8" xfId="9634"/>
    <cellStyle name="표준 28 7 2 8 2" xfId="18632"/>
    <cellStyle name="표준 28 7 2 8 2 2" xfId="39508"/>
    <cellStyle name="표준 28 7 2 8 3" xfId="30770"/>
    <cellStyle name="표준 28 7 2 9" xfId="10689"/>
    <cellStyle name="표준 28 7 2 9 2" xfId="19460"/>
    <cellStyle name="표준 28 7 2 9 2 2" xfId="40336"/>
    <cellStyle name="표준 28 7 2 9 3" xfId="31600"/>
    <cellStyle name="표준 28 7 3" xfId="3468"/>
    <cellStyle name="표준 28 7 3 10" xfId="12931"/>
    <cellStyle name="표준 28 7 3 10 2" xfId="33808"/>
    <cellStyle name="표준 28 7 3 11" xfId="25058"/>
    <cellStyle name="표준 28 7 3 2" xfId="5061"/>
    <cellStyle name="표준 28 7 3 2 2" xfId="6888"/>
    <cellStyle name="표준 28 7 3 2 2 2" xfId="15897"/>
    <cellStyle name="표준 28 7 3 2 2 2 2" xfId="36773"/>
    <cellStyle name="표준 28 7 3 2 2 3" xfId="28035"/>
    <cellStyle name="표준 28 7 3 2 3" xfId="14079"/>
    <cellStyle name="표준 28 7 3 2 3 2" xfId="34955"/>
    <cellStyle name="표준 28 7 3 2 4" xfId="26217"/>
    <cellStyle name="표준 28 7 3 3" xfId="5741"/>
    <cellStyle name="표준 28 7 3 3 2" xfId="14750"/>
    <cellStyle name="표준 28 7 3 3 2 2" xfId="35626"/>
    <cellStyle name="표준 28 7 3 3 3" xfId="26888"/>
    <cellStyle name="표준 28 7 3 4" xfId="7534"/>
    <cellStyle name="표준 28 7 3 4 2" xfId="16541"/>
    <cellStyle name="표준 28 7 3 4 2 2" xfId="37417"/>
    <cellStyle name="표준 28 7 3 4 3" xfId="28679"/>
    <cellStyle name="표준 28 7 3 5" xfId="8178"/>
    <cellStyle name="표준 28 7 3 5 2" xfId="17184"/>
    <cellStyle name="표준 28 7 3 5 2 2" xfId="38060"/>
    <cellStyle name="표준 28 7 3 5 3" xfId="29322"/>
    <cellStyle name="표준 28 7 3 6" xfId="9026"/>
    <cellStyle name="표준 28 7 3 6 2" xfId="18031"/>
    <cellStyle name="표준 28 7 3 6 2 2" xfId="38907"/>
    <cellStyle name="표준 28 7 3 6 3" xfId="30169"/>
    <cellStyle name="표준 28 7 3 7" xfId="9851"/>
    <cellStyle name="표준 28 7 3 7 2" xfId="18849"/>
    <cellStyle name="표준 28 7 3 7 2 2" xfId="39725"/>
    <cellStyle name="표준 28 7 3 7 3" xfId="30987"/>
    <cellStyle name="표준 28 7 3 8" xfId="10906"/>
    <cellStyle name="표준 28 7 3 8 2" xfId="19677"/>
    <cellStyle name="표준 28 7 3 8 2 2" xfId="40553"/>
    <cellStyle name="표준 28 7 3 8 3" xfId="31817"/>
    <cellStyle name="표준 28 7 3 9" xfId="11772"/>
    <cellStyle name="표준 28 7 3 9 2" xfId="20538"/>
    <cellStyle name="표준 28 7 3 9 2 2" xfId="41414"/>
    <cellStyle name="표준 28 7 3 9 3" xfId="32678"/>
    <cellStyle name="표준 28 7 4" xfId="4627"/>
    <cellStyle name="표준 28 7 4 2" xfId="6461"/>
    <cellStyle name="표준 28 7 4 2 2" xfId="15470"/>
    <cellStyle name="표준 28 7 4 2 2 2" xfId="36346"/>
    <cellStyle name="표준 28 7 4 2 3" xfId="27608"/>
    <cellStyle name="표준 28 7 4 3" xfId="11124"/>
    <cellStyle name="표준 28 7 4 3 2" xfId="19894"/>
    <cellStyle name="표준 28 7 4 3 2 2" xfId="40770"/>
    <cellStyle name="표준 28 7 4 3 3" xfId="32034"/>
    <cellStyle name="표준 28 7 4 4" xfId="11989"/>
    <cellStyle name="표준 28 7 4 4 2" xfId="20755"/>
    <cellStyle name="표준 28 7 4 4 2 2" xfId="41631"/>
    <cellStyle name="표준 28 7 4 4 3" xfId="32895"/>
    <cellStyle name="표준 28 7 4 5" xfId="13652"/>
    <cellStyle name="표준 28 7 4 5 2" xfId="34528"/>
    <cellStyle name="표준 28 7 4 6" xfId="25790"/>
    <cellStyle name="표준 28 7 5" xfId="5304"/>
    <cellStyle name="표준 28 7 5 2" xfId="14313"/>
    <cellStyle name="표준 28 7 5 2 2" xfId="35189"/>
    <cellStyle name="표준 28 7 5 3" xfId="26451"/>
    <cellStyle name="표준 28 7 6" xfId="7106"/>
    <cellStyle name="표준 28 7 6 2" xfId="16114"/>
    <cellStyle name="표준 28 7 6 2 2" xfId="36990"/>
    <cellStyle name="표준 28 7 6 3" xfId="28252"/>
    <cellStyle name="표준 28 7 7" xfId="7751"/>
    <cellStyle name="표준 28 7 7 2" xfId="16757"/>
    <cellStyle name="표준 28 7 7 2 2" xfId="37633"/>
    <cellStyle name="표준 28 7 7 3" xfId="28895"/>
    <cellStyle name="표준 28 7 8" xfId="8599"/>
    <cellStyle name="표준 28 7 8 2" xfId="17604"/>
    <cellStyle name="표준 28 7 8 2 2" xfId="38480"/>
    <cellStyle name="표준 28 7 8 3" xfId="29742"/>
    <cellStyle name="표준 28 7 9" xfId="9423"/>
    <cellStyle name="표준 28 7 9 2" xfId="18422"/>
    <cellStyle name="표준 28 7 9 2 2" xfId="39298"/>
    <cellStyle name="표준 28 7 9 3" xfId="30560"/>
    <cellStyle name="표준 28 8" xfId="3230"/>
    <cellStyle name="표준 28 8 10" xfId="11549"/>
    <cellStyle name="표준 28 8 10 2" xfId="20315"/>
    <cellStyle name="표준 28 8 10 2 2" xfId="41191"/>
    <cellStyle name="표준 28 8 10 3" xfId="32455"/>
    <cellStyle name="표준 28 8 11" xfId="12698"/>
    <cellStyle name="표준 28 8 11 2" xfId="33575"/>
    <cellStyle name="표준 28 8 12" xfId="24825"/>
    <cellStyle name="표준 28 8 2" xfId="3672"/>
    <cellStyle name="표준 28 8 2 2" xfId="5945"/>
    <cellStyle name="표준 28 8 2 2 2" xfId="14954"/>
    <cellStyle name="표준 28 8 2 2 2 2" xfId="35830"/>
    <cellStyle name="표준 28 8 2 2 3" xfId="27092"/>
    <cellStyle name="표준 28 8 2 3" xfId="13135"/>
    <cellStyle name="표준 28 8 2 3 2" xfId="34012"/>
    <cellStyle name="표준 28 8 2 4" xfId="25262"/>
    <cellStyle name="표준 28 8 3" xfId="4833"/>
    <cellStyle name="표준 28 8 3 2" xfId="6665"/>
    <cellStyle name="표준 28 8 3 2 2" xfId="15674"/>
    <cellStyle name="표준 28 8 3 2 2 2" xfId="36550"/>
    <cellStyle name="표준 28 8 3 2 3" xfId="27812"/>
    <cellStyle name="표준 28 8 3 3" xfId="13856"/>
    <cellStyle name="표준 28 8 3 3 2" xfId="34732"/>
    <cellStyle name="표준 28 8 3 4" xfId="25994"/>
    <cellStyle name="표준 28 8 4" xfId="5508"/>
    <cellStyle name="표준 28 8 4 2" xfId="14517"/>
    <cellStyle name="표준 28 8 4 2 2" xfId="35393"/>
    <cellStyle name="표준 28 8 4 3" xfId="26655"/>
    <cellStyle name="표준 28 8 5" xfId="7311"/>
    <cellStyle name="표준 28 8 5 2" xfId="16318"/>
    <cellStyle name="표준 28 8 5 2 2" xfId="37194"/>
    <cellStyle name="표준 28 8 5 3" xfId="28456"/>
    <cellStyle name="표준 28 8 6" xfId="7955"/>
    <cellStyle name="표준 28 8 6 2" xfId="16961"/>
    <cellStyle name="표준 28 8 6 2 2" xfId="37837"/>
    <cellStyle name="표준 28 8 6 3" xfId="29099"/>
    <cellStyle name="표준 28 8 7" xfId="8803"/>
    <cellStyle name="표준 28 8 7 2" xfId="17808"/>
    <cellStyle name="표준 28 8 7 2 2" xfId="38684"/>
    <cellStyle name="표준 28 8 7 3" xfId="29946"/>
    <cellStyle name="표준 28 8 8" xfId="9628"/>
    <cellStyle name="표준 28 8 8 2" xfId="18626"/>
    <cellStyle name="표준 28 8 8 2 2" xfId="39502"/>
    <cellStyle name="표준 28 8 8 3" xfId="30764"/>
    <cellStyle name="표준 28 8 9" xfId="10683"/>
    <cellStyle name="표준 28 8 9 2" xfId="19454"/>
    <cellStyle name="표준 28 8 9 2 2" xfId="40330"/>
    <cellStyle name="표준 28 8 9 3" xfId="31594"/>
    <cellStyle name="표준 28 9" xfId="3462"/>
    <cellStyle name="표준 28 9 10" xfId="12925"/>
    <cellStyle name="표준 28 9 10 2" xfId="33802"/>
    <cellStyle name="표준 28 9 11" xfId="25052"/>
    <cellStyle name="표준 28 9 2" xfId="5055"/>
    <cellStyle name="표준 28 9 2 2" xfId="6882"/>
    <cellStyle name="표준 28 9 2 2 2" xfId="15891"/>
    <cellStyle name="표준 28 9 2 2 2 2" xfId="36767"/>
    <cellStyle name="표준 28 9 2 2 3" xfId="28029"/>
    <cellStyle name="표준 28 9 2 3" xfId="14073"/>
    <cellStyle name="표준 28 9 2 3 2" xfId="34949"/>
    <cellStyle name="표준 28 9 2 4" xfId="26211"/>
    <cellStyle name="표준 28 9 3" xfId="5735"/>
    <cellStyle name="표준 28 9 3 2" xfId="14744"/>
    <cellStyle name="표준 28 9 3 2 2" xfId="35620"/>
    <cellStyle name="표준 28 9 3 3" xfId="26882"/>
    <cellStyle name="표준 28 9 4" xfId="7528"/>
    <cellStyle name="표준 28 9 4 2" xfId="16535"/>
    <cellStyle name="표준 28 9 4 2 2" xfId="37411"/>
    <cellStyle name="표준 28 9 4 3" xfId="28673"/>
    <cellStyle name="표준 28 9 5" xfId="8172"/>
    <cellStyle name="표준 28 9 5 2" xfId="17178"/>
    <cellStyle name="표준 28 9 5 2 2" xfId="38054"/>
    <cellStyle name="표준 28 9 5 3" xfId="29316"/>
    <cellStyle name="표준 28 9 6" xfId="9020"/>
    <cellStyle name="표준 28 9 6 2" xfId="18025"/>
    <cellStyle name="표준 28 9 6 2 2" xfId="38901"/>
    <cellStyle name="표준 28 9 6 3" xfId="30163"/>
    <cellStyle name="표준 28 9 7" xfId="9845"/>
    <cellStyle name="표준 28 9 7 2" xfId="18843"/>
    <cellStyle name="표준 28 9 7 2 2" xfId="39719"/>
    <cellStyle name="표준 28 9 7 3" xfId="30981"/>
    <cellStyle name="표준 28 9 8" xfId="10900"/>
    <cellStyle name="표준 28 9 8 2" xfId="19671"/>
    <cellStyle name="표준 28 9 8 2 2" xfId="40547"/>
    <cellStyle name="표준 28 9 8 3" xfId="31811"/>
    <cellStyle name="표준 28 9 9" xfId="11766"/>
    <cellStyle name="표준 28 9 9 2" xfId="20532"/>
    <cellStyle name="표준 28 9 9 2 2" xfId="41408"/>
    <cellStyle name="표준 28 9 9 3" xfId="32672"/>
    <cellStyle name="표준 29" xfId="3019"/>
    <cellStyle name="표준 29 10" xfId="4628"/>
    <cellStyle name="표준 29 10 2" xfId="6462"/>
    <cellStyle name="표준 29 10 2 2" xfId="15471"/>
    <cellStyle name="표준 29 10 2 2 2" xfId="36347"/>
    <cellStyle name="표준 29 10 2 3" xfId="27609"/>
    <cellStyle name="표준 29 10 3" xfId="11125"/>
    <cellStyle name="표준 29 10 3 2" xfId="19895"/>
    <cellStyle name="표준 29 10 3 2 2" xfId="40771"/>
    <cellStyle name="표준 29 10 3 3" xfId="32035"/>
    <cellStyle name="표준 29 10 4" xfId="11990"/>
    <cellStyle name="표준 29 10 4 2" xfId="20756"/>
    <cellStyle name="표준 29 10 4 2 2" xfId="41632"/>
    <cellStyle name="표준 29 10 4 3" xfId="32896"/>
    <cellStyle name="표준 29 10 5" xfId="13653"/>
    <cellStyle name="표준 29 10 5 2" xfId="34529"/>
    <cellStyle name="표준 29 10 6" xfId="25791"/>
    <cellStyle name="표준 29 11" xfId="5305"/>
    <cellStyle name="표준 29 11 2" xfId="14314"/>
    <cellStyle name="표준 29 11 2 2" xfId="35190"/>
    <cellStyle name="표준 29 11 3" xfId="26452"/>
    <cellStyle name="표준 29 12" xfId="7107"/>
    <cellStyle name="표준 29 12 2" xfId="16115"/>
    <cellStyle name="표준 29 12 2 2" xfId="36991"/>
    <cellStyle name="표준 29 12 3" xfId="28253"/>
    <cellStyle name="표준 29 13" xfId="7752"/>
    <cellStyle name="표준 29 13 2" xfId="16758"/>
    <cellStyle name="표준 29 13 2 2" xfId="37634"/>
    <cellStyle name="표준 29 13 3" xfId="28896"/>
    <cellStyle name="표준 29 14" xfId="8600"/>
    <cellStyle name="표준 29 14 2" xfId="17605"/>
    <cellStyle name="표준 29 14 2 2" xfId="38481"/>
    <cellStyle name="표준 29 14 3" xfId="29743"/>
    <cellStyle name="표준 29 15" xfId="9424"/>
    <cellStyle name="표준 29 15 2" xfId="18423"/>
    <cellStyle name="표준 29 15 2 2" xfId="39299"/>
    <cellStyle name="표준 29 15 3" xfId="30561"/>
    <cellStyle name="표준 29 16" xfId="10480"/>
    <cellStyle name="표준 29 16 2" xfId="19251"/>
    <cellStyle name="표준 29 16 2 2" xfId="40127"/>
    <cellStyle name="표준 29 16 3" xfId="31391"/>
    <cellStyle name="표준 29 17" xfId="11346"/>
    <cellStyle name="표준 29 17 2" xfId="20112"/>
    <cellStyle name="표준 29 17 2 2" xfId="40988"/>
    <cellStyle name="표준 29 17 3" xfId="32252"/>
    <cellStyle name="표준 29 18" xfId="12494"/>
    <cellStyle name="표준 29 18 2" xfId="33372"/>
    <cellStyle name="표준 29 19" xfId="24622"/>
    <cellStyle name="표준 29 2" xfId="3020"/>
    <cellStyle name="표준 29 2 10" xfId="10481"/>
    <cellStyle name="표준 29 2 10 2" xfId="19252"/>
    <cellStyle name="표준 29 2 10 2 2" xfId="40128"/>
    <cellStyle name="표준 29 2 10 3" xfId="31392"/>
    <cellStyle name="표준 29 2 11" xfId="11347"/>
    <cellStyle name="표준 29 2 11 2" xfId="20113"/>
    <cellStyle name="표준 29 2 11 2 2" xfId="40989"/>
    <cellStyle name="표준 29 2 11 3" xfId="32253"/>
    <cellStyle name="표준 29 2 12" xfId="12495"/>
    <cellStyle name="표준 29 2 12 2" xfId="33373"/>
    <cellStyle name="표준 29 2 13" xfId="24623"/>
    <cellStyle name="표준 29 2 2" xfId="3238"/>
    <cellStyle name="표준 29 2 2 10" xfId="11557"/>
    <cellStyle name="표준 29 2 2 10 2" xfId="20323"/>
    <cellStyle name="표준 29 2 2 10 2 2" xfId="41199"/>
    <cellStyle name="표준 29 2 2 10 3" xfId="32463"/>
    <cellStyle name="표준 29 2 2 11" xfId="12706"/>
    <cellStyle name="표준 29 2 2 11 2" xfId="33583"/>
    <cellStyle name="표준 29 2 2 12" xfId="24833"/>
    <cellStyle name="표준 29 2 2 2" xfId="3680"/>
    <cellStyle name="표준 29 2 2 2 2" xfId="5953"/>
    <cellStyle name="표준 29 2 2 2 2 2" xfId="14962"/>
    <cellStyle name="표준 29 2 2 2 2 2 2" xfId="35838"/>
    <cellStyle name="표준 29 2 2 2 2 3" xfId="27100"/>
    <cellStyle name="표준 29 2 2 2 3" xfId="13143"/>
    <cellStyle name="표준 29 2 2 2 3 2" xfId="34020"/>
    <cellStyle name="표준 29 2 2 2 4" xfId="25270"/>
    <cellStyle name="표준 29 2 2 3" xfId="4841"/>
    <cellStyle name="표준 29 2 2 3 2" xfId="6673"/>
    <cellStyle name="표준 29 2 2 3 2 2" xfId="15682"/>
    <cellStyle name="표준 29 2 2 3 2 2 2" xfId="36558"/>
    <cellStyle name="표준 29 2 2 3 2 3" xfId="27820"/>
    <cellStyle name="표준 29 2 2 3 3" xfId="13864"/>
    <cellStyle name="표준 29 2 2 3 3 2" xfId="34740"/>
    <cellStyle name="표준 29 2 2 3 4" xfId="26002"/>
    <cellStyle name="표준 29 2 2 4" xfId="5516"/>
    <cellStyle name="표준 29 2 2 4 2" xfId="14525"/>
    <cellStyle name="표준 29 2 2 4 2 2" xfId="35401"/>
    <cellStyle name="표준 29 2 2 4 3" xfId="26663"/>
    <cellStyle name="표준 29 2 2 5" xfId="7319"/>
    <cellStyle name="표준 29 2 2 5 2" xfId="16326"/>
    <cellStyle name="표준 29 2 2 5 2 2" xfId="37202"/>
    <cellStyle name="표준 29 2 2 5 3" xfId="28464"/>
    <cellStyle name="표준 29 2 2 6" xfId="7963"/>
    <cellStyle name="표준 29 2 2 6 2" xfId="16969"/>
    <cellStyle name="표준 29 2 2 6 2 2" xfId="37845"/>
    <cellStyle name="표준 29 2 2 6 3" xfId="29107"/>
    <cellStyle name="표준 29 2 2 7" xfId="8811"/>
    <cellStyle name="표준 29 2 2 7 2" xfId="17816"/>
    <cellStyle name="표준 29 2 2 7 2 2" xfId="38692"/>
    <cellStyle name="표준 29 2 2 7 3" xfId="29954"/>
    <cellStyle name="표준 29 2 2 8" xfId="9636"/>
    <cellStyle name="표준 29 2 2 8 2" xfId="18634"/>
    <cellStyle name="표준 29 2 2 8 2 2" xfId="39510"/>
    <cellStyle name="표준 29 2 2 8 3" xfId="30772"/>
    <cellStyle name="표준 29 2 2 9" xfId="10691"/>
    <cellStyle name="표준 29 2 2 9 2" xfId="19462"/>
    <cellStyle name="표준 29 2 2 9 2 2" xfId="40338"/>
    <cellStyle name="표준 29 2 2 9 3" xfId="31602"/>
    <cellStyle name="표준 29 2 3" xfId="3470"/>
    <cellStyle name="표준 29 2 3 10" xfId="12933"/>
    <cellStyle name="표준 29 2 3 10 2" xfId="33810"/>
    <cellStyle name="표준 29 2 3 11" xfId="25060"/>
    <cellStyle name="표준 29 2 3 2" xfId="5063"/>
    <cellStyle name="표준 29 2 3 2 2" xfId="6890"/>
    <cellStyle name="표준 29 2 3 2 2 2" xfId="15899"/>
    <cellStyle name="표준 29 2 3 2 2 2 2" xfId="36775"/>
    <cellStyle name="표준 29 2 3 2 2 3" xfId="28037"/>
    <cellStyle name="표준 29 2 3 2 3" xfId="14081"/>
    <cellStyle name="표준 29 2 3 2 3 2" xfId="34957"/>
    <cellStyle name="표준 29 2 3 2 4" xfId="26219"/>
    <cellStyle name="표준 29 2 3 3" xfId="5743"/>
    <cellStyle name="표준 29 2 3 3 2" xfId="14752"/>
    <cellStyle name="표준 29 2 3 3 2 2" xfId="35628"/>
    <cellStyle name="표준 29 2 3 3 3" xfId="26890"/>
    <cellStyle name="표준 29 2 3 4" xfId="7536"/>
    <cellStyle name="표준 29 2 3 4 2" xfId="16543"/>
    <cellStyle name="표준 29 2 3 4 2 2" xfId="37419"/>
    <cellStyle name="표준 29 2 3 4 3" xfId="28681"/>
    <cellStyle name="표준 29 2 3 5" xfId="8180"/>
    <cellStyle name="표준 29 2 3 5 2" xfId="17186"/>
    <cellStyle name="표준 29 2 3 5 2 2" xfId="38062"/>
    <cellStyle name="표준 29 2 3 5 3" xfId="29324"/>
    <cellStyle name="표준 29 2 3 6" xfId="9028"/>
    <cellStyle name="표준 29 2 3 6 2" xfId="18033"/>
    <cellStyle name="표준 29 2 3 6 2 2" xfId="38909"/>
    <cellStyle name="표준 29 2 3 6 3" xfId="30171"/>
    <cellStyle name="표준 29 2 3 7" xfId="9853"/>
    <cellStyle name="표준 29 2 3 7 2" xfId="18851"/>
    <cellStyle name="표준 29 2 3 7 2 2" xfId="39727"/>
    <cellStyle name="표준 29 2 3 7 3" xfId="30989"/>
    <cellStyle name="표준 29 2 3 8" xfId="10908"/>
    <cellStyle name="표준 29 2 3 8 2" xfId="19679"/>
    <cellStyle name="표준 29 2 3 8 2 2" xfId="40555"/>
    <cellStyle name="표준 29 2 3 8 3" xfId="31819"/>
    <cellStyle name="표준 29 2 3 9" xfId="11774"/>
    <cellStyle name="표준 29 2 3 9 2" xfId="20540"/>
    <cellStyle name="표준 29 2 3 9 2 2" xfId="41416"/>
    <cellStyle name="표준 29 2 3 9 3" xfId="32680"/>
    <cellStyle name="표준 29 2 4" xfId="4629"/>
    <cellStyle name="표준 29 2 4 2" xfId="6463"/>
    <cellStyle name="표준 29 2 4 2 2" xfId="15472"/>
    <cellStyle name="표준 29 2 4 2 2 2" xfId="36348"/>
    <cellStyle name="표준 29 2 4 2 3" xfId="27610"/>
    <cellStyle name="표준 29 2 4 3" xfId="11126"/>
    <cellStyle name="표준 29 2 4 3 2" xfId="19896"/>
    <cellStyle name="표준 29 2 4 3 2 2" xfId="40772"/>
    <cellStyle name="표준 29 2 4 3 3" xfId="32036"/>
    <cellStyle name="표준 29 2 4 4" xfId="11991"/>
    <cellStyle name="표준 29 2 4 4 2" xfId="20757"/>
    <cellStyle name="표준 29 2 4 4 2 2" xfId="41633"/>
    <cellStyle name="표준 29 2 4 4 3" xfId="32897"/>
    <cellStyle name="표준 29 2 4 5" xfId="13654"/>
    <cellStyle name="표준 29 2 4 5 2" xfId="34530"/>
    <cellStyle name="표준 29 2 4 6" xfId="25792"/>
    <cellStyle name="표준 29 2 5" xfId="5306"/>
    <cellStyle name="표준 29 2 5 2" xfId="14315"/>
    <cellStyle name="표준 29 2 5 2 2" xfId="35191"/>
    <cellStyle name="표준 29 2 5 3" xfId="26453"/>
    <cellStyle name="표준 29 2 6" xfId="7108"/>
    <cellStyle name="표준 29 2 6 2" xfId="16116"/>
    <cellStyle name="표준 29 2 6 2 2" xfId="36992"/>
    <cellStyle name="표준 29 2 6 3" xfId="28254"/>
    <cellStyle name="표준 29 2 7" xfId="7753"/>
    <cellStyle name="표준 29 2 7 2" xfId="16759"/>
    <cellStyle name="표준 29 2 7 2 2" xfId="37635"/>
    <cellStyle name="표준 29 2 7 3" xfId="28897"/>
    <cellStyle name="표준 29 2 8" xfId="8601"/>
    <cellStyle name="표준 29 2 8 2" xfId="17606"/>
    <cellStyle name="표준 29 2 8 2 2" xfId="38482"/>
    <cellStyle name="표준 29 2 8 3" xfId="29744"/>
    <cellStyle name="표준 29 2 9" xfId="9425"/>
    <cellStyle name="표준 29 2 9 2" xfId="18424"/>
    <cellStyle name="표준 29 2 9 2 2" xfId="39300"/>
    <cellStyle name="표준 29 2 9 3" xfId="30562"/>
    <cellStyle name="표준 29 3" xfId="3021"/>
    <cellStyle name="표준 29 3 10" xfId="10482"/>
    <cellStyle name="표준 29 3 10 2" xfId="19253"/>
    <cellStyle name="표준 29 3 10 2 2" xfId="40129"/>
    <cellStyle name="표준 29 3 10 3" xfId="31393"/>
    <cellStyle name="표준 29 3 11" xfId="11348"/>
    <cellStyle name="표준 29 3 11 2" xfId="20114"/>
    <cellStyle name="표준 29 3 11 2 2" xfId="40990"/>
    <cellStyle name="표준 29 3 11 3" xfId="32254"/>
    <cellStyle name="표준 29 3 12" xfId="12496"/>
    <cellStyle name="표준 29 3 12 2" xfId="33374"/>
    <cellStyle name="표준 29 3 13" xfId="24624"/>
    <cellStyle name="표준 29 3 2" xfId="3239"/>
    <cellStyle name="표준 29 3 2 10" xfId="11558"/>
    <cellStyle name="표준 29 3 2 10 2" xfId="20324"/>
    <cellStyle name="표준 29 3 2 10 2 2" xfId="41200"/>
    <cellStyle name="표준 29 3 2 10 3" xfId="32464"/>
    <cellStyle name="표준 29 3 2 11" xfId="12707"/>
    <cellStyle name="표준 29 3 2 11 2" xfId="33584"/>
    <cellStyle name="표준 29 3 2 12" xfId="24834"/>
    <cellStyle name="표준 29 3 2 2" xfId="3681"/>
    <cellStyle name="표준 29 3 2 2 2" xfId="5954"/>
    <cellStyle name="표준 29 3 2 2 2 2" xfId="14963"/>
    <cellStyle name="표준 29 3 2 2 2 2 2" xfId="35839"/>
    <cellStyle name="표준 29 3 2 2 2 3" xfId="27101"/>
    <cellStyle name="표준 29 3 2 2 3" xfId="13144"/>
    <cellStyle name="표준 29 3 2 2 3 2" xfId="34021"/>
    <cellStyle name="표준 29 3 2 2 4" xfId="25271"/>
    <cellStyle name="표준 29 3 2 3" xfId="4842"/>
    <cellStyle name="표준 29 3 2 3 2" xfId="6674"/>
    <cellStyle name="표준 29 3 2 3 2 2" xfId="15683"/>
    <cellStyle name="표준 29 3 2 3 2 2 2" xfId="36559"/>
    <cellStyle name="표준 29 3 2 3 2 3" xfId="27821"/>
    <cellStyle name="표준 29 3 2 3 3" xfId="13865"/>
    <cellStyle name="표준 29 3 2 3 3 2" xfId="34741"/>
    <cellStyle name="표준 29 3 2 3 4" xfId="26003"/>
    <cellStyle name="표준 29 3 2 4" xfId="5517"/>
    <cellStyle name="표준 29 3 2 4 2" xfId="14526"/>
    <cellStyle name="표준 29 3 2 4 2 2" xfId="35402"/>
    <cellStyle name="표준 29 3 2 4 3" xfId="26664"/>
    <cellStyle name="표준 29 3 2 5" xfId="7320"/>
    <cellStyle name="표준 29 3 2 5 2" xfId="16327"/>
    <cellStyle name="표준 29 3 2 5 2 2" xfId="37203"/>
    <cellStyle name="표준 29 3 2 5 3" xfId="28465"/>
    <cellStyle name="표준 29 3 2 6" xfId="7964"/>
    <cellStyle name="표준 29 3 2 6 2" xfId="16970"/>
    <cellStyle name="표준 29 3 2 6 2 2" xfId="37846"/>
    <cellStyle name="표준 29 3 2 6 3" xfId="29108"/>
    <cellStyle name="표준 29 3 2 7" xfId="8812"/>
    <cellStyle name="표준 29 3 2 7 2" xfId="17817"/>
    <cellStyle name="표준 29 3 2 7 2 2" xfId="38693"/>
    <cellStyle name="표준 29 3 2 7 3" xfId="29955"/>
    <cellStyle name="표준 29 3 2 8" xfId="9637"/>
    <cellStyle name="표준 29 3 2 8 2" xfId="18635"/>
    <cellStyle name="표준 29 3 2 8 2 2" xfId="39511"/>
    <cellStyle name="표준 29 3 2 8 3" xfId="30773"/>
    <cellStyle name="표준 29 3 2 9" xfId="10692"/>
    <cellStyle name="표준 29 3 2 9 2" xfId="19463"/>
    <cellStyle name="표준 29 3 2 9 2 2" xfId="40339"/>
    <cellStyle name="표준 29 3 2 9 3" xfId="31603"/>
    <cellStyle name="표준 29 3 3" xfId="3471"/>
    <cellStyle name="표준 29 3 3 10" xfId="12934"/>
    <cellStyle name="표준 29 3 3 10 2" xfId="33811"/>
    <cellStyle name="표준 29 3 3 11" xfId="25061"/>
    <cellStyle name="표준 29 3 3 2" xfId="5064"/>
    <cellStyle name="표준 29 3 3 2 2" xfId="6891"/>
    <cellStyle name="표준 29 3 3 2 2 2" xfId="15900"/>
    <cellStyle name="표준 29 3 3 2 2 2 2" xfId="36776"/>
    <cellStyle name="표준 29 3 3 2 2 3" xfId="28038"/>
    <cellStyle name="표준 29 3 3 2 3" xfId="14082"/>
    <cellStyle name="표준 29 3 3 2 3 2" xfId="34958"/>
    <cellStyle name="표준 29 3 3 2 4" xfId="26220"/>
    <cellStyle name="표준 29 3 3 3" xfId="5744"/>
    <cellStyle name="표준 29 3 3 3 2" xfId="14753"/>
    <cellStyle name="표준 29 3 3 3 2 2" xfId="35629"/>
    <cellStyle name="표준 29 3 3 3 3" xfId="26891"/>
    <cellStyle name="표준 29 3 3 4" xfId="7537"/>
    <cellStyle name="표준 29 3 3 4 2" xfId="16544"/>
    <cellStyle name="표준 29 3 3 4 2 2" xfId="37420"/>
    <cellStyle name="표준 29 3 3 4 3" xfId="28682"/>
    <cellStyle name="표준 29 3 3 5" xfId="8181"/>
    <cellStyle name="표준 29 3 3 5 2" xfId="17187"/>
    <cellStyle name="표준 29 3 3 5 2 2" xfId="38063"/>
    <cellStyle name="표준 29 3 3 5 3" xfId="29325"/>
    <cellStyle name="표준 29 3 3 6" xfId="9029"/>
    <cellStyle name="표준 29 3 3 6 2" xfId="18034"/>
    <cellStyle name="표준 29 3 3 6 2 2" xfId="38910"/>
    <cellStyle name="표준 29 3 3 6 3" xfId="30172"/>
    <cellStyle name="표준 29 3 3 7" xfId="9854"/>
    <cellStyle name="표준 29 3 3 7 2" xfId="18852"/>
    <cellStyle name="표준 29 3 3 7 2 2" xfId="39728"/>
    <cellStyle name="표준 29 3 3 7 3" xfId="30990"/>
    <cellStyle name="표준 29 3 3 8" xfId="10909"/>
    <cellStyle name="표준 29 3 3 8 2" xfId="19680"/>
    <cellStyle name="표준 29 3 3 8 2 2" xfId="40556"/>
    <cellStyle name="표준 29 3 3 8 3" xfId="31820"/>
    <cellStyle name="표준 29 3 3 9" xfId="11775"/>
    <cellStyle name="표준 29 3 3 9 2" xfId="20541"/>
    <cellStyle name="표준 29 3 3 9 2 2" xfId="41417"/>
    <cellStyle name="표준 29 3 3 9 3" xfId="32681"/>
    <cellStyle name="표준 29 3 4" xfId="4630"/>
    <cellStyle name="표준 29 3 4 2" xfId="6464"/>
    <cellStyle name="표준 29 3 4 2 2" xfId="15473"/>
    <cellStyle name="표준 29 3 4 2 2 2" xfId="36349"/>
    <cellStyle name="표준 29 3 4 2 3" xfId="27611"/>
    <cellStyle name="표준 29 3 4 3" xfId="11127"/>
    <cellStyle name="표준 29 3 4 3 2" xfId="19897"/>
    <cellStyle name="표준 29 3 4 3 2 2" xfId="40773"/>
    <cellStyle name="표준 29 3 4 3 3" xfId="32037"/>
    <cellStyle name="표준 29 3 4 4" xfId="11992"/>
    <cellStyle name="표준 29 3 4 4 2" xfId="20758"/>
    <cellStyle name="표준 29 3 4 4 2 2" xfId="41634"/>
    <cellStyle name="표준 29 3 4 4 3" xfId="32898"/>
    <cellStyle name="표준 29 3 4 5" xfId="13655"/>
    <cellStyle name="표준 29 3 4 5 2" xfId="34531"/>
    <cellStyle name="표준 29 3 4 6" xfId="25793"/>
    <cellStyle name="표준 29 3 5" xfId="5307"/>
    <cellStyle name="표준 29 3 5 2" xfId="14316"/>
    <cellStyle name="표준 29 3 5 2 2" xfId="35192"/>
    <cellStyle name="표준 29 3 5 3" xfId="26454"/>
    <cellStyle name="표준 29 3 6" xfId="7109"/>
    <cellStyle name="표준 29 3 6 2" xfId="16117"/>
    <cellStyle name="표준 29 3 6 2 2" xfId="36993"/>
    <cellStyle name="표준 29 3 6 3" xfId="28255"/>
    <cellStyle name="표준 29 3 7" xfId="7754"/>
    <cellStyle name="표준 29 3 7 2" xfId="16760"/>
    <cellStyle name="표준 29 3 7 2 2" xfId="37636"/>
    <cellStyle name="표준 29 3 7 3" xfId="28898"/>
    <cellStyle name="표준 29 3 8" xfId="8602"/>
    <cellStyle name="표준 29 3 8 2" xfId="17607"/>
    <cellStyle name="표준 29 3 8 2 2" xfId="38483"/>
    <cellStyle name="표준 29 3 8 3" xfId="29745"/>
    <cellStyle name="표준 29 3 9" xfId="9426"/>
    <cellStyle name="표준 29 3 9 2" xfId="18425"/>
    <cellStyle name="표준 29 3 9 2 2" xfId="39301"/>
    <cellStyle name="표준 29 3 9 3" xfId="30563"/>
    <cellStyle name="표준 29 4" xfId="3022"/>
    <cellStyle name="표준 29 4 10" xfId="10483"/>
    <cellStyle name="표준 29 4 10 2" xfId="19254"/>
    <cellStyle name="표준 29 4 10 2 2" xfId="40130"/>
    <cellStyle name="표준 29 4 10 3" xfId="31394"/>
    <cellStyle name="표준 29 4 11" xfId="11349"/>
    <cellStyle name="표준 29 4 11 2" xfId="20115"/>
    <cellStyle name="표준 29 4 11 2 2" xfId="40991"/>
    <cellStyle name="표준 29 4 11 3" xfId="32255"/>
    <cellStyle name="표준 29 4 12" xfId="12497"/>
    <cellStyle name="표준 29 4 12 2" xfId="33375"/>
    <cellStyle name="표준 29 4 13" xfId="24625"/>
    <cellStyle name="표준 29 4 2" xfId="3240"/>
    <cellStyle name="표준 29 4 2 10" xfId="11559"/>
    <cellStyle name="표준 29 4 2 10 2" xfId="20325"/>
    <cellStyle name="표준 29 4 2 10 2 2" xfId="41201"/>
    <cellStyle name="표준 29 4 2 10 3" xfId="32465"/>
    <cellStyle name="표준 29 4 2 11" xfId="12708"/>
    <cellStyle name="표준 29 4 2 11 2" xfId="33585"/>
    <cellStyle name="표준 29 4 2 12" xfId="24835"/>
    <cellStyle name="표준 29 4 2 2" xfId="3682"/>
    <cellStyle name="표준 29 4 2 2 2" xfId="5955"/>
    <cellStyle name="표준 29 4 2 2 2 2" xfId="14964"/>
    <cellStyle name="표준 29 4 2 2 2 2 2" xfId="35840"/>
    <cellStyle name="표준 29 4 2 2 2 3" xfId="27102"/>
    <cellStyle name="표준 29 4 2 2 3" xfId="13145"/>
    <cellStyle name="표준 29 4 2 2 3 2" xfId="34022"/>
    <cellStyle name="표준 29 4 2 2 4" xfId="25272"/>
    <cellStyle name="표준 29 4 2 3" xfId="4843"/>
    <cellStyle name="표준 29 4 2 3 2" xfId="6675"/>
    <cellStyle name="표준 29 4 2 3 2 2" xfId="15684"/>
    <cellStyle name="표준 29 4 2 3 2 2 2" xfId="36560"/>
    <cellStyle name="표준 29 4 2 3 2 3" xfId="27822"/>
    <cellStyle name="표준 29 4 2 3 3" xfId="13866"/>
    <cellStyle name="표준 29 4 2 3 3 2" xfId="34742"/>
    <cellStyle name="표준 29 4 2 3 4" xfId="26004"/>
    <cellStyle name="표준 29 4 2 4" xfId="5518"/>
    <cellStyle name="표준 29 4 2 4 2" xfId="14527"/>
    <cellStyle name="표준 29 4 2 4 2 2" xfId="35403"/>
    <cellStyle name="표준 29 4 2 4 3" xfId="26665"/>
    <cellStyle name="표준 29 4 2 5" xfId="7321"/>
    <cellStyle name="표준 29 4 2 5 2" xfId="16328"/>
    <cellStyle name="표준 29 4 2 5 2 2" xfId="37204"/>
    <cellStyle name="표준 29 4 2 5 3" xfId="28466"/>
    <cellStyle name="표준 29 4 2 6" xfId="7965"/>
    <cellStyle name="표준 29 4 2 6 2" xfId="16971"/>
    <cellStyle name="표준 29 4 2 6 2 2" xfId="37847"/>
    <cellStyle name="표준 29 4 2 6 3" xfId="29109"/>
    <cellStyle name="표준 29 4 2 7" xfId="8813"/>
    <cellStyle name="표준 29 4 2 7 2" xfId="17818"/>
    <cellStyle name="표준 29 4 2 7 2 2" xfId="38694"/>
    <cellStyle name="표준 29 4 2 7 3" xfId="29956"/>
    <cellStyle name="표준 29 4 2 8" xfId="9638"/>
    <cellStyle name="표준 29 4 2 8 2" xfId="18636"/>
    <cellStyle name="표준 29 4 2 8 2 2" xfId="39512"/>
    <cellStyle name="표준 29 4 2 8 3" xfId="30774"/>
    <cellStyle name="표준 29 4 2 9" xfId="10693"/>
    <cellStyle name="표준 29 4 2 9 2" xfId="19464"/>
    <cellStyle name="표준 29 4 2 9 2 2" xfId="40340"/>
    <cellStyle name="표준 29 4 2 9 3" xfId="31604"/>
    <cellStyle name="표준 29 4 3" xfId="3472"/>
    <cellStyle name="표준 29 4 3 10" xfId="12935"/>
    <cellStyle name="표준 29 4 3 10 2" xfId="33812"/>
    <cellStyle name="표준 29 4 3 11" xfId="25062"/>
    <cellStyle name="표준 29 4 3 2" xfId="5065"/>
    <cellStyle name="표준 29 4 3 2 2" xfId="6892"/>
    <cellStyle name="표준 29 4 3 2 2 2" xfId="15901"/>
    <cellStyle name="표준 29 4 3 2 2 2 2" xfId="36777"/>
    <cellStyle name="표준 29 4 3 2 2 3" xfId="28039"/>
    <cellStyle name="표준 29 4 3 2 3" xfId="14083"/>
    <cellStyle name="표준 29 4 3 2 3 2" xfId="34959"/>
    <cellStyle name="표준 29 4 3 2 4" xfId="26221"/>
    <cellStyle name="표준 29 4 3 3" xfId="5745"/>
    <cellStyle name="표준 29 4 3 3 2" xfId="14754"/>
    <cellStyle name="표준 29 4 3 3 2 2" xfId="35630"/>
    <cellStyle name="표준 29 4 3 3 3" xfId="26892"/>
    <cellStyle name="표준 29 4 3 4" xfId="7538"/>
    <cellStyle name="표준 29 4 3 4 2" xfId="16545"/>
    <cellStyle name="표준 29 4 3 4 2 2" xfId="37421"/>
    <cellStyle name="표준 29 4 3 4 3" xfId="28683"/>
    <cellStyle name="표준 29 4 3 5" xfId="8182"/>
    <cellStyle name="표준 29 4 3 5 2" xfId="17188"/>
    <cellStyle name="표준 29 4 3 5 2 2" xfId="38064"/>
    <cellStyle name="표준 29 4 3 5 3" xfId="29326"/>
    <cellStyle name="표준 29 4 3 6" xfId="9030"/>
    <cellStyle name="표준 29 4 3 6 2" xfId="18035"/>
    <cellStyle name="표준 29 4 3 6 2 2" xfId="38911"/>
    <cellStyle name="표준 29 4 3 6 3" xfId="30173"/>
    <cellStyle name="표준 29 4 3 7" xfId="9855"/>
    <cellStyle name="표준 29 4 3 7 2" xfId="18853"/>
    <cellStyle name="표준 29 4 3 7 2 2" xfId="39729"/>
    <cellStyle name="표준 29 4 3 7 3" xfId="30991"/>
    <cellStyle name="표준 29 4 3 8" xfId="10910"/>
    <cellStyle name="표준 29 4 3 8 2" xfId="19681"/>
    <cellStyle name="표준 29 4 3 8 2 2" xfId="40557"/>
    <cellStyle name="표준 29 4 3 8 3" xfId="31821"/>
    <cellStyle name="표준 29 4 3 9" xfId="11776"/>
    <cellStyle name="표준 29 4 3 9 2" xfId="20542"/>
    <cellStyle name="표준 29 4 3 9 2 2" xfId="41418"/>
    <cellStyle name="표준 29 4 3 9 3" xfId="32682"/>
    <cellStyle name="표준 29 4 4" xfId="4631"/>
    <cellStyle name="표준 29 4 4 2" xfId="6465"/>
    <cellStyle name="표준 29 4 4 2 2" xfId="15474"/>
    <cellStyle name="표준 29 4 4 2 2 2" xfId="36350"/>
    <cellStyle name="표준 29 4 4 2 3" xfId="27612"/>
    <cellStyle name="표준 29 4 4 3" xfId="11128"/>
    <cellStyle name="표준 29 4 4 3 2" xfId="19898"/>
    <cellStyle name="표준 29 4 4 3 2 2" xfId="40774"/>
    <cellStyle name="표준 29 4 4 3 3" xfId="32038"/>
    <cellStyle name="표준 29 4 4 4" xfId="11993"/>
    <cellStyle name="표준 29 4 4 4 2" xfId="20759"/>
    <cellStyle name="표준 29 4 4 4 2 2" xfId="41635"/>
    <cellStyle name="표준 29 4 4 4 3" xfId="32899"/>
    <cellStyle name="표준 29 4 4 5" xfId="13656"/>
    <cellStyle name="표준 29 4 4 5 2" xfId="34532"/>
    <cellStyle name="표준 29 4 4 6" xfId="25794"/>
    <cellStyle name="표준 29 4 5" xfId="5308"/>
    <cellStyle name="표준 29 4 5 2" xfId="14317"/>
    <cellStyle name="표준 29 4 5 2 2" xfId="35193"/>
    <cellStyle name="표준 29 4 5 3" xfId="26455"/>
    <cellStyle name="표준 29 4 6" xfId="7110"/>
    <cellStyle name="표준 29 4 6 2" xfId="16118"/>
    <cellStyle name="표준 29 4 6 2 2" xfId="36994"/>
    <cellStyle name="표준 29 4 6 3" xfId="28256"/>
    <cellStyle name="표준 29 4 7" xfId="7755"/>
    <cellStyle name="표준 29 4 7 2" xfId="16761"/>
    <cellStyle name="표준 29 4 7 2 2" xfId="37637"/>
    <cellStyle name="표준 29 4 7 3" xfId="28899"/>
    <cellStyle name="표준 29 4 8" xfId="8603"/>
    <cellStyle name="표준 29 4 8 2" xfId="17608"/>
    <cellStyle name="표준 29 4 8 2 2" xfId="38484"/>
    <cellStyle name="표준 29 4 8 3" xfId="29746"/>
    <cellStyle name="표준 29 4 9" xfId="9427"/>
    <cellStyle name="표준 29 4 9 2" xfId="18426"/>
    <cellStyle name="표준 29 4 9 2 2" xfId="39302"/>
    <cellStyle name="표준 29 4 9 3" xfId="30564"/>
    <cellStyle name="표준 29 5" xfId="3023"/>
    <cellStyle name="표준 29 5 10" xfId="10484"/>
    <cellStyle name="표준 29 5 10 2" xfId="19255"/>
    <cellStyle name="표준 29 5 10 2 2" xfId="40131"/>
    <cellStyle name="표준 29 5 10 3" xfId="31395"/>
    <cellStyle name="표준 29 5 11" xfId="11350"/>
    <cellStyle name="표준 29 5 11 2" xfId="20116"/>
    <cellStyle name="표준 29 5 11 2 2" xfId="40992"/>
    <cellStyle name="표준 29 5 11 3" xfId="32256"/>
    <cellStyle name="표준 29 5 12" xfId="12498"/>
    <cellStyle name="표준 29 5 12 2" xfId="33376"/>
    <cellStyle name="표준 29 5 13" xfId="24626"/>
    <cellStyle name="표준 29 5 2" xfId="3241"/>
    <cellStyle name="표준 29 5 2 10" xfId="11560"/>
    <cellStyle name="표준 29 5 2 10 2" xfId="20326"/>
    <cellStyle name="표준 29 5 2 10 2 2" xfId="41202"/>
    <cellStyle name="표준 29 5 2 10 3" xfId="32466"/>
    <cellStyle name="표준 29 5 2 11" xfId="12709"/>
    <cellStyle name="표준 29 5 2 11 2" xfId="33586"/>
    <cellStyle name="표준 29 5 2 12" xfId="24836"/>
    <cellStyle name="표준 29 5 2 2" xfId="3683"/>
    <cellStyle name="표준 29 5 2 2 2" xfId="5956"/>
    <cellStyle name="표준 29 5 2 2 2 2" xfId="14965"/>
    <cellStyle name="표준 29 5 2 2 2 2 2" xfId="35841"/>
    <cellStyle name="표준 29 5 2 2 2 3" xfId="27103"/>
    <cellStyle name="표준 29 5 2 2 3" xfId="13146"/>
    <cellStyle name="표준 29 5 2 2 3 2" xfId="34023"/>
    <cellStyle name="표준 29 5 2 2 4" xfId="25273"/>
    <cellStyle name="표준 29 5 2 3" xfId="4844"/>
    <cellStyle name="표준 29 5 2 3 2" xfId="6676"/>
    <cellStyle name="표준 29 5 2 3 2 2" xfId="15685"/>
    <cellStyle name="표준 29 5 2 3 2 2 2" xfId="36561"/>
    <cellStyle name="표준 29 5 2 3 2 3" xfId="27823"/>
    <cellStyle name="표준 29 5 2 3 3" xfId="13867"/>
    <cellStyle name="표준 29 5 2 3 3 2" xfId="34743"/>
    <cellStyle name="표준 29 5 2 3 4" xfId="26005"/>
    <cellStyle name="표준 29 5 2 4" xfId="5519"/>
    <cellStyle name="표준 29 5 2 4 2" xfId="14528"/>
    <cellStyle name="표준 29 5 2 4 2 2" xfId="35404"/>
    <cellStyle name="표준 29 5 2 4 3" xfId="26666"/>
    <cellStyle name="표준 29 5 2 5" xfId="7322"/>
    <cellStyle name="표준 29 5 2 5 2" xfId="16329"/>
    <cellStyle name="표준 29 5 2 5 2 2" xfId="37205"/>
    <cellStyle name="표준 29 5 2 5 3" xfId="28467"/>
    <cellStyle name="표준 29 5 2 6" xfId="7966"/>
    <cellStyle name="표준 29 5 2 6 2" xfId="16972"/>
    <cellStyle name="표준 29 5 2 6 2 2" xfId="37848"/>
    <cellStyle name="표준 29 5 2 6 3" xfId="29110"/>
    <cellStyle name="표준 29 5 2 7" xfId="8814"/>
    <cellStyle name="표준 29 5 2 7 2" xfId="17819"/>
    <cellStyle name="표준 29 5 2 7 2 2" xfId="38695"/>
    <cellStyle name="표준 29 5 2 7 3" xfId="29957"/>
    <cellStyle name="표준 29 5 2 8" xfId="9639"/>
    <cellStyle name="표준 29 5 2 8 2" xfId="18637"/>
    <cellStyle name="표준 29 5 2 8 2 2" xfId="39513"/>
    <cellStyle name="표준 29 5 2 8 3" xfId="30775"/>
    <cellStyle name="표준 29 5 2 9" xfId="10694"/>
    <cellStyle name="표준 29 5 2 9 2" xfId="19465"/>
    <cellStyle name="표준 29 5 2 9 2 2" xfId="40341"/>
    <cellStyle name="표준 29 5 2 9 3" xfId="31605"/>
    <cellStyle name="표준 29 5 3" xfId="3473"/>
    <cellStyle name="표준 29 5 3 10" xfId="12936"/>
    <cellStyle name="표준 29 5 3 10 2" xfId="33813"/>
    <cellStyle name="표준 29 5 3 11" xfId="25063"/>
    <cellStyle name="표준 29 5 3 2" xfId="5066"/>
    <cellStyle name="표준 29 5 3 2 2" xfId="6893"/>
    <cellStyle name="표준 29 5 3 2 2 2" xfId="15902"/>
    <cellStyle name="표준 29 5 3 2 2 2 2" xfId="36778"/>
    <cellStyle name="표준 29 5 3 2 2 3" xfId="28040"/>
    <cellStyle name="표준 29 5 3 2 3" xfId="14084"/>
    <cellStyle name="표준 29 5 3 2 3 2" xfId="34960"/>
    <cellStyle name="표준 29 5 3 2 4" xfId="26222"/>
    <cellStyle name="표준 29 5 3 3" xfId="5746"/>
    <cellStyle name="표준 29 5 3 3 2" xfId="14755"/>
    <cellStyle name="표준 29 5 3 3 2 2" xfId="35631"/>
    <cellStyle name="표준 29 5 3 3 3" xfId="26893"/>
    <cellStyle name="표준 29 5 3 4" xfId="7539"/>
    <cellStyle name="표준 29 5 3 4 2" xfId="16546"/>
    <cellStyle name="표준 29 5 3 4 2 2" xfId="37422"/>
    <cellStyle name="표준 29 5 3 4 3" xfId="28684"/>
    <cellStyle name="표준 29 5 3 5" xfId="8183"/>
    <cellStyle name="표준 29 5 3 5 2" xfId="17189"/>
    <cellStyle name="표준 29 5 3 5 2 2" xfId="38065"/>
    <cellStyle name="표준 29 5 3 5 3" xfId="29327"/>
    <cellStyle name="표준 29 5 3 6" xfId="9031"/>
    <cellStyle name="표준 29 5 3 6 2" xfId="18036"/>
    <cellStyle name="표준 29 5 3 6 2 2" xfId="38912"/>
    <cellStyle name="표준 29 5 3 6 3" xfId="30174"/>
    <cellStyle name="표준 29 5 3 7" xfId="9856"/>
    <cellStyle name="표준 29 5 3 7 2" xfId="18854"/>
    <cellStyle name="표준 29 5 3 7 2 2" xfId="39730"/>
    <cellStyle name="표준 29 5 3 7 3" xfId="30992"/>
    <cellStyle name="표준 29 5 3 8" xfId="10911"/>
    <cellStyle name="표준 29 5 3 8 2" xfId="19682"/>
    <cellStyle name="표준 29 5 3 8 2 2" xfId="40558"/>
    <cellStyle name="표준 29 5 3 8 3" xfId="31822"/>
    <cellStyle name="표준 29 5 3 9" xfId="11777"/>
    <cellStyle name="표준 29 5 3 9 2" xfId="20543"/>
    <cellStyle name="표준 29 5 3 9 2 2" xfId="41419"/>
    <cellStyle name="표준 29 5 3 9 3" xfId="32683"/>
    <cellStyle name="표준 29 5 4" xfId="4632"/>
    <cellStyle name="표준 29 5 4 2" xfId="6466"/>
    <cellStyle name="표준 29 5 4 2 2" xfId="15475"/>
    <cellStyle name="표준 29 5 4 2 2 2" xfId="36351"/>
    <cellStyle name="표준 29 5 4 2 3" xfId="27613"/>
    <cellStyle name="표준 29 5 4 3" xfId="11129"/>
    <cellStyle name="표준 29 5 4 3 2" xfId="19899"/>
    <cellStyle name="표준 29 5 4 3 2 2" xfId="40775"/>
    <cellStyle name="표준 29 5 4 3 3" xfId="32039"/>
    <cellStyle name="표준 29 5 4 4" xfId="11994"/>
    <cellStyle name="표준 29 5 4 4 2" xfId="20760"/>
    <cellStyle name="표준 29 5 4 4 2 2" xfId="41636"/>
    <cellStyle name="표준 29 5 4 4 3" xfId="32900"/>
    <cellStyle name="표준 29 5 4 5" xfId="13657"/>
    <cellStyle name="표준 29 5 4 5 2" xfId="34533"/>
    <cellStyle name="표준 29 5 4 6" xfId="25795"/>
    <cellStyle name="표준 29 5 5" xfId="5309"/>
    <cellStyle name="표준 29 5 5 2" xfId="14318"/>
    <cellStyle name="표준 29 5 5 2 2" xfId="35194"/>
    <cellStyle name="표준 29 5 5 3" xfId="26456"/>
    <cellStyle name="표준 29 5 6" xfId="7111"/>
    <cellStyle name="표준 29 5 6 2" xfId="16119"/>
    <cellStyle name="표준 29 5 6 2 2" xfId="36995"/>
    <cellStyle name="표준 29 5 6 3" xfId="28257"/>
    <cellStyle name="표준 29 5 7" xfId="7756"/>
    <cellStyle name="표준 29 5 7 2" xfId="16762"/>
    <cellStyle name="표준 29 5 7 2 2" xfId="37638"/>
    <cellStyle name="표준 29 5 7 3" xfId="28900"/>
    <cellStyle name="표준 29 5 8" xfId="8604"/>
    <cellStyle name="표준 29 5 8 2" xfId="17609"/>
    <cellStyle name="표준 29 5 8 2 2" xfId="38485"/>
    <cellStyle name="표준 29 5 8 3" xfId="29747"/>
    <cellStyle name="표준 29 5 9" xfId="9428"/>
    <cellStyle name="표준 29 5 9 2" xfId="18427"/>
    <cellStyle name="표준 29 5 9 2 2" xfId="39303"/>
    <cellStyle name="표준 29 5 9 3" xfId="30565"/>
    <cellStyle name="표준 29 6" xfId="3024"/>
    <cellStyle name="표준 29 6 10" xfId="10485"/>
    <cellStyle name="표준 29 6 10 2" xfId="19256"/>
    <cellStyle name="표준 29 6 10 2 2" xfId="40132"/>
    <cellStyle name="표준 29 6 10 3" xfId="31396"/>
    <cellStyle name="표준 29 6 11" xfId="11351"/>
    <cellStyle name="표준 29 6 11 2" xfId="20117"/>
    <cellStyle name="표준 29 6 11 2 2" xfId="40993"/>
    <cellStyle name="표준 29 6 11 3" xfId="32257"/>
    <cellStyle name="표준 29 6 12" xfId="12499"/>
    <cellStyle name="표준 29 6 12 2" xfId="33377"/>
    <cellStyle name="표준 29 6 13" xfId="24627"/>
    <cellStyle name="표준 29 6 2" xfId="3242"/>
    <cellStyle name="표준 29 6 2 10" xfId="11561"/>
    <cellStyle name="표준 29 6 2 10 2" xfId="20327"/>
    <cellStyle name="표준 29 6 2 10 2 2" xfId="41203"/>
    <cellStyle name="표준 29 6 2 10 3" xfId="32467"/>
    <cellStyle name="표준 29 6 2 11" xfId="12710"/>
    <cellStyle name="표준 29 6 2 11 2" xfId="33587"/>
    <cellStyle name="표준 29 6 2 12" xfId="24837"/>
    <cellStyle name="표준 29 6 2 2" xfId="3684"/>
    <cellStyle name="표준 29 6 2 2 2" xfId="5957"/>
    <cellStyle name="표준 29 6 2 2 2 2" xfId="14966"/>
    <cellStyle name="표준 29 6 2 2 2 2 2" xfId="35842"/>
    <cellStyle name="표준 29 6 2 2 2 3" xfId="27104"/>
    <cellStyle name="표준 29 6 2 2 3" xfId="13147"/>
    <cellStyle name="표준 29 6 2 2 3 2" xfId="34024"/>
    <cellStyle name="표준 29 6 2 2 4" xfId="25274"/>
    <cellStyle name="표준 29 6 2 3" xfId="4845"/>
    <cellStyle name="표준 29 6 2 3 2" xfId="6677"/>
    <cellStyle name="표준 29 6 2 3 2 2" xfId="15686"/>
    <cellStyle name="표준 29 6 2 3 2 2 2" xfId="36562"/>
    <cellStyle name="표준 29 6 2 3 2 3" xfId="27824"/>
    <cellStyle name="표준 29 6 2 3 3" xfId="13868"/>
    <cellStyle name="표준 29 6 2 3 3 2" xfId="34744"/>
    <cellStyle name="표준 29 6 2 3 4" xfId="26006"/>
    <cellStyle name="표준 29 6 2 4" xfId="5520"/>
    <cellStyle name="표준 29 6 2 4 2" xfId="14529"/>
    <cellStyle name="표준 29 6 2 4 2 2" xfId="35405"/>
    <cellStyle name="표준 29 6 2 4 3" xfId="26667"/>
    <cellStyle name="표준 29 6 2 5" xfId="7323"/>
    <cellStyle name="표준 29 6 2 5 2" xfId="16330"/>
    <cellStyle name="표준 29 6 2 5 2 2" xfId="37206"/>
    <cellStyle name="표준 29 6 2 5 3" xfId="28468"/>
    <cellStyle name="표준 29 6 2 6" xfId="7967"/>
    <cellStyle name="표준 29 6 2 6 2" xfId="16973"/>
    <cellStyle name="표준 29 6 2 6 2 2" xfId="37849"/>
    <cellStyle name="표준 29 6 2 6 3" xfId="29111"/>
    <cellStyle name="표준 29 6 2 7" xfId="8815"/>
    <cellStyle name="표준 29 6 2 7 2" xfId="17820"/>
    <cellStyle name="표준 29 6 2 7 2 2" xfId="38696"/>
    <cellStyle name="표준 29 6 2 7 3" xfId="29958"/>
    <cellStyle name="표준 29 6 2 8" xfId="9640"/>
    <cellStyle name="표준 29 6 2 8 2" xfId="18638"/>
    <cellStyle name="표준 29 6 2 8 2 2" xfId="39514"/>
    <cellStyle name="표준 29 6 2 8 3" xfId="30776"/>
    <cellStyle name="표준 29 6 2 9" xfId="10695"/>
    <cellStyle name="표준 29 6 2 9 2" xfId="19466"/>
    <cellStyle name="표준 29 6 2 9 2 2" xfId="40342"/>
    <cellStyle name="표준 29 6 2 9 3" xfId="31606"/>
    <cellStyle name="표준 29 6 3" xfId="3474"/>
    <cellStyle name="표준 29 6 3 10" xfId="12937"/>
    <cellStyle name="표준 29 6 3 10 2" xfId="33814"/>
    <cellStyle name="표준 29 6 3 11" xfId="25064"/>
    <cellStyle name="표준 29 6 3 2" xfId="5067"/>
    <cellStyle name="표준 29 6 3 2 2" xfId="6894"/>
    <cellStyle name="표준 29 6 3 2 2 2" xfId="15903"/>
    <cellStyle name="표준 29 6 3 2 2 2 2" xfId="36779"/>
    <cellStyle name="표준 29 6 3 2 2 3" xfId="28041"/>
    <cellStyle name="표준 29 6 3 2 3" xfId="14085"/>
    <cellStyle name="표준 29 6 3 2 3 2" xfId="34961"/>
    <cellStyle name="표준 29 6 3 2 4" xfId="26223"/>
    <cellStyle name="표준 29 6 3 3" xfId="5747"/>
    <cellStyle name="표준 29 6 3 3 2" xfId="14756"/>
    <cellStyle name="표준 29 6 3 3 2 2" xfId="35632"/>
    <cellStyle name="표준 29 6 3 3 3" xfId="26894"/>
    <cellStyle name="표준 29 6 3 4" xfId="7540"/>
    <cellStyle name="표준 29 6 3 4 2" xfId="16547"/>
    <cellStyle name="표준 29 6 3 4 2 2" xfId="37423"/>
    <cellStyle name="표준 29 6 3 4 3" xfId="28685"/>
    <cellStyle name="표준 29 6 3 5" xfId="8184"/>
    <cellStyle name="표준 29 6 3 5 2" xfId="17190"/>
    <cellStyle name="표준 29 6 3 5 2 2" xfId="38066"/>
    <cellStyle name="표준 29 6 3 5 3" xfId="29328"/>
    <cellStyle name="표준 29 6 3 6" xfId="9032"/>
    <cellStyle name="표준 29 6 3 6 2" xfId="18037"/>
    <cellStyle name="표준 29 6 3 6 2 2" xfId="38913"/>
    <cellStyle name="표준 29 6 3 6 3" xfId="30175"/>
    <cellStyle name="표준 29 6 3 7" xfId="9857"/>
    <cellStyle name="표준 29 6 3 7 2" xfId="18855"/>
    <cellStyle name="표준 29 6 3 7 2 2" xfId="39731"/>
    <cellStyle name="표준 29 6 3 7 3" xfId="30993"/>
    <cellStyle name="표준 29 6 3 8" xfId="10912"/>
    <cellStyle name="표준 29 6 3 8 2" xfId="19683"/>
    <cellStyle name="표준 29 6 3 8 2 2" xfId="40559"/>
    <cellStyle name="표준 29 6 3 8 3" xfId="31823"/>
    <cellStyle name="표준 29 6 3 9" xfId="11778"/>
    <cellStyle name="표준 29 6 3 9 2" xfId="20544"/>
    <cellStyle name="표준 29 6 3 9 2 2" xfId="41420"/>
    <cellStyle name="표준 29 6 3 9 3" xfId="32684"/>
    <cellStyle name="표준 29 6 4" xfId="4633"/>
    <cellStyle name="표준 29 6 4 2" xfId="6467"/>
    <cellStyle name="표준 29 6 4 2 2" xfId="15476"/>
    <cellStyle name="표준 29 6 4 2 2 2" xfId="36352"/>
    <cellStyle name="표준 29 6 4 2 3" xfId="27614"/>
    <cellStyle name="표준 29 6 4 3" xfId="11130"/>
    <cellStyle name="표준 29 6 4 3 2" xfId="19900"/>
    <cellStyle name="표준 29 6 4 3 2 2" xfId="40776"/>
    <cellStyle name="표준 29 6 4 3 3" xfId="32040"/>
    <cellStyle name="표준 29 6 4 4" xfId="11995"/>
    <cellStyle name="표준 29 6 4 4 2" xfId="20761"/>
    <cellStyle name="표준 29 6 4 4 2 2" xfId="41637"/>
    <cellStyle name="표준 29 6 4 4 3" xfId="32901"/>
    <cellStyle name="표준 29 6 4 5" xfId="13658"/>
    <cellStyle name="표준 29 6 4 5 2" xfId="34534"/>
    <cellStyle name="표준 29 6 4 6" xfId="25796"/>
    <cellStyle name="표준 29 6 5" xfId="5310"/>
    <cellStyle name="표준 29 6 5 2" xfId="14319"/>
    <cellStyle name="표준 29 6 5 2 2" xfId="35195"/>
    <cellStyle name="표준 29 6 5 3" xfId="26457"/>
    <cellStyle name="표준 29 6 6" xfId="7112"/>
    <cellStyle name="표준 29 6 6 2" xfId="16120"/>
    <cellStyle name="표준 29 6 6 2 2" xfId="36996"/>
    <cellStyle name="표준 29 6 6 3" xfId="28258"/>
    <cellStyle name="표준 29 6 7" xfId="7757"/>
    <cellStyle name="표준 29 6 7 2" xfId="16763"/>
    <cellStyle name="표준 29 6 7 2 2" xfId="37639"/>
    <cellStyle name="표준 29 6 7 3" xfId="28901"/>
    <cellStyle name="표준 29 6 8" xfId="8605"/>
    <cellStyle name="표준 29 6 8 2" xfId="17610"/>
    <cellStyle name="표준 29 6 8 2 2" xfId="38486"/>
    <cellStyle name="표준 29 6 8 3" xfId="29748"/>
    <cellStyle name="표준 29 6 9" xfId="9429"/>
    <cellStyle name="표준 29 6 9 2" xfId="18428"/>
    <cellStyle name="표준 29 6 9 2 2" xfId="39304"/>
    <cellStyle name="표준 29 6 9 3" xfId="30566"/>
    <cellStyle name="표준 29 7" xfId="3025"/>
    <cellStyle name="표준 29 7 10" xfId="10486"/>
    <cellStyle name="표준 29 7 10 2" xfId="19257"/>
    <cellStyle name="표준 29 7 10 2 2" xfId="40133"/>
    <cellStyle name="표준 29 7 10 3" xfId="31397"/>
    <cellStyle name="표준 29 7 11" xfId="11352"/>
    <cellStyle name="표준 29 7 11 2" xfId="20118"/>
    <cellStyle name="표준 29 7 11 2 2" xfId="40994"/>
    <cellStyle name="표준 29 7 11 3" xfId="32258"/>
    <cellStyle name="표준 29 7 12" xfId="12500"/>
    <cellStyle name="표준 29 7 12 2" xfId="33378"/>
    <cellStyle name="표준 29 7 13" xfId="24628"/>
    <cellStyle name="표준 29 7 2" xfId="3243"/>
    <cellStyle name="표준 29 7 2 10" xfId="11562"/>
    <cellStyle name="표준 29 7 2 10 2" xfId="20328"/>
    <cellStyle name="표준 29 7 2 10 2 2" xfId="41204"/>
    <cellStyle name="표준 29 7 2 10 3" xfId="32468"/>
    <cellStyle name="표준 29 7 2 11" xfId="12711"/>
    <cellStyle name="표준 29 7 2 11 2" xfId="33588"/>
    <cellStyle name="표준 29 7 2 12" xfId="24838"/>
    <cellStyle name="표준 29 7 2 2" xfId="3685"/>
    <cellStyle name="표준 29 7 2 2 2" xfId="5958"/>
    <cellStyle name="표준 29 7 2 2 2 2" xfId="14967"/>
    <cellStyle name="표준 29 7 2 2 2 2 2" xfId="35843"/>
    <cellStyle name="표준 29 7 2 2 2 3" xfId="27105"/>
    <cellStyle name="표준 29 7 2 2 3" xfId="13148"/>
    <cellStyle name="표준 29 7 2 2 3 2" xfId="34025"/>
    <cellStyle name="표준 29 7 2 2 4" xfId="25275"/>
    <cellStyle name="표준 29 7 2 3" xfId="4846"/>
    <cellStyle name="표준 29 7 2 3 2" xfId="6678"/>
    <cellStyle name="표준 29 7 2 3 2 2" xfId="15687"/>
    <cellStyle name="표준 29 7 2 3 2 2 2" xfId="36563"/>
    <cellStyle name="표준 29 7 2 3 2 3" xfId="27825"/>
    <cellStyle name="표준 29 7 2 3 3" xfId="13869"/>
    <cellStyle name="표준 29 7 2 3 3 2" xfId="34745"/>
    <cellStyle name="표준 29 7 2 3 4" xfId="26007"/>
    <cellStyle name="표준 29 7 2 4" xfId="5521"/>
    <cellStyle name="표준 29 7 2 4 2" xfId="14530"/>
    <cellStyle name="표준 29 7 2 4 2 2" xfId="35406"/>
    <cellStyle name="표준 29 7 2 4 3" xfId="26668"/>
    <cellStyle name="표준 29 7 2 5" xfId="7324"/>
    <cellStyle name="표준 29 7 2 5 2" xfId="16331"/>
    <cellStyle name="표준 29 7 2 5 2 2" xfId="37207"/>
    <cellStyle name="표준 29 7 2 5 3" xfId="28469"/>
    <cellStyle name="표준 29 7 2 6" xfId="7968"/>
    <cellStyle name="표준 29 7 2 6 2" xfId="16974"/>
    <cellStyle name="표준 29 7 2 6 2 2" xfId="37850"/>
    <cellStyle name="표준 29 7 2 6 3" xfId="29112"/>
    <cellStyle name="표준 29 7 2 7" xfId="8816"/>
    <cellStyle name="표준 29 7 2 7 2" xfId="17821"/>
    <cellStyle name="표준 29 7 2 7 2 2" xfId="38697"/>
    <cellStyle name="표준 29 7 2 7 3" xfId="29959"/>
    <cellStyle name="표준 29 7 2 8" xfId="9641"/>
    <cellStyle name="표준 29 7 2 8 2" xfId="18639"/>
    <cellStyle name="표준 29 7 2 8 2 2" xfId="39515"/>
    <cellStyle name="표준 29 7 2 8 3" xfId="30777"/>
    <cellStyle name="표준 29 7 2 9" xfId="10696"/>
    <cellStyle name="표준 29 7 2 9 2" xfId="19467"/>
    <cellStyle name="표준 29 7 2 9 2 2" xfId="40343"/>
    <cellStyle name="표준 29 7 2 9 3" xfId="31607"/>
    <cellStyle name="표준 29 7 3" xfId="3475"/>
    <cellStyle name="표준 29 7 3 10" xfId="12938"/>
    <cellStyle name="표준 29 7 3 10 2" xfId="33815"/>
    <cellStyle name="표준 29 7 3 11" xfId="25065"/>
    <cellStyle name="표준 29 7 3 2" xfId="5068"/>
    <cellStyle name="표준 29 7 3 2 2" xfId="6895"/>
    <cellStyle name="표준 29 7 3 2 2 2" xfId="15904"/>
    <cellStyle name="표준 29 7 3 2 2 2 2" xfId="36780"/>
    <cellStyle name="표준 29 7 3 2 2 3" xfId="28042"/>
    <cellStyle name="표준 29 7 3 2 3" xfId="14086"/>
    <cellStyle name="표준 29 7 3 2 3 2" xfId="34962"/>
    <cellStyle name="표준 29 7 3 2 4" xfId="26224"/>
    <cellStyle name="표준 29 7 3 3" xfId="5748"/>
    <cellStyle name="표준 29 7 3 3 2" xfId="14757"/>
    <cellStyle name="표준 29 7 3 3 2 2" xfId="35633"/>
    <cellStyle name="표준 29 7 3 3 3" xfId="26895"/>
    <cellStyle name="표준 29 7 3 4" xfId="7541"/>
    <cellStyle name="표준 29 7 3 4 2" xfId="16548"/>
    <cellStyle name="표준 29 7 3 4 2 2" xfId="37424"/>
    <cellStyle name="표준 29 7 3 4 3" xfId="28686"/>
    <cellStyle name="표준 29 7 3 5" xfId="8185"/>
    <cellStyle name="표준 29 7 3 5 2" xfId="17191"/>
    <cellStyle name="표준 29 7 3 5 2 2" xfId="38067"/>
    <cellStyle name="표준 29 7 3 5 3" xfId="29329"/>
    <cellStyle name="표준 29 7 3 6" xfId="9033"/>
    <cellStyle name="표준 29 7 3 6 2" xfId="18038"/>
    <cellStyle name="표준 29 7 3 6 2 2" xfId="38914"/>
    <cellStyle name="표준 29 7 3 6 3" xfId="30176"/>
    <cellStyle name="표준 29 7 3 7" xfId="9858"/>
    <cellStyle name="표준 29 7 3 7 2" xfId="18856"/>
    <cellStyle name="표준 29 7 3 7 2 2" xfId="39732"/>
    <cellStyle name="표준 29 7 3 7 3" xfId="30994"/>
    <cellStyle name="표준 29 7 3 8" xfId="10913"/>
    <cellStyle name="표준 29 7 3 8 2" xfId="19684"/>
    <cellStyle name="표준 29 7 3 8 2 2" xfId="40560"/>
    <cellStyle name="표준 29 7 3 8 3" xfId="31824"/>
    <cellStyle name="표준 29 7 3 9" xfId="11779"/>
    <cellStyle name="표준 29 7 3 9 2" xfId="20545"/>
    <cellStyle name="표준 29 7 3 9 2 2" xfId="41421"/>
    <cellStyle name="표준 29 7 3 9 3" xfId="32685"/>
    <cellStyle name="표준 29 7 4" xfId="4634"/>
    <cellStyle name="표준 29 7 4 2" xfId="6468"/>
    <cellStyle name="표준 29 7 4 2 2" xfId="15477"/>
    <cellStyle name="표준 29 7 4 2 2 2" xfId="36353"/>
    <cellStyle name="표준 29 7 4 2 3" xfId="27615"/>
    <cellStyle name="표준 29 7 4 3" xfId="11131"/>
    <cellStyle name="표준 29 7 4 3 2" xfId="19901"/>
    <cellStyle name="표준 29 7 4 3 2 2" xfId="40777"/>
    <cellStyle name="표준 29 7 4 3 3" xfId="32041"/>
    <cellStyle name="표준 29 7 4 4" xfId="11996"/>
    <cellStyle name="표준 29 7 4 4 2" xfId="20762"/>
    <cellStyle name="표준 29 7 4 4 2 2" xfId="41638"/>
    <cellStyle name="표준 29 7 4 4 3" xfId="32902"/>
    <cellStyle name="표준 29 7 4 5" xfId="13659"/>
    <cellStyle name="표준 29 7 4 5 2" xfId="34535"/>
    <cellStyle name="표준 29 7 4 6" xfId="25797"/>
    <cellStyle name="표준 29 7 5" xfId="5311"/>
    <cellStyle name="표준 29 7 5 2" xfId="14320"/>
    <cellStyle name="표준 29 7 5 2 2" xfId="35196"/>
    <cellStyle name="표준 29 7 5 3" xfId="26458"/>
    <cellStyle name="표준 29 7 6" xfId="7113"/>
    <cellStyle name="표준 29 7 6 2" xfId="16121"/>
    <cellStyle name="표준 29 7 6 2 2" xfId="36997"/>
    <cellStyle name="표준 29 7 6 3" xfId="28259"/>
    <cellStyle name="표준 29 7 7" xfId="7758"/>
    <cellStyle name="표준 29 7 7 2" xfId="16764"/>
    <cellStyle name="표준 29 7 7 2 2" xfId="37640"/>
    <cellStyle name="표준 29 7 7 3" xfId="28902"/>
    <cellStyle name="표준 29 7 8" xfId="8606"/>
    <cellStyle name="표준 29 7 8 2" xfId="17611"/>
    <cellStyle name="표준 29 7 8 2 2" xfId="38487"/>
    <cellStyle name="표준 29 7 8 3" xfId="29749"/>
    <cellStyle name="표준 29 7 9" xfId="9430"/>
    <cellStyle name="표준 29 7 9 2" xfId="18429"/>
    <cellStyle name="표준 29 7 9 2 2" xfId="39305"/>
    <cellStyle name="표준 29 7 9 3" xfId="30567"/>
    <cellStyle name="표준 29 8" xfId="3237"/>
    <cellStyle name="표준 29 8 10" xfId="11556"/>
    <cellStyle name="표준 29 8 10 2" xfId="20322"/>
    <cellStyle name="표준 29 8 10 2 2" xfId="41198"/>
    <cellStyle name="표준 29 8 10 3" xfId="32462"/>
    <cellStyle name="표준 29 8 11" xfId="12705"/>
    <cellStyle name="표준 29 8 11 2" xfId="33582"/>
    <cellStyle name="표준 29 8 12" xfId="24832"/>
    <cellStyle name="표준 29 8 2" xfId="3679"/>
    <cellStyle name="표준 29 8 2 2" xfId="5952"/>
    <cellStyle name="표준 29 8 2 2 2" xfId="14961"/>
    <cellStyle name="표준 29 8 2 2 2 2" xfId="35837"/>
    <cellStyle name="표준 29 8 2 2 3" xfId="27099"/>
    <cellStyle name="표준 29 8 2 3" xfId="13142"/>
    <cellStyle name="표준 29 8 2 3 2" xfId="34019"/>
    <cellStyle name="표준 29 8 2 4" xfId="25269"/>
    <cellStyle name="표준 29 8 3" xfId="4840"/>
    <cellStyle name="표준 29 8 3 2" xfId="6672"/>
    <cellStyle name="표준 29 8 3 2 2" xfId="15681"/>
    <cellStyle name="표준 29 8 3 2 2 2" xfId="36557"/>
    <cellStyle name="표준 29 8 3 2 3" xfId="27819"/>
    <cellStyle name="표준 29 8 3 3" xfId="13863"/>
    <cellStyle name="표준 29 8 3 3 2" xfId="34739"/>
    <cellStyle name="표준 29 8 3 4" xfId="26001"/>
    <cellStyle name="표준 29 8 4" xfId="5515"/>
    <cellStyle name="표준 29 8 4 2" xfId="14524"/>
    <cellStyle name="표준 29 8 4 2 2" xfId="35400"/>
    <cellStyle name="표준 29 8 4 3" xfId="26662"/>
    <cellStyle name="표준 29 8 5" xfId="7318"/>
    <cellStyle name="표준 29 8 5 2" xfId="16325"/>
    <cellStyle name="표준 29 8 5 2 2" xfId="37201"/>
    <cellStyle name="표준 29 8 5 3" xfId="28463"/>
    <cellStyle name="표준 29 8 6" xfId="7962"/>
    <cellStyle name="표준 29 8 6 2" xfId="16968"/>
    <cellStyle name="표준 29 8 6 2 2" xfId="37844"/>
    <cellStyle name="표준 29 8 6 3" xfId="29106"/>
    <cellStyle name="표준 29 8 7" xfId="8810"/>
    <cellStyle name="표준 29 8 7 2" xfId="17815"/>
    <cellStyle name="표준 29 8 7 2 2" xfId="38691"/>
    <cellStyle name="표준 29 8 7 3" xfId="29953"/>
    <cellStyle name="표준 29 8 8" xfId="9635"/>
    <cellStyle name="표준 29 8 8 2" xfId="18633"/>
    <cellStyle name="표준 29 8 8 2 2" xfId="39509"/>
    <cellStyle name="표준 29 8 8 3" xfId="30771"/>
    <cellStyle name="표준 29 8 9" xfId="10690"/>
    <cellStyle name="표준 29 8 9 2" xfId="19461"/>
    <cellStyle name="표준 29 8 9 2 2" xfId="40337"/>
    <cellStyle name="표준 29 8 9 3" xfId="31601"/>
    <cellStyle name="표준 29 9" xfId="3469"/>
    <cellStyle name="표준 29 9 10" xfId="12932"/>
    <cellStyle name="표준 29 9 10 2" xfId="33809"/>
    <cellStyle name="표준 29 9 11" xfId="25059"/>
    <cellStyle name="표준 29 9 2" xfId="5062"/>
    <cellStyle name="표준 29 9 2 2" xfId="6889"/>
    <cellStyle name="표준 29 9 2 2 2" xfId="15898"/>
    <cellStyle name="표준 29 9 2 2 2 2" xfId="36774"/>
    <cellStyle name="표준 29 9 2 2 3" xfId="28036"/>
    <cellStyle name="표준 29 9 2 3" xfId="14080"/>
    <cellStyle name="표준 29 9 2 3 2" xfId="34956"/>
    <cellStyle name="표준 29 9 2 4" xfId="26218"/>
    <cellStyle name="표준 29 9 3" xfId="5742"/>
    <cellStyle name="표준 29 9 3 2" xfId="14751"/>
    <cellStyle name="표준 29 9 3 2 2" xfId="35627"/>
    <cellStyle name="표준 29 9 3 3" xfId="26889"/>
    <cellStyle name="표준 29 9 4" xfId="7535"/>
    <cellStyle name="표준 29 9 4 2" xfId="16542"/>
    <cellStyle name="표준 29 9 4 2 2" xfId="37418"/>
    <cellStyle name="표준 29 9 4 3" xfId="28680"/>
    <cellStyle name="표준 29 9 5" xfId="8179"/>
    <cellStyle name="표준 29 9 5 2" xfId="17185"/>
    <cellStyle name="표준 29 9 5 2 2" xfId="38061"/>
    <cellStyle name="표준 29 9 5 3" xfId="29323"/>
    <cellStyle name="표준 29 9 6" xfId="9027"/>
    <cellStyle name="표준 29 9 6 2" xfId="18032"/>
    <cellStyle name="표준 29 9 6 2 2" xfId="38908"/>
    <cellStyle name="표준 29 9 6 3" xfId="30170"/>
    <cellStyle name="표준 29 9 7" xfId="9852"/>
    <cellStyle name="표준 29 9 7 2" xfId="18850"/>
    <cellStyle name="표준 29 9 7 2 2" xfId="39726"/>
    <cellStyle name="표준 29 9 7 3" xfId="30988"/>
    <cellStyle name="표준 29 9 8" xfId="10907"/>
    <cellStyle name="표준 29 9 8 2" xfId="19678"/>
    <cellStyle name="표준 29 9 8 2 2" xfId="40554"/>
    <cellStyle name="표준 29 9 8 3" xfId="31818"/>
    <cellStyle name="표준 29 9 9" xfId="11773"/>
    <cellStyle name="표준 29 9 9 2" xfId="20539"/>
    <cellStyle name="표준 29 9 9 2 2" xfId="41415"/>
    <cellStyle name="표준 29 9 9 3" xfId="32679"/>
    <cellStyle name="표준 3" xfId="1198"/>
    <cellStyle name="표준 3 2" xfId="3026"/>
    <cellStyle name="표준 3 2 2" xfId="3850"/>
    <cellStyle name="표준 3 2 3" xfId="12501"/>
    <cellStyle name="표준 3 3" xfId="4703"/>
    <cellStyle name="표준 3 4" xfId="10118"/>
    <cellStyle name="표준 3 5" xfId="12198"/>
    <cellStyle name="표준 3 6" xfId="24180"/>
    <cellStyle name="표준 30" xfId="3027"/>
    <cellStyle name="표준 30 10" xfId="4635"/>
    <cellStyle name="표준 30 10 2" xfId="6469"/>
    <cellStyle name="표준 30 10 2 2" xfId="15478"/>
    <cellStyle name="표준 30 10 2 2 2" xfId="36354"/>
    <cellStyle name="표준 30 10 2 3" xfId="27616"/>
    <cellStyle name="표준 30 10 3" xfId="11132"/>
    <cellStyle name="표준 30 10 3 2" xfId="19902"/>
    <cellStyle name="표준 30 10 3 2 2" xfId="40778"/>
    <cellStyle name="표준 30 10 3 3" xfId="32042"/>
    <cellStyle name="표준 30 10 4" xfId="11997"/>
    <cellStyle name="표준 30 10 4 2" xfId="20763"/>
    <cellStyle name="표준 30 10 4 2 2" xfId="41639"/>
    <cellStyle name="표준 30 10 4 3" xfId="32903"/>
    <cellStyle name="표준 30 10 5" xfId="13660"/>
    <cellStyle name="표준 30 10 5 2" xfId="34536"/>
    <cellStyle name="표준 30 10 6" xfId="25798"/>
    <cellStyle name="표준 30 11" xfId="5312"/>
    <cellStyle name="표준 30 11 2" xfId="14321"/>
    <cellStyle name="표준 30 11 2 2" xfId="35197"/>
    <cellStyle name="표준 30 11 3" xfId="26459"/>
    <cellStyle name="표준 30 12" xfId="7114"/>
    <cellStyle name="표준 30 12 2" xfId="16122"/>
    <cellStyle name="표준 30 12 2 2" xfId="36998"/>
    <cellStyle name="표준 30 12 3" xfId="28260"/>
    <cellStyle name="표준 30 13" xfId="7759"/>
    <cellStyle name="표준 30 13 2" xfId="16765"/>
    <cellStyle name="표준 30 13 2 2" xfId="37641"/>
    <cellStyle name="표준 30 13 3" xfId="28903"/>
    <cellStyle name="표준 30 14" xfId="8607"/>
    <cellStyle name="표준 30 14 2" xfId="17612"/>
    <cellStyle name="표준 30 14 2 2" xfId="38488"/>
    <cellStyle name="표준 30 14 3" xfId="29750"/>
    <cellStyle name="표준 30 15" xfId="9431"/>
    <cellStyle name="표준 30 15 2" xfId="18430"/>
    <cellStyle name="표준 30 15 2 2" xfId="39306"/>
    <cellStyle name="표준 30 15 3" xfId="30568"/>
    <cellStyle name="표준 30 16" xfId="10487"/>
    <cellStyle name="표준 30 16 2" xfId="19258"/>
    <cellStyle name="표준 30 16 2 2" xfId="40134"/>
    <cellStyle name="표준 30 16 3" xfId="31398"/>
    <cellStyle name="표준 30 17" xfId="11353"/>
    <cellStyle name="표준 30 17 2" xfId="20119"/>
    <cellStyle name="표준 30 17 2 2" xfId="40995"/>
    <cellStyle name="표준 30 17 3" xfId="32259"/>
    <cellStyle name="표준 30 18" xfId="12502"/>
    <cellStyle name="표준 30 18 2" xfId="33379"/>
    <cellStyle name="표준 30 19" xfId="24629"/>
    <cellStyle name="표준 30 2" xfId="3028"/>
    <cellStyle name="표준 30 2 10" xfId="10488"/>
    <cellStyle name="표준 30 2 10 2" xfId="19259"/>
    <cellStyle name="표준 30 2 10 2 2" xfId="40135"/>
    <cellStyle name="표준 30 2 10 3" xfId="31399"/>
    <cellStyle name="표준 30 2 11" xfId="11354"/>
    <cellStyle name="표준 30 2 11 2" xfId="20120"/>
    <cellStyle name="표준 30 2 11 2 2" xfId="40996"/>
    <cellStyle name="표준 30 2 11 3" xfId="32260"/>
    <cellStyle name="표준 30 2 12" xfId="12503"/>
    <cellStyle name="표준 30 2 12 2" xfId="33380"/>
    <cellStyle name="표준 30 2 13" xfId="24630"/>
    <cellStyle name="표준 30 2 2" xfId="3245"/>
    <cellStyle name="표준 30 2 2 10" xfId="11564"/>
    <cellStyle name="표준 30 2 2 10 2" xfId="20330"/>
    <cellStyle name="표준 30 2 2 10 2 2" xfId="41206"/>
    <cellStyle name="표준 30 2 2 10 3" xfId="32470"/>
    <cellStyle name="표준 30 2 2 11" xfId="12713"/>
    <cellStyle name="표준 30 2 2 11 2" xfId="33590"/>
    <cellStyle name="표준 30 2 2 12" xfId="24840"/>
    <cellStyle name="표준 30 2 2 2" xfId="3687"/>
    <cellStyle name="표준 30 2 2 2 2" xfId="5960"/>
    <cellStyle name="표준 30 2 2 2 2 2" xfId="14969"/>
    <cellStyle name="표준 30 2 2 2 2 2 2" xfId="35845"/>
    <cellStyle name="표준 30 2 2 2 2 3" xfId="27107"/>
    <cellStyle name="표준 30 2 2 2 3" xfId="13150"/>
    <cellStyle name="표준 30 2 2 2 3 2" xfId="34027"/>
    <cellStyle name="표준 30 2 2 2 4" xfId="25277"/>
    <cellStyle name="표준 30 2 2 3" xfId="4848"/>
    <cellStyle name="표준 30 2 2 3 2" xfId="6680"/>
    <cellStyle name="표준 30 2 2 3 2 2" xfId="15689"/>
    <cellStyle name="표준 30 2 2 3 2 2 2" xfId="36565"/>
    <cellStyle name="표준 30 2 2 3 2 3" xfId="27827"/>
    <cellStyle name="표준 30 2 2 3 3" xfId="13871"/>
    <cellStyle name="표준 30 2 2 3 3 2" xfId="34747"/>
    <cellStyle name="표준 30 2 2 3 4" xfId="26009"/>
    <cellStyle name="표준 30 2 2 4" xfId="5523"/>
    <cellStyle name="표준 30 2 2 4 2" xfId="14532"/>
    <cellStyle name="표준 30 2 2 4 2 2" xfId="35408"/>
    <cellStyle name="표준 30 2 2 4 3" xfId="26670"/>
    <cellStyle name="표준 30 2 2 5" xfId="7326"/>
    <cellStyle name="표준 30 2 2 5 2" xfId="16333"/>
    <cellStyle name="표준 30 2 2 5 2 2" xfId="37209"/>
    <cellStyle name="표준 30 2 2 5 3" xfId="28471"/>
    <cellStyle name="표준 30 2 2 6" xfId="7970"/>
    <cellStyle name="표준 30 2 2 6 2" xfId="16976"/>
    <cellStyle name="표준 30 2 2 6 2 2" xfId="37852"/>
    <cellStyle name="표준 30 2 2 6 3" xfId="29114"/>
    <cellStyle name="표준 30 2 2 7" xfId="8818"/>
    <cellStyle name="표준 30 2 2 7 2" xfId="17823"/>
    <cellStyle name="표준 30 2 2 7 2 2" xfId="38699"/>
    <cellStyle name="표준 30 2 2 7 3" xfId="29961"/>
    <cellStyle name="표준 30 2 2 8" xfId="9643"/>
    <cellStyle name="표준 30 2 2 8 2" xfId="18641"/>
    <cellStyle name="표준 30 2 2 8 2 2" xfId="39517"/>
    <cellStyle name="표준 30 2 2 8 3" xfId="30779"/>
    <cellStyle name="표준 30 2 2 9" xfId="10698"/>
    <cellStyle name="표준 30 2 2 9 2" xfId="19469"/>
    <cellStyle name="표준 30 2 2 9 2 2" xfId="40345"/>
    <cellStyle name="표준 30 2 2 9 3" xfId="31609"/>
    <cellStyle name="표준 30 2 3" xfId="3477"/>
    <cellStyle name="표준 30 2 3 10" xfId="12940"/>
    <cellStyle name="표준 30 2 3 10 2" xfId="33817"/>
    <cellStyle name="표준 30 2 3 11" xfId="25067"/>
    <cellStyle name="표준 30 2 3 2" xfId="5071"/>
    <cellStyle name="표준 30 2 3 2 2" xfId="6897"/>
    <cellStyle name="표준 30 2 3 2 2 2" xfId="15906"/>
    <cellStyle name="표준 30 2 3 2 2 2 2" xfId="36782"/>
    <cellStyle name="표준 30 2 3 2 2 3" xfId="28044"/>
    <cellStyle name="표준 30 2 3 2 3" xfId="14088"/>
    <cellStyle name="표준 30 2 3 2 3 2" xfId="34964"/>
    <cellStyle name="표준 30 2 3 2 4" xfId="26226"/>
    <cellStyle name="표준 30 2 3 3" xfId="5750"/>
    <cellStyle name="표준 30 2 3 3 2" xfId="14759"/>
    <cellStyle name="표준 30 2 3 3 2 2" xfId="35635"/>
    <cellStyle name="표준 30 2 3 3 3" xfId="26897"/>
    <cellStyle name="표준 30 2 3 4" xfId="7543"/>
    <cellStyle name="표준 30 2 3 4 2" xfId="16550"/>
    <cellStyle name="표준 30 2 3 4 2 2" xfId="37426"/>
    <cellStyle name="표준 30 2 3 4 3" xfId="28688"/>
    <cellStyle name="표준 30 2 3 5" xfId="8187"/>
    <cellStyle name="표준 30 2 3 5 2" xfId="17193"/>
    <cellStyle name="표준 30 2 3 5 2 2" xfId="38069"/>
    <cellStyle name="표준 30 2 3 5 3" xfId="29331"/>
    <cellStyle name="표준 30 2 3 6" xfId="9035"/>
    <cellStyle name="표준 30 2 3 6 2" xfId="18040"/>
    <cellStyle name="표준 30 2 3 6 2 2" xfId="38916"/>
    <cellStyle name="표준 30 2 3 6 3" xfId="30178"/>
    <cellStyle name="표준 30 2 3 7" xfId="9860"/>
    <cellStyle name="표준 30 2 3 7 2" xfId="18858"/>
    <cellStyle name="표준 30 2 3 7 2 2" xfId="39734"/>
    <cellStyle name="표준 30 2 3 7 3" xfId="30996"/>
    <cellStyle name="표준 30 2 3 8" xfId="10915"/>
    <cellStyle name="표준 30 2 3 8 2" xfId="19686"/>
    <cellStyle name="표준 30 2 3 8 2 2" xfId="40562"/>
    <cellStyle name="표준 30 2 3 8 3" xfId="31826"/>
    <cellStyle name="표준 30 2 3 9" xfId="11781"/>
    <cellStyle name="표준 30 2 3 9 2" xfId="20547"/>
    <cellStyle name="표준 30 2 3 9 2 2" xfId="41423"/>
    <cellStyle name="표준 30 2 3 9 3" xfId="32687"/>
    <cellStyle name="표준 30 2 4" xfId="4636"/>
    <cellStyle name="표준 30 2 4 2" xfId="6470"/>
    <cellStyle name="표준 30 2 4 2 2" xfId="15479"/>
    <cellStyle name="표준 30 2 4 2 2 2" xfId="36355"/>
    <cellStyle name="표준 30 2 4 2 3" xfId="27617"/>
    <cellStyle name="표준 30 2 4 3" xfId="11133"/>
    <cellStyle name="표준 30 2 4 3 2" xfId="19903"/>
    <cellStyle name="표준 30 2 4 3 2 2" xfId="40779"/>
    <cellStyle name="표준 30 2 4 3 3" xfId="32043"/>
    <cellStyle name="표준 30 2 4 4" xfId="11998"/>
    <cellStyle name="표준 30 2 4 4 2" xfId="20764"/>
    <cellStyle name="표준 30 2 4 4 2 2" xfId="41640"/>
    <cellStyle name="표준 30 2 4 4 3" xfId="32904"/>
    <cellStyle name="표준 30 2 4 5" xfId="13661"/>
    <cellStyle name="표준 30 2 4 5 2" xfId="34537"/>
    <cellStyle name="표준 30 2 4 6" xfId="25799"/>
    <cellStyle name="표준 30 2 5" xfId="5313"/>
    <cellStyle name="표준 30 2 5 2" xfId="14322"/>
    <cellStyle name="표준 30 2 5 2 2" xfId="35198"/>
    <cellStyle name="표준 30 2 5 3" xfId="26460"/>
    <cellStyle name="표준 30 2 6" xfId="7115"/>
    <cellStyle name="표준 30 2 6 2" xfId="16123"/>
    <cellStyle name="표준 30 2 6 2 2" xfId="36999"/>
    <cellStyle name="표준 30 2 6 3" xfId="28261"/>
    <cellStyle name="표준 30 2 7" xfId="7760"/>
    <cellStyle name="표준 30 2 7 2" xfId="16766"/>
    <cellStyle name="표준 30 2 7 2 2" xfId="37642"/>
    <cellStyle name="표준 30 2 7 3" xfId="28904"/>
    <cellStyle name="표준 30 2 8" xfId="8608"/>
    <cellStyle name="표준 30 2 8 2" xfId="17613"/>
    <cellStyle name="표준 30 2 8 2 2" xfId="38489"/>
    <cellStyle name="표준 30 2 8 3" xfId="29751"/>
    <cellStyle name="표준 30 2 9" xfId="9432"/>
    <cellStyle name="표준 30 2 9 2" xfId="18431"/>
    <cellStyle name="표준 30 2 9 2 2" xfId="39307"/>
    <cellStyle name="표준 30 2 9 3" xfId="30569"/>
    <cellStyle name="표준 30 3" xfId="3029"/>
    <cellStyle name="표준 30 3 10" xfId="10489"/>
    <cellStyle name="표준 30 3 10 2" xfId="19260"/>
    <cellStyle name="표준 30 3 10 2 2" xfId="40136"/>
    <cellStyle name="표준 30 3 10 3" xfId="31400"/>
    <cellStyle name="표준 30 3 11" xfId="11355"/>
    <cellStyle name="표준 30 3 11 2" xfId="20121"/>
    <cellStyle name="표준 30 3 11 2 2" xfId="40997"/>
    <cellStyle name="표준 30 3 11 3" xfId="32261"/>
    <cellStyle name="표준 30 3 12" xfId="12504"/>
    <cellStyle name="표준 30 3 12 2" xfId="33381"/>
    <cellStyle name="표준 30 3 13" xfId="24631"/>
    <cellStyle name="표준 30 3 2" xfId="3246"/>
    <cellStyle name="표준 30 3 2 10" xfId="11565"/>
    <cellStyle name="표준 30 3 2 10 2" xfId="20331"/>
    <cellStyle name="표준 30 3 2 10 2 2" xfId="41207"/>
    <cellStyle name="표준 30 3 2 10 3" xfId="32471"/>
    <cellStyle name="표준 30 3 2 11" xfId="12714"/>
    <cellStyle name="표준 30 3 2 11 2" xfId="33591"/>
    <cellStyle name="표준 30 3 2 12" xfId="24841"/>
    <cellStyle name="표준 30 3 2 2" xfId="3688"/>
    <cellStyle name="표준 30 3 2 2 2" xfId="5961"/>
    <cellStyle name="표준 30 3 2 2 2 2" xfId="14970"/>
    <cellStyle name="표준 30 3 2 2 2 2 2" xfId="35846"/>
    <cellStyle name="표준 30 3 2 2 2 3" xfId="27108"/>
    <cellStyle name="표준 30 3 2 2 3" xfId="13151"/>
    <cellStyle name="표준 30 3 2 2 3 2" xfId="34028"/>
    <cellStyle name="표준 30 3 2 2 4" xfId="25278"/>
    <cellStyle name="표준 30 3 2 3" xfId="4849"/>
    <cellStyle name="표준 30 3 2 3 2" xfId="6681"/>
    <cellStyle name="표준 30 3 2 3 2 2" xfId="15690"/>
    <cellStyle name="표준 30 3 2 3 2 2 2" xfId="36566"/>
    <cellStyle name="표준 30 3 2 3 2 3" xfId="27828"/>
    <cellStyle name="표준 30 3 2 3 3" xfId="13872"/>
    <cellStyle name="표준 30 3 2 3 3 2" xfId="34748"/>
    <cellStyle name="표준 30 3 2 3 4" xfId="26010"/>
    <cellStyle name="표준 30 3 2 4" xfId="5524"/>
    <cellStyle name="표준 30 3 2 4 2" xfId="14533"/>
    <cellStyle name="표준 30 3 2 4 2 2" xfId="35409"/>
    <cellStyle name="표준 30 3 2 4 3" xfId="26671"/>
    <cellStyle name="표준 30 3 2 5" xfId="7327"/>
    <cellStyle name="표준 30 3 2 5 2" xfId="16334"/>
    <cellStyle name="표준 30 3 2 5 2 2" xfId="37210"/>
    <cellStyle name="표준 30 3 2 5 3" xfId="28472"/>
    <cellStyle name="표준 30 3 2 6" xfId="7971"/>
    <cellStyle name="표준 30 3 2 6 2" xfId="16977"/>
    <cellStyle name="표준 30 3 2 6 2 2" xfId="37853"/>
    <cellStyle name="표준 30 3 2 6 3" xfId="29115"/>
    <cellStyle name="표준 30 3 2 7" xfId="8819"/>
    <cellStyle name="표준 30 3 2 7 2" xfId="17824"/>
    <cellStyle name="표준 30 3 2 7 2 2" xfId="38700"/>
    <cellStyle name="표준 30 3 2 7 3" xfId="29962"/>
    <cellStyle name="표준 30 3 2 8" xfId="9644"/>
    <cellStyle name="표준 30 3 2 8 2" xfId="18642"/>
    <cellStyle name="표준 30 3 2 8 2 2" xfId="39518"/>
    <cellStyle name="표준 30 3 2 8 3" xfId="30780"/>
    <cellStyle name="표준 30 3 2 9" xfId="10699"/>
    <cellStyle name="표준 30 3 2 9 2" xfId="19470"/>
    <cellStyle name="표준 30 3 2 9 2 2" xfId="40346"/>
    <cellStyle name="표준 30 3 2 9 3" xfId="31610"/>
    <cellStyle name="표준 30 3 3" xfId="3478"/>
    <cellStyle name="표준 30 3 3 10" xfId="12941"/>
    <cellStyle name="표준 30 3 3 10 2" xfId="33818"/>
    <cellStyle name="표준 30 3 3 11" xfId="25068"/>
    <cellStyle name="표준 30 3 3 2" xfId="5072"/>
    <cellStyle name="표준 30 3 3 2 2" xfId="6898"/>
    <cellStyle name="표준 30 3 3 2 2 2" xfId="15907"/>
    <cellStyle name="표준 30 3 3 2 2 2 2" xfId="36783"/>
    <cellStyle name="표준 30 3 3 2 2 3" xfId="28045"/>
    <cellStyle name="표준 30 3 3 2 3" xfId="14089"/>
    <cellStyle name="표준 30 3 3 2 3 2" xfId="34965"/>
    <cellStyle name="표준 30 3 3 2 4" xfId="26227"/>
    <cellStyle name="표준 30 3 3 3" xfId="5751"/>
    <cellStyle name="표준 30 3 3 3 2" xfId="14760"/>
    <cellStyle name="표준 30 3 3 3 2 2" xfId="35636"/>
    <cellStyle name="표준 30 3 3 3 3" xfId="26898"/>
    <cellStyle name="표준 30 3 3 4" xfId="7544"/>
    <cellStyle name="표준 30 3 3 4 2" xfId="16551"/>
    <cellStyle name="표준 30 3 3 4 2 2" xfId="37427"/>
    <cellStyle name="표준 30 3 3 4 3" xfId="28689"/>
    <cellStyle name="표준 30 3 3 5" xfId="8188"/>
    <cellStyle name="표준 30 3 3 5 2" xfId="17194"/>
    <cellStyle name="표준 30 3 3 5 2 2" xfId="38070"/>
    <cellStyle name="표준 30 3 3 5 3" xfId="29332"/>
    <cellStyle name="표준 30 3 3 6" xfId="9036"/>
    <cellStyle name="표준 30 3 3 6 2" xfId="18041"/>
    <cellStyle name="표준 30 3 3 6 2 2" xfId="38917"/>
    <cellStyle name="표준 30 3 3 6 3" xfId="30179"/>
    <cellStyle name="표준 30 3 3 7" xfId="9861"/>
    <cellStyle name="표준 30 3 3 7 2" xfId="18859"/>
    <cellStyle name="표준 30 3 3 7 2 2" xfId="39735"/>
    <cellStyle name="표준 30 3 3 7 3" xfId="30997"/>
    <cellStyle name="표준 30 3 3 8" xfId="10916"/>
    <cellStyle name="표준 30 3 3 8 2" xfId="19687"/>
    <cellStyle name="표준 30 3 3 8 2 2" xfId="40563"/>
    <cellStyle name="표준 30 3 3 8 3" xfId="31827"/>
    <cellStyle name="표준 30 3 3 9" xfId="11782"/>
    <cellStyle name="표준 30 3 3 9 2" xfId="20548"/>
    <cellStyle name="표준 30 3 3 9 2 2" xfId="41424"/>
    <cellStyle name="표준 30 3 3 9 3" xfId="32688"/>
    <cellStyle name="표준 30 3 4" xfId="4637"/>
    <cellStyle name="표준 30 3 4 2" xfId="6471"/>
    <cellStyle name="표준 30 3 4 2 2" xfId="15480"/>
    <cellStyle name="표준 30 3 4 2 2 2" xfId="36356"/>
    <cellStyle name="표준 30 3 4 2 3" xfId="27618"/>
    <cellStyle name="표준 30 3 4 3" xfId="11134"/>
    <cellStyle name="표준 30 3 4 3 2" xfId="19904"/>
    <cellStyle name="표준 30 3 4 3 2 2" xfId="40780"/>
    <cellStyle name="표준 30 3 4 3 3" xfId="32044"/>
    <cellStyle name="표준 30 3 4 4" xfId="11999"/>
    <cellStyle name="표준 30 3 4 4 2" xfId="20765"/>
    <cellStyle name="표준 30 3 4 4 2 2" xfId="41641"/>
    <cellStyle name="표준 30 3 4 4 3" xfId="32905"/>
    <cellStyle name="표준 30 3 4 5" xfId="13662"/>
    <cellStyle name="표준 30 3 4 5 2" xfId="34538"/>
    <cellStyle name="표준 30 3 4 6" xfId="25800"/>
    <cellStyle name="표준 30 3 5" xfId="5314"/>
    <cellStyle name="표준 30 3 5 2" xfId="14323"/>
    <cellStyle name="표준 30 3 5 2 2" xfId="35199"/>
    <cellStyle name="표준 30 3 5 3" xfId="26461"/>
    <cellStyle name="표준 30 3 6" xfId="7116"/>
    <cellStyle name="표준 30 3 6 2" xfId="16124"/>
    <cellStyle name="표준 30 3 6 2 2" xfId="37000"/>
    <cellStyle name="표준 30 3 6 3" xfId="28262"/>
    <cellStyle name="표준 30 3 7" xfId="7761"/>
    <cellStyle name="표준 30 3 7 2" xfId="16767"/>
    <cellStyle name="표준 30 3 7 2 2" xfId="37643"/>
    <cellStyle name="표준 30 3 7 3" xfId="28905"/>
    <cellStyle name="표준 30 3 8" xfId="8609"/>
    <cellStyle name="표준 30 3 8 2" xfId="17614"/>
    <cellStyle name="표준 30 3 8 2 2" xfId="38490"/>
    <cellStyle name="표준 30 3 8 3" xfId="29752"/>
    <cellStyle name="표준 30 3 9" xfId="9433"/>
    <cellStyle name="표준 30 3 9 2" xfId="18432"/>
    <cellStyle name="표준 30 3 9 2 2" xfId="39308"/>
    <cellStyle name="표준 30 3 9 3" xfId="30570"/>
    <cellStyle name="표준 30 4" xfId="3030"/>
    <cellStyle name="표준 30 4 10" xfId="10490"/>
    <cellStyle name="표준 30 4 10 2" xfId="19261"/>
    <cellStyle name="표준 30 4 10 2 2" xfId="40137"/>
    <cellStyle name="표준 30 4 10 3" xfId="31401"/>
    <cellStyle name="표준 30 4 11" xfId="11356"/>
    <cellStyle name="표준 30 4 11 2" xfId="20122"/>
    <cellStyle name="표준 30 4 11 2 2" xfId="40998"/>
    <cellStyle name="표준 30 4 11 3" xfId="32262"/>
    <cellStyle name="표준 30 4 12" xfId="12505"/>
    <cellStyle name="표준 30 4 12 2" xfId="33382"/>
    <cellStyle name="표준 30 4 13" xfId="24632"/>
    <cellStyle name="표준 30 4 2" xfId="3247"/>
    <cellStyle name="표준 30 4 2 10" xfId="11566"/>
    <cellStyle name="표준 30 4 2 10 2" xfId="20332"/>
    <cellStyle name="표준 30 4 2 10 2 2" xfId="41208"/>
    <cellStyle name="표준 30 4 2 10 3" xfId="32472"/>
    <cellStyle name="표준 30 4 2 11" xfId="12715"/>
    <cellStyle name="표준 30 4 2 11 2" xfId="33592"/>
    <cellStyle name="표준 30 4 2 12" xfId="24842"/>
    <cellStyle name="표준 30 4 2 2" xfId="3689"/>
    <cellStyle name="표준 30 4 2 2 2" xfId="5962"/>
    <cellStyle name="표준 30 4 2 2 2 2" xfId="14971"/>
    <cellStyle name="표준 30 4 2 2 2 2 2" xfId="35847"/>
    <cellStyle name="표준 30 4 2 2 2 3" xfId="27109"/>
    <cellStyle name="표준 30 4 2 2 3" xfId="13152"/>
    <cellStyle name="표준 30 4 2 2 3 2" xfId="34029"/>
    <cellStyle name="표준 30 4 2 2 4" xfId="25279"/>
    <cellStyle name="표준 30 4 2 3" xfId="4850"/>
    <cellStyle name="표준 30 4 2 3 2" xfId="6682"/>
    <cellStyle name="표준 30 4 2 3 2 2" xfId="15691"/>
    <cellStyle name="표준 30 4 2 3 2 2 2" xfId="36567"/>
    <cellStyle name="표준 30 4 2 3 2 3" xfId="27829"/>
    <cellStyle name="표준 30 4 2 3 3" xfId="13873"/>
    <cellStyle name="표준 30 4 2 3 3 2" xfId="34749"/>
    <cellStyle name="표준 30 4 2 3 4" xfId="26011"/>
    <cellStyle name="표준 30 4 2 4" xfId="5525"/>
    <cellStyle name="표준 30 4 2 4 2" xfId="14534"/>
    <cellStyle name="표준 30 4 2 4 2 2" xfId="35410"/>
    <cellStyle name="표준 30 4 2 4 3" xfId="26672"/>
    <cellStyle name="표준 30 4 2 5" xfId="7328"/>
    <cellStyle name="표준 30 4 2 5 2" xfId="16335"/>
    <cellStyle name="표준 30 4 2 5 2 2" xfId="37211"/>
    <cellStyle name="표준 30 4 2 5 3" xfId="28473"/>
    <cellStyle name="표준 30 4 2 6" xfId="7972"/>
    <cellStyle name="표준 30 4 2 6 2" xfId="16978"/>
    <cellStyle name="표준 30 4 2 6 2 2" xfId="37854"/>
    <cellStyle name="표준 30 4 2 6 3" xfId="29116"/>
    <cellStyle name="표준 30 4 2 7" xfId="8820"/>
    <cellStyle name="표준 30 4 2 7 2" xfId="17825"/>
    <cellStyle name="표준 30 4 2 7 2 2" xfId="38701"/>
    <cellStyle name="표준 30 4 2 7 3" xfId="29963"/>
    <cellStyle name="표준 30 4 2 8" xfId="9645"/>
    <cellStyle name="표준 30 4 2 8 2" xfId="18643"/>
    <cellStyle name="표준 30 4 2 8 2 2" xfId="39519"/>
    <cellStyle name="표준 30 4 2 8 3" xfId="30781"/>
    <cellStyle name="표준 30 4 2 9" xfId="10700"/>
    <cellStyle name="표준 30 4 2 9 2" xfId="19471"/>
    <cellStyle name="표준 30 4 2 9 2 2" xfId="40347"/>
    <cellStyle name="표준 30 4 2 9 3" xfId="31611"/>
    <cellStyle name="표준 30 4 3" xfId="3479"/>
    <cellStyle name="표준 30 4 3 10" xfId="12942"/>
    <cellStyle name="표준 30 4 3 10 2" xfId="33819"/>
    <cellStyle name="표준 30 4 3 11" xfId="25069"/>
    <cellStyle name="표준 30 4 3 2" xfId="5073"/>
    <cellStyle name="표준 30 4 3 2 2" xfId="6899"/>
    <cellStyle name="표준 30 4 3 2 2 2" xfId="15908"/>
    <cellStyle name="표준 30 4 3 2 2 2 2" xfId="36784"/>
    <cellStyle name="표준 30 4 3 2 2 3" xfId="28046"/>
    <cellStyle name="표준 30 4 3 2 3" xfId="14090"/>
    <cellStyle name="표준 30 4 3 2 3 2" xfId="34966"/>
    <cellStyle name="표준 30 4 3 2 4" xfId="26228"/>
    <cellStyle name="표준 30 4 3 3" xfId="5752"/>
    <cellStyle name="표준 30 4 3 3 2" xfId="14761"/>
    <cellStyle name="표준 30 4 3 3 2 2" xfId="35637"/>
    <cellStyle name="표준 30 4 3 3 3" xfId="26899"/>
    <cellStyle name="표준 30 4 3 4" xfId="7545"/>
    <cellStyle name="표준 30 4 3 4 2" xfId="16552"/>
    <cellStyle name="표준 30 4 3 4 2 2" xfId="37428"/>
    <cellStyle name="표준 30 4 3 4 3" xfId="28690"/>
    <cellStyle name="표준 30 4 3 5" xfId="8189"/>
    <cellStyle name="표준 30 4 3 5 2" xfId="17195"/>
    <cellStyle name="표준 30 4 3 5 2 2" xfId="38071"/>
    <cellStyle name="표준 30 4 3 5 3" xfId="29333"/>
    <cellStyle name="표준 30 4 3 6" xfId="9037"/>
    <cellStyle name="표준 30 4 3 6 2" xfId="18042"/>
    <cellStyle name="표준 30 4 3 6 2 2" xfId="38918"/>
    <cellStyle name="표준 30 4 3 6 3" xfId="30180"/>
    <cellStyle name="표준 30 4 3 7" xfId="9862"/>
    <cellStyle name="표준 30 4 3 7 2" xfId="18860"/>
    <cellStyle name="표준 30 4 3 7 2 2" xfId="39736"/>
    <cellStyle name="표준 30 4 3 7 3" xfId="30998"/>
    <cellStyle name="표준 30 4 3 8" xfId="10917"/>
    <cellStyle name="표준 30 4 3 8 2" xfId="19688"/>
    <cellStyle name="표준 30 4 3 8 2 2" xfId="40564"/>
    <cellStyle name="표준 30 4 3 8 3" xfId="31828"/>
    <cellStyle name="표준 30 4 3 9" xfId="11783"/>
    <cellStyle name="표준 30 4 3 9 2" xfId="20549"/>
    <cellStyle name="표준 30 4 3 9 2 2" xfId="41425"/>
    <cellStyle name="표준 30 4 3 9 3" xfId="32689"/>
    <cellStyle name="표준 30 4 4" xfId="4638"/>
    <cellStyle name="표준 30 4 4 2" xfId="6472"/>
    <cellStyle name="표준 30 4 4 2 2" xfId="15481"/>
    <cellStyle name="표준 30 4 4 2 2 2" xfId="36357"/>
    <cellStyle name="표준 30 4 4 2 3" xfId="27619"/>
    <cellStyle name="표준 30 4 4 3" xfId="11135"/>
    <cellStyle name="표준 30 4 4 3 2" xfId="19905"/>
    <cellStyle name="표준 30 4 4 3 2 2" xfId="40781"/>
    <cellStyle name="표준 30 4 4 3 3" xfId="32045"/>
    <cellStyle name="표준 30 4 4 4" xfId="12000"/>
    <cellStyle name="표준 30 4 4 4 2" xfId="20766"/>
    <cellStyle name="표준 30 4 4 4 2 2" xfId="41642"/>
    <cellStyle name="표준 30 4 4 4 3" xfId="32906"/>
    <cellStyle name="표준 30 4 4 5" xfId="13663"/>
    <cellStyle name="표준 30 4 4 5 2" xfId="34539"/>
    <cellStyle name="표준 30 4 4 6" xfId="25801"/>
    <cellStyle name="표준 30 4 5" xfId="5315"/>
    <cellStyle name="표준 30 4 5 2" xfId="14324"/>
    <cellStyle name="표준 30 4 5 2 2" xfId="35200"/>
    <cellStyle name="표준 30 4 5 3" xfId="26462"/>
    <cellStyle name="표준 30 4 6" xfId="7117"/>
    <cellStyle name="표준 30 4 6 2" xfId="16125"/>
    <cellStyle name="표준 30 4 6 2 2" xfId="37001"/>
    <cellStyle name="표준 30 4 6 3" xfId="28263"/>
    <cellStyle name="표준 30 4 7" xfId="7762"/>
    <cellStyle name="표준 30 4 7 2" xfId="16768"/>
    <cellStyle name="표준 30 4 7 2 2" xfId="37644"/>
    <cellStyle name="표준 30 4 7 3" xfId="28906"/>
    <cellStyle name="표준 30 4 8" xfId="8610"/>
    <cellStyle name="표준 30 4 8 2" xfId="17615"/>
    <cellStyle name="표준 30 4 8 2 2" xfId="38491"/>
    <cellStyle name="표준 30 4 8 3" xfId="29753"/>
    <cellStyle name="표준 30 4 9" xfId="9434"/>
    <cellStyle name="표준 30 4 9 2" xfId="18433"/>
    <cellStyle name="표준 30 4 9 2 2" xfId="39309"/>
    <cellStyle name="표준 30 4 9 3" xfId="30571"/>
    <cellStyle name="표준 30 5" xfId="3031"/>
    <cellStyle name="표준 30 5 10" xfId="10491"/>
    <cellStyle name="표준 30 5 10 2" xfId="19262"/>
    <cellStyle name="표준 30 5 10 2 2" xfId="40138"/>
    <cellStyle name="표준 30 5 10 3" xfId="31402"/>
    <cellStyle name="표준 30 5 11" xfId="11357"/>
    <cellStyle name="표준 30 5 11 2" xfId="20123"/>
    <cellStyle name="표준 30 5 11 2 2" xfId="40999"/>
    <cellStyle name="표준 30 5 11 3" xfId="32263"/>
    <cellStyle name="표준 30 5 12" xfId="12506"/>
    <cellStyle name="표준 30 5 12 2" xfId="33383"/>
    <cellStyle name="표준 30 5 13" xfId="24633"/>
    <cellStyle name="표준 30 5 2" xfId="3248"/>
    <cellStyle name="표준 30 5 2 10" xfId="11567"/>
    <cellStyle name="표준 30 5 2 10 2" xfId="20333"/>
    <cellStyle name="표준 30 5 2 10 2 2" xfId="41209"/>
    <cellStyle name="표준 30 5 2 10 3" xfId="32473"/>
    <cellStyle name="표준 30 5 2 11" xfId="12716"/>
    <cellStyle name="표준 30 5 2 11 2" xfId="33593"/>
    <cellStyle name="표준 30 5 2 12" xfId="24843"/>
    <cellStyle name="표준 30 5 2 2" xfId="3690"/>
    <cellStyle name="표준 30 5 2 2 2" xfId="5963"/>
    <cellStyle name="표준 30 5 2 2 2 2" xfId="14972"/>
    <cellStyle name="표준 30 5 2 2 2 2 2" xfId="35848"/>
    <cellStyle name="표준 30 5 2 2 2 3" xfId="27110"/>
    <cellStyle name="표준 30 5 2 2 3" xfId="13153"/>
    <cellStyle name="표준 30 5 2 2 3 2" xfId="34030"/>
    <cellStyle name="표준 30 5 2 2 4" xfId="25280"/>
    <cellStyle name="표준 30 5 2 3" xfId="4851"/>
    <cellStyle name="표준 30 5 2 3 2" xfId="6683"/>
    <cellStyle name="표준 30 5 2 3 2 2" xfId="15692"/>
    <cellStyle name="표준 30 5 2 3 2 2 2" xfId="36568"/>
    <cellStyle name="표준 30 5 2 3 2 3" xfId="27830"/>
    <cellStyle name="표준 30 5 2 3 3" xfId="13874"/>
    <cellStyle name="표준 30 5 2 3 3 2" xfId="34750"/>
    <cellStyle name="표준 30 5 2 3 4" xfId="26012"/>
    <cellStyle name="표준 30 5 2 4" xfId="5526"/>
    <cellStyle name="표준 30 5 2 4 2" xfId="14535"/>
    <cellStyle name="표준 30 5 2 4 2 2" xfId="35411"/>
    <cellStyle name="표준 30 5 2 4 3" xfId="26673"/>
    <cellStyle name="표준 30 5 2 5" xfId="7329"/>
    <cellStyle name="표준 30 5 2 5 2" xfId="16336"/>
    <cellStyle name="표준 30 5 2 5 2 2" xfId="37212"/>
    <cellStyle name="표준 30 5 2 5 3" xfId="28474"/>
    <cellStyle name="표준 30 5 2 6" xfId="7973"/>
    <cellStyle name="표준 30 5 2 6 2" xfId="16979"/>
    <cellStyle name="표준 30 5 2 6 2 2" xfId="37855"/>
    <cellStyle name="표준 30 5 2 6 3" xfId="29117"/>
    <cellStyle name="표준 30 5 2 7" xfId="8821"/>
    <cellStyle name="표준 30 5 2 7 2" xfId="17826"/>
    <cellStyle name="표준 30 5 2 7 2 2" xfId="38702"/>
    <cellStyle name="표준 30 5 2 7 3" xfId="29964"/>
    <cellStyle name="표준 30 5 2 8" xfId="9646"/>
    <cellStyle name="표준 30 5 2 8 2" xfId="18644"/>
    <cellStyle name="표준 30 5 2 8 2 2" xfId="39520"/>
    <cellStyle name="표준 30 5 2 8 3" xfId="30782"/>
    <cellStyle name="표준 30 5 2 9" xfId="10701"/>
    <cellStyle name="표준 30 5 2 9 2" xfId="19472"/>
    <cellStyle name="표준 30 5 2 9 2 2" xfId="40348"/>
    <cellStyle name="표준 30 5 2 9 3" xfId="31612"/>
    <cellStyle name="표준 30 5 3" xfId="3480"/>
    <cellStyle name="표준 30 5 3 10" xfId="12943"/>
    <cellStyle name="표준 30 5 3 10 2" xfId="33820"/>
    <cellStyle name="표준 30 5 3 11" xfId="25070"/>
    <cellStyle name="표준 30 5 3 2" xfId="5074"/>
    <cellStyle name="표준 30 5 3 2 2" xfId="6900"/>
    <cellStyle name="표준 30 5 3 2 2 2" xfId="15909"/>
    <cellStyle name="표준 30 5 3 2 2 2 2" xfId="36785"/>
    <cellStyle name="표준 30 5 3 2 2 3" xfId="28047"/>
    <cellStyle name="표준 30 5 3 2 3" xfId="14091"/>
    <cellStyle name="표준 30 5 3 2 3 2" xfId="34967"/>
    <cellStyle name="표준 30 5 3 2 4" xfId="26229"/>
    <cellStyle name="표준 30 5 3 3" xfId="5753"/>
    <cellStyle name="표준 30 5 3 3 2" xfId="14762"/>
    <cellStyle name="표준 30 5 3 3 2 2" xfId="35638"/>
    <cellStyle name="표준 30 5 3 3 3" xfId="26900"/>
    <cellStyle name="표준 30 5 3 4" xfId="7546"/>
    <cellStyle name="표준 30 5 3 4 2" xfId="16553"/>
    <cellStyle name="표준 30 5 3 4 2 2" xfId="37429"/>
    <cellStyle name="표준 30 5 3 4 3" xfId="28691"/>
    <cellStyle name="표준 30 5 3 5" xfId="8190"/>
    <cellStyle name="표준 30 5 3 5 2" xfId="17196"/>
    <cellStyle name="표준 30 5 3 5 2 2" xfId="38072"/>
    <cellStyle name="표준 30 5 3 5 3" xfId="29334"/>
    <cellStyle name="표준 30 5 3 6" xfId="9038"/>
    <cellStyle name="표준 30 5 3 6 2" xfId="18043"/>
    <cellStyle name="표준 30 5 3 6 2 2" xfId="38919"/>
    <cellStyle name="표준 30 5 3 6 3" xfId="30181"/>
    <cellStyle name="표준 30 5 3 7" xfId="9863"/>
    <cellStyle name="표준 30 5 3 7 2" xfId="18861"/>
    <cellStyle name="표준 30 5 3 7 2 2" xfId="39737"/>
    <cellStyle name="표준 30 5 3 7 3" xfId="30999"/>
    <cellStyle name="표준 30 5 3 8" xfId="10918"/>
    <cellStyle name="표준 30 5 3 8 2" xfId="19689"/>
    <cellStyle name="표준 30 5 3 8 2 2" xfId="40565"/>
    <cellStyle name="표준 30 5 3 8 3" xfId="31829"/>
    <cellStyle name="표준 30 5 3 9" xfId="11784"/>
    <cellStyle name="표준 30 5 3 9 2" xfId="20550"/>
    <cellStyle name="표준 30 5 3 9 2 2" xfId="41426"/>
    <cellStyle name="표준 30 5 3 9 3" xfId="32690"/>
    <cellStyle name="표준 30 5 4" xfId="4639"/>
    <cellStyle name="표준 30 5 4 2" xfId="6473"/>
    <cellStyle name="표준 30 5 4 2 2" xfId="15482"/>
    <cellStyle name="표준 30 5 4 2 2 2" xfId="36358"/>
    <cellStyle name="표준 30 5 4 2 3" xfId="27620"/>
    <cellStyle name="표준 30 5 4 3" xfId="11136"/>
    <cellStyle name="표준 30 5 4 3 2" xfId="19906"/>
    <cellStyle name="표준 30 5 4 3 2 2" xfId="40782"/>
    <cellStyle name="표준 30 5 4 3 3" xfId="32046"/>
    <cellStyle name="표준 30 5 4 4" xfId="12001"/>
    <cellStyle name="표준 30 5 4 4 2" xfId="20767"/>
    <cellStyle name="표준 30 5 4 4 2 2" xfId="41643"/>
    <cellStyle name="표준 30 5 4 4 3" xfId="32907"/>
    <cellStyle name="표준 30 5 4 5" xfId="13664"/>
    <cellStyle name="표준 30 5 4 5 2" xfId="34540"/>
    <cellStyle name="표준 30 5 4 6" xfId="25802"/>
    <cellStyle name="표준 30 5 5" xfId="5316"/>
    <cellStyle name="표준 30 5 5 2" xfId="14325"/>
    <cellStyle name="표준 30 5 5 2 2" xfId="35201"/>
    <cellStyle name="표준 30 5 5 3" xfId="26463"/>
    <cellStyle name="표준 30 5 6" xfId="7118"/>
    <cellStyle name="표준 30 5 6 2" xfId="16126"/>
    <cellStyle name="표준 30 5 6 2 2" xfId="37002"/>
    <cellStyle name="표준 30 5 6 3" xfId="28264"/>
    <cellStyle name="표준 30 5 7" xfId="7763"/>
    <cellStyle name="표준 30 5 7 2" xfId="16769"/>
    <cellStyle name="표준 30 5 7 2 2" xfId="37645"/>
    <cellStyle name="표준 30 5 7 3" xfId="28907"/>
    <cellStyle name="표준 30 5 8" xfId="8611"/>
    <cellStyle name="표준 30 5 8 2" xfId="17616"/>
    <cellStyle name="표준 30 5 8 2 2" xfId="38492"/>
    <cellStyle name="표준 30 5 8 3" xfId="29754"/>
    <cellStyle name="표준 30 5 9" xfId="9435"/>
    <cellStyle name="표준 30 5 9 2" xfId="18434"/>
    <cellStyle name="표준 30 5 9 2 2" xfId="39310"/>
    <cellStyle name="표준 30 5 9 3" xfId="30572"/>
    <cellStyle name="표준 30 6" xfId="3032"/>
    <cellStyle name="표준 30 6 10" xfId="10492"/>
    <cellStyle name="표준 30 6 10 2" xfId="19263"/>
    <cellStyle name="표준 30 6 10 2 2" xfId="40139"/>
    <cellStyle name="표준 30 6 10 3" xfId="31403"/>
    <cellStyle name="표준 30 6 11" xfId="11358"/>
    <cellStyle name="표준 30 6 11 2" xfId="20124"/>
    <cellStyle name="표준 30 6 11 2 2" xfId="41000"/>
    <cellStyle name="표준 30 6 11 3" xfId="32264"/>
    <cellStyle name="표준 30 6 12" xfId="12507"/>
    <cellStyle name="표준 30 6 12 2" xfId="33384"/>
    <cellStyle name="표준 30 6 13" xfId="24634"/>
    <cellStyle name="표준 30 6 2" xfId="3249"/>
    <cellStyle name="표준 30 6 2 10" xfId="11568"/>
    <cellStyle name="표준 30 6 2 10 2" xfId="20334"/>
    <cellStyle name="표준 30 6 2 10 2 2" xfId="41210"/>
    <cellStyle name="표준 30 6 2 10 3" xfId="32474"/>
    <cellStyle name="표준 30 6 2 11" xfId="12717"/>
    <cellStyle name="표준 30 6 2 11 2" xfId="33594"/>
    <cellStyle name="표준 30 6 2 12" xfId="24844"/>
    <cellStyle name="표준 30 6 2 2" xfId="3691"/>
    <cellStyle name="표준 30 6 2 2 2" xfId="5964"/>
    <cellStyle name="표준 30 6 2 2 2 2" xfId="14973"/>
    <cellStyle name="표준 30 6 2 2 2 2 2" xfId="35849"/>
    <cellStyle name="표준 30 6 2 2 2 3" xfId="27111"/>
    <cellStyle name="표준 30 6 2 2 3" xfId="13154"/>
    <cellStyle name="표준 30 6 2 2 3 2" xfId="34031"/>
    <cellStyle name="표준 30 6 2 2 4" xfId="25281"/>
    <cellStyle name="표준 30 6 2 3" xfId="4852"/>
    <cellStyle name="표준 30 6 2 3 2" xfId="6684"/>
    <cellStyle name="표준 30 6 2 3 2 2" xfId="15693"/>
    <cellStyle name="표준 30 6 2 3 2 2 2" xfId="36569"/>
    <cellStyle name="표준 30 6 2 3 2 3" xfId="27831"/>
    <cellStyle name="표준 30 6 2 3 3" xfId="13875"/>
    <cellStyle name="표준 30 6 2 3 3 2" xfId="34751"/>
    <cellStyle name="표준 30 6 2 3 4" xfId="26013"/>
    <cellStyle name="표준 30 6 2 4" xfId="5527"/>
    <cellStyle name="표준 30 6 2 4 2" xfId="14536"/>
    <cellStyle name="표준 30 6 2 4 2 2" xfId="35412"/>
    <cellStyle name="표준 30 6 2 4 3" xfId="26674"/>
    <cellStyle name="표준 30 6 2 5" xfId="7330"/>
    <cellStyle name="표준 30 6 2 5 2" xfId="16337"/>
    <cellStyle name="표준 30 6 2 5 2 2" xfId="37213"/>
    <cellStyle name="표준 30 6 2 5 3" xfId="28475"/>
    <cellStyle name="표준 30 6 2 6" xfId="7974"/>
    <cellStyle name="표준 30 6 2 6 2" xfId="16980"/>
    <cellStyle name="표준 30 6 2 6 2 2" xfId="37856"/>
    <cellStyle name="표준 30 6 2 6 3" xfId="29118"/>
    <cellStyle name="표준 30 6 2 7" xfId="8822"/>
    <cellStyle name="표준 30 6 2 7 2" xfId="17827"/>
    <cellStyle name="표준 30 6 2 7 2 2" xfId="38703"/>
    <cellStyle name="표준 30 6 2 7 3" xfId="29965"/>
    <cellStyle name="표준 30 6 2 8" xfId="9647"/>
    <cellStyle name="표준 30 6 2 8 2" xfId="18645"/>
    <cellStyle name="표준 30 6 2 8 2 2" xfId="39521"/>
    <cellStyle name="표준 30 6 2 8 3" xfId="30783"/>
    <cellStyle name="표준 30 6 2 9" xfId="10702"/>
    <cellStyle name="표준 30 6 2 9 2" xfId="19473"/>
    <cellStyle name="표준 30 6 2 9 2 2" xfId="40349"/>
    <cellStyle name="표준 30 6 2 9 3" xfId="31613"/>
    <cellStyle name="표준 30 6 3" xfId="3481"/>
    <cellStyle name="표준 30 6 3 10" xfId="12944"/>
    <cellStyle name="표준 30 6 3 10 2" xfId="33821"/>
    <cellStyle name="표준 30 6 3 11" xfId="25071"/>
    <cellStyle name="표준 30 6 3 2" xfId="5075"/>
    <cellStyle name="표준 30 6 3 2 2" xfId="6901"/>
    <cellStyle name="표준 30 6 3 2 2 2" xfId="15910"/>
    <cellStyle name="표준 30 6 3 2 2 2 2" xfId="36786"/>
    <cellStyle name="표준 30 6 3 2 2 3" xfId="28048"/>
    <cellStyle name="표준 30 6 3 2 3" xfId="14092"/>
    <cellStyle name="표준 30 6 3 2 3 2" xfId="34968"/>
    <cellStyle name="표준 30 6 3 2 4" xfId="26230"/>
    <cellStyle name="표준 30 6 3 3" xfId="5754"/>
    <cellStyle name="표준 30 6 3 3 2" xfId="14763"/>
    <cellStyle name="표준 30 6 3 3 2 2" xfId="35639"/>
    <cellStyle name="표준 30 6 3 3 3" xfId="26901"/>
    <cellStyle name="표준 30 6 3 4" xfId="7547"/>
    <cellStyle name="표준 30 6 3 4 2" xfId="16554"/>
    <cellStyle name="표준 30 6 3 4 2 2" xfId="37430"/>
    <cellStyle name="표준 30 6 3 4 3" xfId="28692"/>
    <cellStyle name="표준 30 6 3 5" xfId="8191"/>
    <cellStyle name="표준 30 6 3 5 2" xfId="17197"/>
    <cellStyle name="표준 30 6 3 5 2 2" xfId="38073"/>
    <cellStyle name="표준 30 6 3 5 3" xfId="29335"/>
    <cellStyle name="표준 30 6 3 6" xfId="9039"/>
    <cellStyle name="표준 30 6 3 6 2" xfId="18044"/>
    <cellStyle name="표준 30 6 3 6 2 2" xfId="38920"/>
    <cellStyle name="표준 30 6 3 6 3" xfId="30182"/>
    <cellStyle name="표준 30 6 3 7" xfId="9864"/>
    <cellStyle name="표준 30 6 3 7 2" xfId="18862"/>
    <cellStyle name="표준 30 6 3 7 2 2" xfId="39738"/>
    <cellStyle name="표준 30 6 3 7 3" xfId="31000"/>
    <cellStyle name="표준 30 6 3 8" xfId="10919"/>
    <cellStyle name="표준 30 6 3 8 2" xfId="19690"/>
    <cellStyle name="표준 30 6 3 8 2 2" xfId="40566"/>
    <cellStyle name="표준 30 6 3 8 3" xfId="31830"/>
    <cellStyle name="표준 30 6 3 9" xfId="11785"/>
    <cellStyle name="표준 30 6 3 9 2" xfId="20551"/>
    <cellStyle name="표준 30 6 3 9 2 2" xfId="41427"/>
    <cellStyle name="표준 30 6 3 9 3" xfId="32691"/>
    <cellStyle name="표준 30 6 4" xfId="4640"/>
    <cellStyle name="표준 30 6 4 2" xfId="6474"/>
    <cellStyle name="표준 30 6 4 2 2" xfId="15483"/>
    <cellStyle name="표준 30 6 4 2 2 2" xfId="36359"/>
    <cellStyle name="표준 30 6 4 2 3" xfId="27621"/>
    <cellStyle name="표준 30 6 4 3" xfId="11137"/>
    <cellStyle name="표준 30 6 4 3 2" xfId="19907"/>
    <cellStyle name="표준 30 6 4 3 2 2" xfId="40783"/>
    <cellStyle name="표준 30 6 4 3 3" xfId="32047"/>
    <cellStyle name="표준 30 6 4 4" xfId="12002"/>
    <cellStyle name="표준 30 6 4 4 2" xfId="20768"/>
    <cellStyle name="표준 30 6 4 4 2 2" xfId="41644"/>
    <cellStyle name="표준 30 6 4 4 3" xfId="32908"/>
    <cellStyle name="표준 30 6 4 5" xfId="13665"/>
    <cellStyle name="표준 30 6 4 5 2" xfId="34541"/>
    <cellStyle name="표준 30 6 4 6" xfId="25803"/>
    <cellStyle name="표준 30 6 5" xfId="5317"/>
    <cellStyle name="표준 30 6 5 2" xfId="14326"/>
    <cellStyle name="표준 30 6 5 2 2" xfId="35202"/>
    <cellStyle name="표준 30 6 5 3" xfId="26464"/>
    <cellStyle name="표준 30 6 6" xfId="7119"/>
    <cellStyle name="표준 30 6 6 2" xfId="16127"/>
    <cellStyle name="표준 30 6 6 2 2" xfId="37003"/>
    <cellStyle name="표준 30 6 6 3" xfId="28265"/>
    <cellStyle name="표준 30 6 7" xfId="7764"/>
    <cellStyle name="표준 30 6 7 2" xfId="16770"/>
    <cellStyle name="표준 30 6 7 2 2" xfId="37646"/>
    <cellStyle name="표준 30 6 7 3" xfId="28908"/>
    <cellStyle name="표준 30 6 8" xfId="8612"/>
    <cellStyle name="표준 30 6 8 2" xfId="17617"/>
    <cellStyle name="표준 30 6 8 2 2" xfId="38493"/>
    <cellStyle name="표준 30 6 8 3" xfId="29755"/>
    <cellStyle name="표준 30 6 9" xfId="9436"/>
    <cellStyle name="표준 30 6 9 2" xfId="18435"/>
    <cellStyle name="표준 30 6 9 2 2" xfId="39311"/>
    <cellStyle name="표준 30 6 9 3" xfId="30573"/>
    <cellStyle name="표준 30 7" xfId="3033"/>
    <cellStyle name="표준 30 7 10" xfId="10493"/>
    <cellStyle name="표준 30 7 10 2" xfId="19264"/>
    <cellStyle name="표준 30 7 10 2 2" xfId="40140"/>
    <cellStyle name="표준 30 7 10 3" xfId="31404"/>
    <cellStyle name="표준 30 7 11" xfId="11359"/>
    <cellStyle name="표준 30 7 11 2" xfId="20125"/>
    <cellStyle name="표준 30 7 11 2 2" xfId="41001"/>
    <cellStyle name="표준 30 7 11 3" xfId="32265"/>
    <cellStyle name="표준 30 7 12" xfId="12508"/>
    <cellStyle name="표준 30 7 12 2" xfId="33385"/>
    <cellStyle name="표준 30 7 13" xfId="24635"/>
    <cellStyle name="표준 30 7 2" xfId="3250"/>
    <cellStyle name="표준 30 7 2 10" xfId="11569"/>
    <cellStyle name="표준 30 7 2 10 2" xfId="20335"/>
    <cellStyle name="표준 30 7 2 10 2 2" xfId="41211"/>
    <cellStyle name="표준 30 7 2 10 3" xfId="32475"/>
    <cellStyle name="표준 30 7 2 11" xfId="12718"/>
    <cellStyle name="표준 30 7 2 11 2" xfId="33595"/>
    <cellStyle name="표준 30 7 2 12" xfId="24845"/>
    <cellStyle name="표준 30 7 2 2" xfId="3692"/>
    <cellStyle name="표준 30 7 2 2 2" xfId="5965"/>
    <cellStyle name="표준 30 7 2 2 2 2" xfId="14974"/>
    <cellStyle name="표준 30 7 2 2 2 2 2" xfId="35850"/>
    <cellStyle name="표준 30 7 2 2 2 3" xfId="27112"/>
    <cellStyle name="표준 30 7 2 2 3" xfId="13155"/>
    <cellStyle name="표준 30 7 2 2 3 2" xfId="34032"/>
    <cellStyle name="표준 30 7 2 2 4" xfId="25282"/>
    <cellStyle name="표준 30 7 2 3" xfId="4853"/>
    <cellStyle name="표준 30 7 2 3 2" xfId="6685"/>
    <cellStyle name="표준 30 7 2 3 2 2" xfId="15694"/>
    <cellStyle name="표준 30 7 2 3 2 2 2" xfId="36570"/>
    <cellStyle name="표준 30 7 2 3 2 3" xfId="27832"/>
    <cellStyle name="표준 30 7 2 3 3" xfId="13876"/>
    <cellStyle name="표준 30 7 2 3 3 2" xfId="34752"/>
    <cellStyle name="표준 30 7 2 3 4" xfId="26014"/>
    <cellStyle name="표준 30 7 2 4" xfId="5528"/>
    <cellStyle name="표준 30 7 2 4 2" xfId="14537"/>
    <cellStyle name="표준 30 7 2 4 2 2" xfId="35413"/>
    <cellStyle name="표준 30 7 2 4 3" xfId="26675"/>
    <cellStyle name="표준 30 7 2 5" xfId="7331"/>
    <cellStyle name="표준 30 7 2 5 2" xfId="16338"/>
    <cellStyle name="표준 30 7 2 5 2 2" xfId="37214"/>
    <cellStyle name="표준 30 7 2 5 3" xfId="28476"/>
    <cellStyle name="표준 30 7 2 6" xfId="7975"/>
    <cellStyle name="표준 30 7 2 6 2" xfId="16981"/>
    <cellStyle name="표준 30 7 2 6 2 2" xfId="37857"/>
    <cellStyle name="표준 30 7 2 6 3" xfId="29119"/>
    <cellStyle name="표준 30 7 2 7" xfId="8823"/>
    <cellStyle name="표준 30 7 2 7 2" xfId="17828"/>
    <cellStyle name="표준 30 7 2 7 2 2" xfId="38704"/>
    <cellStyle name="표준 30 7 2 7 3" xfId="29966"/>
    <cellStyle name="표준 30 7 2 8" xfId="9648"/>
    <cellStyle name="표준 30 7 2 8 2" xfId="18646"/>
    <cellStyle name="표준 30 7 2 8 2 2" xfId="39522"/>
    <cellStyle name="표준 30 7 2 8 3" xfId="30784"/>
    <cellStyle name="표준 30 7 2 9" xfId="10703"/>
    <cellStyle name="표준 30 7 2 9 2" xfId="19474"/>
    <cellStyle name="표준 30 7 2 9 2 2" xfId="40350"/>
    <cellStyle name="표준 30 7 2 9 3" xfId="31614"/>
    <cellStyle name="표준 30 7 3" xfId="3482"/>
    <cellStyle name="표준 30 7 3 10" xfId="12945"/>
    <cellStyle name="표준 30 7 3 10 2" xfId="33822"/>
    <cellStyle name="표준 30 7 3 11" xfId="25072"/>
    <cellStyle name="표준 30 7 3 2" xfId="5076"/>
    <cellStyle name="표준 30 7 3 2 2" xfId="6902"/>
    <cellStyle name="표준 30 7 3 2 2 2" xfId="15911"/>
    <cellStyle name="표준 30 7 3 2 2 2 2" xfId="36787"/>
    <cellStyle name="표준 30 7 3 2 2 3" xfId="28049"/>
    <cellStyle name="표준 30 7 3 2 3" xfId="14093"/>
    <cellStyle name="표준 30 7 3 2 3 2" xfId="34969"/>
    <cellStyle name="표준 30 7 3 2 4" xfId="26231"/>
    <cellStyle name="표준 30 7 3 3" xfId="5755"/>
    <cellStyle name="표준 30 7 3 3 2" xfId="14764"/>
    <cellStyle name="표준 30 7 3 3 2 2" xfId="35640"/>
    <cellStyle name="표준 30 7 3 3 3" xfId="26902"/>
    <cellStyle name="표준 30 7 3 4" xfId="7548"/>
    <cellStyle name="표준 30 7 3 4 2" xfId="16555"/>
    <cellStyle name="표준 30 7 3 4 2 2" xfId="37431"/>
    <cellStyle name="표준 30 7 3 4 3" xfId="28693"/>
    <cellStyle name="표준 30 7 3 5" xfId="8192"/>
    <cellStyle name="표준 30 7 3 5 2" xfId="17198"/>
    <cellStyle name="표준 30 7 3 5 2 2" xfId="38074"/>
    <cellStyle name="표준 30 7 3 5 3" xfId="29336"/>
    <cellStyle name="표준 30 7 3 6" xfId="9040"/>
    <cellStyle name="표준 30 7 3 6 2" xfId="18045"/>
    <cellStyle name="표준 30 7 3 6 2 2" xfId="38921"/>
    <cellStyle name="표준 30 7 3 6 3" xfId="30183"/>
    <cellStyle name="표준 30 7 3 7" xfId="9865"/>
    <cellStyle name="표준 30 7 3 7 2" xfId="18863"/>
    <cellStyle name="표준 30 7 3 7 2 2" xfId="39739"/>
    <cellStyle name="표준 30 7 3 7 3" xfId="31001"/>
    <cellStyle name="표준 30 7 3 8" xfId="10920"/>
    <cellStyle name="표준 30 7 3 8 2" xfId="19691"/>
    <cellStyle name="표준 30 7 3 8 2 2" xfId="40567"/>
    <cellStyle name="표준 30 7 3 8 3" xfId="31831"/>
    <cellStyle name="표준 30 7 3 9" xfId="11786"/>
    <cellStyle name="표준 30 7 3 9 2" xfId="20552"/>
    <cellStyle name="표준 30 7 3 9 2 2" xfId="41428"/>
    <cellStyle name="표준 30 7 3 9 3" xfId="32692"/>
    <cellStyle name="표준 30 7 4" xfId="4641"/>
    <cellStyle name="표준 30 7 4 2" xfId="6475"/>
    <cellStyle name="표준 30 7 4 2 2" xfId="15484"/>
    <cellStyle name="표준 30 7 4 2 2 2" xfId="36360"/>
    <cellStyle name="표준 30 7 4 2 3" xfId="27622"/>
    <cellStyle name="표준 30 7 4 3" xfId="11138"/>
    <cellStyle name="표준 30 7 4 3 2" xfId="19908"/>
    <cellStyle name="표준 30 7 4 3 2 2" xfId="40784"/>
    <cellStyle name="표준 30 7 4 3 3" xfId="32048"/>
    <cellStyle name="표준 30 7 4 4" xfId="12003"/>
    <cellStyle name="표준 30 7 4 4 2" xfId="20769"/>
    <cellStyle name="표준 30 7 4 4 2 2" xfId="41645"/>
    <cellStyle name="표준 30 7 4 4 3" xfId="32909"/>
    <cellStyle name="표준 30 7 4 5" xfId="13666"/>
    <cellStyle name="표준 30 7 4 5 2" xfId="34542"/>
    <cellStyle name="표준 30 7 4 6" xfId="25804"/>
    <cellStyle name="표준 30 7 5" xfId="5318"/>
    <cellStyle name="표준 30 7 5 2" xfId="14327"/>
    <cellStyle name="표준 30 7 5 2 2" xfId="35203"/>
    <cellStyle name="표준 30 7 5 3" xfId="26465"/>
    <cellStyle name="표준 30 7 6" xfId="7120"/>
    <cellStyle name="표준 30 7 6 2" xfId="16128"/>
    <cellStyle name="표준 30 7 6 2 2" xfId="37004"/>
    <cellStyle name="표준 30 7 6 3" xfId="28266"/>
    <cellStyle name="표준 30 7 7" xfId="7765"/>
    <cellStyle name="표준 30 7 7 2" xfId="16771"/>
    <cellStyle name="표준 30 7 7 2 2" xfId="37647"/>
    <cellStyle name="표준 30 7 7 3" xfId="28909"/>
    <cellStyle name="표준 30 7 8" xfId="8613"/>
    <cellStyle name="표준 30 7 8 2" xfId="17618"/>
    <cellStyle name="표준 30 7 8 2 2" xfId="38494"/>
    <cellStyle name="표준 30 7 8 3" xfId="29756"/>
    <cellStyle name="표준 30 7 9" xfId="9437"/>
    <cellStyle name="표준 30 7 9 2" xfId="18436"/>
    <cellStyle name="표준 30 7 9 2 2" xfId="39312"/>
    <cellStyle name="표준 30 7 9 3" xfId="30574"/>
    <cellStyle name="표준 30 8" xfId="3244"/>
    <cellStyle name="표준 30 8 10" xfId="11563"/>
    <cellStyle name="표준 30 8 10 2" xfId="20329"/>
    <cellStyle name="표준 30 8 10 2 2" xfId="41205"/>
    <cellStyle name="표준 30 8 10 3" xfId="32469"/>
    <cellStyle name="표준 30 8 11" xfId="12712"/>
    <cellStyle name="표준 30 8 11 2" xfId="33589"/>
    <cellStyle name="표준 30 8 12" xfId="24839"/>
    <cellStyle name="표준 30 8 2" xfId="3686"/>
    <cellStyle name="표준 30 8 2 2" xfId="5959"/>
    <cellStyle name="표준 30 8 2 2 2" xfId="14968"/>
    <cellStyle name="표준 30 8 2 2 2 2" xfId="35844"/>
    <cellStyle name="표준 30 8 2 2 3" xfId="27106"/>
    <cellStyle name="표준 30 8 2 3" xfId="13149"/>
    <cellStyle name="표준 30 8 2 3 2" xfId="34026"/>
    <cellStyle name="표준 30 8 2 4" xfId="25276"/>
    <cellStyle name="표준 30 8 3" xfId="4847"/>
    <cellStyle name="표준 30 8 3 2" xfId="6679"/>
    <cellStyle name="표준 30 8 3 2 2" xfId="15688"/>
    <cellStyle name="표준 30 8 3 2 2 2" xfId="36564"/>
    <cellStyle name="표준 30 8 3 2 3" xfId="27826"/>
    <cellStyle name="표준 30 8 3 3" xfId="13870"/>
    <cellStyle name="표준 30 8 3 3 2" xfId="34746"/>
    <cellStyle name="표준 30 8 3 4" xfId="26008"/>
    <cellStyle name="표준 30 8 4" xfId="5522"/>
    <cellStyle name="표준 30 8 4 2" xfId="14531"/>
    <cellStyle name="표준 30 8 4 2 2" xfId="35407"/>
    <cellStyle name="표준 30 8 4 3" xfId="26669"/>
    <cellStyle name="표준 30 8 5" xfId="7325"/>
    <cellStyle name="표준 30 8 5 2" xfId="16332"/>
    <cellStyle name="표준 30 8 5 2 2" xfId="37208"/>
    <cellStyle name="표준 30 8 5 3" xfId="28470"/>
    <cellStyle name="표준 30 8 6" xfId="7969"/>
    <cellStyle name="표준 30 8 6 2" xfId="16975"/>
    <cellStyle name="표준 30 8 6 2 2" xfId="37851"/>
    <cellStyle name="표준 30 8 6 3" xfId="29113"/>
    <cellStyle name="표준 30 8 7" xfId="8817"/>
    <cellStyle name="표준 30 8 7 2" xfId="17822"/>
    <cellStyle name="표준 30 8 7 2 2" xfId="38698"/>
    <cellStyle name="표준 30 8 7 3" xfId="29960"/>
    <cellStyle name="표준 30 8 8" xfId="9642"/>
    <cellStyle name="표준 30 8 8 2" xfId="18640"/>
    <cellStyle name="표준 30 8 8 2 2" xfId="39516"/>
    <cellStyle name="표준 30 8 8 3" xfId="30778"/>
    <cellStyle name="표준 30 8 9" xfId="10697"/>
    <cellStyle name="표준 30 8 9 2" xfId="19468"/>
    <cellStyle name="표준 30 8 9 2 2" xfId="40344"/>
    <cellStyle name="표준 30 8 9 3" xfId="31608"/>
    <cellStyle name="표준 30 9" xfId="3476"/>
    <cellStyle name="표준 30 9 10" xfId="12939"/>
    <cellStyle name="표준 30 9 10 2" xfId="33816"/>
    <cellStyle name="표준 30 9 11" xfId="25066"/>
    <cellStyle name="표준 30 9 2" xfId="5070"/>
    <cellStyle name="표준 30 9 2 2" xfId="6896"/>
    <cellStyle name="표준 30 9 2 2 2" xfId="15905"/>
    <cellStyle name="표준 30 9 2 2 2 2" xfId="36781"/>
    <cellStyle name="표준 30 9 2 2 3" xfId="28043"/>
    <cellStyle name="표준 30 9 2 3" xfId="14087"/>
    <cellStyle name="표준 30 9 2 3 2" xfId="34963"/>
    <cellStyle name="표준 30 9 2 4" xfId="26225"/>
    <cellStyle name="표준 30 9 3" xfId="5749"/>
    <cellStyle name="표준 30 9 3 2" xfId="14758"/>
    <cellStyle name="표준 30 9 3 2 2" xfId="35634"/>
    <cellStyle name="표준 30 9 3 3" xfId="26896"/>
    <cellStyle name="표준 30 9 4" xfId="7542"/>
    <cellStyle name="표준 30 9 4 2" xfId="16549"/>
    <cellStyle name="표준 30 9 4 2 2" xfId="37425"/>
    <cellStyle name="표준 30 9 4 3" xfId="28687"/>
    <cellStyle name="표준 30 9 5" xfId="8186"/>
    <cellStyle name="표준 30 9 5 2" xfId="17192"/>
    <cellStyle name="표준 30 9 5 2 2" xfId="38068"/>
    <cellStyle name="표준 30 9 5 3" xfId="29330"/>
    <cellStyle name="표준 30 9 6" xfId="9034"/>
    <cellStyle name="표준 30 9 6 2" xfId="18039"/>
    <cellStyle name="표준 30 9 6 2 2" xfId="38915"/>
    <cellStyle name="표준 30 9 6 3" xfId="30177"/>
    <cellStyle name="표준 30 9 7" xfId="9859"/>
    <cellStyle name="표준 30 9 7 2" xfId="18857"/>
    <cellStyle name="표준 30 9 7 2 2" xfId="39733"/>
    <cellStyle name="표준 30 9 7 3" xfId="30995"/>
    <cellStyle name="표준 30 9 8" xfId="10914"/>
    <cellStyle name="표준 30 9 8 2" xfId="19685"/>
    <cellStyle name="표준 30 9 8 2 2" xfId="40561"/>
    <cellStyle name="표준 30 9 8 3" xfId="31825"/>
    <cellStyle name="표준 30 9 9" xfId="11780"/>
    <cellStyle name="표준 30 9 9 2" xfId="20546"/>
    <cellStyle name="표준 30 9 9 2 2" xfId="41422"/>
    <cellStyle name="표준 30 9 9 3" xfId="32686"/>
    <cellStyle name="표준 31" xfId="3034"/>
    <cellStyle name="표준 31 10" xfId="4642"/>
    <cellStyle name="표준 31 10 2" xfId="6476"/>
    <cellStyle name="표준 31 10 2 2" xfId="15485"/>
    <cellStyle name="표준 31 10 2 2 2" xfId="36361"/>
    <cellStyle name="표준 31 10 2 3" xfId="27623"/>
    <cellStyle name="표준 31 10 3" xfId="11139"/>
    <cellStyle name="표준 31 10 3 2" xfId="19909"/>
    <cellStyle name="표준 31 10 3 2 2" xfId="40785"/>
    <cellStyle name="표준 31 10 3 3" xfId="32049"/>
    <cellStyle name="표준 31 10 4" xfId="12004"/>
    <cellStyle name="표준 31 10 4 2" xfId="20770"/>
    <cellStyle name="표준 31 10 4 2 2" xfId="41646"/>
    <cellStyle name="표준 31 10 4 3" xfId="32910"/>
    <cellStyle name="표준 31 10 5" xfId="13667"/>
    <cellStyle name="표준 31 10 5 2" xfId="34543"/>
    <cellStyle name="표준 31 10 6" xfId="25805"/>
    <cellStyle name="표준 31 11" xfId="5319"/>
    <cellStyle name="표준 31 11 2" xfId="14328"/>
    <cellStyle name="표준 31 11 2 2" xfId="35204"/>
    <cellStyle name="표준 31 11 3" xfId="26466"/>
    <cellStyle name="표준 31 12" xfId="7121"/>
    <cellStyle name="표준 31 12 2" xfId="16129"/>
    <cellStyle name="표준 31 12 2 2" xfId="37005"/>
    <cellStyle name="표준 31 12 3" xfId="28267"/>
    <cellStyle name="표준 31 13" xfId="7766"/>
    <cellStyle name="표준 31 13 2" xfId="16772"/>
    <cellStyle name="표준 31 13 2 2" xfId="37648"/>
    <cellStyle name="표준 31 13 3" xfId="28910"/>
    <cellStyle name="표준 31 14" xfId="8614"/>
    <cellStyle name="표준 31 14 2" xfId="17619"/>
    <cellStyle name="표준 31 14 2 2" xfId="38495"/>
    <cellStyle name="표준 31 14 3" xfId="29757"/>
    <cellStyle name="표준 31 15" xfId="9438"/>
    <cellStyle name="표준 31 15 2" xfId="18437"/>
    <cellStyle name="표준 31 15 2 2" xfId="39313"/>
    <cellStyle name="표준 31 15 3" xfId="30575"/>
    <cellStyle name="표준 31 16" xfId="10494"/>
    <cellStyle name="표준 31 16 2" xfId="19265"/>
    <cellStyle name="표준 31 16 2 2" xfId="40141"/>
    <cellStyle name="표준 31 16 3" xfId="31405"/>
    <cellStyle name="표준 31 17" xfId="11360"/>
    <cellStyle name="표준 31 17 2" xfId="20126"/>
    <cellStyle name="표준 31 17 2 2" xfId="41002"/>
    <cellStyle name="표준 31 17 3" xfId="32266"/>
    <cellStyle name="표준 31 18" xfId="12509"/>
    <cellStyle name="표준 31 18 2" xfId="33386"/>
    <cellStyle name="표준 31 19" xfId="24636"/>
    <cellStyle name="표준 31 2" xfId="3035"/>
    <cellStyle name="표준 31 2 10" xfId="10495"/>
    <cellStyle name="표준 31 2 10 2" xfId="19266"/>
    <cellStyle name="표준 31 2 10 2 2" xfId="40142"/>
    <cellStyle name="표준 31 2 10 3" xfId="31406"/>
    <cellStyle name="표준 31 2 11" xfId="11361"/>
    <cellStyle name="표준 31 2 11 2" xfId="20127"/>
    <cellStyle name="표준 31 2 11 2 2" xfId="41003"/>
    <cellStyle name="표준 31 2 11 3" xfId="32267"/>
    <cellStyle name="표준 31 2 12" xfId="12510"/>
    <cellStyle name="표준 31 2 12 2" xfId="33387"/>
    <cellStyle name="표준 31 2 13" xfId="24637"/>
    <cellStyle name="표준 31 2 2" xfId="3252"/>
    <cellStyle name="표준 31 2 2 10" xfId="11571"/>
    <cellStyle name="표준 31 2 2 10 2" xfId="20337"/>
    <cellStyle name="표준 31 2 2 10 2 2" xfId="41213"/>
    <cellStyle name="표준 31 2 2 10 3" xfId="32477"/>
    <cellStyle name="표준 31 2 2 11" xfId="12720"/>
    <cellStyle name="표준 31 2 2 11 2" xfId="33597"/>
    <cellStyle name="표준 31 2 2 12" xfId="24847"/>
    <cellStyle name="표준 31 2 2 2" xfId="3694"/>
    <cellStyle name="표준 31 2 2 2 2" xfId="5967"/>
    <cellStyle name="표준 31 2 2 2 2 2" xfId="14976"/>
    <cellStyle name="표준 31 2 2 2 2 2 2" xfId="35852"/>
    <cellStyle name="표준 31 2 2 2 2 3" xfId="27114"/>
    <cellStyle name="표준 31 2 2 2 3" xfId="13157"/>
    <cellStyle name="표준 31 2 2 2 3 2" xfId="34034"/>
    <cellStyle name="표준 31 2 2 2 4" xfId="25284"/>
    <cellStyle name="표준 31 2 2 3" xfId="4855"/>
    <cellStyle name="표준 31 2 2 3 2" xfId="6687"/>
    <cellStyle name="표준 31 2 2 3 2 2" xfId="15696"/>
    <cellStyle name="표준 31 2 2 3 2 2 2" xfId="36572"/>
    <cellStyle name="표준 31 2 2 3 2 3" xfId="27834"/>
    <cellStyle name="표준 31 2 2 3 3" xfId="13878"/>
    <cellStyle name="표준 31 2 2 3 3 2" xfId="34754"/>
    <cellStyle name="표준 31 2 2 3 4" xfId="26016"/>
    <cellStyle name="표준 31 2 2 4" xfId="5530"/>
    <cellStyle name="표준 31 2 2 4 2" xfId="14539"/>
    <cellStyle name="표준 31 2 2 4 2 2" xfId="35415"/>
    <cellStyle name="표준 31 2 2 4 3" xfId="26677"/>
    <cellStyle name="표준 31 2 2 5" xfId="7333"/>
    <cellStyle name="표준 31 2 2 5 2" xfId="16340"/>
    <cellStyle name="표준 31 2 2 5 2 2" xfId="37216"/>
    <cellStyle name="표준 31 2 2 5 3" xfId="28478"/>
    <cellStyle name="표준 31 2 2 6" xfId="7977"/>
    <cellStyle name="표준 31 2 2 6 2" xfId="16983"/>
    <cellStyle name="표준 31 2 2 6 2 2" xfId="37859"/>
    <cellStyle name="표준 31 2 2 6 3" xfId="29121"/>
    <cellStyle name="표준 31 2 2 7" xfId="8825"/>
    <cellStyle name="표준 31 2 2 7 2" xfId="17830"/>
    <cellStyle name="표준 31 2 2 7 2 2" xfId="38706"/>
    <cellStyle name="표준 31 2 2 7 3" xfId="29968"/>
    <cellStyle name="표준 31 2 2 8" xfId="9650"/>
    <cellStyle name="표준 31 2 2 8 2" xfId="18648"/>
    <cellStyle name="표준 31 2 2 8 2 2" xfId="39524"/>
    <cellStyle name="표준 31 2 2 8 3" xfId="30786"/>
    <cellStyle name="표준 31 2 2 9" xfId="10705"/>
    <cellStyle name="표준 31 2 2 9 2" xfId="19476"/>
    <cellStyle name="표준 31 2 2 9 2 2" xfId="40352"/>
    <cellStyle name="표준 31 2 2 9 3" xfId="31616"/>
    <cellStyle name="표준 31 2 3" xfId="3484"/>
    <cellStyle name="표준 31 2 3 10" xfId="12947"/>
    <cellStyle name="표준 31 2 3 10 2" xfId="33824"/>
    <cellStyle name="표준 31 2 3 11" xfId="25074"/>
    <cellStyle name="표준 31 2 3 2" xfId="5078"/>
    <cellStyle name="표준 31 2 3 2 2" xfId="6904"/>
    <cellStyle name="표준 31 2 3 2 2 2" xfId="15913"/>
    <cellStyle name="표준 31 2 3 2 2 2 2" xfId="36789"/>
    <cellStyle name="표준 31 2 3 2 2 3" xfId="28051"/>
    <cellStyle name="표준 31 2 3 2 3" xfId="14095"/>
    <cellStyle name="표준 31 2 3 2 3 2" xfId="34971"/>
    <cellStyle name="표준 31 2 3 2 4" xfId="26233"/>
    <cellStyle name="표준 31 2 3 3" xfId="5757"/>
    <cellStyle name="표준 31 2 3 3 2" xfId="14766"/>
    <cellStyle name="표준 31 2 3 3 2 2" xfId="35642"/>
    <cellStyle name="표준 31 2 3 3 3" xfId="26904"/>
    <cellStyle name="표준 31 2 3 4" xfId="7550"/>
    <cellStyle name="표준 31 2 3 4 2" xfId="16557"/>
    <cellStyle name="표준 31 2 3 4 2 2" xfId="37433"/>
    <cellStyle name="표준 31 2 3 4 3" xfId="28695"/>
    <cellStyle name="표준 31 2 3 5" xfId="8194"/>
    <cellStyle name="표준 31 2 3 5 2" xfId="17200"/>
    <cellStyle name="표준 31 2 3 5 2 2" xfId="38076"/>
    <cellStyle name="표준 31 2 3 5 3" xfId="29338"/>
    <cellStyle name="표준 31 2 3 6" xfId="9042"/>
    <cellStyle name="표준 31 2 3 6 2" xfId="18047"/>
    <cellStyle name="표준 31 2 3 6 2 2" xfId="38923"/>
    <cellStyle name="표준 31 2 3 6 3" xfId="30185"/>
    <cellStyle name="표준 31 2 3 7" xfId="9867"/>
    <cellStyle name="표준 31 2 3 7 2" xfId="18865"/>
    <cellStyle name="표준 31 2 3 7 2 2" xfId="39741"/>
    <cellStyle name="표준 31 2 3 7 3" xfId="31003"/>
    <cellStyle name="표준 31 2 3 8" xfId="10922"/>
    <cellStyle name="표준 31 2 3 8 2" xfId="19693"/>
    <cellStyle name="표준 31 2 3 8 2 2" xfId="40569"/>
    <cellStyle name="표준 31 2 3 8 3" xfId="31833"/>
    <cellStyle name="표준 31 2 3 9" xfId="11788"/>
    <cellStyle name="표준 31 2 3 9 2" xfId="20554"/>
    <cellStyle name="표준 31 2 3 9 2 2" xfId="41430"/>
    <cellStyle name="표준 31 2 3 9 3" xfId="32694"/>
    <cellStyle name="표준 31 2 4" xfId="4643"/>
    <cellStyle name="표준 31 2 4 2" xfId="6477"/>
    <cellStyle name="표준 31 2 4 2 2" xfId="15486"/>
    <cellStyle name="표준 31 2 4 2 2 2" xfId="36362"/>
    <cellStyle name="표준 31 2 4 2 3" xfId="27624"/>
    <cellStyle name="표준 31 2 4 3" xfId="11140"/>
    <cellStyle name="표준 31 2 4 3 2" xfId="19910"/>
    <cellStyle name="표준 31 2 4 3 2 2" xfId="40786"/>
    <cellStyle name="표준 31 2 4 3 3" xfId="32050"/>
    <cellStyle name="표준 31 2 4 4" xfId="12005"/>
    <cellStyle name="표준 31 2 4 4 2" xfId="20771"/>
    <cellStyle name="표준 31 2 4 4 2 2" xfId="41647"/>
    <cellStyle name="표준 31 2 4 4 3" xfId="32911"/>
    <cellStyle name="표준 31 2 4 5" xfId="13668"/>
    <cellStyle name="표준 31 2 4 5 2" xfId="34544"/>
    <cellStyle name="표준 31 2 4 6" xfId="25806"/>
    <cellStyle name="표준 31 2 5" xfId="5320"/>
    <cellStyle name="표준 31 2 5 2" xfId="14329"/>
    <cellStyle name="표준 31 2 5 2 2" xfId="35205"/>
    <cellStyle name="표준 31 2 5 3" xfId="26467"/>
    <cellStyle name="표준 31 2 6" xfId="7122"/>
    <cellStyle name="표준 31 2 6 2" xfId="16130"/>
    <cellStyle name="표준 31 2 6 2 2" xfId="37006"/>
    <cellStyle name="표준 31 2 6 3" xfId="28268"/>
    <cellStyle name="표준 31 2 7" xfId="7767"/>
    <cellStyle name="표준 31 2 7 2" xfId="16773"/>
    <cellStyle name="표준 31 2 7 2 2" xfId="37649"/>
    <cellStyle name="표준 31 2 7 3" xfId="28911"/>
    <cellStyle name="표준 31 2 8" xfId="8615"/>
    <cellStyle name="표준 31 2 8 2" xfId="17620"/>
    <cellStyle name="표준 31 2 8 2 2" xfId="38496"/>
    <cellStyle name="표준 31 2 8 3" xfId="29758"/>
    <cellStyle name="표준 31 2 9" xfId="9439"/>
    <cellStyle name="표준 31 2 9 2" xfId="18438"/>
    <cellStyle name="표준 31 2 9 2 2" xfId="39314"/>
    <cellStyle name="표준 31 2 9 3" xfId="30576"/>
    <cellStyle name="표준 31 3" xfId="3036"/>
    <cellStyle name="표준 31 3 10" xfId="10496"/>
    <cellStyle name="표준 31 3 10 2" xfId="19267"/>
    <cellStyle name="표준 31 3 10 2 2" xfId="40143"/>
    <cellStyle name="표준 31 3 10 3" xfId="31407"/>
    <cellStyle name="표준 31 3 11" xfId="11362"/>
    <cellStyle name="표준 31 3 11 2" xfId="20128"/>
    <cellStyle name="표준 31 3 11 2 2" xfId="41004"/>
    <cellStyle name="표준 31 3 11 3" xfId="32268"/>
    <cellStyle name="표준 31 3 12" xfId="12511"/>
    <cellStyle name="표준 31 3 12 2" xfId="33388"/>
    <cellStyle name="표준 31 3 13" xfId="24638"/>
    <cellStyle name="표준 31 3 2" xfId="3253"/>
    <cellStyle name="표준 31 3 2 10" xfId="11572"/>
    <cellStyle name="표준 31 3 2 10 2" xfId="20338"/>
    <cellStyle name="표준 31 3 2 10 2 2" xfId="41214"/>
    <cellStyle name="표준 31 3 2 10 3" xfId="32478"/>
    <cellStyle name="표준 31 3 2 11" xfId="12721"/>
    <cellStyle name="표준 31 3 2 11 2" xfId="33598"/>
    <cellStyle name="표준 31 3 2 12" xfId="24848"/>
    <cellStyle name="표준 31 3 2 2" xfId="3695"/>
    <cellStyle name="표준 31 3 2 2 2" xfId="5968"/>
    <cellStyle name="표준 31 3 2 2 2 2" xfId="14977"/>
    <cellStyle name="표준 31 3 2 2 2 2 2" xfId="35853"/>
    <cellStyle name="표준 31 3 2 2 2 3" xfId="27115"/>
    <cellStyle name="표준 31 3 2 2 3" xfId="13158"/>
    <cellStyle name="표준 31 3 2 2 3 2" xfId="34035"/>
    <cellStyle name="표준 31 3 2 2 4" xfId="25285"/>
    <cellStyle name="표준 31 3 2 3" xfId="4856"/>
    <cellStyle name="표준 31 3 2 3 2" xfId="6688"/>
    <cellStyle name="표준 31 3 2 3 2 2" xfId="15697"/>
    <cellStyle name="표준 31 3 2 3 2 2 2" xfId="36573"/>
    <cellStyle name="표준 31 3 2 3 2 3" xfId="27835"/>
    <cellStyle name="표준 31 3 2 3 3" xfId="13879"/>
    <cellStyle name="표준 31 3 2 3 3 2" xfId="34755"/>
    <cellStyle name="표준 31 3 2 3 4" xfId="26017"/>
    <cellStyle name="표준 31 3 2 4" xfId="5531"/>
    <cellStyle name="표준 31 3 2 4 2" xfId="14540"/>
    <cellStyle name="표준 31 3 2 4 2 2" xfId="35416"/>
    <cellStyle name="표준 31 3 2 4 3" xfId="26678"/>
    <cellStyle name="표준 31 3 2 5" xfId="7334"/>
    <cellStyle name="표준 31 3 2 5 2" xfId="16341"/>
    <cellStyle name="표준 31 3 2 5 2 2" xfId="37217"/>
    <cellStyle name="표준 31 3 2 5 3" xfId="28479"/>
    <cellStyle name="표준 31 3 2 6" xfId="7978"/>
    <cellStyle name="표준 31 3 2 6 2" xfId="16984"/>
    <cellStyle name="표준 31 3 2 6 2 2" xfId="37860"/>
    <cellStyle name="표준 31 3 2 6 3" xfId="29122"/>
    <cellStyle name="표준 31 3 2 7" xfId="8826"/>
    <cellStyle name="표준 31 3 2 7 2" xfId="17831"/>
    <cellStyle name="표준 31 3 2 7 2 2" xfId="38707"/>
    <cellStyle name="표준 31 3 2 7 3" xfId="29969"/>
    <cellStyle name="표준 31 3 2 8" xfId="9651"/>
    <cellStyle name="표준 31 3 2 8 2" xfId="18649"/>
    <cellStyle name="표준 31 3 2 8 2 2" xfId="39525"/>
    <cellStyle name="표준 31 3 2 8 3" xfId="30787"/>
    <cellStyle name="표준 31 3 2 9" xfId="10706"/>
    <cellStyle name="표준 31 3 2 9 2" xfId="19477"/>
    <cellStyle name="표준 31 3 2 9 2 2" xfId="40353"/>
    <cellStyle name="표준 31 3 2 9 3" xfId="31617"/>
    <cellStyle name="표준 31 3 3" xfId="3485"/>
    <cellStyle name="표준 31 3 3 10" xfId="12948"/>
    <cellStyle name="표준 31 3 3 10 2" xfId="33825"/>
    <cellStyle name="표준 31 3 3 11" xfId="25075"/>
    <cellStyle name="표준 31 3 3 2" xfId="5079"/>
    <cellStyle name="표준 31 3 3 2 2" xfId="6905"/>
    <cellStyle name="표준 31 3 3 2 2 2" xfId="15914"/>
    <cellStyle name="표준 31 3 3 2 2 2 2" xfId="36790"/>
    <cellStyle name="표준 31 3 3 2 2 3" xfId="28052"/>
    <cellStyle name="표준 31 3 3 2 3" xfId="14096"/>
    <cellStyle name="표준 31 3 3 2 3 2" xfId="34972"/>
    <cellStyle name="표준 31 3 3 2 4" xfId="26234"/>
    <cellStyle name="표준 31 3 3 3" xfId="5758"/>
    <cellStyle name="표준 31 3 3 3 2" xfId="14767"/>
    <cellStyle name="표준 31 3 3 3 2 2" xfId="35643"/>
    <cellStyle name="표준 31 3 3 3 3" xfId="26905"/>
    <cellStyle name="표준 31 3 3 4" xfId="7551"/>
    <cellStyle name="표준 31 3 3 4 2" xfId="16558"/>
    <cellStyle name="표준 31 3 3 4 2 2" xfId="37434"/>
    <cellStyle name="표준 31 3 3 4 3" xfId="28696"/>
    <cellStyle name="표준 31 3 3 5" xfId="8195"/>
    <cellStyle name="표준 31 3 3 5 2" xfId="17201"/>
    <cellStyle name="표준 31 3 3 5 2 2" xfId="38077"/>
    <cellStyle name="표준 31 3 3 5 3" xfId="29339"/>
    <cellStyle name="표준 31 3 3 6" xfId="9043"/>
    <cellStyle name="표준 31 3 3 6 2" xfId="18048"/>
    <cellStyle name="표준 31 3 3 6 2 2" xfId="38924"/>
    <cellStyle name="표준 31 3 3 6 3" xfId="30186"/>
    <cellStyle name="표준 31 3 3 7" xfId="9868"/>
    <cellStyle name="표준 31 3 3 7 2" xfId="18866"/>
    <cellStyle name="표준 31 3 3 7 2 2" xfId="39742"/>
    <cellStyle name="표준 31 3 3 7 3" xfId="31004"/>
    <cellStyle name="표준 31 3 3 8" xfId="10923"/>
    <cellStyle name="표준 31 3 3 8 2" xfId="19694"/>
    <cellStyle name="표준 31 3 3 8 2 2" xfId="40570"/>
    <cellStyle name="표준 31 3 3 8 3" xfId="31834"/>
    <cellStyle name="표준 31 3 3 9" xfId="11789"/>
    <cellStyle name="표준 31 3 3 9 2" xfId="20555"/>
    <cellStyle name="표준 31 3 3 9 2 2" xfId="41431"/>
    <cellStyle name="표준 31 3 3 9 3" xfId="32695"/>
    <cellStyle name="표준 31 3 4" xfId="4644"/>
    <cellStyle name="표준 31 3 4 2" xfId="6478"/>
    <cellStyle name="표준 31 3 4 2 2" xfId="15487"/>
    <cellStyle name="표준 31 3 4 2 2 2" xfId="36363"/>
    <cellStyle name="표준 31 3 4 2 3" xfId="27625"/>
    <cellStyle name="표준 31 3 4 3" xfId="11141"/>
    <cellStyle name="표준 31 3 4 3 2" xfId="19911"/>
    <cellStyle name="표준 31 3 4 3 2 2" xfId="40787"/>
    <cellStyle name="표준 31 3 4 3 3" xfId="32051"/>
    <cellStyle name="표준 31 3 4 4" xfId="12006"/>
    <cellStyle name="표준 31 3 4 4 2" xfId="20772"/>
    <cellStyle name="표준 31 3 4 4 2 2" xfId="41648"/>
    <cellStyle name="표준 31 3 4 4 3" xfId="32912"/>
    <cellStyle name="표준 31 3 4 5" xfId="13669"/>
    <cellStyle name="표준 31 3 4 5 2" xfId="34545"/>
    <cellStyle name="표준 31 3 4 6" xfId="25807"/>
    <cellStyle name="표준 31 3 5" xfId="5321"/>
    <cellStyle name="표준 31 3 5 2" xfId="14330"/>
    <cellStyle name="표준 31 3 5 2 2" xfId="35206"/>
    <cellStyle name="표준 31 3 5 3" xfId="26468"/>
    <cellStyle name="표준 31 3 6" xfId="7123"/>
    <cellStyle name="표준 31 3 6 2" xfId="16131"/>
    <cellStyle name="표준 31 3 6 2 2" xfId="37007"/>
    <cellStyle name="표준 31 3 6 3" xfId="28269"/>
    <cellStyle name="표준 31 3 7" xfId="7768"/>
    <cellStyle name="표준 31 3 7 2" xfId="16774"/>
    <cellStyle name="표준 31 3 7 2 2" xfId="37650"/>
    <cellStyle name="표준 31 3 7 3" xfId="28912"/>
    <cellStyle name="표준 31 3 8" xfId="8616"/>
    <cellStyle name="표준 31 3 8 2" xfId="17621"/>
    <cellStyle name="표준 31 3 8 2 2" xfId="38497"/>
    <cellStyle name="표준 31 3 8 3" xfId="29759"/>
    <cellStyle name="표준 31 3 9" xfId="9440"/>
    <cellStyle name="표준 31 3 9 2" xfId="18439"/>
    <cellStyle name="표준 31 3 9 2 2" xfId="39315"/>
    <cellStyle name="표준 31 3 9 3" xfId="30577"/>
    <cellStyle name="표준 31 4" xfId="3037"/>
    <cellStyle name="표준 31 4 10" xfId="10497"/>
    <cellStyle name="표준 31 4 10 2" xfId="19268"/>
    <cellStyle name="표준 31 4 10 2 2" xfId="40144"/>
    <cellStyle name="표준 31 4 10 3" xfId="31408"/>
    <cellStyle name="표준 31 4 11" xfId="11363"/>
    <cellStyle name="표준 31 4 11 2" xfId="20129"/>
    <cellStyle name="표준 31 4 11 2 2" xfId="41005"/>
    <cellStyle name="표준 31 4 11 3" xfId="32269"/>
    <cellStyle name="표준 31 4 12" xfId="12512"/>
    <cellStyle name="표준 31 4 12 2" xfId="33389"/>
    <cellStyle name="표준 31 4 13" xfId="24639"/>
    <cellStyle name="표준 31 4 2" xfId="3254"/>
    <cellStyle name="표준 31 4 2 10" xfId="11573"/>
    <cellStyle name="표준 31 4 2 10 2" xfId="20339"/>
    <cellStyle name="표준 31 4 2 10 2 2" xfId="41215"/>
    <cellStyle name="표준 31 4 2 10 3" xfId="32479"/>
    <cellStyle name="표준 31 4 2 11" xfId="12722"/>
    <cellStyle name="표준 31 4 2 11 2" xfId="33599"/>
    <cellStyle name="표준 31 4 2 12" xfId="24849"/>
    <cellStyle name="표준 31 4 2 2" xfId="3696"/>
    <cellStyle name="표준 31 4 2 2 2" xfId="5969"/>
    <cellStyle name="표준 31 4 2 2 2 2" xfId="14978"/>
    <cellStyle name="표준 31 4 2 2 2 2 2" xfId="35854"/>
    <cellStyle name="표준 31 4 2 2 2 3" xfId="27116"/>
    <cellStyle name="표준 31 4 2 2 3" xfId="13159"/>
    <cellStyle name="표준 31 4 2 2 3 2" xfId="34036"/>
    <cellStyle name="표준 31 4 2 2 4" xfId="25286"/>
    <cellStyle name="표준 31 4 2 3" xfId="4857"/>
    <cellStyle name="표준 31 4 2 3 2" xfId="6689"/>
    <cellStyle name="표준 31 4 2 3 2 2" xfId="15698"/>
    <cellStyle name="표준 31 4 2 3 2 2 2" xfId="36574"/>
    <cellStyle name="표준 31 4 2 3 2 3" xfId="27836"/>
    <cellStyle name="표준 31 4 2 3 3" xfId="13880"/>
    <cellStyle name="표준 31 4 2 3 3 2" xfId="34756"/>
    <cellStyle name="표준 31 4 2 3 4" xfId="26018"/>
    <cellStyle name="표준 31 4 2 4" xfId="5532"/>
    <cellStyle name="표준 31 4 2 4 2" xfId="14541"/>
    <cellStyle name="표준 31 4 2 4 2 2" xfId="35417"/>
    <cellStyle name="표준 31 4 2 4 3" xfId="26679"/>
    <cellStyle name="표준 31 4 2 5" xfId="7335"/>
    <cellStyle name="표준 31 4 2 5 2" xfId="16342"/>
    <cellStyle name="표준 31 4 2 5 2 2" xfId="37218"/>
    <cellStyle name="표준 31 4 2 5 3" xfId="28480"/>
    <cellStyle name="표준 31 4 2 6" xfId="7979"/>
    <cellStyle name="표준 31 4 2 6 2" xfId="16985"/>
    <cellStyle name="표준 31 4 2 6 2 2" xfId="37861"/>
    <cellStyle name="표준 31 4 2 6 3" xfId="29123"/>
    <cellStyle name="표준 31 4 2 7" xfId="8827"/>
    <cellStyle name="표준 31 4 2 7 2" xfId="17832"/>
    <cellStyle name="표준 31 4 2 7 2 2" xfId="38708"/>
    <cellStyle name="표준 31 4 2 7 3" xfId="29970"/>
    <cellStyle name="표준 31 4 2 8" xfId="9652"/>
    <cellStyle name="표준 31 4 2 8 2" xfId="18650"/>
    <cellStyle name="표준 31 4 2 8 2 2" xfId="39526"/>
    <cellStyle name="표준 31 4 2 8 3" xfId="30788"/>
    <cellStyle name="표준 31 4 2 9" xfId="10707"/>
    <cellStyle name="표준 31 4 2 9 2" xfId="19478"/>
    <cellStyle name="표준 31 4 2 9 2 2" xfId="40354"/>
    <cellStyle name="표준 31 4 2 9 3" xfId="31618"/>
    <cellStyle name="표준 31 4 3" xfId="3486"/>
    <cellStyle name="표준 31 4 3 10" xfId="12949"/>
    <cellStyle name="표준 31 4 3 10 2" xfId="33826"/>
    <cellStyle name="표준 31 4 3 11" xfId="25076"/>
    <cellStyle name="표준 31 4 3 2" xfId="5080"/>
    <cellStyle name="표준 31 4 3 2 2" xfId="6906"/>
    <cellStyle name="표준 31 4 3 2 2 2" xfId="15915"/>
    <cellStyle name="표준 31 4 3 2 2 2 2" xfId="36791"/>
    <cellStyle name="표준 31 4 3 2 2 3" xfId="28053"/>
    <cellStyle name="표준 31 4 3 2 3" xfId="14097"/>
    <cellStyle name="표준 31 4 3 2 3 2" xfId="34973"/>
    <cellStyle name="표준 31 4 3 2 4" xfId="26235"/>
    <cellStyle name="표준 31 4 3 3" xfId="5759"/>
    <cellStyle name="표준 31 4 3 3 2" xfId="14768"/>
    <cellStyle name="표준 31 4 3 3 2 2" xfId="35644"/>
    <cellStyle name="표준 31 4 3 3 3" xfId="26906"/>
    <cellStyle name="표준 31 4 3 4" xfId="7552"/>
    <cellStyle name="표준 31 4 3 4 2" xfId="16559"/>
    <cellStyle name="표준 31 4 3 4 2 2" xfId="37435"/>
    <cellStyle name="표준 31 4 3 4 3" xfId="28697"/>
    <cellStyle name="표준 31 4 3 5" xfId="8196"/>
    <cellStyle name="표준 31 4 3 5 2" xfId="17202"/>
    <cellStyle name="표준 31 4 3 5 2 2" xfId="38078"/>
    <cellStyle name="표준 31 4 3 5 3" xfId="29340"/>
    <cellStyle name="표준 31 4 3 6" xfId="9044"/>
    <cellStyle name="표준 31 4 3 6 2" xfId="18049"/>
    <cellStyle name="표준 31 4 3 6 2 2" xfId="38925"/>
    <cellStyle name="표준 31 4 3 6 3" xfId="30187"/>
    <cellStyle name="표준 31 4 3 7" xfId="9869"/>
    <cellStyle name="표준 31 4 3 7 2" xfId="18867"/>
    <cellStyle name="표준 31 4 3 7 2 2" xfId="39743"/>
    <cellStyle name="표준 31 4 3 7 3" xfId="31005"/>
    <cellStyle name="표준 31 4 3 8" xfId="10924"/>
    <cellStyle name="표준 31 4 3 8 2" xfId="19695"/>
    <cellStyle name="표준 31 4 3 8 2 2" xfId="40571"/>
    <cellStyle name="표준 31 4 3 8 3" xfId="31835"/>
    <cellStyle name="표준 31 4 3 9" xfId="11790"/>
    <cellStyle name="표준 31 4 3 9 2" xfId="20556"/>
    <cellStyle name="표준 31 4 3 9 2 2" xfId="41432"/>
    <cellStyle name="표준 31 4 3 9 3" xfId="32696"/>
    <cellStyle name="표준 31 4 4" xfId="4645"/>
    <cellStyle name="표준 31 4 4 2" xfId="6479"/>
    <cellStyle name="표준 31 4 4 2 2" xfId="15488"/>
    <cellStyle name="표준 31 4 4 2 2 2" xfId="36364"/>
    <cellStyle name="표준 31 4 4 2 3" xfId="27626"/>
    <cellStyle name="표준 31 4 4 3" xfId="11142"/>
    <cellStyle name="표준 31 4 4 3 2" xfId="19912"/>
    <cellStyle name="표준 31 4 4 3 2 2" xfId="40788"/>
    <cellStyle name="표준 31 4 4 3 3" xfId="32052"/>
    <cellStyle name="표준 31 4 4 4" xfId="12007"/>
    <cellStyle name="표준 31 4 4 4 2" xfId="20773"/>
    <cellStyle name="표준 31 4 4 4 2 2" xfId="41649"/>
    <cellStyle name="표준 31 4 4 4 3" xfId="32913"/>
    <cellStyle name="표준 31 4 4 5" xfId="13670"/>
    <cellStyle name="표준 31 4 4 5 2" xfId="34546"/>
    <cellStyle name="표준 31 4 4 6" xfId="25808"/>
    <cellStyle name="표준 31 4 5" xfId="5322"/>
    <cellStyle name="표준 31 4 5 2" xfId="14331"/>
    <cellStyle name="표준 31 4 5 2 2" xfId="35207"/>
    <cellStyle name="표준 31 4 5 3" xfId="26469"/>
    <cellStyle name="표준 31 4 6" xfId="7124"/>
    <cellStyle name="표준 31 4 6 2" xfId="16132"/>
    <cellStyle name="표준 31 4 6 2 2" xfId="37008"/>
    <cellStyle name="표준 31 4 6 3" xfId="28270"/>
    <cellStyle name="표준 31 4 7" xfId="7769"/>
    <cellStyle name="표준 31 4 7 2" xfId="16775"/>
    <cellStyle name="표준 31 4 7 2 2" xfId="37651"/>
    <cellStyle name="표준 31 4 7 3" xfId="28913"/>
    <cellStyle name="표준 31 4 8" xfId="8617"/>
    <cellStyle name="표준 31 4 8 2" xfId="17622"/>
    <cellStyle name="표준 31 4 8 2 2" xfId="38498"/>
    <cellStyle name="표준 31 4 8 3" xfId="29760"/>
    <cellStyle name="표준 31 4 9" xfId="9441"/>
    <cellStyle name="표준 31 4 9 2" xfId="18440"/>
    <cellStyle name="표준 31 4 9 2 2" xfId="39316"/>
    <cellStyle name="표준 31 4 9 3" xfId="30578"/>
    <cellStyle name="표준 31 5" xfId="3038"/>
    <cellStyle name="표준 31 5 10" xfId="10498"/>
    <cellStyle name="표준 31 5 10 2" xfId="19269"/>
    <cellStyle name="표준 31 5 10 2 2" xfId="40145"/>
    <cellStyle name="표준 31 5 10 3" xfId="31409"/>
    <cellStyle name="표준 31 5 11" xfId="11364"/>
    <cellStyle name="표준 31 5 11 2" xfId="20130"/>
    <cellStyle name="표준 31 5 11 2 2" xfId="41006"/>
    <cellStyle name="표준 31 5 11 3" xfId="32270"/>
    <cellStyle name="표준 31 5 12" xfId="12513"/>
    <cellStyle name="표준 31 5 12 2" xfId="33390"/>
    <cellStyle name="표준 31 5 13" xfId="24640"/>
    <cellStyle name="표준 31 5 2" xfId="3255"/>
    <cellStyle name="표준 31 5 2 10" xfId="11574"/>
    <cellStyle name="표준 31 5 2 10 2" xfId="20340"/>
    <cellStyle name="표준 31 5 2 10 2 2" xfId="41216"/>
    <cellStyle name="표준 31 5 2 10 3" xfId="32480"/>
    <cellStyle name="표준 31 5 2 11" xfId="12723"/>
    <cellStyle name="표준 31 5 2 11 2" xfId="33600"/>
    <cellStyle name="표준 31 5 2 12" xfId="24850"/>
    <cellStyle name="표준 31 5 2 2" xfId="3697"/>
    <cellStyle name="표준 31 5 2 2 2" xfId="5970"/>
    <cellStyle name="표준 31 5 2 2 2 2" xfId="14979"/>
    <cellStyle name="표준 31 5 2 2 2 2 2" xfId="35855"/>
    <cellStyle name="표준 31 5 2 2 2 3" xfId="27117"/>
    <cellStyle name="표준 31 5 2 2 3" xfId="13160"/>
    <cellStyle name="표준 31 5 2 2 3 2" xfId="34037"/>
    <cellStyle name="표준 31 5 2 2 4" xfId="25287"/>
    <cellStyle name="표준 31 5 2 3" xfId="4858"/>
    <cellStyle name="표준 31 5 2 3 2" xfId="6690"/>
    <cellStyle name="표준 31 5 2 3 2 2" xfId="15699"/>
    <cellStyle name="표준 31 5 2 3 2 2 2" xfId="36575"/>
    <cellStyle name="표준 31 5 2 3 2 3" xfId="27837"/>
    <cellStyle name="표준 31 5 2 3 3" xfId="13881"/>
    <cellStyle name="표준 31 5 2 3 3 2" xfId="34757"/>
    <cellStyle name="표준 31 5 2 3 4" xfId="26019"/>
    <cellStyle name="표준 31 5 2 4" xfId="5533"/>
    <cellStyle name="표준 31 5 2 4 2" xfId="14542"/>
    <cellStyle name="표준 31 5 2 4 2 2" xfId="35418"/>
    <cellStyle name="표준 31 5 2 4 3" xfId="26680"/>
    <cellStyle name="표준 31 5 2 5" xfId="7336"/>
    <cellStyle name="표준 31 5 2 5 2" xfId="16343"/>
    <cellStyle name="표준 31 5 2 5 2 2" xfId="37219"/>
    <cellStyle name="표준 31 5 2 5 3" xfId="28481"/>
    <cellStyle name="표준 31 5 2 6" xfId="7980"/>
    <cellStyle name="표준 31 5 2 6 2" xfId="16986"/>
    <cellStyle name="표준 31 5 2 6 2 2" xfId="37862"/>
    <cellStyle name="표준 31 5 2 6 3" xfId="29124"/>
    <cellStyle name="표준 31 5 2 7" xfId="8828"/>
    <cellStyle name="표준 31 5 2 7 2" xfId="17833"/>
    <cellStyle name="표준 31 5 2 7 2 2" xfId="38709"/>
    <cellStyle name="표준 31 5 2 7 3" xfId="29971"/>
    <cellStyle name="표준 31 5 2 8" xfId="9653"/>
    <cellStyle name="표준 31 5 2 8 2" xfId="18651"/>
    <cellStyle name="표준 31 5 2 8 2 2" xfId="39527"/>
    <cellStyle name="표준 31 5 2 8 3" xfId="30789"/>
    <cellStyle name="표준 31 5 2 9" xfId="10708"/>
    <cellStyle name="표준 31 5 2 9 2" xfId="19479"/>
    <cellStyle name="표준 31 5 2 9 2 2" xfId="40355"/>
    <cellStyle name="표준 31 5 2 9 3" xfId="31619"/>
    <cellStyle name="표준 31 5 3" xfId="3487"/>
    <cellStyle name="표준 31 5 3 10" xfId="12950"/>
    <cellStyle name="표준 31 5 3 10 2" xfId="33827"/>
    <cellStyle name="표준 31 5 3 11" xfId="25077"/>
    <cellStyle name="표준 31 5 3 2" xfId="5081"/>
    <cellStyle name="표준 31 5 3 2 2" xfId="6907"/>
    <cellStyle name="표준 31 5 3 2 2 2" xfId="15916"/>
    <cellStyle name="표준 31 5 3 2 2 2 2" xfId="36792"/>
    <cellStyle name="표준 31 5 3 2 2 3" xfId="28054"/>
    <cellStyle name="표준 31 5 3 2 3" xfId="14098"/>
    <cellStyle name="표준 31 5 3 2 3 2" xfId="34974"/>
    <cellStyle name="표준 31 5 3 2 4" xfId="26236"/>
    <cellStyle name="표준 31 5 3 3" xfId="5760"/>
    <cellStyle name="표준 31 5 3 3 2" xfId="14769"/>
    <cellStyle name="표준 31 5 3 3 2 2" xfId="35645"/>
    <cellStyle name="표준 31 5 3 3 3" xfId="26907"/>
    <cellStyle name="표준 31 5 3 4" xfId="7553"/>
    <cellStyle name="표준 31 5 3 4 2" xfId="16560"/>
    <cellStyle name="표준 31 5 3 4 2 2" xfId="37436"/>
    <cellStyle name="표준 31 5 3 4 3" xfId="28698"/>
    <cellStyle name="표준 31 5 3 5" xfId="8197"/>
    <cellStyle name="표준 31 5 3 5 2" xfId="17203"/>
    <cellStyle name="표준 31 5 3 5 2 2" xfId="38079"/>
    <cellStyle name="표준 31 5 3 5 3" xfId="29341"/>
    <cellStyle name="표준 31 5 3 6" xfId="9045"/>
    <cellStyle name="표준 31 5 3 6 2" xfId="18050"/>
    <cellStyle name="표준 31 5 3 6 2 2" xfId="38926"/>
    <cellStyle name="표준 31 5 3 6 3" xfId="30188"/>
    <cellStyle name="표준 31 5 3 7" xfId="9870"/>
    <cellStyle name="표준 31 5 3 7 2" xfId="18868"/>
    <cellStyle name="표준 31 5 3 7 2 2" xfId="39744"/>
    <cellStyle name="표준 31 5 3 7 3" xfId="31006"/>
    <cellStyle name="표준 31 5 3 8" xfId="10925"/>
    <cellStyle name="표준 31 5 3 8 2" xfId="19696"/>
    <cellStyle name="표준 31 5 3 8 2 2" xfId="40572"/>
    <cellStyle name="표준 31 5 3 8 3" xfId="31836"/>
    <cellStyle name="표준 31 5 3 9" xfId="11791"/>
    <cellStyle name="표준 31 5 3 9 2" xfId="20557"/>
    <cellStyle name="표준 31 5 3 9 2 2" xfId="41433"/>
    <cellStyle name="표준 31 5 3 9 3" xfId="32697"/>
    <cellStyle name="표준 31 5 4" xfId="4646"/>
    <cellStyle name="표준 31 5 4 2" xfId="6480"/>
    <cellStyle name="표준 31 5 4 2 2" xfId="15489"/>
    <cellStyle name="표준 31 5 4 2 2 2" xfId="36365"/>
    <cellStyle name="표준 31 5 4 2 3" xfId="27627"/>
    <cellStyle name="표준 31 5 4 3" xfId="11143"/>
    <cellStyle name="표준 31 5 4 3 2" xfId="19913"/>
    <cellStyle name="표준 31 5 4 3 2 2" xfId="40789"/>
    <cellStyle name="표준 31 5 4 3 3" xfId="32053"/>
    <cellStyle name="표준 31 5 4 4" xfId="12008"/>
    <cellStyle name="표준 31 5 4 4 2" xfId="20774"/>
    <cellStyle name="표준 31 5 4 4 2 2" xfId="41650"/>
    <cellStyle name="표준 31 5 4 4 3" xfId="32914"/>
    <cellStyle name="표준 31 5 4 5" xfId="13671"/>
    <cellStyle name="표준 31 5 4 5 2" xfId="34547"/>
    <cellStyle name="표준 31 5 4 6" xfId="25809"/>
    <cellStyle name="표준 31 5 5" xfId="5323"/>
    <cellStyle name="표준 31 5 5 2" xfId="14332"/>
    <cellStyle name="표준 31 5 5 2 2" xfId="35208"/>
    <cellStyle name="표준 31 5 5 3" xfId="26470"/>
    <cellStyle name="표준 31 5 6" xfId="7125"/>
    <cellStyle name="표준 31 5 6 2" xfId="16133"/>
    <cellStyle name="표준 31 5 6 2 2" xfId="37009"/>
    <cellStyle name="표준 31 5 6 3" xfId="28271"/>
    <cellStyle name="표준 31 5 7" xfId="7770"/>
    <cellStyle name="표준 31 5 7 2" xfId="16776"/>
    <cellStyle name="표준 31 5 7 2 2" xfId="37652"/>
    <cellStyle name="표준 31 5 7 3" xfId="28914"/>
    <cellStyle name="표준 31 5 8" xfId="8618"/>
    <cellStyle name="표준 31 5 8 2" xfId="17623"/>
    <cellStyle name="표준 31 5 8 2 2" xfId="38499"/>
    <cellStyle name="표준 31 5 8 3" xfId="29761"/>
    <cellStyle name="표준 31 5 9" xfId="9442"/>
    <cellStyle name="표준 31 5 9 2" xfId="18441"/>
    <cellStyle name="표준 31 5 9 2 2" xfId="39317"/>
    <cellStyle name="표준 31 5 9 3" xfId="30579"/>
    <cellStyle name="표준 31 6" xfId="3039"/>
    <cellStyle name="표준 31 6 10" xfId="10499"/>
    <cellStyle name="표준 31 6 10 2" xfId="19270"/>
    <cellStyle name="표준 31 6 10 2 2" xfId="40146"/>
    <cellStyle name="표준 31 6 10 3" xfId="31410"/>
    <cellStyle name="표준 31 6 11" xfId="11365"/>
    <cellStyle name="표준 31 6 11 2" xfId="20131"/>
    <cellStyle name="표준 31 6 11 2 2" xfId="41007"/>
    <cellStyle name="표준 31 6 11 3" xfId="32271"/>
    <cellStyle name="표준 31 6 12" xfId="12514"/>
    <cellStyle name="표준 31 6 12 2" xfId="33391"/>
    <cellStyle name="표준 31 6 13" xfId="24641"/>
    <cellStyle name="표준 31 6 2" xfId="3256"/>
    <cellStyle name="표준 31 6 2 10" xfId="11575"/>
    <cellStyle name="표준 31 6 2 10 2" xfId="20341"/>
    <cellStyle name="표준 31 6 2 10 2 2" xfId="41217"/>
    <cellStyle name="표준 31 6 2 10 3" xfId="32481"/>
    <cellStyle name="표준 31 6 2 11" xfId="12724"/>
    <cellStyle name="표준 31 6 2 11 2" xfId="33601"/>
    <cellStyle name="표준 31 6 2 12" xfId="24851"/>
    <cellStyle name="표준 31 6 2 2" xfId="3698"/>
    <cellStyle name="표준 31 6 2 2 2" xfId="5971"/>
    <cellStyle name="표준 31 6 2 2 2 2" xfId="14980"/>
    <cellStyle name="표준 31 6 2 2 2 2 2" xfId="35856"/>
    <cellStyle name="표준 31 6 2 2 2 3" xfId="27118"/>
    <cellStyle name="표준 31 6 2 2 3" xfId="13161"/>
    <cellStyle name="표준 31 6 2 2 3 2" xfId="34038"/>
    <cellStyle name="표준 31 6 2 2 4" xfId="25288"/>
    <cellStyle name="표준 31 6 2 3" xfId="4859"/>
    <cellStyle name="표준 31 6 2 3 2" xfId="6691"/>
    <cellStyle name="표준 31 6 2 3 2 2" xfId="15700"/>
    <cellStyle name="표준 31 6 2 3 2 2 2" xfId="36576"/>
    <cellStyle name="표준 31 6 2 3 2 3" xfId="27838"/>
    <cellStyle name="표준 31 6 2 3 3" xfId="13882"/>
    <cellStyle name="표준 31 6 2 3 3 2" xfId="34758"/>
    <cellStyle name="표준 31 6 2 3 4" xfId="26020"/>
    <cellStyle name="표준 31 6 2 4" xfId="5534"/>
    <cellStyle name="표준 31 6 2 4 2" xfId="14543"/>
    <cellStyle name="표준 31 6 2 4 2 2" xfId="35419"/>
    <cellStyle name="표준 31 6 2 4 3" xfId="26681"/>
    <cellStyle name="표준 31 6 2 5" xfId="7337"/>
    <cellStyle name="표준 31 6 2 5 2" xfId="16344"/>
    <cellStyle name="표준 31 6 2 5 2 2" xfId="37220"/>
    <cellStyle name="표준 31 6 2 5 3" xfId="28482"/>
    <cellStyle name="표준 31 6 2 6" xfId="7981"/>
    <cellStyle name="표준 31 6 2 6 2" xfId="16987"/>
    <cellStyle name="표준 31 6 2 6 2 2" xfId="37863"/>
    <cellStyle name="표준 31 6 2 6 3" xfId="29125"/>
    <cellStyle name="표준 31 6 2 7" xfId="8829"/>
    <cellStyle name="표준 31 6 2 7 2" xfId="17834"/>
    <cellStyle name="표준 31 6 2 7 2 2" xfId="38710"/>
    <cellStyle name="표준 31 6 2 7 3" xfId="29972"/>
    <cellStyle name="표준 31 6 2 8" xfId="9654"/>
    <cellStyle name="표준 31 6 2 8 2" xfId="18652"/>
    <cellStyle name="표준 31 6 2 8 2 2" xfId="39528"/>
    <cellStyle name="표준 31 6 2 8 3" xfId="30790"/>
    <cellStyle name="표준 31 6 2 9" xfId="10709"/>
    <cellStyle name="표준 31 6 2 9 2" xfId="19480"/>
    <cellStyle name="표준 31 6 2 9 2 2" xfId="40356"/>
    <cellStyle name="표준 31 6 2 9 3" xfId="31620"/>
    <cellStyle name="표준 31 6 3" xfId="3488"/>
    <cellStyle name="표준 31 6 3 10" xfId="12951"/>
    <cellStyle name="표준 31 6 3 10 2" xfId="33828"/>
    <cellStyle name="표준 31 6 3 11" xfId="25078"/>
    <cellStyle name="표준 31 6 3 2" xfId="5082"/>
    <cellStyle name="표준 31 6 3 2 2" xfId="6908"/>
    <cellStyle name="표준 31 6 3 2 2 2" xfId="15917"/>
    <cellStyle name="표준 31 6 3 2 2 2 2" xfId="36793"/>
    <cellStyle name="표준 31 6 3 2 2 3" xfId="28055"/>
    <cellStyle name="표준 31 6 3 2 3" xfId="14099"/>
    <cellStyle name="표준 31 6 3 2 3 2" xfId="34975"/>
    <cellStyle name="표준 31 6 3 2 4" xfId="26237"/>
    <cellStyle name="표준 31 6 3 3" xfId="5761"/>
    <cellStyle name="표준 31 6 3 3 2" xfId="14770"/>
    <cellStyle name="표준 31 6 3 3 2 2" xfId="35646"/>
    <cellStyle name="표준 31 6 3 3 3" xfId="26908"/>
    <cellStyle name="표준 31 6 3 4" xfId="7554"/>
    <cellStyle name="표준 31 6 3 4 2" xfId="16561"/>
    <cellStyle name="표준 31 6 3 4 2 2" xfId="37437"/>
    <cellStyle name="표준 31 6 3 4 3" xfId="28699"/>
    <cellStyle name="표준 31 6 3 5" xfId="8198"/>
    <cellStyle name="표준 31 6 3 5 2" xfId="17204"/>
    <cellStyle name="표준 31 6 3 5 2 2" xfId="38080"/>
    <cellStyle name="표준 31 6 3 5 3" xfId="29342"/>
    <cellStyle name="표준 31 6 3 6" xfId="9046"/>
    <cellStyle name="표준 31 6 3 6 2" xfId="18051"/>
    <cellStyle name="표준 31 6 3 6 2 2" xfId="38927"/>
    <cellStyle name="표준 31 6 3 6 3" xfId="30189"/>
    <cellStyle name="표준 31 6 3 7" xfId="9871"/>
    <cellStyle name="표준 31 6 3 7 2" xfId="18869"/>
    <cellStyle name="표준 31 6 3 7 2 2" xfId="39745"/>
    <cellStyle name="표준 31 6 3 7 3" xfId="31007"/>
    <cellStyle name="표준 31 6 3 8" xfId="10926"/>
    <cellStyle name="표준 31 6 3 8 2" xfId="19697"/>
    <cellStyle name="표준 31 6 3 8 2 2" xfId="40573"/>
    <cellStyle name="표준 31 6 3 8 3" xfId="31837"/>
    <cellStyle name="표준 31 6 3 9" xfId="11792"/>
    <cellStyle name="표준 31 6 3 9 2" xfId="20558"/>
    <cellStyle name="표준 31 6 3 9 2 2" xfId="41434"/>
    <cellStyle name="표준 31 6 3 9 3" xfId="32698"/>
    <cellStyle name="표준 31 6 4" xfId="4647"/>
    <cellStyle name="표준 31 6 4 2" xfId="6481"/>
    <cellStyle name="표준 31 6 4 2 2" xfId="15490"/>
    <cellStyle name="표준 31 6 4 2 2 2" xfId="36366"/>
    <cellStyle name="표준 31 6 4 2 3" xfId="27628"/>
    <cellStyle name="표준 31 6 4 3" xfId="11144"/>
    <cellStyle name="표준 31 6 4 3 2" xfId="19914"/>
    <cellStyle name="표준 31 6 4 3 2 2" xfId="40790"/>
    <cellStyle name="표준 31 6 4 3 3" xfId="32054"/>
    <cellStyle name="표준 31 6 4 4" xfId="12009"/>
    <cellStyle name="표준 31 6 4 4 2" xfId="20775"/>
    <cellStyle name="표준 31 6 4 4 2 2" xfId="41651"/>
    <cellStyle name="표준 31 6 4 4 3" xfId="32915"/>
    <cellStyle name="표준 31 6 4 5" xfId="13672"/>
    <cellStyle name="표준 31 6 4 5 2" xfId="34548"/>
    <cellStyle name="표준 31 6 4 6" xfId="25810"/>
    <cellStyle name="표준 31 6 5" xfId="5324"/>
    <cellStyle name="표준 31 6 5 2" xfId="14333"/>
    <cellStyle name="표준 31 6 5 2 2" xfId="35209"/>
    <cellStyle name="표준 31 6 5 3" xfId="26471"/>
    <cellStyle name="표준 31 6 6" xfId="7126"/>
    <cellStyle name="표준 31 6 6 2" xfId="16134"/>
    <cellStyle name="표준 31 6 6 2 2" xfId="37010"/>
    <cellStyle name="표준 31 6 6 3" xfId="28272"/>
    <cellStyle name="표준 31 6 7" xfId="7771"/>
    <cellStyle name="표준 31 6 7 2" xfId="16777"/>
    <cellStyle name="표준 31 6 7 2 2" xfId="37653"/>
    <cellStyle name="표준 31 6 7 3" xfId="28915"/>
    <cellStyle name="표준 31 6 8" xfId="8619"/>
    <cellStyle name="표준 31 6 8 2" xfId="17624"/>
    <cellStyle name="표준 31 6 8 2 2" xfId="38500"/>
    <cellStyle name="표준 31 6 8 3" xfId="29762"/>
    <cellStyle name="표준 31 6 9" xfId="9443"/>
    <cellStyle name="표준 31 6 9 2" xfId="18442"/>
    <cellStyle name="표준 31 6 9 2 2" xfId="39318"/>
    <cellStyle name="표준 31 6 9 3" xfId="30580"/>
    <cellStyle name="표준 31 7" xfId="3040"/>
    <cellStyle name="표준 31 7 10" xfId="10500"/>
    <cellStyle name="표준 31 7 10 2" xfId="19271"/>
    <cellStyle name="표준 31 7 10 2 2" xfId="40147"/>
    <cellStyle name="표준 31 7 10 3" xfId="31411"/>
    <cellStyle name="표준 31 7 11" xfId="11366"/>
    <cellStyle name="표준 31 7 11 2" xfId="20132"/>
    <cellStyle name="표준 31 7 11 2 2" xfId="41008"/>
    <cellStyle name="표준 31 7 11 3" xfId="32272"/>
    <cellStyle name="표준 31 7 12" xfId="12515"/>
    <cellStyle name="표준 31 7 12 2" xfId="33392"/>
    <cellStyle name="표준 31 7 13" xfId="24642"/>
    <cellStyle name="표준 31 7 2" xfId="3257"/>
    <cellStyle name="표준 31 7 2 10" xfId="11576"/>
    <cellStyle name="표준 31 7 2 10 2" xfId="20342"/>
    <cellStyle name="표준 31 7 2 10 2 2" xfId="41218"/>
    <cellStyle name="표준 31 7 2 10 3" xfId="32482"/>
    <cellStyle name="표준 31 7 2 11" xfId="12725"/>
    <cellStyle name="표준 31 7 2 11 2" xfId="33602"/>
    <cellStyle name="표준 31 7 2 12" xfId="24852"/>
    <cellStyle name="표준 31 7 2 2" xfId="3699"/>
    <cellStyle name="표준 31 7 2 2 2" xfId="5972"/>
    <cellStyle name="표준 31 7 2 2 2 2" xfId="14981"/>
    <cellStyle name="표준 31 7 2 2 2 2 2" xfId="35857"/>
    <cellStyle name="표준 31 7 2 2 2 3" xfId="27119"/>
    <cellStyle name="표준 31 7 2 2 3" xfId="13162"/>
    <cellStyle name="표준 31 7 2 2 3 2" xfId="34039"/>
    <cellStyle name="표준 31 7 2 2 4" xfId="25289"/>
    <cellStyle name="표준 31 7 2 3" xfId="4860"/>
    <cellStyle name="표준 31 7 2 3 2" xfId="6692"/>
    <cellStyle name="표준 31 7 2 3 2 2" xfId="15701"/>
    <cellStyle name="표준 31 7 2 3 2 2 2" xfId="36577"/>
    <cellStyle name="표준 31 7 2 3 2 3" xfId="27839"/>
    <cellStyle name="표준 31 7 2 3 3" xfId="13883"/>
    <cellStyle name="표준 31 7 2 3 3 2" xfId="34759"/>
    <cellStyle name="표준 31 7 2 3 4" xfId="26021"/>
    <cellStyle name="표준 31 7 2 4" xfId="5535"/>
    <cellStyle name="표준 31 7 2 4 2" xfId="14544"/>
    <cellStyle name="표준 31 7 2 4 2 2" xfId="35420"/>
    <cellStyle name="표준 31 7 2 4 3" xfId="26682"/>
    <cellStyle name="표준 31 7 2 5" xfId="7338"/>
    <cellStyle name="표준 31 7 2 5 2" xfId="16345"/>
    <cellStyle name="표준 31 7 2 5 2 2" xfId="37221"/>
    <cellStyle name="표준 31 7 2 5 3" xfId="28483"/>
    <cellStyle name="표준 31 7 2 6" xfId="7982"/>
    <cellStyle name="표준 31 7 2 6 2" xfId="16988"/>
    <cellStyle name="표준 31 7 2 6 2 2" xfId="37864"/>
    <cellStyle name="표준 31 7 2 6 3" xfId="29126"/>
    <cellStyle name="표준 31 7 2 7" xfId="8830"/>
    <cellStyle name="표준 31 7 2 7 2" xfId="17835"/>
    <cellStyle name="표준 31 7 2 7 2 2" xfId="38711"/>
    <cellStyle name="표준 31 7 2 7 3" xfId="29973"/>
    <cellStyle name="표준 31 7 2 8" xfId="9655"/>
    <cellStyle name="표준 31 7 2 8 2" xfId="18653"/>
    <cellStyle name="표준 31 7 2 8 2 2" xfId="39529"/>
    <cellStyle name="표준 31 7 2 8 3" xfId="30791"/>
    <cellStyle name="표준 31 7 2 9" xfId="10710"/>
    <cellStyle name="표준 31 7 2 9 2" xfId="19481"/>
    <cellStyle name="표준 31 7 2 9 2 2" xfId="40357"/>
    <cellStyle name="표준 31 7 2 9 3" xfId="31621"/>
    <cellStyle name="표준 31 7 3" xfId="3489"/>
    <cellStyle name="표준 31 7 3 10" xfId="12952"/>
    <cellStyle name="표준 31 7 3 10 2" xfId="33829"/>
    <cellStyle name="표준 31 7 3 11" xfId="25079"/>
    <cellStyle name="표준 31 7 3 2" xfId="5083"/>
    <cellStyle name="표준 31 7 3 2 2" xfId="6909"/>
    <cellStyle name="표준 31 7 3 2 2 2" xfId="15918"/>
    <cellStyle name="표준 31 7 3 2 2 2 2" xfId="36794"/>
    <cellStyle name="표준 31 7 3 2 2 3" xfId="28056"/>
    <cellStyle name="표준 31 7 3 2 3" xfId="14100"/>
    <cellStyle name="표준 31 7 3 2 3 2" xfId="34976"/>
    <cellStyle name="표준 31 7 3 2 4" xfId="26238"/>
    <cellStyle name="표준 31 7 3 3" xfId="5762"/>
    <cellStyle name="표준 31 7 3 3 2" xfId="14771"/>
    <cellStyle name="표준 31 7 3 3 2 2" xfId="35647"/>
    <cellStyle name="표준 31 7 3 3 3" xfId="26909"/>
    <cellStyle name="표준 31 7 3 4" xfId="7555"/>
    <cellStyle name="표준 31 7 3 4 2" xfId="16562"/>
    <cellStyle name="표준 31 7 3 4 2 2" xfId="37438"/>
    <cellStyle name="표준 31 7 3 4 3" xfId="28700"/>
    <cellStyle name="표준 31 7 3 5" xfId="8199"/>
    <cellStyle name="표준 31 7 3 5 2" xfId="17205"/>
    <cellStyle name="표준 31 7 3 5 2 2" xfId="38081"/>
    <cellStyle name="표준 31 7 3 5 3" xfId="29343"/>
    <cellStyle name="표준 31 7 3 6" xfId="9047"/>
    <cellStyle name="표준 31 7 3 6 2" xfId="18052"/>
    <cellStyle name="표준 31 7 3 6 2 2" xfId="38928"/>
    <cellStyle name="표준 31 7 3 6 3" xfId="30190"/>
    <cellStyle name="표준 31 7 3 7" xfId="9872"/>
    <cellStyle name="표준 31 7 3 7 2" xfId="18870"/>
    <cellStyle name="표준 31 7 3 7 2 2" xfId="39746"/>
    <cellStyle name="표준 31 7 3 7 3" xfId="31008"/>
    <cellStyle name="표준 31 7 3 8" xfId="10927"/>
    <cellStyle name="표준 31 7 3 8 2" xfId="19698"/>
    <cellStyle name="표준 31 7 3 8 2 2" xfId="40574"/>
    <cellStyle name="표준 31 7 3 8 3" xfId="31838"/>
    <cellStyle name="표준 31 7 3 9" xfId="11793"/>
    <cellStyle name="표준 31 7 3 9 2" xfId="20559"/>
    <cellStyle name="표준 31 7 3 9 2 2" xfId="41435"/>
    <cellStyle name="표준 31 7 3 9 3" xfId="32699"/>
    <cellStyle name="표준 31 7 4" xfId="4648"/>
    <cellStyle name="표준 31 7 4 2" xfId="6482"/>
    <cellStyle name="표준 31 7 4 2 2" xfId="15491"/>
    <cellStyle name="표준 31 7 4 2 2 2" xfId="36367"/>
    <cellStyle name="표준 31 7 4 2 3" xfId="27629"/>
    <cellStyle name="표준 31 7 4 3" xfId="11145"/>
    <cellStyle name="표준 31 7 4 3 2" xfId="19915"/>
    <cellStyle name="표준 31 7 4 3 2 2" xfId="40791"/>
    <cellStyle name="표준 31 7 4 3 3" xfId="32055"/>
    <cellStyle name="표준 31 7 4 4" xfId="12010"/>
    <cellStyle name="표준 31 7 4 4 2" xfId="20776"/>
    <cellStyle name="표준 31 7 4 4 2 2" xfId="41652"/>
    <cellStyle name="표준 31 7 4 4 3" xfId="32916"/>
    <cellStyle name="표준 31 7 4 5" xfId="13673"/>
    <cellStyle name="표준 31 7 4 5 2" xfId="34549"/>
    <cellStyle name="표준 31 7 4 6" xfId="25811"/>
    <cellStyle name="표준 31 7 5" xfId="5325"/>
    <cellStyle name="표준 31 7 5 2" xfId="14334"/>
    <cellStyle name="표준 31 7 5 2 2" xfId="35210"/>
    <cellStyle name="표준 31 7 5 3" xfId="26472"/>
    <cellStyle name="표준 31 7 6" xfId="7127"/>
    <cellStyle name="표준 31 7 6 2" xfId="16135"/>
    <cellStyle name="표준 31 7 6 2 2" xfId="37011"/>
    <cellStyle name="표준 31 7 6 3" xfId="28273"/>
    <cellStyle name="표준 31 7 7" xfId="7772"/>
    <cellStyle name="표준 31 7 7 2" xfId="16778"/>
    <cellStyle name="표준 31 7 7 2 2" xfId="37654"/>
    <cellStyle name="표준 31 7 7 3" xfId="28916"/>
    <cellStyle name="표준 31 7 8" xfId="8620"/>
    <cellStyle name="표준 31 7 8 2" xfId="17625"/>
    <cellStyle name="표준 31 7 8 2 2" xfId="38501"/>
    <cellStyle name="표준 31 7 8 3" xfId="29763"/>
    <cellStyle name="표준 31 7 9" xfId="9444"/>
    <cellStyle name="표준 31 7 9 2" xfId="18443"/>
    <cellStyle name="표준 31 7 9 2 2" xfId="39319"/>
    <cellStyle name="표준 31 7 9 3" xfId="30581"/>
    <cellStyle name="표준 31 8" xfId="3251"/>
    <cellStyle name="표준 31 8 10" xfId="11570"/>
    <cellStyle name="표준 31 8 10 2" xfId="20336"/>
    <cellStyle name="표준 31 8 10 2 2" xfId="41212"/>
    <cellStyle name="표준 31 8 10 3" xfId="32476"/>
    <cellStyle name="표준 31 8 11" xfId="12719"/>
    <cellStyle name="표준 31 8 11 2" xfId="33596"/>
    <cellStyle name="표준 31 8 12" xfId="24846"/>
    <cellStyle name="표준 31 8 2" xfId="3693"/>
    <cellStyle name="표준 31 8 2 2" xfId="5966"/>
    <cellStyle name="표준 31 8 2 2 2" xfId="14975"/>
    <cellStyle name="표준 31 8 2 2 2 2" xfId="35851"/>
    <cellStyle name="표준 31 8 2 2 3" xfId="27113"/>
    <cellStyle name="표준 31 8 2 3" xfId="13156"/>
    <cellStyle name="표준 31 8 2 3 2" xfId="34033"/>
    <cellStyle name="표준 31 8 2 4" xfId="25283"/>
    <cellStyle name="표준 31 8 3" xfId="4854"/>
    <cellStyle name="표준 31 8 3 2" xfId="6686"/>
    <cellStyle name="표준 31 8 3 2 2" xfId="15695"/>
    <cellStyle name="표준 31 8 3 2 2 2" xfId="36571"/>
    <cellStyle name="표준 31 8 3 2 3" xfId="27833"/>
    <cellStyle name="표준 31 8 3 3" xfId="13877"/>
    <cellStyle name="표준 31 8 3 3 2" xfId="34753"/>
    <cellStyle name="표준 31 8 3 4" xfId="26015"/>
    <cellStyle name="표준 31 8 4" xfId="5529"/>
    <cellStyle name="표준 31 8 4 2" xfId="14538"/>
    <cellStyle name="표준 31 8 4 2 2" xfId="35414"/>
    <cellStyle name="표준 31 8 4 3" xfId="26676"/>
    <cellStyle name="표준 31 8 5" xfId="7332"/>
    <cellStyle name="표준 31 8 5 2" xfId="16339"/>
    <cellStyle name="표준 31 8 5 2 2" xfId="37215"/>
    <cellStyle name="표준 31 8 5 3" xfId="28477"/>
    <cellStyle name="표준 31 8 6" xfId="7976"/>
    <cellStyle name="표준 31 8 6 2" xfId="16982"/>
    <cellStyle name="표준 31 8 6 2 2" xfId="37858"/>
    <cellStyle name="표준 31 8 6 3" xfId="29120"/>
    <cellStyle name="표준 31 8 7" xfId="8824"/>
    <cellStyle name="표준 31 8 7 2" xfId="17829"/>
    <cellStyle name="표준 31 8 7 2 2" xfId="38705"/>
    <cellStyle name="표준 31 8 7 3" xfId="29967"/>
    <cellStyle name="표준 31 8 8" xfId="9649"/>
    <cellStyle name="표준 31 8 8 2" xfId="18647"/>
    <cellStyle name="표준 31 8 8 2 2" xfId="39523"/>
    <cellStyle name="표준 31 8 8 3" xfId="30785"/>
    <cellStyle name="표준 31 8 9" xfId="10704"/>
    <cellStyle name="표준 31 8 9 2" xfId="19475"/>
    <cellStyle name="표준 31 8 9 2 2" xfId="40351"/>
    <cellStyle name="표준 31 8 9 3" xfId="31615"/>
    <cellStyle name="표준 31 9" xfId="3483"/>
    <cellStyle name="표준 31 9 10" xfId="12946"/>
    <cellStyle name="표준 31 9 10 2" xfId="33823"/>
    <cellStyle name="표준 31 9 11" xfId="25073"/>
    <cellStyle name="표준 31 9 2" xfId="5077"/>
    <cellStyle name="표준 31 9 2 2" xfId="6903"/>
    <cellStyle name="표준 31 9 2 2 2" xfId="15912"/>
    <cellStyle name="표준 31 9 2 2 2 2" xfId="36788"/>
    <cellStyle name="표준 31 9 2 2 3" xfId="28050"/>
    <cellStyle name="표준 31 9 2 3" xfId="14094"/>
    <cellStyle name="표준 31 9 2 3 2" xfId="34970"/>
    <cellStyle name="표준 31 9 2 4" xfId="26232"/>
    <cellStyle name="표준 31 9 3" xfId="5756"/>
    <cellStyle name="표준 31 9 3 2" xfId="14765"/>
    <cellStyle name="표준 31 9 3 2 2" xfId="35641"/>
    <cellStyle name="표준 31 9 3 3" xfId="26903"/>
    <cellStyle name="표준 31 9 4" xfId="7549"/>
    <cellStyle name="표준 31 9 4 2" xfId="16556"/>
    <cellStyle name="표준 31 9 4 2 2" xfId="37432"/>
    <cellStyle name="표준 31 9 4 3" xfId="28694"/>
    <cellStyle name="표준 31 9 5" xfId="8193"/>
    <cellStyle name="표준 31 9 5 2" xfId="17199"/>
    <cellStyle name="표준 31 9 5 2 2" xfId="38075"/>
    <cellStyle name="표준 31 9 5 3" xfId="29337"/>
    <cellStyle name="표준 31 9 6" xfId="9041"/>
    <cellStyle name="표준 31 9 6 2" xfId="18046"/>
    <cellStyle name="표준 31 9 6 2 2" xfId="38922"/>
    <cellStyle name="표준 31 9 6 3" xfId="30184"/>
    <cellStyle name="표준 31 9 7" xfId="9866"/>
    <cellStyle name="표준 31 9 7 2" xfId="18864"/>
    <cellStyle name="표준 31 9 7 2 2" xfId="39740"/>
    <cellStyle name="표준 31 9 7 3" xfId="31002"/>
    <cellStyle name="표준 31 9 8" xfId="10921"/>
    <cellStyle name="표준 31 9 8 2" xfId="19692"/>
    <cellStyle name="표준 31 9 8 2 2" xfId="40568"/>
    <cellStyle name="표준 31 9 8 3" xfId="31832"/>
    <cellStyle name="표준 31 9 9" xfId="11787"/>
    <cellStyle name="표준 31 9 9 2" xfId="20553"/>
    <cellStyle name="표준 31 9 9 2 2" xfId="41429"/>
    <cellStyle name="표준 31 9 9 3" xfId="32693"/>
    <cellStyle name="표준 32" xfId="3041"/>
    <cellStyle name="표준 32 10" xfId="4649"/>
    <cellStyle name="표준 32 10 2" xfId="6483"/>
    <cellStyle name="표준 32 10 2 2" xfId="15492"/>
    <cellStyle name="표준 32 10 2 2 2" xfId="36368"/>
    <cellStyle name="표준 32 10 2 3" xfId="27630"/>
    <cellStyle name="표준 32 10 3" xfId="11146"/>
    <cellStyle name="표준 32 10 3 2" xfId="19916"/>
    <cellStyle name="표준 32 10 3 2 2" xfId="40792"/>
    <cellStyle name="표준 32 10 3 3" xfId="32056"/>
    <cellStyle name="표준 32 10 4" xfId="12011"/>
    <cellStyle name="표준 32 10 4 2" xfId="20777"/>
    <cellStyle name="표준 32 10 4 2 2" xfId="41653"/>
    <cellStyle name="표준 32 10 4 3" xfId="32917"/>
    <cellStyle name="표준 32 10 5" xfId="13674"/>
    <cellStyle name="표준 32 10 5 2" xfId="34550"/>
    <cellStyle name="표준 32 10 6" xfId="25812"/>
    <cellStyle name="표준 32 11" xfId="5326"/>
    <cellStyle name="표준 32 11 2" xfId="14335"/>
    <cellStyle name="표준 32 11 2 2" xfId="35211"/>
    <cellStyle name="표준 32 11 3" xfId="26473"/>
    <cellStyle name="표준 32 12" xfId="7128"/>
    <cellStyle name="표준 32 12 2" xfId="16136"/>
    <cellStyle name="표준 32 12 2 2" xfId="37012"/>
    <cellStyle name="표준 32 12 3" xfId="28274"/>
    <cellStyle name="표준 32 13" xfId="7773"/>
    <cellStyle name="표준 32 13 2" xfId="16779"/>
    <cellStyle name="표준 32 13 2 2" xfId="37655"/>
    <cellStyle name="표준 32 13 3" xfId="28917"/>
    <cellStyle name="표준 32 14" xfId="8621"/>
    <cellStyle name="표준 32 14 2" xfId="17626"/>
    <cellStyle name="표준 32 14 2 2" xfId="38502"/>
    <cellStyle name="표준 32 14 3" xfId="29764"/>
    <cellStyle name="표준 32 15" xfId="9445"/>
    <cellStyle name="표준 32 15 2" xfId="18444"/>
    <cellStyle name="표준 32 15 2 2" xfId="39320"/>
    <cellStyle name="표준 32 15 3" xfId="30582"/>
    <cellStyle name="표준 32 16" xfId="10501"/>
    <cellStyle name="표준 32 16 2" xfId="19272"/>
    <cellStyle name="표준 32 16 2 2" xfId="40148"/>
    <cellStyle name="표준 32 16 3" xfId="31412"/>
    <cellStyle name="표준 32 17" xfId="11367"/>
    <cellStyle name="표준 32 17 2" xfId="20133"/>
    <cellStyle name="표준 32 17 2 2" xfId="41009"/>
    <cellStyle name="표준 32 17 3" xfId="32273"/>
    <cellStyle name="표준 32 18" xfId="12516"/>
    <cellStyle name="표준 32 18 2" xfId="33393"/>
    <cellStyle name="표준 32 19" xfId="24643"/>
    <cellStyle name="표준 32 2" xfId="3042"/>
    <cellStyle name="표준 32 2 10" xfId="10502"/>
    <cellStyle name="표준 32 2 10 2" xfId="19273"/>
    <cellStyle name="표준 32 2 10 2 2" xfId="40149"/>
    <cellStyle name="표준 32 2 10 3" xfId="31413"/>
    <cellStyle name="표준 32 2 11" xfId="11368"/>
    <cellStyle name="표준 32 2 11 2" xfId="20134"/>
    <cellStyle name="표준 32 2 11 2 2" xfId="41010"/>
    <cellStyle name="표준 32 2 11 3" xfId="32274"/>
    <cellStyle name="표준 32 2 12" xfId="12517"/>
    <cellStyle name="표준 32 2 12 2" xfId="33394"/>
    <cellStyle name="표준 32 2 13" xfId="24644"/>
    <cellStyle name="표준 32 2 2" xfId="3259"/>
    <cellStyle name="표준 32 2 2 10" xfId="11578"/>
    <cellStyle name="표준 32 2 2 10 2" xfId="20344"/>
    <cellStyle name="표준 32 2 2 10 2 2" xfId="41220"/>
    <cellStyle name="표준 32 2 2 10 3" xfId="32484"/>
    <cellStyle name="표준 32 2 2 11" xfId="12727"/>
    <cellStyle name="표준 32 2 2 11 2" xfId="33604"/>
    <cellStyle name="표준 32 2 2 12" xfId="24854"/>
    <cellStyle name="표준 32 2 2 2" xfId="3701"/>
    <cellStyle name="표준 32 2 2 2 2" xfId="5974"/>
    <cellStyle name="표준 32 2 2 2 2 2" xfId="14983"/>
    <cellStyle name="표준 32 2 2 2 2 2 2" xfId="35859"/>
    <cellStyle name="표준 32 2 2 2 2 3" xfId="27121"/>
    <cellStyle name="표준 32 2 2 2 3" xfId="13164"/>
    <cellStyle name="표준 32 2 2 2 3 2" xfId="34041"/>
    <cellStyle name="표준 32 2 2 2 4" xfId="25291"/>
    <cellStyle name="표준 32 2 2 3" xfId="4862"/>
    <cellStyle name="표준 32 2 2 3 2" xfId="6694"/>
    <cellStyle name="표준 32 2 2 3 2 2" xfId="15703"/>
    <cellStyle name="표준 32 2 2 3 2 2 2" xfId="36579"/>
    <cellStyle name="표준 32 2 2 3 2 3" xfId="27841"/>
    <cellStyle name="표준 32 2 2 3 3" xfId="13885"/>
    <cellStyle name="표준 32 2 2 3 3 2" xfId="34761"/>
    <cellStyle name="표준 32 2 2 3 4" xfId="26023"/>
    <cellStyle name="표준 32 2 2 4" xfId="5537"/>
    <cellStyle name="표준 32 2 2 4 2" xfId="14546"/>
    <cellStyle name="표준 32 2 2 4 2 2" xfId="35422"/>
    <cellStyle name="표준 32 2 2 4 3" xfId="26684"/>
    <cellStyle name="표준 32 2 2 5" xfId="7340"/>
    <cellStyle name="표준 32 2 2 5 2" xfId="16347"/>
    <cellStyle name="표준 32 2 2 5 2 2" xfId="37223"/>
    <cellStyle name="표준 32 2 2 5 3" xfId="28485"/>
    <cellStyle name="표준 32 2 2 6" xfId="7984"/>
    <cellStyle name="표준 32 2 2 6 2" xfId="16990"/>
    <cellStyle name="표준 32 2 2 6 2 2" xfId="37866"/>
    <cellStyle name="표준 32 2 2 6 3" xfId="29128"/>
    <cellStyle name="표준 32 2 2 7" xfId="8832"/>
    <cellStyle name="표준 32 2 2 7 2" xfId="17837"/>
    <cellStyle name="표준 32 2 2 7 2 2" xfId="38713"/>
    <cellStyle name="표준 32 2 2 7 3" xfId="29975"/>
    <cellStyle name="표준 32 2 2 8" xfId="9657"/>
    <cellStyle name="표준 32 2 2 8 2" xfId="18655"/>
    <cellStyle name="표준 32 2 2 8 2 2" xfId="39531"/>
    <cellStyle name="표준 32 2 2 8 3" xfId="30793"/>
    <cellStyle name="표준 32 2 2 9" xfId="10712"/>
    <cellStyle name="표준 32 2 2 9 2" xfId="19483"/>
    <cellStyle name="표준 32 2 2 9 2 2" xfId="40359"/>
    <cellStyle name="표준 32 2 2 9 3" xfId="31623"/>
    <cellStyle name="표준 32 2 3" xfId="3491"/>
    <cellStyle name="표준 32 2 3 10" xfId="12954"/>
    <cellStyle name="표준 32 2 3 10 2" xfId="33831"/>
    <cellStyle name="표준 32 2 3 11" xfId="25081"/>
    <cellStyle name="표준 32 2 3 2" xfId="5085"/>
    <cellStyle name="표준 32 2 3 2 2" xfId="6911"/>
    <cellStyle name="표준 32 2 3 2 2 2" xfId="15920"/>
    <cellStyle name="표준 32 2 3 2 2 2 2" xfId="36796"/>
    <cellStyle name="표준 32 2 3 2 2 3" xfId="28058"/>
    <cellStyle name="표준 32 2 3 2 3" xfId="14102"/>
    <cellStyle name="표준 32 2 3 2 3 2" xfId="34978"/>
    <cellStyle name="표준 32 2 3 2 4" xfId="26240"/>
    <cellStyle name="표준 32 2 3 3" xfId="5764"/>
    <cellStyle name="표준 32 2 3 3 2" xfId="14773"/>
    <cellStyle name="표준 32 2 3 3 2 2" xfId="35649"/>
    <cellStyle name="표준 32 2 3 3 3" xfId="26911"/>
    <cellStyle name="표준 32 2 3 4" xfId="7557"/>
    <cellStyle name="표준 32 2 3 4 2" xfId="16564"/>
    <cellStyle name="표준 32 2 3 4 2 2" xfId="37440"/>
    <cellStyle name="표준 32 2 3 4 3" xfId="28702"/>
    <cellStyle name="표준 32 2 3 5" xfId="8201"/>
    <cellStyle name="표준 32 2 3 5 2" xfId="17207"/>
    <cellStyle name="표준 32 2 3 5 2 2" xfId="38083"/>
    <cellStyle name="표준 32 2 3 5 3" xfId="29345"/>
    <cellStyle name="표준 32 2 3 6" xfId="9049"/>
    <cellStyle name="표준 32 2 3 6 2" xfId="18054"/>
    <cellStyle name="표준 32 2 3 6 2 2" xfId="38930"/>
    <cellStyle name="표준 32 2 3 6 3" xfId="30192"/>
    <cellStyle name="표준 32 2 3 7" xfId="9874"/>
    <cellStyle name="표준 32 2 3 7 2" xfId="18872"/>
    <cellStyle name="표준 32 2 3 7 2 2" xfId="39748"/>
    <cellStyle name="표준 32 2 3 7 3" xfId="31010"/>
    <cellStyle name="표준 32 2 3 8" xfId="10929"/>
    <cellStyle name="표준 32 2 3 8 2" xfId="19700"/>
    <cellStyle name="표준 32 2 3 8 2 2" xfId="40576"/>
    <cellStyle name="표준 32 2 3 8 3" xfId="31840"/>
    <cellStyle name="표준 32 2 3 9" xfId="11795"/>
    <cellStyle name="표준 32 2 3 9 2" xfId="20561"/>
    <cellStyle name="표준 32 2 3 9 2 2" xfId="41437"/>
    <cellStyle name="표준 32 2 3 9 3" xfId="32701"/>
    <cellStyle name="표준 32 2 4" xfId="4650"/>
    <cellStyle name="표준 32 2 4 2" xfId="6484"/>
    <cellStyle name="표준 32 2 4 2 2" xfId="15493"/>
    <cellStyle name="표준 32 2 4 2 2 2" xfId="36369"/>
    <cellStyle name="표준 32 2 4 2 3" xfId="27631"/>
    <cellStyle name="표준 32 2 4 3" xfId="11147"/>
    <cellStyle name="표준 32 2 4 3 2" xfId="19917"/>
    <cellStyle name="표준 32 2 4 3 2 2" xfId="40793"/>
    <cellStyle name="표준 32 2 4 3 3" xfId="32057"/>
    <cellStyle name="표준 32 2 4 4" xfId="12012"/>
    <cellStyle name="표준 32 2 4 4 2" xfId="20778"/>
    <cellStyle name="표준 32 2 4 4 2 2" xfId="41654"/>
    <cellStyle name="표준 32 2 4 4 3" xfId="32918"/>
    <cellStyle name="표준 32 2 4 5" xfId="13675"/>
    <cellStyle name="표준 32 2 4 5 2" xfId="34551"/>
    <cellStyle name="표준 32 2 4 6" xfId="25813"/>
    <cellStyle name="표준 32 2 5" xfId="5327"/>
    <cellStyle name="표준 32 2 5 2" xfId="14336"/>
    <cellStyle name="표준 32 2 5 2 2" xfId="35212"/>
    <cellStyle name="표준 32 2 5 3" xfId="26474"/>
    <cellStyle name="표준 32 2 6" xfId="7129"/>
    <cellStyle name="표준 32 2 6 2" xfId="16137"/>
    <cellStyle name="표준 32 2 6 2 2" xfId="37013"/>
    <cellStyle name="표준 32 2 6 3" xfId="28275"/>
    <cellStyle name="표준 32 2 7" xfId="7774"/>
    <cellStyle name="표준 32 2 7 2" xfId="16780"/>
    <cellStyle name="표준 32 2 7 2 2" xfId="37656"/>
    <cellStyle name="표준 32 2 7 3" xfId="28918"/>
    <cellStyle name="표준 32 2 8" xfId="8622"/>
    <cellStyle name="표준 32 2 8 2" xfId="17627"/>
    <cellStyle name="표준 32 2 8 2 2" xfId="38503"/>
    <cellStyle name="표준 32 2 8 3" xfId="29765"/>
    <cellStyle name="표준 32 2 9" xfId="9446"/>
    <cellStyle name="표준 32 2 9 2" xfId="18445"/>
    <cellStyle name="표준 32 2 9 2 2" xfId="39321"/>
    <cellStyle name="표준 32 2 9 3" xfId="30583"/>
    <cellStyle name="표준 32 3" xfId="3043"/>
    <cellStyle name="표준 32 3 10" xfId="10503"/>
    <cellStyle name="표준 32 3 10 2" xfId="19274"/>
    <cellStyle name="표준 32 3 10 2 2" xfId="40150"/>
    <cellStyle name="표준 32 3 10 3" xfId="31414"/>
    <cellStyle name="표준 32 3 11" xfId="11369"/>
    <cellStyle name="표준 32 3 11 2" xfId="20135"/>
    <cellStyle name="표준 32 3 11 2 2" xfId="41011"/>
    <cellStyle name="표준 32 3 11 3" xfId="32275"/>
    <cellStyle name="표준 32 3 12" xfId="12518"/>
    <cellStyle name="표준 32 3 12 2" xfId="33395"/>
    <cellStyle name="표준 32 3 13" xfId="24645"/>
    <cellStyle name="표준 32 3 2" xfId="3260"/>
    <cellStyle name="표준 32 3 2 10" xfId="11579"/>
    <cellStyle name="표준 32 3 2 10 2" xfId="20345"/>
    <cellStyle name="표준 32 3 2 10 2 2" xfId="41221"/>
    <cellStyle name="표준 32 3 2 10 3" xfId="32485"/>
    <cellStyle name="표준 32 3 2 11" xfId="12728"/>
    <cellStyle name="표준 32 3 2 11 2" xfId="33605"/>
    <cellStyle name="표준 32 3 2 12" xfId="24855"/>
    <cellStyle name="표준 32 3 2 2" xfId="3702"/>
    <cellStyle name="표준 32 3 2 2 2" xfId="5975"/>
    <cellStyle name="표준 32 3 2 2 2 2" xfId="14984"/>
    <cellStyle name="표준 32 3 2 2 2 2 2" xfId="35860"/>
    <cellStyle name="표준 32 3 2 2 2 3" xfId="27122"/>
    <cellStyle name="표준 32 3 2 2 3" xfId="13165"/>
    <cellStyle name="표준 32 3 2 2 3 2" xfId="34042"/>
    <cellStyle name="표준 32 3 2 2 4" xfId="25292"/>
    <cellStyle name="표준 32 3 2 3" xfId="4863"/>
    <cellStyle name="표준 32 3 2 3 2" xfId="6695"/>
    <cellStyle name="표준 32 3 2 3 2 2" xfId="15704"/>
    <cellStyle name="표준 32 3 2 3 2 2 2" xfId="36580"/>
    <cellStyle name="표준 32 3 2 3 2 3" xfId="27842"/>
    <cellStyle name="표준 32 3 2 3 3" xfId="13886"/>
    <cellStyle name="표준 32 3 2 3 3 2" xfId="34762"/>
    <cellStyle name="표준 32 3 2 3 4" xfId="26024"/>
    <cellStyle name="표준 32 3 2 4" xfId="5538"/>
    <cellStyle name="표준 32 3 2 4 2" xfId="14547"/>
    <cellStyle name="표준 32 3 2 4 2 2" xfId="35423"/>
    <cellStyle name="표준 32 3 2 4 3" xfId="26685"/>
    <cellStyle name="표준 32 3 2 5" xfId="7341"/>
    <cellStyle name="표준 32 3 2 5 2" xfId="16348"/>
    <cellStyle name="표준 32 3 2 5 2 2" xfId="37224"/>
    <cellStyle name="표준 32 3 2 5 3" xfId="28486"/>
    <cellStyle name="표준 32 3 2 6" xfId="7985"/>
    <cellStyle name="표준 32 3 2 6 2" xfId="16991"/>
    <cellStyle name="표준 32 3 2 6 2 2" xfId="37867"/>
    <cellStyle name="표준 32 3 2 6 3" xfId="29129"/>
    <cellStyle name="표준 32 3 2 7" xfId="8833"/>
    <cellStyle name="표준 32 3 2 7 2" xfId="17838"/>
    <cellStyle name="표준 32 3 2 7 2 2" xfId="38714"/>
    <cellStyle name="표준 32 3 2 7 3" xfId="29976"/>
    <cellStyle name="표준 32 3 2 8" xfId="9658"/>
    <cellStyle name="표준 32 3 2 8 2" xfId="18656"/>
    <cellStyle name="표준 32 3 2 8 2 2" xfId="39532"/>
    <cellStyle name="표준 32 3 2 8 3" xfId="30794"/>
    <cellStyle name="표준 32 3 2 9" xfId="10713"/>
    <cellStyle name="표준 32 3 2 9 2" xfId="19484"/>
    <cellStyle name="표준 32 3 2 9 2 2" xfId="40360"/>
    <cellStyle name="표준 32 3 2 9 3" xfId="31624"/>
    <cellStyle name="표준 32 3 3" xfId="3492"/>
    <cellStyle name="표준 32 3 3 10" xfId="12955"/>
    <cellStyle name="표준 32 3 3 10 2" xfId="33832"/>
    <cellStyle name="표준 32 3 3 11" xfId="25082"/>
    <cellStyle name="표준 32 3 3 2" xfId="5086"/>
    <cellStyle name="표준 32 3 3 2 2" xfId="6912"/>
    <cellStyle name="표준 32 3 3 2 2 2" xfId="15921"/>
    <cellStyle name="표준 32 3 3 2 2 2 2" xfId="36797"/>
    <cellStyle name="표준 32 3 3 2 2 3" xfId="28059"/>
    <cellStyle name="표준 32 3 3 2 3" xfId="14103"/>
    <cellStyle name="표준 32 3 3 2 3 2" xfId="34979"/>
    <cellStyle name="표준 32 3 3 2 4" xfId="26241"/>
    <cellStyle name="표준 32 3 3 3" xfId="5765"/>
    <cellStyle name="표준 32 3 3 3 2" xfId="14774"/>
    <cellStyle name="표준 32 3 3 3 2 2" xfId="35650"/>
    <cellStyle name="표준 32 3 3 3 3" xfId="26912"/>
    <cellStyle name="표준 32 3 3 4" xfId="7558"/>
    <cellStyle name="표준 32 3 3 4 2" xfId="16565"/>
    <cellStyle name="표준 32 3 3 4 2 2" xfId="37441"/>
    <cellStyle name="표준 32 3 3 4 3" xfId="28703"/>
    <cellStyle name="표준 32 3 3 5" xfId="8202"/>
    <cellStyle name="표준 32 3 3 5 2" xfId="17208"/>
    <cellStyle name="표준 32 3 3 5 2 2" xfId="38084"/>
    <cellStyle name="표준 32 3 3 5 3" xfId="29346"/>
    <cellStyle name="표준 32 3 3 6" xfId="9050"/>
    <cellStyle name="표준 32 3 3 6 2" xfId="18055"/>
    <cellStyle name="표준 32 3 3 6 2 2" xfId="38931"/>
    <cellStyle name="표준 32 3 3 6 3" xfId="30193"/>
    <cellStyle name="표준 32 3 3 7" xfId="9875"/>
    <cellStyle name="표준 32 3 3 7 2" xfId="18873"/>
    <cellStyle name="표준 32 3 3 7 2 2" xfId="39749"/>
    <cellStyle name="표준 32 3 3 7 3" xfId="31011"/>
    <cellStyle name="표준 32 3 3 8" xfId="10930"/>
    <cellStyle name="표준 32 3 3 8 2" xfId="19701"/>
    <cellStyle name="표준 32 3 3 8 2 2" xfId="40577"/>
    <cellStyle name="표준 32 3 3 8 3" xfId="31841"/>
    <cellStyle name="표준 32 3 3 9" xfId="11796"/>
    <cellStyle name="표준 32 3 3 9 2" xfId="20562"/>
    <cellStyle name="표준 32 3 3 9 2 2" xfId="41438"/>
    <cellStyle name="표준 32 3 3 9 3" xfId="32702"/>
    <cellStyle name="표준 32 3 4" xfId="4651"/>
    <cellStyle name="표준 32 3 4 2" xfId="6485"/>
    <cellStyle name="표준 32 3 4 2 2" xfId="15494"/>
    <cellStyle name="표준 32 3 4 2 2 2" xfId="36370"/>
    <cellStyle name="표준 32 3 4 2 3" xfId="27632"/>
    <cellStyle name="표준 32 3 4 3" xfId="11148"/>
    <cellStyle name="표준 32 3 4 3 2" xfId="19918"/>
    <cellStyle name="표준 32 3 4 3 2 2" xfId="40794"/>
    <cellStyle name="표준 32 3 4 3 3" xfId="32058"/>
    <cellStyle name="표준 32 3 4 4" xfId="12013"/>
    <cellStyle name="표준 32 3 4 4 2" xfId="20779"/>
    <cellStyle name="표준 32 3 4 4 2 2" xfId="41655"/>
    <cellStyle name="표준 32 3 4 4 3" xfId="32919"/>
    <cellStyle name="표준 32 3 4 5" xfId="13676"/>
    <cellStyle name="표준 32 3 4 5 2" xfId="34552"/>
    <cellStyle name="표준 32 3 4 6" xfId="25814"/>
    <cellStyle name="표준 32 3 5" xfId="5328"/>
    <cellStyle name="표준 32 3 5 2" xfId="14337"/>
    <cellStyle name="표준 32 3 5 2 2" xfId="35213"/>
    <cellStyle name="표준 32 3 5 3" xfId="26475"/>
    <cellStyle name="표준 32 3 6" xfId="7130"/>
    <cellStyle name="표준 32 3 6 2" xfId="16138"/>
    <cellStyle name="표준 32 3 6 2 2" xfId="37014"/>
    <cellStyle name="표준 32 3 6 3" xfId="28276"/>
    <cellStyle name="표준 32 3 7" xfId="7775"/>
    <cellStyle name="표준 32 3 7 2" xfId="16781"/>
    <cellStyle name="표준 32 3 7 2 2" xfId="37657"/>
    <cellStyle name="표준 32 3 7 3" xfId="28919"/>
    <cellStyle name="표준 32 3 8" xfId="8623"/>
    <cellStyle name="표준 32 3 8 2" xfId="17628"/>
    <cellStyle name="표준 32 3 8 2 2" xfId="38504"/>
    <cellStyle name="표준 32 3 8 3" xfId="29766"/>
    <cellStyle name="표준 32 3 9" xfId="9447"/>
    <cellStyle name="표준 32 3 9 2" xfId="18446"/>
    <cellStyle name="표준 32 3 9 2 2" xfId="39322"/>
    <cellStyle name="표준 32 3 9 3" xfId="30584"/>
    <cellStyle name="표준 32 4" xfId="3044"/>
    <cellStyle name="표준 32 4 10" xfId="10504"/>
    <cellStyle name="표준 32 4 10 2" xfId="19275"/>
    <cellStyle name="표준 32 4 10 2 2" xfId="40151"/>
    <cellStyle name="표준 32 4 10 3" xfId="31415"/>
    <cellStyle name="표준 32 4 11" xfId="11370"/>
    <cellStyle name="표준 32 4 11 2" xfId="20136"/>
    <cellStyle name="표준 32 4 11 2 2" xfId="41012"/>
    <cellStyle name="표준 32 4 11 3" xfId="32276"/>
    <cellStyle name="표준 32 4 12" xfId="12519"/>
    <cellStyle name="표준 32 4 12 2" xfId="33396"/>
    <cellStyle name="표준 32 4 13" xfId="24646"/>
    <cellStyle name="표준 32 4 2" xfId="3261"/>
    <cellStyle name="표준 32 4 2 10" xfId="11580"/>
    <cellStyle name="표준 32 4 2 10 2" xfId="20346"/>
    <cellStyle name="표준 32 4 2 10 2 2" xfId="41222"/>
    <cellStyle name="표준 32 4 2 10 3" xfId="32486"/>
    <cellStyle name="표준 32 4 2 11" xfId="12729"/>
    <cellStyle name="표준 32 4 2 11 2" xfId="33606"/>
    <cellStyle name="표준 32 4 2 12" xfId="24856"/>
    <cellStyle name="표준 32 4 2 2" xfId="3703"/>
    <cellStyle name="표준 32 4 2 2 2" xfId="5976"/>
    <cellStyle name="표준 32 4 2 2 2 2" xfId="14985"/>
    <cellStyle name="표준 32 4 2 2 2 2 2" xfId="35861"/>
    <cellStyle name="표준 32 4 2 2 2 3" xfId="27123"/>
    <cellStyle name="표준 32 4 2 2 3" xfId="13166"/>
    <cellStyle name="표준 32 4 2 2 3 2" xfId="34043"/>
    <cellStyle name="표준 32 4 2 2 4" xfId="25293"/>
    <cellStyle name="표준 32 4 2 3" xfId="4864"/>
    <cellStyle name="표준 32 4 2 3 2" xfId="6696"/>
    <cellStyle name="표준 32 4 2 3 2 2" xfId="15705"/>
    <cellStyle name="표준 32 4 2 3 2 2 2" xfId="36581"/>
    <cellStyle name="표준 32 4 2 3 2 3" xfId="27843"/>
    <cellStyle name="표준 32 4 2 3 3" xfId="13887"/>
    <cellStyle name="표준 32 4 2 3 3 2" xfId="34763"/>
    <cellStyle name="표준 32 4 2 3 4" xfId="26025"/>
    <cellStyle name="표준 32 4 2 4" xfId="5539"/>
    <cellStyle name="표준 32 4 2 4 2" xfId="14548"/>
    <cellStyle name="표준 32 4 2 4 2 2" xfId="35424"/>
    <cellStyle name="표준 32 4 2 4 3" xfId="26686"/>
    <cellStyle name="표준 32 4 2 5" xfId="7342"/>
    <cellStyle name="표준 32 4 2 5 2" xfId="16349"/>
    <cellStyle name="표준 32 4 2 5 2 2" xfId="37225"/>
    <cellStyle name="표준 32 4 2 5 3" xfId="28487"/>
    <cellStyle name="표준 32 4 2 6" xfId="7986"/>
    <cellStyle name="표준 32 4 2 6 2" xfId="16992"/>
    <cellStyle name="표준 32 4 2 6 2 2" xfId="37868"/>
    <cellStyle name="표준 32 4 2 6 3" xfId="29130"/>
    <cellStyle name="표준 32 4 2 7" xfId="8834"/>
    <cellStyle name="표준 32 4 2 7 2" xfId="17839"/>
    <cellStyle name="표준 32 4 2 7 2 2" xfId="38715"/>
    <cellStyle name="표준 32 4 2 7 3" xfId="29977"/>
    <cellStyle name="표준 32 4 2 8" xfId="9659"/>
    <cellStyle name="표준 32 4 2 8 2" xfId="18657"/>
    <cellStyle name="표준 32 4 2 8 2 2" xfId="39533"/>
    <cellStyle name="표준 32 4 2 8 3" xfId="30795"/>
    <cellStyle name="표준 32 4 2 9" xfId="10714"/>
    <cellStyle name="표준 32 4 2 9 2" xfId="19485"/>
    <cellStyle name="표준 32 4 2 9 2 2" xfId="40361"/>
    <cellStyle name="표준 32 4 2 9 3" xfId="31625"/>
    <cellStyle name="표준 32 4 3" xfId="3493"/>
    <cellStyle name="표준 32 4 3 10" xfId="12956"/>
    <cellStyle name="표준 32 4 3 10 2" xfId="33833"/>
    <cellStyle name="표준 32 4 3 11" xfId="25083"/>
    <cellStyle name="표준 32 4 3 2" xfId="5087"/>
    <cellStyle name="표준 32 4 3 2 2" xfId="6913"/>
    <cellStyle name="표준 32 4 3 2 2 2" xfId="15922"/>
    <cellStyle name="표준 32 4 3 2 2 2 2" xfId="36798"/>
    <cellStyle name="표준 32 4 3 2 2 3" xfId="28060"/>
    <cellStyle name="표준 32 4 3 2 3" xfId="14104"/>
    <cellStyle name="표준 32 4 3 2 3 2" xfId="34980"/>
    <cellStyle name="표준 32 4 3 2 4" xfId="26242"/>
    <cellStyle name="표준 32 4 3 3" xfId="5766"/>
    <cellStyle name="표준 32 4 3 3 2" xfId="14775"/>
    <cellStyle name="표준 32 4 3 3 2 2" xfId="35651"/>
    <cellStyle name="표준 32 4 3 3 3" xfId="26913"/>
    <cellStyle name="표준 32 4 3 4" xfId="7559"/>
    <cellStyle name="표준 32 4 3 4 2" xfId="16566"/>
    <cellStyle name="표준 32 4 3 4 2 2" xfId="37442"/>
    <cellStyle name="표준 32 4 3 4 3" xfId="28704"/>
    <cellStyle name="표준 32 4 3 5" xfId="8203"/>
    <cellStyle name="표준 32 4 3 5 2" xfId="17209"/>
    <cellStyle name="표준 32 4 3 5 2 2" xfId="38085"/>
    <cellStyle name="표준 32 4 3 5 3" xfId="29347"/>
    <cellStyle name="표준 32 4 3 6" xfId="9051"/>
    <cellStyle name="표준 32 4 3 6 2" xfId="18056"/>
    <cellStyle name="표준 32 4 3 6 2 2" xfId="38932"/>
    <cellStyle name="표준 32 4 3 6 3" xfId="30194"/>
    <cellStyle name="표준 32 4 3 7" xfId="9876"/>
    <cellStyle name="표준 32 4 3 7 2" xfId="18874"/>
    <cellStyle name="표준 32 4 3 7 2 2" xfId="39750"/>
    <cellStyle name="표준 32 4 3 7 3" xfId="31012"/>
    <cellStyle name="표준 32 4 3 8" xfId="10931"/>
    <cellStyle name="표준 32 4 3 8 2" xfId="19702"/>
    <cellStyle name="표준 32 4 3 8 2 2" xfId="40578"/>
    <cellStyle name="표준 32 4 3 8 3" xfId="31842"/>
    <cellStyle name="표준 32 4 3 9" xfId="11797"/>
    <cellStyle name="표준 32 4 3 9 2" xfId="20563"/>
    <cellStyle name="표준 32 4 3 9 2 2" xfId="41439"/>
    <cellStyle name="표준 32 4 3 9 3" xfId="32703"/>
    <cellStyle name="표준 32 4 4" xfId="4652"/>
    <cellStyle name="표준 32 4 4 2" xfId="6486"/>
    <cellStyle name="표준 32 4 4 2 2" xfId="15495"/>
    <cellStyle name="표준 32 4 4 2 2 2" xfId="36371"/>
    <cellStyle name="표준 32 4 4 2 3" xfId="27633"/>
    <cellStyle name="표준 32 4 4 3" xfId="11149"/>
    <cellStyle name="표준 32 4 4 3 2" xfId="19919"/>
    <cellStyle name="표준 32 4 4 3 2 2" xfId="40795"/>
    <cellStyle name="표준 32 4 4 3 3" xfId="32059"/>
    <cellStyle name="표준 32 4 4 4" xfId="12014"/>
    <cellStyle name="표준 32 4 4 4 2" xfId="20780"/>
    <cellStyle name="표준 32 4 4 4 2 2" xfId="41656"/>
    <cellStyle name="표준 32 4 4 4 3" xfId="32920"/>
    <cellStyle name="표준 32 4 4 5" xfId="13677"/>
    <cellStyle name="표준 32 4 4 5 2" xfId="34553"/>
    <cellStyle name="표준 32 4 4 6" xfId="25815"/>
    <cellStyle name="표준 32 4 5" xfId="5329"/>
    <cellStyle name="표준 32 4 5 2" xfId="14338"/>
    <cellStyle name="표준 32 4 5 2 2" xfId="35214"/>
    <cellStyle name="표준 32 4 5 3" xfId="26476"/>
    <cellStyle name="표준 32 4 6" xfId="7131"/>
    <cellStyle name="표준 32 4 6 2" xfId="16139"/>
    <cellStyle name="표준 32 4 6 2 2" xfId="37015"/>
    <cellStyle name="표준 32 4 6 3" xfId="28277"/>
    <cellStyle name="표준 32 4 7" xfId="7776"/>
    <cellStyle name="표준 32 4 7 2" xfId="16782"/>
    <cellStyle name="표준 32 4 7 2 2" xfId="37658"/>
    <cellStyle name="표준 32 4 7 3" xfId="28920"/>
    <cellStyle name="표준 32 4 8" xfId="8624"/>
    <cellStyle name="표준 32 4 8 2" xfId="17629"/>
    <cellStyle name="표준 32 4 8 2 2" xfId="38505"/>
    <cellStyle name="표준 32 4 8 3" xfId="29767"/>
    <cellStyle name="표준 32 4 9" xfId="9448"/>
    <cellStyle name="표준 32 4 9 2" xfId="18447"/>
    <cellStyle name="표준 32 4 9 2 2" xfId="39323"/>
    <cellStyle name="표준 32 4 9 3" xfId="30585"/>
    <cellStyle name="표준 32 5" xfId="3045"/>
    <cellStyle name="표준 32 5 10" xfId="10505"/>
    <cellStyle name="표준 32 5 10 2" xfId="19276"/>
    <cellStyle name="표준 32 5 10 2 2" xfId="40152"/>
    <cellStyle name="표준 32 5 10 3" xfId="31416"/>
    <cellStyle name="표준 32 5 11" xfId="11371"/>
    <cellStyle name="표준 32 5 11 2" xfId="20137"/>
    <cellStyle name="표준 32 5 11 2 2" xfId="41013"/>
    <cellStyle name="표준 32 5 11 3" xfId="32277"/>
    <cellStyle name="표준 32 5 12" xfId="12520"/>
    <cellStyle name="표준 32 5 12 2" xfId="33397"/>
    <cellStyle name="표준 32 5 13" xfId="24647"/>
    <cellStyle name="표준 32 5 2" xfId="3262"/>
    <cellStyle name="표준 32 5 2 10" xfId="11581"/>
    <cellStyle name="표준 32 5 2 10 2" xfId="20347"/>
    <cellStyle name="표준 32 5 2 10 2 2" xfId="41223"/>
    <cellStyle name="표준 32 5 2 10 3" xfId="32487"/>
    <cellStyle name="표준 32 5 2 11" xfId="12730"/>
    <cellStyle name="표준 32 5 2 11 2" xfId="33607"/>
    <cellStyle name="표준 32 5 2 12" xfId="24857"/>
    <cellStyle name="표준 32 5 2 2" xfId="3704"/>
    <cellStyle name="표준 32 5 2 2 2" xfId="5977"/>
    <cellStyle name="표준 32 5 2 2 2 2" xfId="14986"/>
    <cellStyle name="표준 32 5 2 2 2 2 2" xfId="35862"/>
    <cellStyle name="표준 32 5 2 2 2 3" xfId="27124"/>
    <cellStyle name="표준 32 5 2 2 3" xfId="13167"/>
    <cellStyle name="표준 32 5 2 2 3 2" xfId="34044"/>
    <cellStyle name="표준 32 5 2 2 4" xfId="25294"/>
    <cellStyle name="표준 32 5 2 3" xfId="4865"/>
    <cellStyle name="표준 32 5 2 3 2" xfId="6697"/>
    <cellStyle name="표준 32 5 2 3 2 2" xfId="15706"/>
    <cellStyle name="표준 32 5 2 3 2 2 2" xfId="36582"/>
    <cellStyle name="표준 32 5 2 3 2 3" xfId="27844"/>
    <cellStyle name="표준 32 5 2 3 3" xfId="13888"/>
    <cellStyle name="표준 32 5 2 3 3 2" xfId="34764"/>
    <cellStyle name="표준 32 5 2 3 4" xfId="26026"/>
    <cellStyle name="표준 32 5 2 4" xfId="5540"/>
    <cellStyle name="표준 32 5 2 4 2" xfId="14549"/>
    <cellStyle name="표준 32 5 2 4 2 2" xfId="35425"/>
    <cellStyle name="표준 32 5 2 4 3" xfId="26687"/>
    <cellStyle name="표준 32 5 2 5" xfId="7343"/>
    <cellStyle name="표준 32 5 2 5 2" xfId="16350"/>
    <cellStyle name="표준 32 5 2 5 2 2" xfId="37226"/>
    <cellStyle name="표준 32 5 2 5 3" xfId="28488"/>
    <cellStyle name="표준 32 5 2 6" xfId="7987"/>
    <cellStyle name="표준 32 5 2 6 2" xfId="16993"/>
    <cellStyle name="표준 32 5 2 6 2 2" xfId="37869"/>
    <cellStyle name="표준 32 5 2 6 3" xfId="29131"/>
    <cellStyle name="표준 32 5 2 7" xfId="8835"/>
    <cellStyle name="표준 32 5 2 7 2" xfId="17840"/>
    <cellStyle name="표준 32 5 2 7 2 2" xfId="38716"/>
    <cellStyle name="표준 32 5 2 7 3" xfId="29978"/>
    <cellStyle name="표준 32 5 2 8" xfId="9660"/>
    <cellStyle name="표준 32 5 2 8 2" xfId="18658"/>
    <cellStyle name="표준 32 5 2 8 2 2" xfId="39534"/>
    <cellStyle name="표준 32 5 2 8 3" xfId="30796"/>
    <cellStyle name="표준 32 5 2 9" xfId="10715"/>
    <cellStyle name="표준 32 5 2 9 2" xfId="19486"/>
    <cellStyle name="표준 32 5 2 9 2 2" xfId="40362"/>
    <cellStyle name="표준 32 5 2 9 3" xfId="31626"/>
    <cellStyle name="표준 32 5 3" xfId="3494"/>
    <cellStyle name="표준 32 5 3 10" xfId="12957"/>
    <cellStyle name="표준 32 5 3 10 2" xfId="33834"/>
    <cellStyle name="표준 32 5 3 11" xfId="25084"/>
    <cellStyle name="표준 32 5 3 2" xfId="5088"/>
    <cellStyle name="표준 32 5 3 2 2" xfId="6914"/>
    <cellStyle name="표준 32 5 3 2 2 2" xfId="15923"/>
    <cellStyle name="표준 32 5 3 2 2 2 2" xfId="36799"/>
    <cellStyle name="표준 32 5 3 2 2 3" xfId="28061"/>
    <cellStyle name="표준 32 5 3 2 3" xfId="14105"/>
    <cellStyle name="표준 32 5 3 2 3 2" xfId="34981"/>
    <cellStyle name="표준 32 5 3 2 4" xfId="26243"/>
    <cellStyle name="표준 32 5 3 3" xfId="5767"/>
    <cellStyle name="표준 32 5 3 3 2" xfId="14776"/>
    <cellStyle name="표준 32 5 3 3 2 2" xfId="35652"/>
    <cellStyle name="표준 32 5 3 3 3" xfId="26914"/>
    <cellStyle name="표준 32 5 3 4" xfId="7560"/>
    <cellStyle name="표준 32 5 3 4 2" xfId="16567"/>
    <cellStyle name="표준 32 5 3 4 2 2" xfId="37443"/>
    <cellStyle name="표준 32 5 3 4 3" xfId="28705"/>
    <cellStyle name="표준 32 5 3 5" xfId="8204"/>
    <cellStyle name="표준 32 5 3 5 2" xfId="17210"/>
    <cellStyle name="표준 32 5 3 5 2 2" xfId="38086"/>
    <cellStyle name="표준 32 5 3 5 3" xfId="29348"/>
    <cellStyle name="표준 32 5 3 6" xfId="9052"/>
    <cellStyle name="표준 32 5 3 6 2" xfId="18057"/>
    <cellStyle name="표준 32 5 3 6 2 2" xfId="38933"/>
    <cellStyle name="표준 32 5 3 6 3" xfId="30195"/>
    <cellStyle name="표준 32 5 3 7" xfId="9877"/>
    <cellStyle name="표준 32 5 3 7 2" xfId="18875"/>
    <cellStyle name="표준 32 5 3 7 2 2" xfId="39751"/>
    <cellStyle name="표준 32 5 3 7 3" xfId="31013"/>
    <cellStyle name="표준 32 5 3 8" xfId="10932"/>
    <cellStyle name="표준 32 5 3 8 2" xfId="19703"/>
    <cellStyle name="표준 32 5 3 8 2 2" xfId="40579"/>
    <cellStyle name="표준 32 5 3 8 3" xfId="31843"/>
    <cellStyle name="표준 32 5 3 9" xfId="11798"/>
    <cellStyle name="표준 32 5 3 9 2" xfId="20564"/>
    <cellStyle name="표준 32 5 3 9 2 2" xfId="41440"/>
    <cellStyle name="표준 32 5 3 9 3" xfId="32704"/>
    <cellStyle name="표준 32 5 4" xfId="4653"/>
    <cellStyle name="표준 32 5 4 2" xfId="6487"/>
    <cellStyle name="표준 32 5 4 2 2" xfId="15496"/>
    <cellStyle name="표준 32 5 4 2 2 2" xfId="36372"/>
    <cellStyle name="표준 32 5 4 2 3" xfId="27634"/>
    <cellStyle name="표준 32 5 4 3" xfId="11150"/>
    <cellStyle name="표준 32 5 4 3 2" xfId="19920"/>
    <cellStyle name="표준 32 5 4 3 2 2" xfId="40796"/>
    <cellStyle name="표준 32 5 4 3 3" xfId="32060"/>
    <cellStyle name="표준 32 5 4 4" xfId="12015"/>
    <cellStyle name="표준 32 5 4 4 2" xfId="20781"/>
    <cellStyle name="표준 32 5 4 4 2 2" xfId="41657"/>
    <cellStyle name="표준 32 5 4 4 3" xfId="32921"/>
    <cellStyle name="표준 32 5 4 5" xfId="13678"/>
    <cellStyle name="표준 32 5 4 5 2" xfId="34554"/>
    <cellStyle name="표준 32 5 4 6" xfId="25816"/>
    <cellStyle name="표준 32 5 5" xfId="5330"/>
    <cellStyle name="표준 32 5 5 2" xfId="14339"/>
    <cellStyle name="표준 32 5 5 2 2" xfId="35215"/>
    <cellStyle name="표준 32 5 5 3" xfId="26477"/>
    <cellStyle name="표준 32 5 6" xfId="7132"/>
    <cellStyle name="표준 32 5 6 2" xfId="16140"/>
    <cellStyle name="표준 32 5 6 2 2" xfId="37016"/>
    <cellStyle name="표준 32 5 6 3" xfId="28278"/>
    <cellStyle name="표준 32 5 7" xfId="7777"/>
    <cellStyle name="표준 32 5 7 2" xfId="16783"/>
    <cellStyle name="표준 32 5 7 2 2" xfId="37659"/>
    <cellStyle name="표준 32 5 7 3" xfId="28921"/>
    <cellStyle name="표준 32 5 8" xfId="8625"/>
    <cellStyle name="표준 32 5 8 2" xfId="17630"/>
    <cellStyle name="표준 32 5 8 2 2" xfId="38506"/>
    <cellStyle name="표준 32 5 8 3" xfId="29768"/>
    <cellStyle name="표준 32 5 9" xfId="9449"/>
    <cellStyle name="표준 32 5 9 2" xfId="18448"/>
    <cellStyle name="표준 32 5 9 2 2" xfId="39324"/>
    <cellStyle name="표준 32 5 9 3" xfId="30586"/>
    <cellStyle name="표준 32 6" xfId="3046"/>
    <cellStyle name="표준 32 6 10" xfId="10506"/>
    <cellStyle name="표준 32 6 10 2" xfId="19277"/>
    <cellStyle name="표준 32 6 10 2 2" xfId="40153"/>
    <cellStyle name="표준 32 6 10 3" xfId="31417"/>
    <cellStyle name="표준 32 6 11" xfId="11372"/>
    <cellStyle name="표준 32 6 11 2" xfId="20138"/>
    <cellStyle name="표준 32 6 11 2 2" xfId="41014"/>
    <cellStyle name="표준 32 6 11 3" xfId="32278"/>
    <cellStyle name="표준 32 6 12" xfId="12521"/>
    <cellStyle name="표준 32 6 12 2" xfId="33398"/>
    <cellStyle name="표준 32 6 13" xfId="24648"/>
    <cellStyle name="표준 32 6 2" xfId="3263"/>
    <cellStyle name="표준 32 6 2 10" xfId="11582"/>
    <cellStyle name="표준 32 6 2 10 2" xfId="20348"/>
    <cellStyle name="표준 32 6 2 10 2 2" xfId="41224"/>
    <cellStyle name="표준 32 6 2 10 3" xfId="32488"/>
    <cellStyle name="표준 32 6 2 11" xfId="12731"/>
    <cellStyle name="표준 32 6 2 11 2" xfId="33608"/>
    <cellStyle name="표준 32 6 2 12" xfId="24858"/>
    <cellStyle name="표준 32 6 2 2" xfId="3705"/>
    <cellStyle name="표준 32 6 2 2 2" xfId="5978"/>
    <cellStyle name="표준 32 6 2 2 2 2" xfId="14987"/>
    <cellStyle name="표준 32 6 2 2 2 2 2" xfId="35863"/>
    <cellStyle name="표준 32 6 2 2 2 3" xfId="27125"/>
    <cellStyle name="표준 32 6 2 2 3" xfId="13168"/>
    <cellStyle name="표준 32 6 2 2 3 2" xfId="34045"/>
    <cellStyle name="표준 32 6 2 2 4" xfId="25295"/>
    <cellStyle name="표준 32 6 2 3" xfId="4866"/>
    <cellStyle name="표준 32 6 2 3 2" xfId="6698"/>
    <cellStyle name="표준 32 6 2 3 2 2" xfId="15707"/>
    <cellStyle name="표준 32 6 2 3 2 2 2" xfId="36583"/>
    <cellStyle name="표준 32 6 2 3 2 3" xfId="27845"/>
    <cellStyle name="표준 32 6 2 3 3" xfId="13889"/>
    <cellStyle name="표준 32 6 2 3 3 2" xfId="34765"/>
    <cellStyle name="표준 32 6 2 3 4" xfId="26027"/>
    <cellStyle name="표준 32 6 2 4" xfId="5541"/>
    <cellStyle name="표준 32 6 2 4 2" xfId="14550"/>
    <cellStyle name="표준 32 6 2 4 2 2" xfId="35426"/>
    <cellStyle name="표준 32 6 2 4 3" xfId="26688"/>
    <cellStyle name="표준 32 6 2 5" xfId="7344"/>
    <cellStyle name="표준 32 6 2 5 2" xfId="16351"/>
    <cellStyle name="표준 32 6 2 5 2 2" xfId="37227"/>
    <cellStyle name="표준 32 6 2 5 3" xfId="28489"/>
    <cellStyle name="표준 32 6 2 6" xfId="7988"/>
    <cellStyle name="표준 32 6 2 6 2" xfId="16994"/>
    <cellStyle name="표준 32 6 2 6 2 2" xfId="37870"/>
    <cellStyle name="표준 32 6 2 6 3" xfId="29132"/>
    <cellStyle name="표준 32 6 2 7" xfId="8836"/>
    <cellStyle name="표준 32 6 2 7 2" xfId="17841"/>
    <cellStyle name="표준 32 6 2 7 2 2" xfId="38717"/>
    <cellStyle name="표준 32 6 2 7 3" xfId="29979"/>
    <cellStyle name="표준 32 6 2 8" xfId="9661"/>
    <cellStyle name="표준 32 6 2 8 2" xfId="18659"/>
    <cellStyle name="표준 32 6 2 8 2 2" xfId="39535"/>
    <cellStyle name="표준 32 6 2 8 3" xfId="30797"/>
    <cellStyle name="표준 32 6 2 9" xfId="10716"/>
    <cellStyle name="표준 32 6 2 9 2" xfId="19487"/>
    <cellStyle name="표준 32 6 2 9 2 2" xfId="40363"/>
    <cellStyle name="표준 32 6 2 9 3" xfId="31627"/>
    <cellStyle name="표준 32 6 3" xfId="3495"/>
    <cellStyle name="표준 32 6 3 10" xfId="12958"/>
    <cellStyle name="표준 32 6 3 10 2" xfId="33835"/>
    <cellStyle name="표준 32 6 3 11" xfId="25085"/>
    <cellStyle name="표준 32 6 3 2" xfId="5089"/>
    <cellStyle name="표준 32 6 3 2 2" xfId="6915"/>
    <cellStyle name="표준 32 6 3 2 2 2" xfId="15924"/>
    <cellStyle name="표준 32 6 3 2 2 2 2" xfId="36800"/>
    <cellStyle name="표준 32 6 3 2 2 3" xfId="28062"/>
    <cellStyle name="표준 32 6 3 2 3" xfId="14106"/>
    <cellStyle name="표준 32 6 3 2 3 2" xfId="34982"/>
    <cellStyle name="표준 32 6 3 2 4" xfId="26244"/>
    <cellStyle name="표준 32 6 3 3" xfId="5768"/>
    <cellStyle name="표준 32 6 3 3 2" xfId="14777"/>
    <cellStyle name="표준 32 6 3 3 2 2" xfId="35653"/>
    <cellStyle name="표준 32 6 3 3 3" xfId="26915"/>
    <cellStyle name="표준 32 6 3 4" xfId="7561"/>
    <cellStyle name="표준 32 6 3 4 2" xfId="16568"/>
    <cellStyle name="표준 32 6 3 4 2 2" xfId="37444"/>
    <cellStyle name="표준 32 6 3 4 3" xfId="28706"/>
    <cellStyle name="표준 32 6 3 5" xfId="8205"/>
    <cellStyle name="표준 32 6 3 5 2" xfId="17211"/>
    <cellStyle name="표준 32 6 3 5 2 2" xfId="38087"/>
    <cellStyle name="표준 32 6 3 5 3" xfId="29349"/>
    <cellStyle name="표준 32 6 3 6" xfId="9053"/>
    <cellStyle name="표준 32 6 3 6 2" xfId="18058"/>
    <cellStyle name="표준 32 6 3 6 2 2" xfId="38934"/>
    <cellStyle name="표준 32 6 3 6 3" xfId="30196"/>
    <cellStyle name="표준 32 6 3 7" xfId="9878"/>
    <cellStyle name="표준 32 6 3 7 2" xfId="18876"/>
    <cellStyle name="표준 32 6 3 7 2 2" xfId="39752"/>
    <cellStyle name="표준 32 6 3 7 3" xfId="31014"/>
    <cellStyle name="표준 32 6 3 8" xfId="10933"/>
    <cellStyle name="표준 32 6 3 8 2" xfId="19704"/>
    <cellStyle name="표준 32 6 3 8 2 2" xfId="40580"/>
    <cellStyle name="표준 32 6 3 8 3" xfId="31844"/>
    <cellStyle name="표준 32 6 3 9" xfId="11799"/>
    <cellStyle name="표준 32 6 3 9 2" xfId="20565"/>
    <cellStyle name="표준 32 6 3 9 2 2" xfId="41441"/>
    <cellStyle name="표준 32 6 3 9 3" xfId="32705"/>
    <cellStyle name="표준 32 6 4" xfId="4654"/>
    <cellStyle name="표준 32 6 4 2" xfId="6488"/>
    <cellStyle name="표준 32 6 4 2 2" xfId="15497"/>
    <cellStyle name="표준 32 6 4 2 2 2" xfId="36373"/>
    <cellStyle name="표준 32 6 4 2 3" xfId="27635"/>
    <cellStyle name="표준 32 6 4 3" xfId="11151"/>
    <cellStyle name="표준 32 6 4 3 2" xfId="19921"/>
    <cellStyle name="표준 32 6 4 3 2 2" xfId="40797"/>
    <cellStyle name="표준 32 6 4 3 3" xfId="32061"/>
    <cellStyle name="표준 32 6 4 4" xfId="12016"/>
    <cellStyle name="표준 32 6 4 4 2" xfId="20782"/>
    <cellStyle name="표준 32 6 4 4 2 2" xfId="41658"/>
    <cellStyle name="표준 32 6 4 4 3" xfId="32922"/>
    <cellStyle name="표준 32 6 4 5" xfId="13679"/>
    <cellStyle name="표준 32 6 4 5 2" xfId="34555"/>
    <cellStyle name="표준 32 6 4 6" xfId="25817"/>
    <cellStyle name="표준 32 6 5" xfId="5331"/>
    <cellStyle name="표준 32 6 5 2" xfId="14340"/>
    <cellStyle name="표준 32 6 5 2 2" xfId="35216"/>
    <cellStyle name="표준 32 6 5 3" xfId="26478"/>
    <cellStyle name="표준 32 6 6" xfId="7133"/>
    <cellStyle name="표준 32 6 6 2" xfId="16141"/>
    <cellStyle name="표준 32 6 6 2 2" xfId="37017"/>
    <cellStyle name="표준 32 6 6 3" xfId="28279"/>
    <cellStyle name="표준 32 6 7" xfId="7778"/>
    <cellStyle name="표준 32 6 7 2" xfId="16784"/>
    <cellStyle name="표준 32 6 7 2 2" xfId="37660"/>
    <cellStyle name="표준 32 6 7 3" xfId="28922"/>
    <cellStyle name="표준 32 6 8" xfId="8626"/>
    <cellStyle name="표준 32 6 8 2" xfId="17631"/>
    <cellStyle name="표준 32 6 8 2 2" xfId="38507"/>
    <cellStyle name="표준 32 6 8 3" xfId="29769"/>
    <cellStyle name="표준 32 6 9" xfId="9450"/>
    <cellStyle name="표준 32 6 9 2" xfId="18449"/>
    <cellStyle name="표준 32 6 9 2 2" xfId="39325"/>
    <cellStyle name="표준 32 6 9 3" xfId="30587"/>
    <cellStyle name="표준 32 7" xfId="3047"/>
    <cellStyle name="표준 32 7 10" xfId="10507"/>
    <cellStyle name="표준 32 7 10 2" xfId="19278"/>
    <cellStyle name="표준 32 7 10 2 2" xfId="40154"/>
    <cellStyle name="표준 32 7 10 3" xfId="31418"/>
    <cellStyle name="표준 32 7 11" xfId="11373"/>
    <cellStyle name="표준 32 7 11 2" xfId="20139"/>
    <cellStyle name="표준 32 7 11 2 2" xfId="41015"/>
    <cellStyle name="표준 32 7 11 3" xfId="32279"/>
    <cellStyle name="표준 32 7 12" xfId="12522"/>
    <cellStyle name="표준 32 7 12 2" xfId="33399"/>
    <cellStyle name="표준 32 7 13" xfId="24649"/>
    <cellStyle name="표준 32 7 2" xfId="3264"/>
    <cellStyle name="표준 32 7 2 10" xfId="11583"/>
    <cellStyle name="표준 32 7 2 10 2" xfId="20349"/>
    <cellStyle name="표준 32 7 2 10 2 2" xfId="41225"/>
    <cellStyle name="표준 32 7 2 10 3" xfId="32489"/>
    <cellStyle name="표준 32 7 2 11" xfId="12732"/>
    <cellStyle name="표준 32 7 2 11 2" xfId="33609"/>
    <cellStyle name="표준 32 7 2 12" xfId="24859"/>
    <cellStyle name="표준 32 7 2 2" xfId="3706"/>
    <cellStyle name="표준 32 7 2 2 2" xfId="5979"/>
    <cellStyle name="표준 32 7 2 2 2 2" xfId="14988"/>
    <cellStyle name="표준 32 7 2 2 2 2 2" xfId="35864"/>
    <cellStyle name="표준 32 7 2 2 2 3" xfId="27126"/>
    <cellStyle name="표준 32 7 2 2 3" xfId="13169"/>
    <cellStyle name="표준 32 7 2 2 3 2" xfId="34046"/>
    <cellStyle name="표준 32 7 2 2 4" xfId="25296"/>
    <cellStyle name="표준 32 7 2 3" xfId="4867"/>
    <cellStyle name="표준 32 7 2 3 2" xfId="6699"/>
    <cellStyle name="표준 32 7 2 3 2 2" xfId="15708"/>
    <cellStyle name="표준 32 7 2 3 2 2 2" xfId="36584"/>
    <cellStyle name="표준 32 7 2 3 2 3" xfId="27846"/>
    <cellStyle name="표준 32 7 2 3 3" xfId="13890"/>
    <cellStyle name="표준 32 7 2 3 3 2" xfId="34766"/>
    <cellStyle name="표준 32 7 2 3 4" xfId="26028"/>
    <cellStyle name="표준 32 7 2 4" xfId="5542"/>
    <cellStyle name="표준 32 7 2 4 2" xfId="14551"/>
    <cellStyle name="표준 32 7 2 4 2 2" xfId="35427"/>
    <cellStyle name="표준 32 7 2 4 3" xfId="26689"/>
    <cellStyle name="표준 32 7 2 5" xfId="7345"/>
    <cellStyle name="표준 32 7 2 5 2" xfId="16352"/>
    <cellStyle name="표준 32 7 2 5 2 2" xfId="37228"/>
    <cellStyle name="표준 32 7 2 5 3" xfId="28490"/>
    <cellStyle name="표준 32 7 2 6" xfId="7989"/>
    <cellStyle name="표준 32 7 2 6 2" xfId="16995"/>
    <cellStyle name="표준 32 7 2 6 2 2" xfId="37871"/>
    <cellStyle name="표준 32 7 2 6 3" xfId="29133"/>
    <cellStyle name="표준 32 7 2 7" xfId="8837"/>
    <cellStyle name="표준 32 7 2 7 2" xfId="17842"/>
    <cellStyle name="표준 32 7 2 7 2 2" xfId="38718"/>
    <cellStyle name="표준 32 7 2 7 3" xfId="29980"/>
    <cellStyle name="표준 32 7 2 8" xfId="9662"/>
    <cellStyle name="표준 32 7 2 8 2" xfId="18660"/>
    <cellStyle name="표준 32 7 2 8 2 2" xfId="39536"/>
    <cellStyle name="표준 32 7 2 8 3" xfId="30798"/>
    <cellStyle name="표준 32 7 2 9" xfId="10717"/>
    <cellStyle name="표준 32 7 2 9 2" xfId="19488"/>
    <cellStyle name="표준 32 7 2 9 2 2" xfId="40364"/>
    <cellStyle name="표준 32 7 2 9 3" xfId="31628"/>
    <cellStyle name="표준 32 7 3" xfId="3496"/>
    <cellStyle name="표준 32 7 3 10" xfId="12959"/>
    <cellStyle name="표준 32 7 3 10 2" xfId="33836"/>
    <cellStyle name="표준 32 7 3 11" xfId="25086"/>
    <cellStyle name="표준 32 7 3 2" xfId="5090"/>
    <cellStyle name="표준 32 7 3 2 2" xfId="6916"/>
    <cellStyle name="표준 32 7 3 2 2 2" xfId="15925"/>
    <cellStyle name="표준 32 7 3 2 2 2 2" xfId="36801"/>
    <cellStyle name="표준 32 7 3 2 2 3" xfId="28063"/>
    <cellStyle name="표준 32 7 3 2 3" xfId="14107"/>
    <cellStyle name="표준 32 7 3 2 3 2" xfId="34983"/>
    <cellStyle name="표준 32 7 3 2 4" xfId="26245"/>
    <cellStyle name="표준 32 7 3 3" xfId="5769"/>
    <cellStyle name="표준 32 7 3 3 2" xfId="14778"/>
    <cellStyle name="표준 32 7 3 3 2 2" xfId="35654"/>
    <cellStyle name="표준 32 7 3 3 3" xfId="26916"/>
    <cellStyle name="표준 32 7 3 4" xfId="7562"/>
    <cellStyle name="표준 32 7 3 4 2" xfId="16569"/>
    <cellStyle name="표준 32 7 3 4 2 2" xfId="37445"/>
    <cellStyle name="표준 32 7 3 4 3" xfId="28707"/>
    <cellStyle name="표준 32 7 3 5" xfId="8206"/>
    <cellStyle name="표준 32 7 3 5 2" xfId="17212"/>
    <cellStyle name="표준 32 7 3 5 2 2" xfId="38088"/>
    <cellStyle name="표준 32 7 3 5 3" xfId="29350"/>
    <cellStyle name="표준 32 7 3 6" xfId="9054"/>
    <cellStyle name="표준 32 7 3 6 2" xfId="18059"/>
    <cellStyle name="표준 32 7 3 6 2 2" xfId="38935"/>
    <cellStyle name="표준 32 7 3 6 3" xfId="30197"/>
    <cellStyle name="표준 32 7 3 7" xfId="9879"/>
    <cellStyle name="표준 32 7 3 7 2" xfId="18877"/>
    <cellStyle name="표준 32 7 3 7 2 2" xfId="39753"/>
    <cellStyle name="표준 32 7 3 7 3" xfId="31015"/>
    <cellStyle name="표준 32 7 3 8" xfId="10934"/>
    <cellStyle name="표준 32 7 3 8 2" xfId="19705"/>
    <cellStyle name="표준 32 7 3 8 2 2" xfId="40581"/>
    <cellStyle name="표준 32 7 3 8 3" xfId="31845"/>
    <cellStyle name="표준 32 7 3 9" xfId="11800"/>
    <cellStyle name="표준 32 7 3 9 2" xfId="20566"/>
    <cellStyle name="표준 32 7 3 9 2 2" xfId="41442"/>
    <cellStyle name="표준 32 7 3 9 3" xfId="32706"/>
    <cellStyle name="표준 32 7 4" xfId="4655"/>
    <cellStyle name="표준 32 7 4 2" xfId="6489"/>
    <cellStyle name="표준 32 7 4 2 2" xfId="15498"/>
    <cellStyle name="표준 32 7 4 2 2 2" xfId="36374"/>
    <cellStyle name="표준 32 7 4 2 3" xfId="27636"/>
    <cellStyle name="표준 32 7 4 3" xfId="11152"/>
    <cellStyle name="표준 32 7 4 3 2" xfId="19922"/>
    <cellStyle name="표준 32 7 4 3 2 2" xfId="40798"/>
    <cellStyle name="표준 32 7 4 3 3" xfId="32062"/>
    <cellStyle name="표준 32 7 4 4" xfId="12017"/>
    <cellStyle name="표준 32 7 4 4 2" xfId="20783"/>
    <cellStyle name="표준 32 7 4 4 2 2" xfId="41659"/>
    <cellStyle name="표준 32 7 4 4 3" xfId="32923"/>
    <cellStyle name="표준 32 7 4 5" xfId="13680"/>
    <cellStyle name="표준 32 7 4 5 2" xfId="34556"/>
    <cellStyle name="표준 32 7 4 6" xfId="25818"/>
    <cellStyle name="표준 32 7 5" xfId="5332"/>
    <cellStyle name="표준 32 7 5 2" xfId="14341"/>
    <cellStyle name="표준 32 7 5 2 2" xfId="35217"/>
    <cellStyle name="표준 32 7 5 3" xfId="26479"/>
    <cellStyle name="표준 32 7 6" xfId="7134"/>
    <cellStyle name="표준 32 7 6 2" xfId="16142"/>
    <cellStyle name="표준 32 7 6 2 2" xfId="37018"/>
    <cellStyle name="표준 32 7 6 3" xfId="28280"/>
    <cellStyle name="표준 32 7 7" xfId="7779"/>
    <cellStyle name="표준 32 7 7 2" xfId="16785"/>
    <cellStyle name="표준 32 7 7 2 2" xfId="37661"/>
    <cellStyle name="표준 32 7 7 3" xfId="28923"/>
    <cellStyle name="표준 32 7 8" xfId="8627"/>
    <cellStyle name="표준 32 7 8 2" xfId="17632"/>
    <cellStyle name="표준 32 7 8 2 2" xfId="38508"/>
    <cellStyle name="표준 32 7 8 3" xfId="29770"/>
    <cellStyle name="표준 32 7 9" xfId="9451"/>
    <cellStyle name="표준 32 7 9 2" xfId="18450"/>
    <cellStyle name="표준 32 7 9 2 2" xfId="39326"/>
    <cellStyle name="표준 32 7 9 3" xfId="30588"/>
    <cellStyle name="표준 32 8" xfId="3258"/>
    <cellStyle name="표준 32 8 10" xfId="11577"/>
    <cellStyle name="표준 32 8 10 2" xfId="20343"/>
    <cellStyle name="표준 32 8 10 2 2" xfId="41219"/>
    <cellStyle name="표준 32 8 10 3" xfId="32483"/>
    <cellStyle name="표준 32 8 11" xfId="12726"/>
    <cellStyle name="표준 32 8 11 2" xfId="33603"/>
    <cellStyle name="표준 32 8 12" xfId="24853"/>
    <cellStyle name="표준 32 8 2" xfId="3700"/>
    <cellStyle name="표준 32 8 2 2" xfId="5973"/>
    <cellStyle name="표준 32 8 2 2 2" xfId="14982"/>
    <cellStyle name="표준 32 8 2 2 2 2" xfId="35858"/>
    <cellStyle name="표준 32 8 2 2 3" xfId="27120"/>
    <cellStyle name="표준 32 8 2 3" xfId="13163"/>
    <cellStyle name="표준 32 8 2 3 2" xfId="34040"/>
    <cellStyle name="표준 32 8 2 4" xfId="25290"/>
    <cellStyle name="표준 32 8 3" xfId="4861"/>
    <cellStyle name="표준 32 8 3 2" xfId="6693"/>
    <cellStyle name="표준 32 8 3 2 2" xfId="15702"/>
    <cellStyle name="표준 32 8 3 2 2 2" xfId="36578"/>
    <cellStyle name="표준 32 8 3 2 3" xfId="27840"/>
    <cellStyle name="표준 32 8 3 3" xfId="13884"/>
    <cellStyle name="표준 32 8 3 3 2" xfId="34760"/>
    <cellStyle name="표준 32 8 3 4" xfId="26022"/>
    <cellStyle name="표준 32 8 4" xfId="5536"/>
    <cellStyle name="표준 32 8 4 2" xfId="14545"/>
    <cellStyle name="표준 32 8 4 2 2" xfId="35421"/>
    <cellStyle name="표준 32 8 4 3" xfId="26683"/>
    <cellStyle name="표준 32 8 5" xfId="7339"/>
    <cellStyle name="표준 32 8 5 2" xfId="16346"/>
    <cellStyle name="표준 32 8 5 2 2" xfId="37222"/>
    <cellStyle name="표준 32 8 5 3" xfId="28484"/>
    <cellStyle name="표준 32 8 6" xfId="7983"/>
    <cellStyle name="표준 32 8 6 2" xfId="16989"/>
    <cellStyle name="표준 32 8 6 2 2" xfId="37865"/>
    <cellStyle name="표준 32 8 6 3" xfId="29127"/>
    <cellStyle name="표준 32 8 7" xfId="8831"/>
    <cellStyle name="표준 32 8 7 2" xfId="17836"/>
    <cellStyle name="표준 32 8 7 2 2" xfId="38712"/>
    <cellStyle name="표준 32 8 7 3" xfId="29974"/>
    <cellStyle name="표준 32 8 8" xfId="9656"/>
    <cellStyle name="표준 32 8 8 2" xfId="18654"/>
    <cellStyle name="표준 32 8 8 2 2" xfId="39530"/>
    <cellStyle name="표준 32 8 8 3" xfId="30792"/>
    <cellStyle name="표준 32 8 9" xfId="10711"/>
    <cellStyle name="표준 32 8 9 2" xfId="19482"/>
    <cellStyle name="표준 32 8 9 2 2" xfId="40358"/>
    <cellStyle name="표준 32 8 9 3" xfId="31622"/>
    <cellStyle name="표준 32 9" xfId="3490"/>
    <cellStyle name="표준 32 9 10" xfId="12953"/>
    <cellStyle name="표준 32 9 10 2" xfId="33830"/>
    <cellStyle name="표준 32 9 11" xfId="25080"/>
    <cellStyle name="표준 32 9 2" xfId="5084"/>
    <cellStyle name="표준 32 9 2 2" xfId="6910"/>
    <cellStyle name="표준 32 9 2 2 2" xfId="15919"/>
    <cellStyle name="표준 32 9 2 2 2 2" xfId="36795"/>
    <cellStyle name="표준 32 9 2 2 3" xfId="28057"/>
    <cellStyle name="표준 32 9 2 3" xfId="14101"/>
    <cellStyle name="표준 32 9 2 3 2" xfId="34977"/>
    <cellStyle name="표준 32 9 2 4" xfId="26239"/>
    <cellStyle name="표준 32 9 3" xfId="5763"/>
    <cellStyle name="표준 32 9 3 2" xfId="14772"/>
    <cellStyle name="표준 32 9 3 2 2" xfId="35648"/>
    <cellStyle name="표준 32 9 3 3" xfId="26910"/>
    <cellStyle name="표준 32 9 4" xfId="7556"/>
    <cellStyle name="표준 32 9 4 2" xfId="16563"/>
    <cellStyle name="표준 32 9 4 2 2" xfId="37439"/>
    <cellStyle name="표준 32 9 4 3" xfId="28701"/>
    <cellStyle name="표준 32 9 5" xfId="8200"/>
    <cellStyle name="표준 32 9 5 2" xfId="17206"/>
    <cellStyle name="표준 32 9 5 2 2" xfId="38082"/>
    <cellStyle name="표준 32 9 5 3" xfId="29344"/>
    <cellStyle name="표준 32 9 6" xfId="9048"/>
    <cellStyle name="표준 32 9 6 2" xfId="18053"/>
    <cellStyle name="표준 32 9 6 2 2" xfId="38929"/>
    <cellStyle name="표준 32 9 6 3" xfId="30191"/>
    <cellStyle name="표준 32 9 7" xfId="9873"/>
    <cellStyle name="표준 32 9 7 2" xfId="18871"/>
    <cellStyle name="표준 32 9 7 2 2" xfId="39747"/>
    <cellStyle name="표준 32 9 7 3" xfId="31009"/>
    <cellStyle name="표준 32 9 8" xfId="10928"/>
    <cellStyle name="표준 32 9 8 2" xfId="19699"/>
    <cellStyle name="표준 32 9 8 2 2" xfId="40575"/>
    <cellStyle name="표준 32 9 8 3" xfId="31839"/>
    <cellStyle name="표준 32 9 9" xfId="11794"/>
    <cellStyle name="표준 32 9 9 2" xfId="20560"/>
    <cellStyle name="표준 32 9 9 2 2" xfId="41436"/>
    <cellStyle name="표준 32 9 9 3" xfId="32700"/>
    <cellStyle name="표준 33" xfId="3048"/>
    <cellStyle name="표준 33 2" xfId="3265"/>
    <cellStyle name="표준 33 2 10" xfId="11584"/>
    <cellStyle name="표준 33 2 10 2" xfId="20350"/>
    <cellStyle name="표준 33 2 10 2 2" xfId="41226"/>
    <cellStyle name="표준 33 2 10 3" xfId="32490"/>
    <cellStyle name="표준 33 2 11" xfId="12733"/>
    <cellStyle name="표준 33 2 11 2" xfId="33610"/>
    <cellStyle name="표준 33 2 12" xfId="24860"/>
    <cellStyle name="표준 33 2 2" xfId="3707"/>
    <cellStyle name="표준 33 2 2 2" xfId="5980"/>
    <cellStyle name="표준 33 2 2 2 2" xfId="14989"/>
    <cellStyle name="표준 33 2 2 2 2 2" xfId="35865"/>
    <cellStyle name="표준 33 2 2 2 3" xfId="27127"/>
    <cellStyle name="표준 33 2 2 3" xfId="13170"/>
    <cellStyle name="표준 33 2 2 3 2" xfId="34047"/>
    <cellStyle name="표준 33 2 2 4" xfId="25297"/>
    <cellStyle name="표준 33 2 3" xfId="4868"/>
    <cellStyle name="표준 33 2 3 2" xfId="6700"/>
    <cellStyle name="표준 33 2 3 2 2" xfId="15709"/>
    <cellStyle name="표준 33 2 3 2 2 2" xfId="36585"/>
    <cellStyle name="표준 33 2 3 2 3" xfId="27847"/>
    <cellStyle name="표준 33 2 3 3" xfId="13891"/>
    <cellStyle name="표준 33 2 3 3 2" xfId="34767"/>
    <cellStyle name="표준 33 2 3 4" xfId="26029"/>
    <cellStyle name="표준 33 2 4" xfId="5543"/>
    <cellStyle name="표준 33 2 4 2" xfId="14552"/>
    <cellStyle name="표준 33 2 4 2 2" xfId="35428"/>
    <cellStyle name="표준 33 2 4 3" xfId="26690"/>
    <cellStyle name="표준 33 2 5" xfId="7346"/>
    <cellStyle name="표준 33 2 5 2" xfId="16353"/>
    <cellStyle name="표준 33 2 5 2 2" xfId="37229"/>
    <cellStyle name="표준 33 2 5 3" xfId="28491"/>
    <cellStyle name="표준 33 2 6" xfId="7990"/>
    <cellStyle name="표준 33 2 6 2" xfId="16996"/>
    <cellStyle name="표준 33 2 6 2 2" xfId="37872"/>
    <cellStyle name="표준 33 2 6 3" xfId="29134"/>
    <cellStyle name="표준 33 2 7" xfId="8838"/>
    <cellStyle name="표준 33 2 7 2" xfId="17843"/>
    <cellStyle name="표준 33 2 7 2 2" xfId="38719"/>
    <cellStyle name="표준 33 2 7 3" xfId="29981"/>
    <cellStyle name="표준 33 2 8" xfId="9663"/>
    <cellStyle name="표준 33 2 8 2" xfId="18661"/>
    <cellStyle name="표준 33 2 8 2 2" xfId="39537"/>
    <cellStyle name="표준 33 2 8 3" xfId="30799"/>
    <cellStyle name="표준 33 2 9" xfId="10718"/>
    <cellStyle name="표준 33 2 9 2" xfId="19489"/>
    <cellStyle name="표준 33 2 9 2 2" xfId="40365"/>
    <cellStyle name="표준 33 2 9 3" xfId="31629"/>
    <cellStyle name="표준 33 3" xfId="5091"/>
    <cellStyle name="표준 33 3 10" xfId="26246"/>
    <cellStyle name="표준 33 3 2" xfId="6917"/>
    <cellStyle name="표준 33 3 2 2" xfId="15926"/>
    <cellStyle name="표준 33 3 2 2 2" xfId="36802"/>
    <cellStyle name="표준 33 3 2 3" xfId="28064"/>
    <cellStyle name="표준 33 3 3" xfId="7563"/>
    <cellStyle name="표준 33 3 3 2" xfId="16570"/>
    <cellStyle name="표준 33 3 3 2 2" xfId="37446"/>
    <cellStyle name="표준 33 3 3 3" xfId="28708"/>
    <cellStyle name="표준 33 3 4" xfId="8207"/>
    <cellStyle name="표준 33 3 4 2" xfId="17213"/>
    <cellStyle name="표준 33 3 4 2 2" xfId="38089"/>
    <cellStyle name="표준 33 3 4 3" xfId="29351"/>
    <cellStyle name="표준 33 3 5" xfId="9055"/>
    <cellStyle name="표준 33 3 5 2" xfId="18060"/>
    <cellStyle name="표준 33 3 5 2 2" xfId="38936"/>
    <cellStyle name="표준 33 3 5 3" xfId="30198"/>
    <cellStyle name="표준 33 3 6" xfId="9880"/>
    <cellStyle name="표준 33 3 6 2" xfId="18878"/>
    <cellStyle name="표준 33 3 6 2 2" xfId="39754"/>
    <cellStyle name="표준 33 3 6 3" xfId="31016"/>
    <cellStyle name="표준 33 3 7" xfId="10935"/>
    <cellStyle name="표준 33 3 7 2" xfId="19706"/>
    <cellStyle name="표준 33 3 7 2 2" xfId="40582"/>
    <cellStyle name="표준 33 3 7 3" xfId="31846"/>
    <cellStyle name="표준 33 3 8" xfId="11801"/>
    <cellStyle name="표준 33 3 8 2" xfId="20567"/>
    <cellStyle name="표준 33 3 8 2 2" xfId="41443"/>
    <cellStyle name="표준 33 3 8 3" xfId="32707"/>
    <cellStyle name="표준 33 3 9" xfId="14108"/>
    <cellStyle name="표준 33 3 9 2" xfId="34984"/>
    <cellStyle name="표준 33 4" xfId="11153"/>
    <cellStyle name="표준 33 4 2" xfId="12018"/>
    <cellStyle name="표준 33 4 2 2" xfId="20784"/>
    <cellStyle name="표준 33 4 2 2 2" xfId="41660"/>
    <cellStyle name="표준 33 4 2 3" xfId="32924"/>
    <cellStyle name="표준 33 4 3" xfId="19923"/>
    <cellStyle name="표준 33 4 3 2" xfId="40799"/>
    <cellStyle name="표준 33 4 4" xfId="32063"/>
    <cellStyle name="표준 34" xfId="3266"/>
    <cellStyle name="표준 34 10" xfId="11585"/>
    <cellStyle name="표준 34 10 2" xfId="20351"/>
    <cellStyle name="표준 34 10 2 2" xfId="41227"/>
    <cellStyle name="표준 34 10 3" xfId="32491"/>
    <cellStyle name="표준 34 11" xfId="12734"/>
    <cellStyle name="표준 34 11 2" xfId="33611"/>
    <cellStyle name="표준 34 12" xfId="24861"/>
    <cellStyle name="표준 34 2" xfId="3708"/>
    <cellStyle name="표준 34 2 10" xfId="13171"/>
    <cellStyle name="표준 34 2 10 2" xfId="34048"/>
    <cellStyle name="표준 34 2 11" xfId="25298"/>
    <cellStyle name="표준 34 2 2" xfId="5092"/>
    <cellStyle name="표준 34 2 2 2" xfId="6918"/>
    <cellStyle name="표준 34 2 2 2 2" xfId="15927"/>
    <cellStyle name="표준 34 2 2 2 2 2" xfId="36803"/>
    <cellStyle name="표준 34 2 2 2 3" xfId="28065"/>
    <cellStyle name="표준 34 2 2 3" xfId="14109"/>
    <cellStyle name="표준 34 2 2 3 2" xfId="34985"/>
    <cellStyle name="표준 34 2 2 4" xfId="26247"/>
    <cellStyle name="표준 34 2 3" xfId="5981"/>
    <cellStyle name="표준 34 2 3 2" xfId="14990"/>
    <cellStyle name="표준 34 2 3 2 2" xfId="35866"/>
    <cellStyle name="표준 34 2 3 3" xfId="27128"/>
    <cellStyle name="표준 34 2 4" xfId="7564"/>
    <cellStyle name="표준 34 2 4 2" xfId="16571"/>
    <cellStyle name="표준 34 2 4 2 2" xfId="37447"/>
    <cellStyle name="표준 34 2 4 3" xfId="28709"/>
    <cellStyle name="표준 34 2 5" xfId="8208"/>
    <cellStyle name="표준 34 2 5 2" xfId="17214"/>
    <cellStyle name="표준 34 2 5 2 2" xfId="38090"/>
    <cellStyle name="표준 34 2 5 3" xfId="29352"/>
    <cellStyle name="표준 34 2 6" xfId="9056"/>
    <cellStyle name="표준 34 2 6 2" xfId="18061"/>
    <cellStyle name="표준 34 2 6 2 2" xfId="38937"/>
    <cellStyle name="표준 34 2 6 3" xfId="30199"/>
    <cellStyle name="표준 34 2 7" xfId="9881"/>
    <cellStyle name="표준 34 2 7 2" xfId="18879"/>
    <cellStyle name="표준 34 2 7 2 2" xfId="39755"/>
    <cellStyle name="표준 34 2 7 3" xfId="31017"/>
    <cellStyle name="표준 34 2 8" xfId="10936"/>
    <cellStyle name="표준 34 2 8 2" xfId="19707"/>
    <cellStyle name="표준 34 2 8 2 2" xfId="40583"/>
    <cellStyle name="표준 34 2 8 3" xfId="31847"/>
    <cellStyle name="표준 34 2 9" xfId="11802"/>
    <cellStyle name="표준 34 2 9 2" xfId="20568"/>
    <cellStyle name="표준 34 2 9 2 2" xfId="41444"/>
    <cellStyle name="표준 34 2 9 3" xfId="32708"/>
    <cellStyle name="표준 34 3" xfId="4869"/>
    <cellStyle name="표준 34 3 2" xfId="6701"/>
    <cellStyle name="표준 34 3 2 2" xfId="15710"/>
    <cellStyle name="표준 34 3 2 2 2" xfId="36586"/>
    <cellStyle name="표준 34 3 2 3" xfId="27848"/>
    <cellStyle name="표준 34 3 3" xfId="11154"/>
    <cellStyle name="표준 34 3 3 2" xfId="19924"/>
    <cellStyle name="표준 34 3 3 2 2" xfId="40800"/>
    <cellStyle name="표준 34 3 3 3" xfId="32064"/>
    <cellStyle name="표준 34 3 4" xfId="12019"/>
    <cellStyle name="표준 34 3 4 2" xfId="20785"/>
    <cellStyle name="표준 34 3 4 2 2" xfId="41661"/>
    <cellStyle name="표준 34 3 4 3" xfId="32925"/>
    <cellStyle name="표준 34 3 5" xfId="13892"/>
    <cellStyle name="표준 34 3 5 2" xfId="34768"/>
    <cellStyle name="표준 34 3 6" xfId="26030"/>
    <cellStyle name="표준 34 4" xfId="5544"/>
    <cellStyle name="표준 34 4 2" xfId="14553"/>
    <cellStyle name="표준 34 4 2 2" xfId="35429"/>
    <cellStyle name="표준 34 4 3" xfId="26691"/>
    <cellStyle name="표준 34 5" xfId="7347"/>
    <cellStyle name="표준 34 5 2" xfId="16354"/>
    <cellStyle name="표준 34 5 2 2" xfId="37230"/>
    <cellStyle name="표준 34 5 3" xfId="28492"/>
    <cellStyle name="표준 34 6" xfId="7991"/>
    <cellStyle name="표준 34 6 2" xfId="16997"/>
    <cellStyle name="표준 34 6 2 2" xfId="37873"/>
    <cellStyle name="표준 34 6 3" xfId="29135"/>
    <cellStyle name="표준 34 7" xfId="8839"/>
    <cellStyle name="표준 34 7 2" xfId="17844"/>
    <cellStyle name="표준 34 7 2 2" xfId="38720"/>
    <cellStyle name="표준 34 7 3" xfId="29982"/>
    <cellStyle name="표준 34 8" xfId="9664"/>
    <cellStyle name="표준 34 8 2" xfId="18662"/>
    <cellStyle name="표준 34 8 2 2" xfId="39538"/>
    <cellStyle name="표준 34 8 3" xfId="30800"/>
    <cellStyle name="표준 34 9" xfId="10719"/>
    <cellStyle name="표준 34 9 2" xfId="19490"/>
    <cellStyle name="표준 34 9 2 2" xfId="40366"/>
    <cellStyle name="표준 34 9 3" xfId="31630"/>
    <cellStyle name="표준 35" xfId="3049"/>
    <cellStyle name="표준 35 10" xfId="10508"/>
    <cellStyle name="표준 35 10 2" xfId="19279"/>
    <cellStyle name="표준 35 10 2 2" xfId="40155"/>
    <cellStyle name="표준 35 10 3" xfId="31419"/>
    <cellStyle name="표준 35 11" xfId="11374"/>
    <cellStyle name="표준 35 11 2" xfId="20140"/>
    <cellStyle name="표준 35 11 2 2" xfId="41016"/>
    <cellStyle name="표준 35 11 3" xfId="32280"/>
    <cellStyle name="표준 35 12" xfId="12523"/>
    <cellStyle name="표준 35 12 2" xfId="33400"/>
    <cellStyle name="표준 35 13" xfId="24650"/>
    <cellStyle name="표준 35 2" xfId="3267"/>
    <cellStyle name="표준 35 2 10" xfId="11586"/>
    <cellStyle name="표준 35 2 10 2" xfId="20352"/>
    <cellStyle name="표준 35 2 10 2 2" xfId="41228"/>
    <cellStyle name="표준 35 2 10 3" xfId="32492"/>
    <cellStyle name="표준 35 2 11" xfId="12735"/>
    <cellStyle name="표준 35 2 11 2" xfId="33612"/>
    <cellStyle name="표준 35 2 12" xfId="24862"/>
    <cellStyle name="표준 35 2 2" xfId="3709"/>
    <cellStyle name="표준 35 2 2 2" xfId="5982"/>
    <cellStyle name="표준 35 2 2 2 2" xfId="14991"/>
    <cellStyle name="표준 35 2 2 2 2 2" xfId="35867"/>
    <cellStyle name="표준 35 2 2 2 3" xfId="27129"/>
    <cellStyle name="표준 35 2 2 3" xfId="13172"/>
    <cellStyle name="표준 35 2 2 3 2" xfId="34049"/>
    <cellStyle name="표준 35 2 2 4" xfId="25299"/>
    <cellStyle name="표준 35 2 3" xfId="4870"/>
    <cellStyle name="표준 35 2 3 2" xfId="6702"/>
    <cellStyle name="표준 35 2 3 2 2" xfId="15711"/>
    <cellStyle name="표준 35 2 3 2 2 2" xfId="36587"/>
    <cellStyle name="표준 35 2 3 2 3" xfId="27849"/>
    <cellStyle name="표준 35 2 3 3" xfId="13893"/>
    <cellStyle name="표준 35 2 3 3 2" xfId="34769"/>
    <cellStyle name="표준 35 2 3 4" xfId="26031"/>
    <cellStyle name="표준 35 2 4" xfId="5545"/>
    <cellStyle name="표준 35 2 4 2" xfId="14554"/>
    <cellStyle name="표준 35 2 4 2 2" xfId="35430"/>
    <cellStyle name="표준 35 2 4 3" xfId="26692"/>
    <cellStyle name="표준 35 2 5" xfId="7348"/>
    <cellStyle name="표준 35 2 5 2" xfId="16355"/>
    <cellStyle name="표준 35 2 5 2 2" xfId="37231"/>
    <cellStyle name="표준 35 2 5 3" xfId="28493"/>
    <cellStyle name="표준 35 2 6" xfId="7992"/>
    <cellStyle name="표준 35 2 6 2" xfId="16998"/>
    <cellStyle name="표준 35 2 6 2 2" xfId="37874"/>
    <cellStyle name="표준 35 2 6 3" xfId="29136"/>
    <cellStyle name="표준 35 2 7" xfId="8840"/>
    <cellStyle name="표준 35 2 7 2" xfId="17845"/>
    <cellStyle name="표준 35 2 7 2 2" xfId="38721"/>
    <cellStyle name="표준 35 2 7 3" xfId="29983"/>
    <cellStyle name="표준 35 2 8" xfId="9665"/>
    <cellStyle name="표준 35 2 8 2" xfId="18663"/>
    <cellStyle name="표준 35 2 8 2 2" xfId="39539"/>
    <cellStyle name="표준 35 2 8 3" xfId="30801"/>
    <cellStyle name="표준 35 2 9" xfId="10720"/>
    <cellStyle name="표준 35 2 9 2" xfId="19491"/>
    <cellStyle name="표준 35 2 9 2 2" xfId="40367"/>
    <cellStyle name="표준 35 2 9 3" xfId="31631"/>
    <cellStyle name="표준 35 3" xfId="3497"/>
    <cellStyle name="표준 35 3 10" xfId="12960"/>
    <cellStyle name="표준 35 3 10 2" xfId="33837"/>
    <cellStyle name="표준 35 3 11" xfId="25087"/>
    <cellStyle name="표준 35 3 2" xfId="5093"/>
    <cellStyle name="표준 35 3 2 2" xfId="6919"/>
    <cellStyle name="표준 35 3 2 2 2" xfId="15928"/>
    <cellStyle name="표준 35 3 2 2 2 2" xfId="36804"/>
    <cellStyle name="표준 35 3 2 2 3" xfId="28066"/>
    <cellStyle name="표준 35 3 2 3" xfId="14110"/>
    <cellStyle name="표준 35 3 2 3 2" xfId="34986"/>
    <cellStyle name="표준 35 3 2 4" xfId="26248"/>
    <cellStyle name="표준 35 3 3" xfId="5770"/>
    <cellStyle name="표준 35 3 3 2" xfId="14779"/>
    <cellStyle name="표준 35 3 3 2 2" xfId="35655"/>
    <cellStyle name="표준 35 3 3 3" xfId="26917"/>
    <cellStyle name="표준 35 3 4" xfId="7565"/>
    <cellStyle name="표준 35 3 4 2" xfId="16572"/>
    <cellStyle name="표준 35 3 4 2 2" xfId="37448"/>
    <cellStyle name="표준 35 3 4 3" xfId="28710"/>
    <cellStyle name="표준 35 3 5" xfId="8209"/>
    <cellStyle name="표준 35 3 5 2" xfId="17215"/>
    <cellStyle name="표준 35 3 5 2 2" xfId="38091"/>
    <cellStyle name="표준 35 3 5 3" xfId="29353"/>
    <cellStyle name="표준 35 3 6" xfId="9057"/>
    <cellStyle name="표준 35 3 6 2" xfId="18062"/>
    <cellStyle name="표준 35 3 6 2 2" xfId="38938"/>
    <cellStyle name="표준 35 3 6 3" xfId="30200"/>
    <cellStyle name="표준 35 3 7" xfId="9882"/>
    <cellStyle name="표준 35 3 7 2" xfId="18880"/>
    <cellStyle name="표준 35 3 7 2 2" xfId="39756"/>
    <cellStyle name="표준 35 3 7 3" xfId="31018"/>
    <cellStyle name="표준 35 3 8" xfId="10937"/>
    <cellStyle name="표준 35 3 8 2" xfId="19708"/>
    <cellStyle name="표준 35 3 8 2 2" xfId="40584"/>
    <cellStyle name="표준 35 3 8 3" xfId="31848"/>
    <cellStyle name="표준 35 3 9" xfId="11803"/>
    <cellStyle name="표준 35 3 9 2" xfId="20569"/>
    <cellStyle name="표준 35 3 9 2 2" xfId="41445"/>
    <cellStyle name="표준 35 3 9 3" xfId="32709"/>
    <cellStyle name="표준 35 4" xfId="4656"/>
    <cellStyle name="표준 35 4 2" xfId="6490"/>
    <cellStyle name="표준 35 4 2 2" xfId="15499"/>
    <cellStyle name="표준 35 4 2 2 2" xfId="36375"/>
    <cellStyle name="표준 35 4 2 3" xfId="27637"/>
    <cellStyle name="표준 35 4 3" xfId="11155"/>
    <cellStyle name="표준 35 4 3 2" xfId="19925"/>
    <cellStyle name="표준 35 4 3 2 2" xfId="40801"/>
    <cellStyle name="표준 35 4 3 3" xfId="32065"/>
    <cellStyle name="표준 35 4 4" xfId="12020"/>
    <cellStyle name="표준 35 4 4 2" xfId="20786"/>
    <cellStyle name="표준 35 4 4 2 2" xfId="41662"/>
    <cellStyle name="표준 35 4 4 3" xfId="32926"/>
    <cellStyle name="표준 35 4 5" xfId="13681"/>
    <cellStyle name="표준 35 4 5 2" xfId="34557"/>
    <cellStyle name="표준 35 4 6" xfId="25819"/>
    <cellStyle name="표준 35 5" xfId="5333"/>
    <cellStyle name="표준 35 5 2" xfId="14342"/>
    <cellStyle name="표준 35 5 2 2" xfId="35218"/>
    <cellStyle name="표준 35 5 3" xfId="26480"/>
    <cellStyle name="표준 35 6" xfId="7135"/>
    <cellStyle name="표준 35 6 2" xfId="16143"/>
    <cellStyle name="표준 35 6 2 2" xfId="37019"/>
    <cellStyle name="표준 35 6 3" xfId="28281"/>
    <cellStyle name="표준 35 7" xfId="7780"/>
    <cellStyle name="표준 35 7 2" xfId="16786"/>
    <cellStyle name="표준 35 7 2 2" xfId="37662"/>
    <cellStyle name="표준 35 7 3" xfId="28924"/>
    <cellStyle name="표준 35 8" xfId="8628"/>
    <cellStyle name="표준 35 8 2" xfId="17633"/>
    <cellStyle name="표준 35 8 2 2" xfId="38509"/>
    <cellStyle name="표준 35 8 3" xfId="29771"/>
    <cellStyle name="표준 35 9" xfId="9452"/>
    <cellStyle name="표준 35 9 2" xfId="18451"/>
    <cellStyle name="표준 35 9 2 2" xfId="39327"/>
    <cellStyle name="표준 35 9 3" xfId="30589"/>
    <cellStyle name="표준 36" xfId="3268"/>
    <cellStyle name="표준 36 10" xfId="11587"/>
    <cellStyle name="표준 36 10 2" xfId="20353"/>
    <cellStyle name="표준 36 10 2 2" xfId="41229"/>
    <cellStyle name="표준 36 10 3" xfId="32493"/>
    <cellStyle name="표준 36 11" xfId="12736"/>
    <cellStyle name="표준 36 11 2" xfId="33613"/>
    <cellStyle name="표준 36 12" xfId="24863"/>
    <cellStyle name="표준 36 2" xfId="3710"/>
    <cellStyle name="표준 36 2 10" xfId="13173"/>
    <cellStyle name="표준 36 2 10 2" xfId="34050"/>
    <cellStyle name="표준 36 2 11" xfId="25300"/>
    <cellStyle name="표준 36 2 2" xfId="5094"/>
    <cellStyle name="표준 36 2 2 2" xfId="6920"/>
    <cellStyle name="표준 36 2 2 2 2" xfId="15929"/>
    <cellStyle name="표준 36 2 2 2 2 2" xfId="36805"/>
    <cellStyle name="표준 36 2 2 2 3" xfId="28067"/>
    <cellStyle name="표준 36 2 2 3" xfId="14111"/>
    <cellStyle name="표준 36 2 2 3 2" xfId="34987"/>
    <cellStyle name="표준 36 2 2 4" xfId="26249"/>
    <cellStyle name="표준 36 2 3" xfId="5983"/>
    <cellStyle name="표준 36 2 3 2" xfId="14992"/>
    <cellStyle name="표준 36 2 3 2 2" xfId="35868"/>
    <cellStyle name="표준 36 2 3 3" xfId="27130"/>
    <cellStyle name="표준 36 2 4" xfId="7566"/>
    <cellStyle name="표준 36 2 4 2" xfId="16573"/>
    <cellStyle name="표준 36 2 4 2 2" xfId="37449"/>
    <cellStyle name="표준 36 2 4 3" xfId="28711"/>
    <cellStyle name="표준 36 2 5" xfId="8210"/>
    <cellStyle name="표준 36 2 5 2" xfId="17216"/>
    <cellStyle name="표준 36 2 5 2 2" xfId="38092"/>
    <cellStyle name="표준 36 2 5 3" xfId="29354"/>
    <cellStyle name="표준 36 2 6" xfId="9058"/>
    <cellStyle name="표준 36 2 6 2" xfId="18063"/>
    <cellStyle name="표준 36 2 6 2 2" xfId="38939"/>
    <cellStyle name="표준 36 2 6 3" xfId="30201"/>
    <cellStyle name="표준 36 2 7" xfId="9883"/>
    <cellStyle name="표준 36 2 7 2" xfId="18881"/>
    <cellStyle name="표준 36 2 7 2 2" xfId="39757"/>
    <cellStyle name="표준 36 2 7 3" xfId="31019"/>
    <cellStyle name="표준 36 2 8" xfId="10938"/>
    <cellStyle name="표준 36 2 8 2" xfId="19709"/>
    <cellStyle name="표준 36 2 8 2 2" xfId="40585"/>
    <cellStyle name="표준 36 2 8 3" xfId="31849"/>
    <cellStyle name="표준 36 2 9" xfId="11804"/>
    <cellStyle name="표준 36 2 9 2" xfId="20570"/>
    <cellStyle name="표준 36 2 9 2 2" xfId="41446"/>
    <cellStyle name="표준 36 2 9 3" xfId="32710"/>
    <cellStyle name="표준 36 3" xfId="4871"/>
    <cellStyle name="표준 36 3 2" xfId="6703"/>
    <cellStyle name="표준 36 3 2 2" xfId="15712"/>
    <cellStyle name="표준 36 3 2 2 2" xfId="36588"/>
    <cellStyle name="표준 36 3 2 3" xfId="27850"/>
    <cellStyle name="표준 36 3 3" xfId="11156"/>
    <cellStyle name="표준 36 3 3 2" xfId="19926"/>
    <cellStyle name="표준 36 3 3 2 2" xfId="40802"/>
    <cellStyle name="표준 36 3 3 3" xfId="32066"/>
    <cellStyle name="표준 36 3 4" xfId="12021"/>
    <cellStyle name="표준 36 3 4 2" xfId="20787"/>
    <cellStyle name="표준 36 3 4 2 2" xfId="41663"/>
    <cellStyle name="표준 36 3 4 3" xfId="32927"/>
    <cellStyle name="표준 36 3 5" xfId="13894"/>
    <cellStyle name="표준 36 3 5 2" xfId="34770"/>
    <cellStyle name="표준 36 3 6" xfId="26032"/>
    <cellStyle name="표준 36 4" xfId="5546"/>
    <cellStyle name="표준 36 4 2" xfId="14555"/>
    <cellStyle name="표준 36 4 2 2" xfId="35431"/>
    <cellStyle name="표준 36 4 3" xfId="26693"/>
    <cellStyle name="표준 36 5" xfId="7349"/>
    <cellStyle name="표준 36 5 2" xfId="16356"/>
    <cellStyle name="표준 36 5 2 2" xfId="37232"/>
    <cellStyle name="표준 36 5 3" xfId="28494"/>
    <cellStyle name="표준 36 6" xfId="7993"/>
    <cellStyle name="표준 36 6 2" xfId="16999"/>
    <cellStyle name="표준 36 6 2 2" xfId="37875"/>
    <cellStyle name="표준 36 6 3" xfId="29137"/>
    <cellStyle name="표준 36 7" xfId="8841"/>
    <cellStyle name="표준 36 7 2" xfId="17846"/>
    <cellStyle name="표준 36 7 2 2" xfId="38722"/>
    <cellStyle name="표준 36 7 3" xfId="29984"/>
    <cellStyle name="표준 36 8" xfId="9666"/>
    <cellStyle name="표준 36 8 2" xfId="18664"/>
    <cellStyle name="표준 36 8 2 2" xfId="39540"/>
    <cellStyle name="표준 36 8 3" xfId="30802"/>
    <cellStyle name="표준 36 9" xfId="10721"/>
    <cellStyle name="표준 36 9 2" xfId="19492"/>
    <cellStyle name="표준 36 9 2 2" xfId="40368"/>
    <cellStyle name="표준 36 9 3" xfId="31632"/>
    <cellStyle name="표준 37" xfId="3050"/>
    <cellStyle name="표준 37 10" xfId="8629"/>
    <cellStyle name="표준 37 10 2" xfId="17634"/>
    <cellStyle name="표준 37 10 2 2" xfId="38510"/>
    <cellStyle name="표준 37 10 3" xfId="29772"/>
    <cellStyle name="표준 37 11" xfId="9453"/>
    <cellStyle name="표준 37 11 2" xfId="18452"/>
    <cellStyle name="표준 37 11 2 2" xfId="39328"/>
    <cellStyle name="표준 37 11 3" xfId="30590"/>
    <cellStyle name="표준 37 12" xfId="10509"/>
    <cellStyle name="표준 37 12 2" xfId="19280"/>
    <cellStyle name="표준 37 12 2 2" xfId="40156"/>
    <cellStyle name="표준 37 12 3" xfId="31420"/>
    <cellStyle name="표준 37 13" xfId="11375"/>
    <cellStyle name="표준 37 13 2" xfId="20141"/>
    <cellStyle name="표준 37 13 2 2" xfId="41017"/>
    <cellStyle name="표준 37 13 3" xfId="32281"/>
    <cellStyle name="표준 37 14" xfId="12524"/>
    <cellStyle name="표준 37 14 2" xfId="33401"/>
    <cellStyle name="표준 37 15" xfId="24651"/>
    <cellStyle name="표준 37 2" xfId="3051"/>
    <cellStyle name="표준 37 3" xfId="3052"/>
    <cellStyle name="표준 37 4" xfId="3269"/>
    <cellStyle name="표준 37 4 10" xfId="11588"/>
    <cellStyle name="표준 37 4 10 2" xfId="20354"/>
    <cellStyle name="표준 37 4 10 2 2" xfId="41230"/>
    <cellStyle name="표준 37 4 10 3" xfId="32494"/>
    <cellStyle name="표준 37 4 11" xfId="12737"/>
    <cellStyle name="표준 37 4 11 2" xfId="33614"/>
    <cellStyle name="표준 37 4 12" xfId="24864"/>
    <cellStyle name="표준 37 4 2" xfId="3711"/>
    <cellStyle name="표준 37 4 2 2" xfId="5984"/>
    <cellStyle name="표준 37 4 2 2 2" xfId="14993"/>
    <cellStyle name="표준 37 4 2 2 2 2" xfId="35869"/>
    <cellStyle name="표준 37 4 2 2 3" xfId="27131"/>
    <cellStyle name="표준 37 4 2 3" xfId="13174"/>
    <cellStyle name="표준 37 4 2 3 2" xfId="34051"/>
    <cellStyle name="표준 37 4 2 4" xfId="25301"/>
    <cellStyle name="표준 37 4 3" xfId="4872"/>
    <cellStyle name="표준 37 4 3 2" xfId="6704"/>
    <cellStyle name="표준 37 4 3 2 2" xfId="15713"/>
    <cellStyle name="표준 37 4 3 2 2 2" xfId="36589"/>
    <cellStyle name="표준 37 4 3 2 3" xfId="27851"/>
    <cellStyle name="표준 37 4 3 3" xfId="13895"/>
    <cellStyle name="표준 37 4 3 3 2" xfId="34771"/>
    <cellStyle name="표준 37 4 3 4" xfId="26033"/>
    <cellStyle name="표준 37 4 4" xfId="5547"/>
    <cellStyle name="표준 37 4 4 2" xfId="14556"/>
    <cellStyle name="표준 37 4 4 2 2" xfId="35432"/>
    <cellStyle name="표준 37 4 4 3" xfId="26694"/>
    <cellStyle name="표준 37 4 5" xfId="7350"/>
    <cellStyle name="표준 37 4 5 2" xfId="16357"/>
    <cellStyle name="표준 37 4 5 2 2" xfId="37233"/>
    <cellStyle name="표준 37 4 5 3" xfId="28495"/>
    <cellStyle name="표준 37 4 6" xfId="7994"/>
    <cellStyle name="표준 37 4 6 2" xfId="17000"/>
    <cellStyle name="표준 37 4 6 2 2" xfId="37876"/>
    <cellStyle name="표준 37 4 6 3" xfId="29138"/>
    <cellStyle name="표준 37 4 7" xfId="8842"/>
    <cellStyle name="표준 37 4 7 2" xfId="17847"/>
    <cellStyle name="표준 37 4 7 2 2" xfId="38723"/>
    <cellStyle name="표준 37 4 7 3" xfId="29985"/>
    <cellStyle name="표준 37 4 8" xfId="9667"/>
    <cellStyle name="표준 37 4 8 2" xfId="18665"/>
    <cellStyle name="표준 37 4 8 2 2" xfId="39541"/>
    <cellStyle name="표준 37 4 8 3" xfId="30803"/>
    <cellStyle name="표준 37 4 9" xfId="10722"/>
    <cellStyle name="표준 37 4 9 2" xfId="19493"/>
    <cellStyle name="표준 37 4 9 2 2" xfId="40369"/>
    <cellStyle name="표준 37 4 9 3" xfId="31633"/>
    <cellStyle name="표준 37 5" xfId="3498"/>
    <cellStyle name="표준 37 5 10" xfId="12961"/>
    <cellStyle name="표준 37 5 10 2" xfId="33838"/>
    <cellStyle name="표준 37 5 11" xfId="25088"/>
    <cellStyle name="표준 37 5 2" xfId="5095"/>
    <cellStyle name="표준 37 5 2 2" xfId="6921"/>
    <cellStyle name="표준 37 5 2 2 2" xfId="15930"/>
    <cellStyle name="표준 37 5 2 2 2 2" xfId="36806"/>
    <cellStyle name="표준 37 5 2 2 3" xfId="28068"/>
    <cellStyle name="표준 37 5 2 3" xfId="14112"/>
    <cellStyle name="표준 37 5 2 3 2" xfId="34988"/>
    <cellStyle name="표준 37 5 2 4" xfId="26250"/>
    <cellStyle name="표준 37 5 3" xfId="5771"/>
    <cellStyle name="표준 37 5 3 2" xfId="14780"/>
    <cellStyle name="표준 37 5 3 2 2" xfId="35656"/>
    <cellStyle name="표준 37 5 3 3" xfId="26918"/>
    <cellStyle name="표준 37 5 4" xfId="7567"/>
    <cellStyle name="표준 37 5 4 2" xfId="16574"/>
    <cellStyle name="표준 37 5 4 2 2" xfId="37450"/>
    <cellStyle name="표준 37 5 4 3" xfId="28712"/>
    <cellStyle name="표준 37 5 5" xfId="8211"/>
    <cellStyle name="표준 37 5 5 2" xfId="17217"/>
    <cellStyle name="표준 37 5 5 2 2" xfId="38093"/>
    <cellStyle name="표준 37 5 5 3" xfId="29355"/>
    <cellStyle name="표준 37 5 6" xfId="9059"/>
    <cellStyle name="표준 37 5 6 2" xfId="18064"/>
    <cellStyle name="표준 37 5 6 2 2" xfId="38940"/>
    <cellStyle name="표준 37 5 6 3" xfId="30202"/>
    <cellStyle name="표준 37 5 7" xfId="9884"/>
    <cellStyle name="표준 37 5 7 2" xfId="18882"/>
    <cellStyle name="표준 37 5 7 2 2" xfId="39758"/>
    <cellStyle name="표준 37 5 7 3" xfId="31020"/>
    <cellStyle name="표준 37 5 8" xfId="10939"/>
    <cellStyle name="표준 37 5 8 2" xfId="19710"/>
    <cellStyle name="표준 37 5 8 2 2" xfId="40586"/>
    <cellStyle name="표준 37 5 8 3" xfId="31850"/>
    <cellStyle name="표준 37 5 9" xfId="11805"/>
    <cellStyle name="표준 37 5 9 2" xfId="20571"/>
    <cellStyle name="표준 37 5 9 2 2" xfId="41447"/>
    <cellStyle name="표준 37 5 9 3" xfId="32711"/>
    <cellStyle name="표준 37 6" xfId="4657"/>
    <cellStyle name="표준 37 6 2" xfId="6491"/>
    <cellStyle name="표준 37 6 2 2" xfId="15500"/>
    <cellStyle name="표준 37 6 2 2 2" xfId="36376"/>
    <cellStyle name="표준 37 6 2 3" xfId="27638"/>
    <cellStyle name="표준 37 6 3" xfId="11157"/>
    <cellStyle name="표준 37 6 3 2" xfId="19927"/>
    <cellStyle name="표준 37 6 3 2 2" xfId="40803"/>
    <cellStyle name="표준 37 6 3 3" xfId="32067"/>
    <cellStyle name="표준 37 6 4" xfId="12022"/>
    <cellStyle name="표준 37 6 4 2" xfId="20788"/>
    <cellStyle name="표준 37 6 4 2 2" xfId="41664"/>
    <cellStyle name="표준 37 6 4 3" xfId="32928"/>
    <cellStyle name="표준 37 6 5" xfId="13682"/>
    <cellStyle name="표준 37 6 5 2" xfId="34558"/>
    <cellStyle name="표준 37 6 6" xfId="25820"/>
    <cellStyle name="표준 37 7" xfId="5334"/>
    <cellStyle name="표준 37 7 2" xfId="14343"/>
    <cellStyle name="표준 37 7 2 2" xfId="35219"/>
    <cellStyle name="표준 37 7 3" xfId="26481"/>
    <cellStyle name="표준 37 8" xfId="7136"/>
    <cellStyle name="표준 37 8 2" xfId="16144"/>
    <cellStyle name="표준 37 8 2 2" xfId="37020"/>
    <cellStyle name="표준 37 8 3" xfId="28282"/>
    <cellStyle name="표준 37 9" xfId="7781"/>
    <cellStyle name="표준 37 9 2" xfId="16787"/>
    <cellStyle name="표준 37 9 2 2" xfId="37663"/>
    <cellStyle name="표준 37 9 3" xfId="28925"/>
    <cellStyle name="표준 38" xfId="3053"/>
    <cellStyle name="표준 38 10" xfId="10510"/>
    <cellStyle name="표준 38 10 2" xfId="19281"/>
    <cellStyle name="표준 38 10 2 2" xfId="40157"/>
    <cellStyle name="표준 38 10 3" xfId="31421"/>
    <cellStyle name="표준 38 11" xfId="11376"/>
    <cellStyle name="표준 38 11 2" xfId="20142"/>
    <cellStyle name="표준 38 11 2 2" xfId="41018"/>
    <cellStyle name="표준 38 11 3" xfId="32282"/>
    <cellStyle name="표준 38 12" xfId="12525"/>
    <cellStyle name="표준 38 12 2" xfId="33402"/>
    <cellStyle name="표준 38 13" xfId="24652"/>
    <cellStyle name="표준 38 2" xfId="3271"/>
    <cellStyle name="표준 38 2 10" xfId="11589"/>
    <cellStyle name="표준 38 2 10 2" xfId="20355"/>
    <cellStyle name="표준 38 2 10 2 2" xfId="41231"/>
    <cellStyle name="표준 38 2 10 3" xfId="32495"/>
    <cellStyle name="표준 38 2 11" xfId="12738"/>
    <cellStyle name="표준 38 2 11 2" xfId="33615"/>
    <cellStyle name="표준 38 2 12" xfId="24865"/>
    <cellStyle name="표준 38 2 2" xfId="3712"/>
    <cellStyle name="표준 38 2 2 2" xfId="5985"/>
    <cellStyle name="표준 38 2 2 2 2" xfId="14994"/>
    <cellStyle name="표준 38 2 2 2 2 2" xfId="35870"/>
    <cellStyle name="표준 38 2 2 2 3" xfId="27132"/>
    <cellStyle name="표준 38 2 2 3" xfId="13175"/>
    <cellStyle name="표준 38 2 2 3 2" xfId="34052"/>
    <cellStyle name="표준 38 2 2 4" xfId="25302"/>
    <cellStyle name="표준 38 2 3" xfId="4874"/>
    <cellStyle name="표준 38 2 3 2" xfId="6705"/>
    <cellStyle name="표준 38 2 3 2 2" xfId="15714"/>
    <cellStyle name="표준 38 2 3 2 2 2" xfId="36590"/>
    <cellStyle name="표준 38 2 3 2 3" xfId="27852"/>
    <cellStyle name="표준 38 2 3 3" xfId="13896"/>
    <cellStyle name="표준 38 2 3 3 2" xfId="34772"/>
    <cellStyle name="표준 38 2 3 4" xfId="26034"/>
    <cellStyle name="표준 38 2 4" xfId="5548"/>
    <cellStyle name="표준 38 2 4 2" xfId="14557"/>
    <cellStyle name="표준 38 2 4 2 2" xfId="35433"/>
    <cellStyle name="표준 38 2 4 3" xfId="26695"/>
    <cellStyle name="표준 38 2 5" xfId="7351"/>
    <cellStyle name="표준 38 2 5 2" xfId="16358"/>
    <cellStyle name="표준 38 2 5 2 2" xfId="37234"/>
    <cellStyle name="표준 38 2 5 3" xfId="28496"/>
    <cellStyle name="표준 38 2 6" xfId="7995"/>
    <cellStyle name="표준 38 2 6 2" xfId="17001"/>
    <cellStyle name="표준 38 2 6 2 2" xfId="37877"/>
    <cellStyle name="표준 38 2 6 3" xfId="29139"/>
    <cellStyle name="표준 38 2 7" xfId="8843"/>
    <cellStyle name="표준 38 2 7 2" xfId="17848"/>
    <cellStyle name="표준 38 2 7 2 2" xfId="38724"/>
    <cellStyle name="표준 38 2 7 3" xfId="29986"/>
    <cellStyle name="표준 38 2 8" xfId="9668"/>
    <cellStyle name="표준 38 2 8 2" xfId="18666"/>
    <cellStyle name="표준 38 2 8 2 2" xfId="39542"/>
    <cellStyle name="표준 38 2 8 3" xfId="30804"/>
    <cellStyle name="표준 38 2 9" xfId="10723"/>
    <cellStyle name="표준 38 2 9 2" xfId="19494"/>
    <cellStyle name="표준 38 2 9 2 2" xfId="40370"/>
    <cellStyle name="표준 38 2 9 3" xfId="31634"/>
    <cellStyle name="표준 38 3" xfId="3499"/>
    <cellStyle name="표준 38 3 10" xfId="12962"/>
    <cellStyle name="표준 38 3 10 2" xfId="33839"/>
    <cellStyle name="표준 38 3 11" xfId="25089"/>
    <cellStyle name="표준 38 3 2" xfId="5097"/>
    <cellStyle name="표준 38 3 2 2" xfId="6922"/>
    <cellStyle name="표준 38 3 2 2 2" xfId="15931"/>
    <cellStyle name="표준 38 3 2 2 2 2" xfId="36807"/>
    <cellStyle name="표준 38 3 2 2 3" xfId="28069"/>
    <cellStyle name="표준 38 3 2 3" xfId="14113"/>
    <cellStyle name="표준 38 3 2 3 2" xfId="34989"/>
    <cellStyle name="표준 38 3 2 4" xfId="26251"/>
    <cellStyle name="표준 38 3 3" xfId="5772"/>
    <cellStyle name="표준 38 3 3 2" xfId="14781"/>
    <cellStyle name="표준 38 3 3 2 2" xfId="35657"/>
    <cellStyle name="표준 38 3 3 3" xfId="26919"/>
    <cellStyle name="표준 38 3 4" xfId="7568"/>
    <cellStyle name="표준 38 3 4 2" xfId="16575"/>
    <cellStyle name="표준 38 3 4 2 2" xfId="37451"/>
    <cellStyle name="표준 38 3 4 3" xfId="28713"/>
    <cellStyle name="표준 38 3 5" xfId="8212"/>
    <cellStyle name="표준 38 3 5 2" xfId="17218"/>
    <cellStyle name="표준 38 3 5 2 2" xfId="38094"/>
    <cellStyle name="표준 38 3 5 3" xfId="29356"/>
    <cellStyle name="표준 38 3 6" xfId="9060"/>
    <cellStyle name="표준 38 3 6 2" xfId="18065"/>
    <cellStyle name="표준 38 3 6 2 2" xfId="38941"/>
    <cellStyle name="표준 38 3 6 3" xfId="30203"/>
    <cellStyle name="표준 38 3 7" xfId="9885"/>
    <cellStyle name="표준 38 3 7 2" xfId="18883"/>
    <cellStyle name="표준 38 3 7 2 2" xfId="39759"/>
    <cellStyle name="표준 38 3 7 3" xfId="31021"/>
    <cellStyle name="표준 38 3 8" xfId="10940"/>
    <cellStyle name="표준 38 3 8 2" xfId="19711"/>
    <cellStyle name="표준 38 3 8 2 2" xfId="40587"/>
    <cellStyle name="표준 38 3 8 3" xfId="31851"/>
    <cellStyle name="표준 38 3 9" xfId="11806"/>
    <cellStyle name="표준 38 3 9 2" xfId="20572"/>
    <cellStyle name="표준 38 3 9 2 2" xfId="41448"/>
    <cellStyle name="표준 38 3 9 3" xfId="32712"/>
    <cellStyle name="표준 38 4" xfId="4658"/>
    <cellStyle name="표준 38 4 2" xfId="6492"/>
    <cellStyle name="표준 38 4 2 2" xfId="15501"/>
    <cellStyle name="표준 38 4 2 2 2" xfId="36377"/>
    <cellStyle name="표준 38 4 2 3" xfId="27639"/>
    <cellStyle name="표준 38 4 3" xfId="11159"/>
    <cellStyle name="표준 38 4 3 2" xfId="19928"/>
    <cellStyle name="표준 38 4 3 2 2" xfId="40804"/>
    <cellStyle name="표준 38 4 3 3" xfId="32068"/>
    <cellStyle name="표준 38 4 4" xfId="12023"/>
    <cellStyle name="표준 38 4 4 2" xfId="20789"/>
    <cellStyle name="표준 38 4 4 2 2" xfId="41665"/>
    <cellStyle name="표준 38 4 4 3" xfId="32929"/>
    <cellStyle name="표준 38 4 5" xfId="13683"/>
    <cellStyle name="표준 38 4 5 2" xfId="34559"/>
    <cellStyle name="표준 38 4 6" xfId="25821"/>
    <cellStyle name="표준 38 5" xfId="5335"/>
    <cellStyle name="표준 38 5 2" xfId="14344"/>
    <cellStyle name="표준 38 5 2 2" xfId="35220"/>
    <cellStyle name="표준 38 5 3" xfId="26482"/>
    <cellStyle name="표준 38 6" xfId="7137"/>
    <cellStyle name="표준 38 6 2" xfId="16145"/>
    <cellStyle name="표준 38 6 2 2" xfId="37021"/>
    <cellStyle name="표준 38 6 3" xfId="28283"/>
    <cellStyle name="표준 38 7" xfId="7782"/>
    <cellStyle name="표준 38 7 2" xfId="16788"/>
    <cellStyle name="표준 38 7 2 2" xfId="37664"/>
    <cellStyle name="표준 38 7 3" xfId="28926"/>
    <cellStyle name="표준 38 8" xfId="8630"/>
    <cellStyle name="표준 38 8 2" xfId="17635"/>
    <cellStyle name="표준 38 8 2 2" xfId="38511"/>
    <cellStyle name="표준 38 8 3" xfId="29773"/>
    <cellStyle name="표준 38 9" xfId="9454"/>
    <cellStyle name="표준 38 9 2" xfId="18453"/>
    <cellStyle name="표준 38 9 2 2" xfId="39329"/>
    <cellStyle name="표준 38 9 3" xfId="30591"/>
    <cellStyle name="표준 39" xfId="3054"/>
    <cellStyle name="표준 4" xfId="1199"/>
    <cellStyle name="표준 4 10" xfId="3500"/>
    <cellStyle name="표준 4 10 2" xfId="5773"/>
    <cellStyle name="표준 4 10 2 2" xfId="14782"/>
    <cellStyle name="표준 4 10 2 2 2" xfId="35658"/>
    <cellStyle name="표준 4 10 2 3" xfId="26920"/>
    <cellStyle name="표준 4 10 3" xfId="11160"/>
    <cellStyle name="표준 4 10 3 2" xfId="19929"/>
    <cellStyle name="표준 4 10 3 2 2" xfId="40805"/>
    <cellStyle name="표준 4 10 3 3" xfId="32069"/>
    <cellStyle name="표준 4 10 4" xfId="12024"/>
    <cellStyle name="표준 4 10 4 2" xfId="20790"/>
    <cellStyle name="표준 4 10 4 2 2" xfId="41666"/>
    <cellStyle name="표준 4 10 4 3" xfId="32930"/>
    <cellStyle name="표준 4 10 5" xfId="12963"/>
    <cellStyle name="표준 4 10 5 2" xfId="33840"/>
    <cellStyle name="표준 4 10 6" xfId="25090"/>
    <cellStyle name="표준 4 11" xfId="4659"/>
    <cellStyle name="표준 4 11 2" xfId="6493"/>
    <cellStyle name="표준 4 11 2 2" xfId="15502"/>
    <cellStyle name="표준 4 11 2 2 2" xfId="36378"/>
    <cellStyle name="표준 4 11 2 3" xfId="27640"/>
    <cellStyle name="표준 4 11 3" xfId="13684"/>
    <cellStyle name="표준 4 11 3 2" xfId="34560"/>
    <cellStyle name="표준 4 11 4" xfId="25822"/>
    <cellStyle name="표준 4 12" xfId="4492"/>
    <cellStyle name="표준 4 13" xfId="7138"/>
    <cellStyle name="표준 4 13 2" xfId="16146"/>
    <cellStyle name="표준 4 13 2 2" xfId="37022"/>
    <cellStyle name="표준 4 13 3" xfId="28284"/>
    <cellStyle name="표준 4 14" xfId="7783"/>
    <cellStyle name="표준 4 14 2" xfId="16789"/>
    <cellStyle name="표준 4 14 2 2" xfId="37665"/>
    <cellStyle name="표준 4 14 3" xfId="28927"/>
    <cellStyle name="표준 4 15" xfId="8631"/>
    <cellStyle name="표준 4 15 2" xfId="17636"/>
    <cellStyle name="표준 4 15 2 2" xfId="38512"/>
    <cellStyle name="표준 4 15 3" xfId="29774"/>
    <cellStyle name="표준 4 16" xfId="9455"/>
    <cellStyle name="표준 4 16 2" xfId="18454"/>
    <cellStyle name="표준 4 16 2 2" xfId="39330"/>
    <cellStyle name="표준 4 16 3" xfId="30592"/>
    <cellStyle name="표준 4 17" xfId="10511"/>
    <cellStyle name="표준 4 17 2" xfId="19282"/>
    <cellStyle name="표준 4 17 2 2" xfId="40158"/>
    <cellStyle name="표준 4 17 3" xfId="31422"/>
    <cellStyle name="표준 4 18" xfId="11377"/>
    <cellStyle name="표준 4 18 2" xfId="20143"/>
    <cellStyle name="표준 4 18 2 2" xfId="41019"/>
    <cellStyle name="표준 4 18 3" xfId="32283"/>
    <cellStyle name="표준 4 19" xfId="12199"/>
    <cellStyle name="표준 4 2" xfId="3056"/>
    <cellStyle name="표준 4 2 10" xfId="10119"/>
    <cellStyle name="표준 4 2 11" xfId="10512"/>
    <cellStyle name="표준 4 2 11 2" xfId="19283"/>
    <cellStyle name="표준 4 2 11 2 2" xfId="40159"/>
    <cellStyle name="표준 4 2 11 3" xfId="31423"/>
    <cellStyle name="표준 4 2 12" xfId="11378"/>
    <cellStyle name="표준 4 2 12 2" xfId="20144"/>
    <cellStyle name="표준 4 2 12 2 2" xfId="41020"/>
    <cellStyle name="표준 4 2 12 3" xfId="32284"/>
    <cellStyle name="표준 4 2 13" xfId="12527"/>
    <cellStyle name="표준 4 2 13 2" xfId="33404"/>
    <cellStyle name="표준 4 2 14" xfId="24654"/>
    <cellStyle name="표준 4 2 2" xfId="3273"/>
    <cellStyle name="표준 4 2 2 10" xfId="11591"/>
    <cellStyle name="표준 4 2 2 10 2" xfId="20357"/>
    <cellStyle name="표준 4 2 2 10 2 2" xfId="41233"/>
    <cellStyle name="표준 4 2 2 10 3" xfId="32497"/>
    <cellStyle name="표준 4 2 2 11" xfId="12740"/>
    <cellStyle name="표준 4 2 2 11 2" xfId="33617"/>
    <cellStyle name="표준 4 2 2 12" xfId="24867"/>
    <cellStyle name="표준 4 2 2 2" xfId="3714"/>
    <cellStyle name="표준 4 2 2 2 2" xfId="5987"/>
    <cellStyle name="표준 4 2 2 2 2 2" xfId="14996"/>
    <cellStyle name="표준 4 2 2 2 2 2 2" xfId="35872"/>
    <cellStyle name="표준 4 2 2 2 2 3" xfId="27134"/>
    <cellStyle name="표준 4 2 2 2 3" xfId="13177"/>
    <cellStyle name="표준 4 2 2 2 3 2" xfId="34054"/>
    <cellStyle name="표준 4 2 2 2 4" xfId="25304"/>
    <cellStyle name="표준 4 2 2 3" xfId="4876"/>
    <cellStyle name="표준 4 2 2 3 2" xfId="6707"/>
    <cellStyle name="표준 4 2 2 3 2 2" xfId="15716"/>
    <cellStyle name="표준 4 2 2 3 2 2 2" xfId="36592"/>
    <cellStyle name="표준 4 2 2 3 2 3" xfId="27854"/>
    <cellStyle name="표준 4 2 2 3 3" xfId="13898"/>
    <cellStyle name="표준 4 2 2 3 3 2" xfId="34774"/>
    <cellStyle name="표준 4 2 2 3 4" xfId="26036"/>
    <cellStyle name="표준 4 2 2 4" xfId="5550"/>
    <cellStyle name="표준 4 2 2 4 2" xfId="14559"/>
    <cellStyle name="표준 4 2 2 4 2 2" xfId="35435"/>
    <cellStyle name="표준 4 2 2 4 3" xfId="26697"/>
    <cellStyle name="표준 4 2 2 5" xfId="7353"/>
    <cellStyle name="표준 4 2 2 5 2" xfId="16360"/>
    <cellStyle name="표준 4 2 2 5 2 2" xfId="37236"/>
    <cellStyle name="표준 4 2 2 5 3" xfId="28498"/>
    <cellStyle name="표준 4 2 2 6" xfId="7997"/>
    <cellStyle name="표준 4 2 2 6 2" xfId="17003"/>
    <cellStyle name="표준 4 2 2 6 2 2" xfId="37879"/>
    <cellStyle name="표준 4 2 2 6 3" xfId="29141"/>
    <cellStyle name="표준 4 2 2 7" xfId="8845"/>
    <cellStyle name="표준 4 2 2 7 2" xfId="17850"/>
    <cellStyle name="표준 4 2 2 7 2 2" xfId="38726"/>
    <cellStyle name="표준 4 2 2 7 3" xfId="29988"/>
    <cellStyle name="표준 4 2 2 8" xfId="9670"/>
    <cellStyle name="표준 4 2 2 8 2" xfId="18668"/>
    <cellStyle name="표준 4 2 2 8 2 2" xfId="39544"/>
    <cellStyle name="표준 4 2 2 8 3" xfId="30806"/>
    <cellStyle name="표준 4 2 2 9" xfId="10725"/>
    <cellStyle name="표준 4 2 2 9 2" xfId="19496"/>
    <cellStyle name="표준 4 2 2 9 2 2" xfId="40372"/>
    <cellStyle name="표준 4 2 2 9 3" xfId="31636"/>
    <cellStyle name="표준 4 2 3" xfId="3501"/>
    <cellStyle name="표준 4 2 3 10" xfId="12964"/>
    <cellStyle name="표준 4 2 3 10 2" xfId="33841"/>
    <cellStyle name="표준 4 2 3 11" xfId="25091"/>
    <cellStyle name="표준 4 2 3 2" xfId="5099"/>
    <cellStyle name="표준 4 2 3 2 2" xfId="6924"/>
    <cellStyle name="표준 4 2 3 2 2 2" xfId="15933"/>
    <cellStyle name="표준 4 2 3 2 2 2 2" xfId="36809"/>
    <cellStyle name="표준 4 2 3 2 2 3" xfId="28071"/>
    <cellStyle name="표준 4 2 3 2 3" xfId="14115"/>
    <cellStyle name="표준 4 2 3 2 3 2" xfId="34991"/>
    <cellStyle name="표준 4 2 3 2 4" xfId="26253"/>
    <cellStyle name="표준 4 2 3 3" xfId="5774"/>
    <cellStyle name="표준 4 2 3 3 2" xfId="14783"/>
    <cellStyle name="표준 4 2 3 3 2 2" xfId="35659"/>
    <cellStyle name="표준 4 2 3 3 3" xfId="26921"/>
    <cellStyle name="표준 4 2 3 4" xfId="7570"/>
    <cellStyle name="표준 4 2 3 4 2" xfId="16577"/>
    <cellStyle name="표준 4 2 3 4 2 2" xfId="37453"/>
    <cellStyle name="표준 4 2 3 4 3" xfId="28715"/>
    <cellStyle name="표준 4 2 3 5" xfId="8214"/>
    <cellStyle name="표준 4 2 3 5 2" xfId="17220"/>
    <cellStyle name="표준 4 2 3 5 2 2" xfId="38096"/>
    <cellStyle name="표준 4 2 3 5 3" xfId="29358"/>
    <cellStyle name="표준 4 2 3 6" xfId="9062"/>
    <cellStyle name="표준 4 2 3 6 2" xfId="18067"/>
    <cellStyle name="표준 4 2 3 6 2 2" xfId="38943"/>
    <cellStyle name="표준 4 2 3 6 3" xfId="30205"/>
    <cellStyle name="표준 4 2 3 7" xfId="9887"/>
    <cellStyle name="표준 4 2 3 7 2" xfId="18885"/>
    <cellStyle name="표준 4 2 3 7 2 2" xfId="39761"/>
    <cellStyle name="표준 4 2 3 7 3" xfId="31023"/>
    <cellStyle name="표준 4 2 3 8" xfId="10942"/>
    <cellStyle name="표준 4 2 3 8 2" xfId="19713"/>
    <cellStyle name="표준 4 2 3 8 2 2" xfId="40589"/>
    <cellStyle name="표준 4 2 3 8 3" xfId="31853"/>
    <cellStyle name="표준 4 2 3 9" xfId="11808"/>
    <cellStyle name="표준 4 2 3 9 2" xfId="20574"/>
    <cellStyle name="표준 4 2 3 9 2 2" xfId="41450"/>
    <cellStyle name="표준 4 2 3 9 3" xfId="32714"/>
    <cellStyle name="표준 4 2 4" xfId="4660"/>
    <cellStyle name="표준 4 2 4 2" xfId="6494"/>
    <cellStyle name="표준 4 2 4 2 2" xfId="15503"/>
    <cellStyle name="표준 4 2 4 2 2 2" xfId="36379"/>
    <cellStyle name="표준 4 2 4 2 3" xfId="27641"/>
    <cellStyle name="표준 4 2 4 3" xfId="11161"/>
    <cellStyle name="표준 4 2 4 3 2" xfId="19930"/>
    <cellStyle name="표준 4 2 4 3 2 2" xfId="40806"/>
    <cellStyle name="표준 4 2 4 3 3" xfId="32070"/>
    <cellStyle name="표준 4 2 4 4" xfId="12025"/>
    <cellStyle name="표준 4 2 4 4 2" xfId="20791"/>
    <cellStyle name="표준 4 2 4 4 2 2" xfId="41667"/>
    <cellStyle name="표준 4 2 4 4 3" xfId="32931"/>
    <cellStyle name="표준 4 2 4 5" xfId="13685"/>
    <cellStyle name="표준 4 2 4 5 2" xfId="34561"/>
    <cellStyle name="표준 4 2 4 6" xfId="25823"/>
    <cellStyle name="표준 4 2 5" xfId="5337"/>
    <cellStyle name="표준 4 2 5 2" xfId="14346"/>
    <cellStyle name="표준 4 2 5 2 2" xfId="35222"/>
    <cellStyle name="표준 4 2 5 3" xfId="26484"/>
    <cellStyle name="표준 4 2 6" xfId="7139"/>
    <cellStyle name="표준 4 2 6 2" xfId="16147"/>
    <cellStyle name="표준 4 2 6 2 2" xfId="37023"/>
    <cellStyle name="표준 4 2 6 3" xfId="28285"/>
    <cellStyle name="표준 4 2 7" xfId="7784"/>
    <cellStyle name="표준 4 2 7 2" xfId="16790"/>
    <cellStyle name="표준 4 2 7 2 2" xfId="37666"/>
    <cellStyle name="표준 4 2 7 3" xfId="28928"/>
    <cellStyle name="표준 4 2 8" xfId="8632"/>
    <cellStyle name="표준 4 2 8 2" xfId="17637"/>
    <cellStyle name="표준 4 2 8 2 2" xfId="38513"/>
    <cellStyle name="표준 4 2 8 3" xfId="29775"/>
    <cellStyle name="표준 4 2 9" xfId="9456"/>
    <cellStyle name="표준 4 2 9 2" xfId="18455"/>
    <cellStyle name="표준 4 2 9 2 2" xfId="39331"/>
    <cellStyle name="표준 4 2 9 3" xfId="30593"/>
    <cellStyle name="표준 4 3" xfId="3057"/>
    <cellStyle name="표준 4 3 10" xfId="10120"/>
    <cellStyle name="표준 4 3 11" xfId="10513"/>
    <cellStyle name="표준 4 3 11 2" xfId="19284"/>
    <cellStyle name="표준 4 3 11 2 2" xfId="40160"/>
    <cellStyle name="표준 4 3 11 3" xfId="31424"/>
    <cellStyle name="표준 4 3 12" xfId="11379"/>
    <cellStyle name="표준 4 3 12 2" xfId="20145"/>
    <cellStyle name="표준 4 3 12 2 2" xfId="41021"/>
    <cellStyle name="표준 4 3 12 3" xfId="32285"/>
    <cellStyle name="표준 4 3 13" xfId="12528"/>
    <cellStyle name="표준 4 3 13 2" xfId="33405"/>
    <cellStyle name="표준 4 3 14" xfId="24655"/>
    <cellStyle name="표준 4 3 2" xfId="3274"/>
    <cellStyle name="표준 4 3 2 10" xfId="11592"/>
    <cellStyle name="표준 4 3 2 10 2" xfId="20358"/>
    <cellStyle name="표준 4 3 2 10 2 2" xfId="41234"/>
    <cellStyle name="표준 4 3 2 10 3" xfId="32498"/>
    <cellStyle name="표준 4 3 2 11" xfId="12741"/>
    <cellStyle name="표준 4 3 2 11 2" xfId="33618"/>
    <cellStyle name="표준 4 3 2 12" xfId="24868"/>
    <cellStyle name="표준 4 3 2 2" xfId="3715"/>
    <cellStyle name="표준 4 3 2 2 2" xfId="5988"/>
    <cellStyle name="표준 4 3 2 2 2 2" xfId="14997"/>
    <cellStyle name="표준 4 3 2 2 2 2 2" xfId="35873"/>
    <cellStyle name="표준 4 3 2 2 2 3" xfId="27135"/>
    <cellStyle name="표준 4 3 2 2 3" xfId="13178"/>
    <cellStyle name="표준 4 3 2 2 3 2" xfId="34055"/>
    <cellStyle name="표준 4 3 2 2 4" xfId="25305"/>
    <cellStyle name="표준 4 3 2 3" xfId="4877"/>
    <cellStyle name="표준 4 3 2 3 2" xfId="6708"/>
    <cellStyle name="표준 4 3 2 3 2 2" xfId="15717"/>
    <cellStyle name="표준 4 3 2 3 2 2 2" xfId="36593"/>
    <cellStyle name="표준 4 3 2 3 2 3" xfId="27855"/>
    <cellStyle name="표준 4 3 2 3 3" xfId="13899"/>
    <cellStyle name="표준 4 3 2 3 3 2" xfId="34775"/>
    <cellStyle name="표준 4 3 2 3 4" xfId="26037"/>
    <cellStyle name="표준 4 3 2 4" xfId="5551"/>
    <cellStyle name="표준 4 3 2 4 2" xfId="14560"/>
    <cellStyle name="표준 4 3 2 4 2 2" xfId="35436"/>
    <cellStyle name="표준 4 3 2 4 3" xfId="26698"/>
    <cellStyle name="표준 4 3 2 5" xfId="7354"/>
    <cellStyle name="표준 4 3 2 5 2" xfId="16361"/>
    <cellStyle name="표준 4 3 2 5 2 2" xfId="37237"/>
    <cellStyle name="표준 4 3 2 5 3" xfId="28499"/>
    <cellStyle name="표준 4 3 2 6" xfId="7998"/>
    <cellStyle name="표준 4 3 2 6 2" xfId="17004"/>
    <cellStyle name="표준 4 3 2 6 2 2" xfId="37880"/>
    <cellStyle name="표준 4 3 2 6 3" xfId="29142"/>
    <cellStyle name="표준 4 3 2 7" xfId="8846"/>
    <cellStyle name="표준 4 3 2 7 2" xfId="17851"/>
    <cellStyle name="표준 4 3 2 7 2 2" xfId="38727"/>
    <cellStyle name="표준 4 3 2 7 3" xfId="29989"/>
    <cellStyle name="표준 4 3 2 8" xfId="9671"/>
    <cellStyle name="표준 4 3 2 8 2" xfId="18669"/>
    <cellStyle name="표준 4 3 2 8 2 2" xfId="39545"/>
    <cellStyle name="표준 4 3 2 8 3" xfId="30807"/>
    <cellStyle name="표준 4 3 2 9" xfId="10726"/>
    <cellStyle name="표준 4 3 2 9 2" xfId="19497"/>
    <cellStyle name="표준 4 3 2 9 2 2" xfId="40373"/>
    <cellStyle name="표준 4 3 2 9 3" xfId="31637"/>
    <cellStyle name="표준 4 3 3" xfId="3502"/>
    <cellStyle name="표준 4 3 3 10" xfId="12965"/>
    <cellStyle name="표준 4 3 3 10 2" xfId="33842"/>
    <cellStyle name="표준 4 3 3 11" xfId="25092"/>
    <cellStyle name="표준 4 3 3 2" xfId="5100"/>
    <cellStyle name="표준 4 3 3 2 2" xfId="6925"/>
    <cellStyle name="표준 4 3 3 2 2 2" xfId="15934"/>
    <cellStyle name="표준 4 3 3 2 2 2 2" xfId="36810"/>
    <cellStyle name="표준 4 3 3 2 2 3" xfId="28072"/>
    <cellStyle name="표준 4 3 3 2 3" xfId="14116"/>
    <cellStyle name="표준 4 3 3 2 3 2" xfId="34992"/>
    <cellStyle name="표준 4 3 3 2 4" xfId="26254"/>
    <cellStyle name="표준 4 3 3 3" xfId="5775"/>
    <cellStyle name="표준 4 3 3 3 2" xfId="14784"/>
    <cellStyle name="표준 4 3 3 3 2 2" xfId="35660"/>
    <cellStyle name="표준 4 3 3 3 3" xfId="26922"/>
    <cellStyle name="표준 4 3 3 4" xfId="7571"/>
    <cellStyle name="표준 4 3 3 4 2" xfId="16578"/>
    <cellStyle name="표준 4 3 3 4 2 2" xfId="37454"/>
    <cellStyle name="표준 4 3 3 4 3" xfId="28716"/>
    <cellStyle name="표준 4 3 3 5" xfId="8215"/>
    <cellStyle name="표준 4 3 3 5 2" xfId="17221"/>
    <cellStyle name="표준 4 3 3 5 2 2" xfId="38097"/>
    <cellStyle name="표준 4 3 3 5 3" xfId="29359"/>
    <cellStyle name="표준 4 3 3 6" xfId="9063"/>
    <cellStyle name="표준 4 3 3 6 2" xfId="18068"/>
    <cellStyle name="표준 4 3 3 6 2 2" xfId="38944"/>
    <cellStyle name="표준 4 3 3 6 3" xfId="30206"/>
    <cellStyle name="표준 4 3 3 7" xfId="9888"/>
    <cellStyle name="표준 4 3 3 7 2" xfId="18886"/>
    <cellStyle name="표준 4 3 3 7 2 2" xfId="39762"/>
    <cellStyle name="표준 4 3 3 7 3" xfId="31024"/>
    <cellStyle name="표준 4 3 3 8" xfId="10943"/>
    <cellStyle name="표준 4 3 3 8 2" xfId="19714"/>
    <cellStyle name="표준 4 3 3 8 2 2" xfId="40590"/>
    <cellStyle name="표준 4 3 3 8 3" xfId="31854"/>
    <cellStyle name="표준 4 3 3 9" xfId="11809"/>
    <cellStyle name="표준 4 3 3 9 2" xfId="20575"/>
    <cellStyle name="표준 4 3 3 9 2 2" xfId="41451"/>
    <cellStyle name="표준 4 3 3 9 3" xfId="32715"/>
    <cellStyle name="표준 4 3 4" xfId="4661"/>
    <cellStyle name="표준 4 3 4 2" xfId="6495"/>
    <cellStyle name="표준 4 3 4 2 2" xfId="15504"/>
    <cellStyle name="표준 4 3 4 2 2 2" xfId="36380"/>
    <cellStyle name="표준 4 3 4 2 3" xfId="27642"/>
    <cellStyle name="표준 4 3 4 3" xfId="11162"/>
    <cellStyle name="표준 4 3 4 3 2" xfId="19931"/>
    <cellStyle name="표준 4 3 4 3 2 2" xfId="40807"/>
    <cellStyle name="표준 4 3 4 3 3" xfId="32071"/>
    <cellStyle name="표준 4 3 4 4" xfId="12026"/>
    <cellStyle name="표준 4 3 4 4 2" xfId="20792"/>
    <cellStyle name="표준 4 3 4 4 2 2" xfId="41668"/>
    <cellStyle name="표준 4 3 4 4 3" xfId="32932"/>
    <cellStyle name="표준 4 3 4 5" xfId="13686"/>
    <cellStyle name="표준 4 3 4 5 2" xfId="34562"/>
    <cellStyle name="표준 4 3 4 6" xfId="25824"/>
    <cellStyle name="표준 4 3 5" xfId="5338"/>
    <cellStyle name="표준 4 3 5 2" xfId="14347"/>
    <cellStyle name="표준 4 3 5 2 2" xfId="35223"/>
    <cellStyle name="표준 4 3 5 3" xfId="26485"/>
    <cellStyle name="표준 4 3 6" xfId="7140"/>
    <cellStyle name="표준 4 3 6 2" xfId="16148"/>
    <cellStyle name="표준 4 3 6 2 2" xfId="37024"/>
    <cellStyle name="표준 4 3 6 3" xfId="28286"/>
    <cellStyle name="표준 4 3 7" xfId="7785"/>
    <cellStyle name="표준 4 3 7 2" xfId="16791"/>
    <cellStyle name="표준 4 3 7 2 2" xfId="37667"/>
    <cellStyle name="표준 4 3 7 3" xfId="28929"/>
    <cellStyle name="표준 4 3 8" xfId="8633"/>
    <cellStyle name="표준 4 3 8 2" xfId="17638"/>
    <cellStyle name="표준 4 3 8 2 2" xfId="38514"/>
    <cellStyle name="표준 4 3 8 3" xfId="29776"/>
    <cellStyle name="표준 4 3 9" xfId="9457"/>
    <cellStyle name="표준 4 3 9 2" xfId="18456"/>
    <cellStyle name="표준 4 3 9 2 2" xfId="39332"/>
    <cellStyle name="표준 4 3 9 3" xfId="30594"/>
    <cellStyle name="표준 4 4" xfId="3058"/>
    <cellStyle name="표준 4 4 10" xfId="10514"/>
    <cellStyle name="표준 4 4 10 2" xfId="19285"/>
    <cellStyle name="표준 4 4 10 2 2" xfId="40161"/>
    <cellStyle name="표준 4 4 10 3" xfId="31425"/>
    <cellStyle name="표준 4 4 11" xfId="11380"/>
    <cellStyle name="표준 4 4 11 2" xfId="20146"/>
    <cellStyle name="표준 4 4 11 2 2" xfId="41022"/>
    <cellStyle name="표준 4 4 11 3" xfId="32286"/>
    <cellStyle name="표준 4 4 12" xfId="12529"/>
    <cellStyle name="표준 4 4 12 2" xfId="33406"/>
    <cellStyle name="표준 4 4 13" xfId="24656"/>
    <cellStyle name="표준 4 4 2" xfId="3275"/>
    <cellStyle name="표준 4 4 2 10" xfId="11593"/>
    <cellStyle name="표준 4 4 2 10 2" xfId="20359"/>
    <cellStyle name="표준 4 4 2 10 2 2" xfId="41235"/>
    <cellStyle name="표준 4 4 2 10 3" xfId="32499"/>
    <cellStyle name="표준 4 4 2 11" xfId="12742"/>
    <cellStyle name="표준 4 4 2 11 2" xfId="33619"/>
    <cellStyle name="표준 4 4 2 12" xfId="24869"/>
    <cellStyle name="표준 4 4 2 2" xfId="3716"/>
    <cellStyle name="표준 4 4 2 2 2" xfId="5989"/>
    <cellStyle name="표준 4 4 2 2 2 2" xfId="14998"/>
    <cellStyle name="표준 4 4 2 2 2 2 2" xfId="35874"/>
    <cellStyle name="표준 4 4 2 2 2 3" xfId="27136"/>
    <cellStyle name="표준 4 4 2 2 3" xfId="13179"/>
    <cellStyle name="표준 4 4 2 2 3 2" xfId="34056"/>
    <cellStyle name="표준 4 4 2 2 4" xfId="25306"/>
    <cellStyle name="표준 4 4 2 3" xfId="4878"/>
    <cellStyle name="표준 4 4 2 3 2" xfId="6709"/>
    <cellStyle name="표준 4 4 2 3 2 2" xfId="15718"/>
    <cellStyle name="표준 4 4 2 3 2 2 2" xfId="36594"/>
    <cellStyle name="표준 4 4 2 3 2 3" xfId="27856"/>
    <cellStyle name="표준 4 4 2 3 3" xfId="13900"/>
    <cellStyle name="표준 4 4 2 3 3 2" xfId="34776"/>
    <cellStyle name="표준 4 4 2 3 4" xfId="26038"/>
    <cellStyle name="표준 4 4 2 4" xfId="5552"/>
    <cellStyle name="표준 4 4 2 4 2" xfId="14561"/>
    <cellStyle name="표준 4 4 2 4 2 2" xfId="35437"/>
    <cellStyle name="표준 4 4 2 4 3" xfId="26699"/>
    <cellStyle name="표준 4 4 2 5" xfId="7355"/>
    <cellStyle name="표준 4 4 2 5 2" xfId="16362"/>
    <cellStyle name="표준 4 4 2 5 2 2" xfId="37238"/>
    <cellStyle name="표준 4 4 2 5 3" xfId="28500"/>
    <cellStyle name="표준 4 4 2 6" xfId="7999"/>
    <cellStyle name="표준 4 4 2 6 2" xfId="17005"/>
    <cellStyle name="표준 4 4 2 6 2 2" xfId="37881"/>
    <cellStyle name="표준 4 4 2 6 3" xfId="29143"/>
    <cellStyle name="표준 4 4 2 7" xfId="8847"/>
    <cellStyle name="표준 4 4 2 7 2" xfId="17852"/>
    <cellStyle name="표준 4 4 2 7 2 2" xfId="38728"/>
    <cellStyle name="표준 4 4 2 7 3" xfId="29990"/>
    <cellStyle name="표준 4 4 2 8" xfId="9672"/>
    <cellStyle name="표준 4 4 2 8 2" xfId="18670"/>
    <cellStyle name="표준 4 4 2 8 2 2" xfId="39546"/>
    <cellStyle name="표준 4 4 2 8 3" xfId="30808"/>
    <cellStyle name="표준 4 4 2 9" xfId="10727"/>
    <cellStyle name="표준 4 4 2 9 2" xfId="19498"/>
    <cellStyle name="표준 4 4 2 9 2 2" xfId="40374"/>
    <cellStyle name="표준 4 4 2 9 3" xfId="31638"/>
    <cellStyle name="표준 4 4 3" xfId="3503"/>
    <cellStyle name="표준 4 4 3 10" xfId="12966"/>
    <cellStyle name="표준 4 4 3 10 2" xfId="33843"/>
    <cellStyle name="표준 4 4 3 11" xfId="25093"/>
    <cellStyle name="표준 4 4 3 2" xfId="5101"/>
    <cellStyle name="표준 4 4 3 2 2" xfId="6926"/>
    <cellStyle name="표준 4 4 3 2 2 2" xfId="15935"/>
    <cellStyle name="표준 4 4 3 2 2 2 2" xfId="36811"/>
    <cellStyle name="표준 4 4 3 2 2 3" xfId="28073"/>
    <cellStyle name="표준 4 4 3 2 3" xfId="14117"/>
    <cellStyle name="표준 4 4 3 2 3 2" xfId="34993"/>
    <cellStyle name="표준 4 4 3 2 4" xfId="26255"/>
    <cellStyle name="표준 4 4 3 3" xfId="5776"/>
    <cellStyle name="표준 4 4 3 3 2" xfId="14785"/>
    <cellStyle name="표준 4 4 3 3 2 2" xfId="35661"/>
    <cellStyle name="표준 4 4 3 3 3" xfId="26923"/>
    <cellStyle name="표준 4 4 3 4" xfId="7572"/>
    <cellStyle name="표준 4 4 3 4 2" xfId="16579"/>
    <cellStyle name="표준 4 4 3 4 2 2" xfId="37455"/>
    <cellStyle name="표준 4 4 3 4 3" xfId="28717"/>
    <cellStyle name="표준 4 4 3 5" xfId="8216"/>
    <cellStyle name="표준 4 4 3 5 2" xfId="17222"/>
    <cellStyle name="표준 4 4 3 5 2 2" xfId="38098"/>
    <cellStyle name="표준 4 4 3 5 3" xfId="29360"/>
    <cellStyle name="표준 4 4 3 6" xfId="9064"/>
    <cellStyle name="표준 4 4 3 6 2" xfId="18069"/>
    <cellStyle name="표준 4 4 3 6 2 2" xfId="38945"/>
    <cellStyle name="표준 4 4 3 6 3" xfId="30207"/>
    <cellStyle name="표준 4 4 3 7" xfId="9889"/>
    <cellStyle name="표준 4 4 3 7 2" xfId="18887"/>
    <cellStyle name="표준 4 4 3 7 2 2" xfId="39763"/>
    <cellStyle name="표준 4 4 3 7 3" xfId="31025"/>
    <cellStyle name="표준 4 4 3 8" xfId="10944"/>
    <cellStyle name="표준 4 4 3 8 2" xfId="19715"/>
    <cellStyle name="표준 4 4 3 8 2 2" xfId="40591"/>
    <cellStyle name="표준 4 4 3 8 3" xfId="31855"/>
    <cellStyle name="표준 4 4 3 9" xfId="11810"/>
    <cellStyle name="표준 4 4 3 9 2" xfId="20576"/>
    <cellStyle name="표준 4 4 3 9 2 2" xfId="41452"/>
    <cellStyle name="표준 4 4 3 9 3" xfId="32716"/>
    <cellStyle name="표준 4 4 4" xfId="4662"/>
    <cellStyle name="표준 4 4 4 2" xfId="6496"/>
    <cellStyle name="표준 4 4 4 2 2" xfId="15505"/>
    <cellStyle name="표준 4 4 4 2 2 2" xfId="36381"/>
    <cellStyle name="표준 4 4 4 2 3" xfId="27643"/>
    <cellStyle name="표준 4 4 4 3" xfId="11163"/>
    <cellStyle name="표준 4 4 4 3 2" xfId="19932"/>
    <cellStyle name="표준 4 4 4 3 2 2" xfId="40808"/>
    <cellStyle name="표준 4 4 4 3 3" xfId="32072"/>
    <cellStyle name="표준 4 4 4 4" xfId="12027"/>
    <cellStyle name="표준 4 4 4 4 2" xfId="20793"/>
    <cellStyle name="표준 4 4 4 4 2 2" xfId="41669"/>
    <cellStyle name="표준 4 4 4 4 3" xfId="32933"/>
    <cellStyle name="표준 4 4 4 5" xfId="13687"/>
    <cellStyle name="표준 4 4 4 5 2" xfId="34563"/>
    <cellStyle name="표준 4 4 4 6" xfId="25825"/>
    <cellStyle name="표준 4 4 5" xfId="5339"/>
    <cellStyle name="표준 4 4 5 2" xfId="14348"/>
    <cellStyle name="표준 4 4 5 2 2" xfId="35224"/>
    <cellStyle name="표준 4 4 5 3" xfId="26486"/>
    <cellStyle name="표준 4 4 6" xfId="7141"/>
    <cellStyle name="표준 4 4 6 2" xfId="16149"/>
    <cellStyle name="표준 4 4 6 2 2" xfId="37025"/>
    <cellStyle name="표준 4 4 6 3" xfId="28287"/>
    <cellStyle name="표준 4 4 7" xfId="7786"/>
    <cellStyle name="표준 4 4 7 2" xfId="16792"/>
    <cellStyle name="표준 4 4 7 2 2" xfId="37668"/>
    <cellStyle name="표준 4 4 7 3" xfId="28930"/>
    <cellStyle name="표준 4 4 8" xfId="8634"/>
    <cellStyle name="표준 4 4 8 2" xfId="17639"/>
    <cellStyle name="표준 4 4 8 2 2" xfId="38515"/>
    <cellStyle name="표준 4 4 8 3" xfId="29777"/>
    <cellStyle name="표준 4 4 9" xfId="9458"/>
    <cellStyle name="표준 4 4 9 2" xfId="18457"/>
    <cellStyle name="표준 4 4 9 2 2" xfId="39333"/>
    <cellStyle name="표준 4 4 9 3" xfId="30595"/>
    <cellStyle name="표준 4 5" xfId="3059"/>
    <cellStyle name="표준 4 5 10" xfId="10515"/>
    <cellStyle name="표준 4 5 10 2" xfId="19286"/>
    <cellStyle name="표준 4 5 10 2 2" xfId="40162"/>
    <cellStyle name="표준 4 5 10 3" xfId="31426"/>
    <cellStyle name="표준 4 5 11" xfId="11381"/>
    <cellStyle name="표준 4 5 11 2" xfId="20147"/>
    <cellStyle name="표준 4 5 11 2 2" xfId="41023"/>
    <cellStyle name="표준 4 5 11 3" xfId="32287"/>
    <cellStyle name="표준 4 5 12" xfId="12530"/>
    <cellStyle name="표준 4 5 12 2" xfId="33407"/>
    <cellStyle name="표준 4 5 13" xfId="24657"/>
    <cellStyle name="표준 4 5 2" xfId="3276"/>
    <cellStyle name="표준 4 5 2 10" xfId="11594"/>
    <cellStyle name="표준 4 5 2 10 2" xfId="20360"/>
    <cellStyle name="표준 4 5 2 10 2 2" xfId="41236"/>
    <cellStyle name="표준 4 5 2 10 3" xfId="32500"/>
    <cellStyle name="표준 4 5 2 11" xfId="12743"/>
    <cellStyle name="표준 4 5 2 11 2" xfId="33620"/>
    <cellStyle name="표준 4 5 2 12" xfId="24870"/>
    <cellStyle name="표준 4 5 2 2" xfId="3717"/>
    <cellStyle name="표준 4 5 2 2 2" xfId="5990"/>
    <cellStyle name="표준 4 5 2 2 2 2" xfId="14999"/>
    <cellStyle name="표준 4 5 2 2 2 2 2" xfId="35875"/>
    <cellStyle name="표준 4 5 2 2 2 3" xfId="27137"/>
    <cellStyle name="표준 4 5 2 2 3" xfId="13180"/>
    <cellStyle name="표준 4 5 2 2 3 2" xfId="34057"/>
    <cellStyle name="표준 4 5 2 2 4" xfId="25307"/>
    <cellStyle name="표준 4 5 2 3" xfId="4879"/>
    <cellStyle name="표준 4 5 2 3 2" xfId="6710"/>
    <cellStyle name="표준 4 5 2 3 2 2" xfId="15719"/>
    <cellStyle name="표준 4 5 2 3 2 2 2" xfId="36595"/>
    <cellStyle name="표준 4 5 2 3 2 3" xfId="27857"/>
    <cellStyle name="표준 4 5 2 3 3" xfId="13901"/>
    <cellStyle name="표준 4 5 2 3 3 2" xfId="34777"/>
    <cellStyle name="표준 4 5 2 3 4" xfId="26039"/>
    <cellStyle name="표준 4 5 2 4" xfId="5553"/>
    <cellStyle name="표준 4 5 2 4 2" xfId="14562"/>
    <cellStyle name="표준 4 5 2 4 2 2" xfId="35438"/>
    <cellStyle name="표준 4 5 2 4 3" xfId="26700"/>
    <cellStyle name="표준 4 5 2 5" xfId="7356"/>
    <cellStyle name="표준 4 5 2 5 2" xfId="16363"/>
    <cellStyle name="표준 4 5 2 5 2 2" xfId="37239"/>
    <cellStyle name="표준 4 5 2 5 3" xfId="28501"/>
    <cellStyle name="표준 4 5 2 6" xfId="8000"/>
    <cellStyle name="표준 4 5 2 6 2" xfId="17006"/>
    <cellStyle name="표준 4 5 2 6 2 2" xfId="37882"/>
    <cellStyle name="표준 4 5 2 6 3" xfId="29144"/>
    <cellStyle name="표준 4 5 2 7" xfId="8848"/>
    <cellStyle name="표준 4 5 2 7 2" xfId="17853"/>
    <cellStyle name="표준 4 5 2 7 2 2" xfId="38729"/>
    <cellStyle name="표준 4 5 2 7 3" xfId="29991"/>
    <cellStyle name="표준 4 5 2 8" xfId="9673"/>
    <cellStyle name="표준 4 5 2 8 2" xfId="18671"/>
    <cellStyle name="표준 4 5 2 8 2 2" xfId="39547"/>
    <cellStyle name="표준 4 5 2 8 3" xfId="30809"/>
    <cellStyle name="표준 4 5 2 9" xfId="10728"/>
    <cellStyle name="표준 4 5 2 9 2" xfId="19499"/>
    <cellStyle name="표준 4 5 2 9 2 2" xfId="40375"/>
    <cellStyle name="표준 4 5 2 9 3" xfId="31639"/>
    <cellStyle name="표준 4 5 3" xfId="3504"/>
    <cellStyle name="표준 4 5 3 10" xfId="12967"/>
    <cellStyle name="표준 4 5 3 10 2" xfId="33844"/>
    <cellStyle name="표준 4 5 3 11" xfId="25094"/>
    <cellStyle name="표준 4 5 3 2" xfId="5102"/>
    <cellStyle name="표준 4 5 3 2 2" xfId="6927"/>
    <cellStyle name="표준 4 5 3 2 2 2" xfId="15936"/>
    <cellStyle name="표준 4 5 3 2 2 2 2" xfId="36812"/>
    <cellStyle name="표준 4 5 3 2 2 3" xfId="28074"/>
    <cellStyle name="표준 4 5 3 2 3" xfId="14118"/>
    <cellStyle name="표준 4 5 3 2 3 2" xfId="34994"/>
    <cellStyle name="표준 4 5 3 2 4" xfId="26256"/>
    <cellStyle name="표준 4 5 3 3" xfId="5777"/>
    <cellStyle name="표준 4 5 3 3 2" xfId="14786"/>
    <cellStyle name="표준 4 5 3 3 2 2" xfId="35662"/>
    <cellStyle name="표준 4 5 3 3 3" xfId="26924"/>
    <cellStyle name="표준 4 5 3 4" xfId="7573"/>
    <cellStyle name="표준 4 5 3 4 2" xfId="16580"/>
    <cellStyle name="표준 4 5 3 4 2 2" xfId="37456"/>
    <cellStyle name="표준 4 5 3 4 3" xfId="28718"/>
    <cellStyle name="표준 4 5 3 5" xfId="8217"/>
    <cellStyle name="표준 4 5 3 5 2" xfId="17223"/>
    <cellStyle name="표준 4 5 3 5 2 2" xfId="38099"/>
    <cellStyle name="표준 4 5 3 5 3" xfId="29361"/>
    <cellStyle name="표준 4 5 3 6" xfId="9065"/>
    <cellStyle name="표준 4 5 3 6 2" xfId="18070"/>
    <cellStyle name="표준 4 5 3 6 2 2" xfId="38946"/>
    <cellStyle name="표준 4 5 3 6 3" xfId="30208"/>
    <cellStyle name="표준 4 5 3 7" xfId="9890"/>
    <cellStyle name="표준 4 5 3 7 2" xfId="18888"/>
    <cellStyle name="표준 4 5 3 7 2 2" xfId="39764"/>
    <cellStyle name="표준 4 5 3 7 3" xfId="31026"/>
    <cellStyle name="표준 4 5 3 8" xfId="10945"/>
    <cellStyle name="표준 4 5 3 8 2" xfId="19716"/>
    <cellStyle name="표준 4 5 3 8 2 2" xfId="40592"/>
    <cellStyle name="표준 4 5 3 8 3" xfId="31856"/>
    <cellStyle name="표준 4 5 3 9" xfId="11811"/>
    <cellStyle name="표준 4 5 3 9 2" xfId="20577"/>
    <cellStyle name="표준 4 5 3 9 2 2" xfId="41453"/>
    <cellStyle name="표준 4 5 3 9 3" xfId="32717"/>
    <cellStyle name="표준 4 5 4" xfId="4663"/>
    <cellStyle name="표준 4 5 4 2" xfId="6497"/>
    <cellStyle name="표준 4 5 4 2 2" xfId="15506"/>
    <cellStyle name="표준 4 5 4 2 2 2" xfId="36382"/>
    <cellStyle name="표준 4 5 4 2 3" xfId="27644"/>
    <cellStyle name="표준 4 5 4 3" xfId="11164"/>
    <cellStyle name="표준 4 5 4 3 2" xfId="19933"/>
    <cellStyle name="표준 4 5 4 3 2 2" xfId="40809"/>
    <cellStyle name="표준 4 5 4 3 3" xfId="32073"/>
    <cellStyle name="표준 4 5 4 4" xfId="12028"/>
    <cellStyle name="표준 4 5 4 4 2" xfId="20794"/>
    <cellStyle name="표준 4 5 4 4 2 2" xfId="41670"/>
    <cellStyle name="표준 4 5 4 4 3" xfId="32934"/>
    <cellStyle name="표준 4 5 4 5" xfId="13688"/>
    <cellStyle name="표준 4 5 4 5 2" xfId="34564"/>
    <cellStyle name="표준 4 5 4 6" xfId="25826"/>
    <cellStyle name="표준 4 5 5" xfId="5340"/>
    <cellStyle name="표준 4 5 5 2" xfId="14349"/>
    <cellStyle name="표준 4 5 5 2 2" xfId="35225"/>
    <cellStyle name="표준 4 5 5 3" xfId="26487"/>
    <cellStyle name="표준 4 5 6" xfId="7142"/>
    <cellStyle name="표준 4 5 6 2" xfId="16150"/>
    <cellStyle name="표준 4 5 6 2 2" xfId="37026"/>
    <cellStyle name="표준 4 5 6 3" xfId="28288"/>
    <cellStyle name="표준 4 5 7" xfId="7787"/>
    <cellStyle name="표준 4 5 7 2" xfId="16793"/>
    <cellStyle name="표준 4 5 7 2 2" xfId="37669"/>
    <cellStyle name="표준 4 5 7 3" xfId="28931"/>
    <cellStyle name="표준 4 5 8" xfId="8635"/>
    <cellStyle name="표준 4 5 8 2" xfId="17640"/>
    <cellStyle name="표준 4 5 8 2 2" xfId="38516"/>
    <cellStyle name="표준 4 5 8 3" xfId="29778"/>
    <cellStyle name="표준 4 5 9" xfId="9459"/>
    <cellStyle name="표준 4 5 9 2" xfId="18458"/>
    <cellStyle name="표준 4 5 9 2 2" xfId="39334"/>
    <cellStyle name="표준 4 5 9 3" xfId="30596"/>
    <cellStyle name="표준 4 6" xfId="3060"/>
    <cellStyle name="표준 4 6 10" xfId="10516"/>
    <cellStyle name="표준 4 6 10 2" xfId="19287"/>
    <cellStyle name="표준 4 6 10 2 2" xfId="40163"/>
    <cellStyle name="표준 4 6 10 3" xfId="31427"/>
    <cellStyle name="표준 4 6 11" xfId="11382"/>
    <cellStyle name="표준 4 6 11 2" xfId="20148"/>
    <cellStyle name="표준 4 6 11 2 2" xfId="41024"/>
    <cellStyle name="표준 4 6 11 3" xfId="32288"/>
    <cellStyle name="표준 4 6 12" xfId="12531"/>
    <cellStyle name="표준 4 6 12 2" xfId="33408"/>
    <cellStyle name="표준 4 6 13" xfId="24658"/>
    <cellStyle name="표준 4 6 2" xfId="3277"/>
    <cellStyle name="표준 4 6 2 10" xfId="11595"/>
    <cellStyle name="표준 4 6 2 10 2" xfId="20361"/>
    <cellStyle name="표준 4 6 2 10 2 2" xfId="41237"/>
    <cellStyle name="표준 4 6 2 10 3" xfId="32501"/>
    <cellStyle name="표준 4 6 2 11" xfId="12744"/>
    <cellStyle name="표준 4 6 2 11 2" xfId="33621"/>
    <cellStyle name="표준 4 6 2 12" xfId="24871"/>
    <cellStyle name="표준 4 6 2 2" xfId="3718"/>
    <cellStyle name="표준 4 6 2 2 2" xfId="5991"/>
    <cellStyle name="표준 4 6 2 2 2 2" xfId="15000"/>
    <cellStyle name="표준 4 6 2 2 2 2 2" xfId="35876"/>
    <cellStyle name="표준 4 6 2 2 2 3" xfId="27138"/>
    <cellStyle name="표준 4 6 2 2 3" xfId="13181"/>
    <cellStyle name="표준 4 6 2 2 3 2" xfId="34058"/>
    <cellStyle name="표준 4 6 2 2 4" xfId="25308"/>
    <cellStyle name="표준 4 6 2 3" xfId="4880"/>
    <cellStyle name="표준 4 6 2 3 2" xfId="6711"/>
    <cellStyle name="표준 4 6 2 3 2 2" xfId="15720"/>
    <cellStyle name="표준 4 6 2 3 2 2 2" xfId="36596"/>
    <cellStyle name="표준 4 6 2 3 2 3" xfId="27858"/>
    <cellStyle name="표준 4 6 2 3 3" xfId="13902"/>
    <cellStyle name="표준 4 6 2 3 3 2" xfId="34778"/>
    <cellStyle name="표준 4 6 2 3 4" xfId="26040"/>
    <cellStyle name="표준 4 6 2 4" xfId="5554"/>
    <cellStyle name="표준 4 6 2 4 2" xfId="14563"/>
    <cellStyle name="표준 4 6 2 4 2 2" xfId="35439"/>
    <cellStyle name="표준 4 6 2 4 3" xfId="26701"/>
    <cellStyle name="표준 4 6 2 5" xfId="7357"/>
    <cellStyle name="표준 4 6 2 5 2" xfId="16364"/>
    <cellStyle name="표준 4 6 2 5 2 2" xfId="37240"/>
    <cellStyle name="표준 4 6 2 5 3" xfId="28502"/>
    <cellStyle name="표준 4 6 2 6" xfId="8001"/>
    <cellStyle name="표준 4 6 2 6 2" xfId="17007"/>
    <cellStyle name="표준 4 6 2 6 2 2" xfId="37883"/>
    <cellStyle name="표준 4 6 2 6 3" xfId="29145"/>
    <cellStyle name="표준 4 6 2 7" xfId="8849"/>
    <cellStyle name="표준 4 6 2 7 2" xfId="17854"/>
    <cellStyle name="표준 4 6 2 7 2 2" xfId="38730"/>
    <cellStyle name="표준 4 6 2 7 3" xfId="29992"/>
    <cellStyle name="표준 4 6 2 8" xfId="9674"/>
    <cellStyle name="표준 4 6 2 8 2" xfId="18672"/>
    <cellStyle name="표준 4 6 2 8 2 2" xfId="39548"/>
    <cellStyle name="표준 4 6 2 8 3" xfId="30810"/>
    <cellStyle name="표준 4 6 2 9" xfId="10729"/>
    <cellStyle name="표준 4 6 2 9 2" xfId="19500"/>
    <cellStyle name="표준 4 6 2 9 2 2" xfId="40376"/>
    <cellStyle name="표준 4 6 2 9 3" xfId="31640"/>
    <cellStyle name="표준 4 6 3" xfId="3505"/>
    <cellStyle name="표준 4 6 3 10" xfId="12968"/>
    <cellStyle name="표준 4 6 3 10 2" xfId="33845"/>
    <cellStyle name="표준 4 6 3 11" xfId="25095"/>
    <cellStyle name="표준 4 6 3 2" xfId="5103"/>
    <cellStyle name="표준 4 6 3 2 2" xfId="6928"/>
    <cellStyle name="표준 4 6 3 2 2 2" xfId="15937"/>
    <cellStyle name="표준 4 6 3 2 2 2 2" xfId="36813"/>
    <cellStyle name="표준 4 6 3 2 2 3" xfId="28075"/>
    <cellStyle name="표준 4 6 3 2 3" xfId="14119"/>
    <cellStyle name="표준 4 6 3 2 3 2" xfId="34995"/>
    <cellStyle name="표준 4 6 3 2 4" xfId="26257"/>
    <cellStyle name="표준 4 6 3 3" xfId="5778"/>
    <cellStyle name="표준 4 6 3 3 2" xfId="14787"/>
    <cellStyle name="표준 4 6 3 3 2 2" xfId="35663"/>
    <cellStyle name="표준 4 6 3 3 3" xfId="26925"/>
    <cellStyle name="표준 4 6 3 4" xfId="7574"/>
    <cellStyle name="표준 4 6 3 4 2" xfId="16581"/>
    <cellStyle name="표준 4 6 3 4 2 2" xfId="37457"/>
    <cellStyle name="표준 4 6 3 4 3" xfId="28719"/>
    <cellStyle name="표준 4 6 3 5" xfId="8218"/>
    <cellStyle name="표준 4 6 3 5 2" xfId="17224"/>
    <cellStyle name="표준 4 6 3 5 2 2" xfId="38100"/>
    <cellStyle name="표준 4 6 3 5 3" xfId="29362"/>
    <cellStyle name="표준 4 6 3 6" xfId="9066"/>
    <cellStyle name="표준 4 6 3 6 2" xfId="18071"/>
    <cellStyle name="표준 4 6 3 6 2 2" xfId="38947"/>
    <cellStyle name="표준 4 6 3 6 3" xfId="30209"/>
    <cellStyle name="표준 4 6 3 7" xfId="9891"/>
    <cellStyle name="표준 4 6 3 7 2" xfId="18889"/>
    <cellStyle name="표준 4 6 3 7 2 2" xfId="39765"/>
    <cellStyle name="표준 4 6 3 7 3" xfId="31027"/>
    <cellStyle name="표준 4 6 3 8" xfId="10946"/>
    <cellStyle name="표준 4 6 3 8 2" xfId="19717"/>
    <cellStyle name="표준 4 6 3 8 2 2" xfId="40593"/>
    <cellStyle name="표준 4 6 3 8 3" xfId="31857"/>
    <cellStyle name="표준 4 6 3 9" xfId="11812"/>
    <cellStyle name="표준 4 6 3 9 2" xfId="20578"/>
    <cellStyle name="표준 4 6 3 9 2 2" xfId="41454"/>
    <cellStyle name="표준 4 6 3 9 3" xfId="32718"/>
    <cellStyle name="표준 4 6 4" xfId="4664"/>
    <cellStyle name="표준 4 6 4 2" xfId="6498"/>
    <cellStyle name="표준 4 6 4 2 2" xfId="15507"/>
    <cellStyle name="표준 4 6 4 2 2 2" xfId="36383"/>
    <cellStyle name="표준 4 6 4 2 3" xfId="27645"/>
    <cellStyle name="표준 4 6 4 3" xfId="11165"/>
    <cellStyle name="표준 4 6 4 3 2" xfId="19934"/>
    <cellStyle name="표준 4 6 4 3 2 2" xfId="40810"/>
    <cellStyle name="표준 4 6 4 3 3" xfId="32074"/>
    <cellStyle name="표준 4 6 4 4" xfId="12029"/>
    <cellStyle name="표준 4 6 4 4 2" xfId="20795"/>
    <cellStyle name="표준 4 6 4 4 2 2" xfId="41671"/>
    <cellStyle name="표준 4 6 4 4 3" xfId="32935"/>
    <cellStyle name="표준 4 6 4 5" xfId="13689"/>
    <cellStyle name="표준 4 6 4 5 2" xfId="34565"/>
    <cellStyle name="표준 4 6 4 6" xfId="25827"/>
    <cellStyle name="표준 4 6 5" xfId="5341"/>
    <cellStyle name="표준 4 6 5 2" xfId="14350"/>
    <cellStyle name="표준 4 6 5 2 2" xfId="35226"/>
    <cellStyle name="표준 4 6 5 3" xfId="26488"/>
    <cellStyle name="표준 4 6 6" xfId="7143"/>
    <cellStyle name="표준 4 6 6 2" xfId="16151"/>
    <cellStyle name="표준 4 6 6 2 2" xfId="37027"/>
    <cellStyle name="표준 4 6 6 3" xfId="28289"/>
    <cellStyle name="표준 4 6 7" xfId="7788"/>
    <cellStyle name="표준 4 6 7 2" xfId="16794"/>
    <cellStyle name="표준 4 6 7 2 2" xfId="37670"/>
    <cellStyle name="표준 4 6 7 3" xfId="28932"/>
    <cellStyle name="표준 4 6 8" xfId="8636"/>
    <cellStyle name="표준 4 6 8 2" xfId="17641"/>
    <cellStyle name="표준 4 6 8 2 2" xfId="38517"/>
    <cellStyle name="표준 4 6 8 3" xfId="29779"/>
    <cellStyle name="표준 4 6 9" xfId="9460"/>
    <cellStyle name="표준 4 6 9 2" xfId="18459"/>
    <cellStyle name="표준 4 6 9 2 2" xfId="39335"/>
    <cellStyle name="표준 4 6 9 3" xfId="30597"/>
    <cellStyle name="표준 4 7" xfId="3061"/>
    <cellStyle name="표준 4 7 10" xfId="10517"/>
    <cellStyle name="표준 4 7 10 2" xfId="19288"/>
    <cellStyle name="표준 4 7 10 2 2" xfId="40164"/>
    <cellStyle name="표준 4 7 10 3" xfId="31428"/>
    <cellStyle name="표준 4 7 11" xfId="11383"/>
    <cellStyle name="표준 4 7 11 2" xfId="20149"/>
    <cellStyle name="표준 4 7 11 2 2" xfId="41025"/>
    <cellStyle name="표준 4 7 11 3" xfId="32289"/>
    <cellStyle name="표준 4 7 12" xfId="12532"/>
    <cellStyle name="표준 4 7 12 2" xfId="33409"/>
    <cellStyle name="표준 4 7 13" xfId="24659"/>
    <cellStyle name="표준 4 7 2" xfId="3278"/>
    <cellStyle name="표준 4 7 2 10" xfId="11596"/>
    <cellStyle name="표준 4 7 2 10 2" xfId="20362"/>
    <cellStyle name="표준 4 7 2 10 2 2" xfId="41238"/>
    <cellStyle name="표준 4 7 2 10 3" xfId="32502"/>
    <cellStyle name="표준 4 7 2 11" xfId="12745"/>
    <cellStyle name="표준 4 7 2 11 2" xfId="33622"/>
    <cellStyle name="표준 4 7 2 12" xfId="24872"/>
    <cellStyle name="표준 4 7 2 2" xfId="3719"/>
    <cellStyle name="표준 4 7 2 2 2" xfId="5992"/>
    <cellStyle name="표준 4 7 2 2 2 2" xfId="15001"/>
    <cellStyle name="표준 4 7 2 2 2 2 2" xfId="35877"/>
    <cellStyle name="표준 4 7 2 2 2 3" xfId="27139"/>
    <cellStyle name="표준 4 7 2 2 3" xfId="13182"/>
    <cellStyle name="표준 4 7 2 2 3 2" xfId="34059"/>
    <cellStyle name="표준 4 7 2 2 4" xfId="25309"/>
    <cellStyle name="표준 4 7 2 3" xfId="4881"/>
    <cellStyle name="표준 4 7 2 3 2" xfId="6712"/>
    <cellStyle name="표준 4 7 2 3 2 2" xfId="15721"/>
    <cellStyle name="표준 4 7 2 3 2 2 2" xfId="36597"/>
    <cellStyle name="표준 4 7 2 3 2 3" xfId="27859"/>
    <cellStyle name="표준 4 7 2 3 3" xfId="13903"/>
    <cellStyle name="표준 4 7 2 3 3 2" xfId="34779"/>
    <cellStyle name="표준 4 7 2 3 4" xfId="26041"/>
    <cellStyle name="표준 4 7 2 4" xfId="5555"/>
    <cellStyle name="표준 4 7 2 4 2" xfId="14564"/>
    <cellStyle name="표준 4 7 2 4 2 2" xfId="35440"/>
    <cellStyle name="표준 4 7 2 4 3" xfId="26702"/>
    <cellStyle name="표준 4 7 2 5" xfId="7358"/>
    <cellStyle name="표준 4 7 2 5 2" xfId="16365"/>
    <cellStyle name="표준 4 7 2 5 2 2" xfId="37241"/>
    <cellStyle name="표준 4 7 2 5 3" xfId="28503"/>
    <cellStyle name="표준 4 7 2 6" xfId="8002"/>
    <cellStyle name="표준 4 7 2 6 2" xfId="17008"/>
    <cellStyle name="표준 4 7 2 6 2 2" xfId="37884"/>
    <cellStyle name="표준 4 7 2 6 3" xfId="29146"/>
    <cellStyle name="표준 4 7 2 7" xfId="8850"/>
    <cellStyle name="표준 4 7 2 7 2" xfId="17855"/>
    <cellStyle name="표준 4 7 2 7 2 2" xfId="38731"/>
    <cellStyle name="표준 4 7 2 7 3" xfId="29993"/>
    <cellStyle name="표준 4 7 2 8" xfId="9675"/>
    <cellStyle name="표준 4 7 2 8 2" xfId="18673"/>
    <cellStyle name="표준 4 7 2 8 2 2" xfId="39549"/>
    <cellStyle name="표준 4 7 2 8 3" xfId="30811"/>
    <cellStyle name="표준 4 7 2 9" xfId="10730"/>
    <cellStyle name="표준 4 7 2 9 2" xfId="19501"/>
    <cellStyle name="표준 4 7 2 9 2 2" xfId="40377"/>
    <cellStyle name="표준 4 7 2 9 3" xfId="31641"/>
    <cellStyle name="표준 4 7 3" xfId="3506"/>
    <cellStyle name="표준 4 7 3 10" xfId="12969"/>
    <cellStyle name="표준 4 7 3 10 2" xfId="33846"/>
    <cellStyle name="표준 4 7 3 11" xfId="25096"/>
    <cellStyle name="표준 4 7 3 2" xfId="5104"/>
    <cellStyle name="표준 4 7 3 2 2" xfId="6929"/>
    <cellStyle name="표준 4 7 3 2 2 2" xfId="15938"/>
    <cellStyle name="표준 4 7 3 2 2 2 2" xfId="36814"/>
    <cellStyle name="표준 4 7 3 2 2 3" xfId="28076"/>
    <cellStyle name="표준 4 7 3 2 3" xfId="14120"/>
    <cellStyle name="표준 4 7 3 2 3 2" xfId="34996"/>
    <cellStyle name="표준 4 7 3 2 4" xfId="26258"/>
    <cellStyle name="표준 4 7 3 3" xfId="5779"/>
    <cellStyle name="표준 4 7 3 3 2" xfId="14788"/>
    <cellStyle name="표준 4 7 3 3 2 2" xfId="35664"/>
    <cellStyle name="표준 4 7 3 3 3" xfId="26926"/>
    <cellStyle name="표준 4 7 3 4" xfId="7575"/>
    <cellStyle name="표준 4 7 3 4 2" xfId="16582"/>
    <cellStyle name="표준 4 7 3 4 2 2" xfId="37458"/>
    <cellStyle name="표준 4 7 3 4 3" xfId="28720"/>
    <cellStyle name="표준 4 7 3 5" xfId="8219"/>
    <cellStyle name="표준 4 7 3 5 2" xfId="17225"/>
    <cellStyle name="표준 4 7 3 5 2 2" xfId="38101"/>
    <cellStyle name="표준 4 7 3 5 3" xfId="29363"/>
    <cellStyle name="표준 4 7 3 6" xfId="9067"/>
    <cellStyle name="표준 4 7 3 6 2" xfId="18072"/>
    <cellStyle name="표준 4 7 3 6 2 2" xfId="38948"/>
    <cellStyle name="표준 4 7 3 6 3" xfId="30210"/>
    <cellStyle name="표준 4 7 3 7" xfId="9892"/>
    <cellStyle name="표준 4 7 3 7 2" xfId="18890"/>
    <cellStyle name="표준 4 7 3 7 2 2" xfId="39766"/>
    <cellStyle name="표준 4 7 3 7 3" xfId="31028"/>
    <cellStyle name="표준 4 7 3 8" xfId="10947"/>
    <cellStyle name="표준 4 7 3 8 2" xfId="19718"/>
    <cellStyle name="표준 4 7 3 8 2 2" xfId="40594"/>
    <cellStyle name="표준 4 7 3 8 3" xfId="31858"/>
    <cellStyle name="표준 4 7 3 9" xfId="11813"/>
    <cellStyle name="표준 4 7 3 9 2" xfId="20579"/>
    <cellStyle name="표준 4 7 3 9 2 2" xfId="41455"/>
    <cellStyle name="표준 4 7 3 9 3" xfId="32719"/>
    <cellStyle name="표준 4 7 4" xfId="4665"/>
    <cellStyle name="표준 4 7 4 2" xfId="6499"/>
    <cellStyle name="표준 4 7 4 2 2" xfId="15508"/>
    <cellStyle name="표준 4 7 4 2 2 2" xfId="36384"/>
    <cellStyle name="표준 4 7 4 2 3" xfId="27646"/>
    <cellStyle name="표준 4 7 4 3" xfId="11166"/>
    <cellStyle name="표준 4 7 4 3 2" xfId="19935"/>
    <cellStyle name="표준 4 7 4 3 2 2" xfId="40811"/>
    <cellStyle name="표준 4 7 4 3 3" xfId="32075"/>
    <cellStyle name="표준 4 7 4 4" xfId="12030"/>
    <cellStyle name="표준 4 7 4 4 2" xfId="20796"/>
    <cellStyle name="표준 4 7 4 4 2 2" xfId="41672"/>
    <cellStyle name="표준 4 7 4 4 3" xfId="32936"/>
    <cellStyle name="표준 4 7 4 5" xfId="13690"/>
    <cellStyle name="표준 4 7 4 5 2" xfId="34566"/>
    <cellStyle name="표준 4 7 4 6" xfId="25828"/>
    <cellStyle name="표준 4 7 5" xfId="5342"/>
    <cellStyle name="표준 4 7 5 2" xfId="14351"/>
    <cellStyle name="표준 4 7 5 2 2" xfId="35227"/>
    <cellStyle name="표준 4 7 5 3" xfId="26489"/>
    <cellStyle name="표준 4 7 6" xfId="7144"/>
    <cellStyle name="표준 4 7 6 2" xfId="16152"/>
    <cellStyle name="표준 4 7 6 2 2" xfId="37028"/>
    <cellStyle name="표준 4 7 6 3" xfId="28290"/>
    <cellStyle name="표준 4 7 7" xfId="7789"/>
    <cellStyle name="표준 4 7 7 2" xfId="16795"/>
    <cellStyle name="표준 4 7 7 2 2" xfId="37671"/>
    <cellStyle name="표준 4 7 7 3" xfId="28933"/>
    <cellStyle name="표준 4 7 8" xfId="8637"/>
    <cellStyle name="표준 4 7 8 2" xfId="17642"/>
    <cellStyle name="표준 4 7 8 2 2" xfId="38518"/>
    <cellStyle name="표준 4 7 8 3" xfId="29780"/>
    <cellStyle name="표준 4 7 9" xfId="9461"/>
    <cellStyle name="표준 4 7 9 2" xfId="18460"/>
    <cellStyle name="표준 4 7 9 2 2" xfId="39336"/>
    <cellStyle name="표준 4 7 9 3" xfId="30598"/>
    <cellStyle name="표준 4 8" xfId="3272"/>
    <cellStyle name="표준 4 8 10" xfId="11590"/>
    <cellStyle name="표준 4 8 10 2" xfId="20356"/>
    <cellStyle name="표준 4 8 10 2 2" xfId="41232"/>
    <cellStyle name="표준 4 8 10 3" xfId="32496"/>
    <cellStyle name="표준 4 8 11" xfId="12739"/>
    <cellStyle name="표준 4 8 11 2" xfId="33616"/>
    <cellStyle name="표준 4 8 12" xfId="24866"/>
    <cellStyle name="표준 4 8 2" xfId="3713"/>
    <cellStyle name="표준 4 8 2 2" xfId="5986"/>
    <cellStyle name="표준 4 8 2 2 2" xfId="14995"/>
    <cellStyle name="표준 4 8 2 2 2 2" xfId="35871"/>
    <cellStyle name="표준 4 8 2 2 3" xfId="27133"/>
    <cellStyle name="표준 4 8 2 3" xfId="13176"/>
    <cellStyle name="표준 4 8 2 3 2" xfId="34053"/>
    <cellStyle name="표준 4 8 2 4" xfId="25303"/>
    <cellStyle name="표준 4 8 3" xfId="4875"/>
    <cellStyle name="표준 4 8 3 2" xfId="6706"/>
    <cellStyle name="표준 4 8 3 2 2" xfId="15715"/>
    <cellStyle name="표준 4 8 3 2 2 2" xfId="36591"/>
    <cellStyle name="표준 4 8 3 2 3" xfId="27853"/>
    <cellStyle name="표준 4 8 3 3" xfId="13897"/>
    <cellStyle name="표준 4 8 3 3 2" xfId="34773"/>
    <cellStyle name="표준 4 8 3 4" xfId="26035"/>
    <cellStyle name="표준 4 8 4" xfId="5549"/>
    <cellStyle name="표준 4 8 4 2" xfId="14558"/>
    <cellStyle name="표준 4 8 4 2 2" xfId="35434"/>
    <cellStyle name="표준 4 8 4 3" xfId="26696"/>
    <cellStyle name="표준 4 8 5" xfId="7352"/>
    <cellStyle name="표준 4 8 5 2" xfId="16359"/>
    <cellStyle name="표준 4 8 5 2 2" xfId="37235"/>
    <cellStyle name="표준 4 8 5 3" xfId="28497"/>
    <cellStyle name="표준 4 8 6" xfId="7996"/>
    <cellStyle name="표준 4 8 6 2" xfId="17002"/>
    <cellStyle name="표준 4 8 6 2 2" xfId="37878"/>
    <cellStyle name="표준 4 8 6 3" xfId="29140"/>
    <cellStyle name="표준 4 8 7" xfId="8844"/>
    <cellStyle name="표준 4 8 7 2" xfId="17849"/>
    <cellStyle name="표준 4 8 7 2 2" xfId="38725"/>
    <cellStyle name="표준 4 8 7 3" xfId="29987"/>
    <cellStyle name="표준 4 8 8" xfId="9669"/>
    <cellStyle name="표준 4 8 8 2" xfId="18667"/>
    <cellStyle name="표준 4 8 8 2 2" xfId="39543"/>
    <cellStyle name="표준 4 8 8 3" xfId="30805"/>
    <cellStyle name="표준 4 8 9" xfId="10724"/>
    <cellStyle name="표준 4 8 9 2" xfId="19495"/>
    <cellStyle name="표준 4 8 9 2 2" xfId="40371"/>
    <cellStyle name="표준 4 8 9 3" xfId="31635"/>
    <cellStyle name="표준 4 9" xfId="3055"/>
    <cellStyle name="표준 4 9 10" xfId="12526"/>
    <cellStyle name="표준 4 9 10 2" xfId="33403"/>
    <cellStyle name="표준 4 9 11" xfId="24653"/>
    <cellStyle name="표준 4 9 2" xfId="5098"/>
    <cellStyle name="표준 4 9 2 2" xfId="6923"/>
    <cellStyle name="표준 4 9 2 2 2" xfId="15932"/>
    <cellStyle name="표준 4 9 2 2 2 2" xfId="36808"/>
    <cellStyle name="표준 4 9 2 2 3" xfId="28070"/>
    <cellStyle name="표준 4 9 2 3" xfId="14114"/>
    <cellStyle name="표준 4 9 2 3 2" xfId="34990"/>
    <cellStyle name="표준 4 9 2 4" xfId="26252"/>
    <cellStyle name="표준 4 9 3" xfId="5336"/>
    <cellStyle name="표준 4 9 3 2" xfId="14345"/>
    <cellStyle name="표준 4 9 3 2 2" xfId="35221"/>
    <cellStyle name="표준 4 9 3 3" xfId="26483"/>
    <cellStyle name="표준 4 9 4" xfId="7569"/>
    <cellStyle name="표준 4 9 4 2" xfId="16576"/>
    <cellStyle name="표준 4 9 4 2 2" xfId="37452"/>
    <cellStyle name="표준 4 9 4 3" xfId="28714"/>
    <cellStyle name="표준 4 9 5" xfId="8213"/>
    <cellStyle name="표준 4 9 5 2" xfId="17219"/>
    <cellStyle name="표준 4 9 5 2 2" xfId="38095"/>
    <cellStyle name="표준 4 9 5 3" xfId="29357"/>
    <cellStyle name="표준 4 9 6" xfId="9061"/>
    <cellStyle name="표준 4 9 6 2" xfId="18066"/>
    <cellStyle name="표준 4 9 6 2 2" xfId="38942"/>
    <cellStyle name="표준 4 9 6 3" xfId="30204"/>
    <cellStyle name="표준 4 9 7" xfId="9886"/>
    <cellStyle name="표준 4 9 7 2" xfId="18884"/>
    <cellStyle name="표준 4 9 7 2 2" xfId="39760"/>
    <cellStyle name="표준 4 9 7 3" xfId="31022"/>
    <cellStyle name="표준 4 9 8" xfId="10941"/>
    <cellStyle name="표준 4 9 8 2" xfId="19712"/>
    <cellStyle name="표준 4 9 8 2 2" xfId="40588"/>
    <cellStyle name="표준 4 9 8 3" xfId="31852"/>
    <cellStyle name="표준 4 9 9" xfId="11807"/>
    <cellStyle name="표준 4 9 9 2" xfId="20573"/>
    <cellStyle name="표준 4 9 9 2 2" xfId="41449"/>
    <cellStyle name="표준 4 9 9 3" xfId="32713"/>
    <cellStyle name="표준 40" xfId="3062"/>
    <cellStyle name="표준 41" xfId="3279"/>
    <cellStyle name="표준 41 10" xfId="11597"/>
    <cellStyle name="표준 41 10 2" xfId="20363"/>
    <cellStyle name="표준 41 10 2 2" xfId="41239"/>
    <cellStyle name="표준 41 10 3" xfId="32503"/>
    <cellStyle name="표준 41 11" xfId="12746"/>
    <cellStyle name="표준 41 11 2" xfId="33623"/>
    <cellStyle name="표준 41 12" xfId="24873"/>
    <cellStyle name="표준 41 2" xfId="3720"/>
    <cellStyle name="표준 41 2 10" xfId="13183"/>
    <cellStyle name="표준 41 2 10 2" xfId="34060"/>
    <cellStyle name="표준 41 2 11" xfId="25310"/>
    <cellStyle name="표준 41 2 2" xfId="5105"/>
    <cellStyle name="표준 41 2 2 2" xfId="6930"/>
    <cellStyle name="표준 41 2 2 2 2" xfId="15939"/>
    <cellStyle name="표준 41 2 2 2 2 2" xfId="36815"/>
    <cellStyle name="표준 41 2 2 2 3" xfId="28077"/>
    <cellStyle name="표준 41 2 2 3" xfId="14121"/>
    <cellStyle name="표준 41 2 2 3 2" xfId="34997"/>
    <cellStyle name="표준 41 2 2 4" xfId="26259"/>
    <cellStyle name="표준 41 2 3" xfId="5993"/>
    <cellStyle name="표준 41 2 3 2" xfId="15002"/>
    <cellStyle name="표준 41 2 3 2 2" xfId="35878"/>
    <cellStyle name="표준 41 2 3 3" xfId="27140"/>
    <cellStyle name="표준 41 2 4" xfId="7576"/>
    <cellStyle name="표준 41 2 4 2" xfId="16583"/>
    <cellStyle name="표준 41 2 4 2 2" xfId="37459"/>
    <cellStyle name="표준 41 2 4 3" xfId="28721"/>
    <cellStyle name="표준 41 2 5" xfId="8220"/>
    <cellStyle name="표준 41 2 5 2" xfId="17226"/>
    <cellStyle name="표준 41 2 5 2 2" xfId="38102"/>
    <cellStyle name="표준 41 2 5 3" xfId="29364"/>
    <cellStyle name="표준 41 2 6" xfId="9068"/>
    <cellStyle name="표준 41 2 6 2" xfId="18073"/>
    <cellStyle name="표준 41 2 6 2 2" xfId="38949"/>
    <cellStyle name="표준 41 2 6 3" xfId="30211"/>
    <cellStyle name="표준 41 2 7" xfId="9893"/>
    <cellStyle name="표준 41 2 7 2" xfId="18891"/>
    <cellStyle name="표준 41 2 7 2 2" xfId="39767"/>
    <cellStyle name="표준 41 2 7 3" xfId="31029"/>
    <cellStyle name="표준 41 2 8" xfId="10948"/>
    <cellStyle name="표준 41 2 8 2" xfId="19719"/>
    <cellStyle name="표준 41 2 8 2 2" xfId="40595"/>
    <cellStyle name="표준 41 2 8 3" xfId="31859"/>
    <cellStyle name="표준 41 2 9" xfId="11814"/>
    <cellStyle name="표준 41 2 9 2" xfId="20580"/>
    <cellStyle name="표준 41 2 9 2 2" xfId="41456"/>
    <cellStyle name="표준 41 2 9 3" xfId="32720"/>
    <cellStyle name="표준 41 3" xfId="4882"/>
    <cellStyle name="표준 41 3 2" xfId="6713"/>
    <cellStyle name="표준 41 3 2 2" xfId="15722"/>
    <cellStyle name="표준 41 3 2 2 2" xfId="36598"/>
    <cellStyle name="표준 41 3 2 3" xfId="27860"/>
    <cellStyle name="표준 41 3 3" xfId="11167"/>
    <cellStyle name="표준 41 3 3 2" xfId="19936"/>
    <cellStyle name="표준 41 3 3 2 2" xfId="40812"/>
    <cellStyle name="표준 41 3 3 3" xfId="32076"/>
    <cellStyle name="표준 41 3 4" xfId="12031"/>
    <cellStyle name="표준 41 3 4 2" xfId="20797"/>
    <cellStyle name="표준 41 3 4 2 2" xfId="41673"/>
    <cellStyle name="표준 41 3 4 3" xfId="32937"/>
    <cellStyle name="표준 41 3 5" xfId="13904"/>
    <cellStyle name="표준 41 3 5 2" xfId="34780"/>
    <cellStyle name="표준 41 3 6" xfId="26042"/>
    <cellStyle name="표준 41 4" xfId="5556"/>
    <cellStyle name="표준 41 4 2" xfId="14565"/>
    <cellStyle name="표준 41 4 2 2" xfId="35441"/>
    <cellStyle name="표준 41 4 3" xfId="26703"/>
    <cellStyle name="표준 41 5" xfId="7359"/>
    <cellStyle name="표준 41 5 2" xfId="16366"/>
    <cellStyle name="표준 41 5 2 2" xfId="37242"/>
    <cellStyle name="표준 41 5 3" xfId="28504"/>
    <cellStyle name="표준 41 6" xfId="8003"/>
    <cellStyle name="표준 41 6 2" xfId="17009"/>
    <cellStyle name="표준 41 6 2 2" xfId="37885"/>
    <cellStyle name="표준 41 6 3" xfId="29147"/>
    <cellStyle name="표준 41 7" xfId="8851"/>
    <cellStyle name="표준 41 7 2" xfId="17856"/>
    <cellStyle name="표준 41 7 2 2" xfId="38732"/>
    <cellStyle name="표준 41 7 3" xfId="29994"/>
    <cellStyle name="표준 41 8" xfId="9676"/>
    <cellStyle name="표준 41 8 2" xfId="18674"/>
    <cellStyle name="표준 41 8 2 2" xfId="39550"/>
    <cellStyle name="표준 41 8 3" xfId="30812"/>
    <cellStyle name="표준 41 9" xfId="10731"/>
    <cellStyle name="표준 41 9 2" xfId="19502"/>
    <cellStyle name="표준 41 9 2 2" xfId="40378"/>
    <cellStyle name="표준 41 9 3" xfId="31642"/>
    <cellStyle name="표준 42" xfId="3280"/>
    <cellStyle name="표준 42 10" xfId="11598"/>
    <cellStyle name="표준 42 10 2" xfId="20364"/>
    <cellStyle name="표준 42 10 2 2" xfId="41240"/>
    <cellStyle name="표준 42 10 3" xfId="32504"/>
    <cellStyle name="표준 42 11" xfId="12747"/>
    <cellStyle name="표준 42 11 2" xfId="33624"/>
    <cellStyle name="표준 42 12" xfId="24874"/>
    <cellStyle name="표준 42 2" xfId="3721"/>
    <cellStyle name="표준 42 2 10" xfId="13184"/>
    <cellStyle name="표준 42 2 10 2" xfId="34061"/>
    <cellStyle name="표준 42 2 11" xfId="25311"/>
    <cellStyle name="표준 42 2 2" xfId="5106"/>
    <cellStyle name="표준 42 2 2 2" xfId="6931"/>
    <cellStyle name="표준 42 2 2 2 2" xfId="15940"/>
    <cellStyle name="표준 42 2 2 2 2 2" xfId="36816"/>
    <cellStyle name="표준 42 2 2 2 3" xfId="28078"/>
    <cellStyle name="표준 42 2 2 3" xfId="14122"/>
    <cellStyle name="표준 42 2 2 3 2" xfId="34998"/>
    <cellStyle name="표준 42 2 2 4" xfId="26260"/>
    <cellStyle name="표준 42 2 3" xfId="5994"/>
    <cellStyle name="표준 42 2 3 2" xfId="15003"/>
    <cellStyle name="표준 42 2 3 2 2" xfId="35879"/>
    <cellStyle name="표준 42 2 3 3" xfId="27141"/>
    <cellStyle name="표준 42 2 4" xfId="7577"/>
    <cellStyle name="표준 42 2 4 2" xfId="16584"/>
    <cellStyle name="표준 42 2 4 2 2" xfId="37460"/>
    <cellStyle name="표준 42 2 4 3" xfId="28722"/>
    <cellStyle name="표준 42 2 5" xfId="8221"/>
    <cellStyle name="표준 42 2 5 2" xfId="17227"/>
    <cellStyle name="표준 42 2 5 2 2" xfId="38103"/>
    <cellStyle name="표준 42 2 5 3" xfId="29365"/>
    <cellStyle name="표준 42 2 6" xfId="9069"/>
    <cellStyle name="표준 42 2 6 2" xfId="18074"/>
    <cellStyle name="표준 42 2 6 2 2" xfId="38950"/>
    <cellStyle name="표준 42 2 6 3" xfId="30212"/>
    <cellStyle name="표준 42 2 7" xfId="9894"/>
    <cellStyle name="표준 42 2 7 2" xfId="18892"/>
    <cellStyle name="표준 42 2 7 2 2" xfId="39768"/>
    <cellStyle name="표준 42 2 7 3" xfId="31030"/>
    <cellStyle name="표준 42 2 8" xfId="10949"/>
    <cellStyle name="표준 42 2 8 2" xfId="19720"/>
    <cellStyle name="표준 42 2 8 2 2" xfId="40596"/>
    <cellStyle name="표준 42 2 8 3" xfId="31860"/>
    <cellStyle name="표준 42 2 9" xfId="11815"/>
    <cellStyle name="표준 42 2 9 2" xfId="20581"/>
    <cellStyle name="표준 42 2 9 2 2" xfId="41457"/>
    <cellStyle name="표준 42 2 9 3" xfId="32721"/>
    <cellStyle name="표준 42 3" xfId="4883"/>
    <cellStyle name="표준 42 3 2" xfId="6714"/>
    <cellStyle name="표준 42 3 2 2" xfId="15723"/>
    <cellStyle name="표준 42 3 2 2 2" xfId="36599"/>
    <cellStyle name="표준 42 3 2 3" xfId="27861"/>
    <cellStyle name="표준 42 3 3" xfId="11168"/>
    <cellStyle name="표준 42 3 3 2" xfId="19937"/>
    <cellStyle name="표준 42 3 3 2 2" xfId="40813"/>
    <cellStyle name="표준 42 3 3 3" xfId="32077"/>
    <cellStyle name="표준 42 3 4" xfId="12032"/>
    <cellStyle name="표준 42 3 4 2" xfId="20798"/>
    <cellStyle name="표준 42 3 4 2 2" xfId="41674"/>
    <cellStyle name="표준 42 3 4 3" xfId="32938"/>
    <cellStyle name="표준 42 3 5" xfId="13905"/>
    <cellStyle name="표준 42 3 5 2" xfId="34781"/>
    <cellStyle name="표준 42 3 6" xfId="26043"/>
    <cellStyle name="표준 42 4" xfId="5557"/>
    <cellStyle name="표준 42 4 2" xfId="14566"/>
    <cellStyle name="표준 42 4 2 2" xfId="35442"/>
    <cellStyle name="표준 42 4 3" xfId="26704"/>
    <cellStyle name="표준 42 5" xfId="7360"/>
    <cellStyle name="표준 42 5 2" xfId="16367"/>
    <cellStyle name="표준 42 5 2 2" xfId="37243"/>
    <cellStyle name="표준 42 5 3" xfId="28505"/>
    <cellStyle name="표준 42 6" xfId="8004"/>
    <cellStyle name="표준 42 6 2" xfId="17010"/>
    <cellStyle name="표준 42 6 2 2" xfId="37886"/>
    <cellStyle name="표준 42 6 3" xfId="29148"/>
    <cellStyle name="표준 42 7" xfId="8852"/>
    <cellStyle name="표준 42 7 2" xfId="17857"/>
    <cellStyle name="표준 42 7 2 2" xfId="38733"/>
    <cellStyle name="표준 42 7 3" xfId="29995"/>
    <cellStyle name="표준 42 8" xfId="9677"/>
    <cellStyle name="표준 42 8 2" xfId="18675"/>
    <cellStyle name="표준 42 8 2 2" xfId="39551"/>
    <cellStyle name="표준 42 8 3" xfId="30813"/>
    <cellStyle name="표준 42 9" xfId="10732"/>
    <cellStyle name="표준 42 9 2" xfId="19503"/>
    <cellStyle name="표준 42 9 2 2" xfId="40379"/>
    <cellStyle name="표준 42 9 3" xfId="31643"/>
    <cellStyle name="표준 43" xfId="3281"/>
    <cellStyle name="표준 43 10" xfId="11599"/>
    <cellStyle name="표준 43 10 2" xfId="20365"/>
    <cellStyle name="표준 43 10 2 2" xfId="41241"/>
    <cellStyle name="표준 43 10 3" xfId="32505"/>
    <cellStyle name="표준 43 11" xfId="12748"/>
    <cellStyle name="표준 43 11 2" xfId="33625"/>
    <cellStyle name="표준 43 12" xfId="24875"/>
    <cellStyle name="표준 43 2" xfId="3722"/>
    <cellStyle name="표준 43 2 10" xfId="13185"/>
    <cellStyle name="표준 43 2 10 2" xfId="34062"/>
    <cellStyle name="표준 43 2 11" xfId="25312"/>
    <cellStyle name="표준 43 2 2" xfId="5107"/>
    <cellStyle name="표준 43 2 2 2" xfId="6932"/>
    <cellStyle name="표준 43 2 2 2 2" xfId="15941"/>
    <cellStyle name="표준 43 2 2 2 2 2" xfId="36817"/>
    <cellStyle name="표준 43 2 2 2 3" xfId="28079"/>
    <cellStyle name="표준 43 2 2 3" xfId="14123"/>
    <cellStyle name="표준 43 2 2 3 2" xfId="34999"/>
    <cellStyle name="표준 43 2 2 4" xfId="26261"/>
    <cellStyle name="표준 43 2 3" xfId="5995"/>
    <cellStyle name="표준 43 2 3 2" xfId="15004"/>
    <cellStyle name="표준 43 2 3 2 2" xfId="35880"/>
    <cellStyle name="표준 43 2 3 3" xfId="27142"/>
    <cellStyle name="표준 43 2 4" xfId="7578"/>
    <cellStyle name="표준 43 2 4 2" xfId="16585"/>
    <cellStyle name="표준 43 2 4 2 2" xfId="37461"/>
    <cellStyle name="표준 43 2 4 3" xfId="28723"/>
    <cellStyle name="표준 43 2 5" xfId="8222"/>
    <cellStyle name="표준 43 2 5 2" xfId="17228"/>
    <cellStyle name="표준 43 2 5 2 2" xfId="38104"/>
    <cellStyle name="표준 43 2 5 3" xfId="29366"/>
    <cellStyle name="표준 43 2 6" xfId="9070"/>
    <cellStyle name="표준 43 2 6 2" xfId="18075"/>
    <cellStyle name="표준 43 2 6 2 2" xfId="38951"/>
    <cellStyle name="표준 43 2 6 3" xfId="30213"/>
    <cellStyle name="표준 43 2 7" xfId="9895"/>
    <cellStyle name="표준 43 2 7 2" xfId="18893"/>
    <cellStyle name="표준 43 2 7 2 2" xfId="39769"/>
    <cellStyle name="표준 43 2 7 3" xfId="31031"/>
    <cellStyle name="표준 43 2 8" xfId="10950"/>
    <cellStyle name="표준 43 2 8 2" xfId="19721"/>
    <cellStyle name="표준 43 2 8 2 2" xfId="40597"/>
    <cellStyle name="표준 43 2 8 3" xfId="31861"/>
    <cellStyle name="표준 43 2 9" xfId="11816"/>
    <cellStyle name="표준 43 2 9 2" xfId="20582"/>
    <cellStyle name="표준 43 2 9 2 2" xfId="41458"/>
    <cellStyle name="표준 43 2 9 3" xfId="32722"/>
    <cellStyle name="표준 43 3" xfId="4884"/>
    <cellStyle name="표준 43 3 2" xfId="6715"/>
    <cellStyle name="표준 43 3 2 2" xfId="15724"/>
    <cellStyle name="표준 43 3 2 2 2" xfId="36600"/>
    <cellStyle name="표준 43 3 2 3" xfId="27862"/>
    <cellStyle name="표준 43 3 3" xfId="11169"/>
    <cellStyle name="표준 43 3 3 2" xfId="19938"/>
    <cellStyle name="표준 43 3 3 2 2" xfId="40814"/>
    <cellStyle name="표준 43 3 3 3" xfId="32078"/>
    <cellStyle name="표준 43 3 4" xfId="12033"/>
    <cellStyle name="표준 43 3 4 2" xfId="20799"/>
    <cellStyle name="표준 43 3 4 2 2" xfId="41675"/>
    <cellStyle name="표준 43 3 4 3" xfId="32939"/>
    <cellStyle name="표준 43 3 5" xfId="13906"/>
    <cellStyle name="표준 43 3 5 2" xfId="34782"/>
    <cellStyle name="표준 43 3 6" xfId="26044"/>
    <cellStyle name="표준 43 4" xfId="5558"/>
    <cellStyle name="표준 43 4 2" xfId="14567"/>
    <cellStyle name="표준 43 4 2 2" xfId="35443"/>
    <cellStyle name="표준 43 4 3" xfId="26705"/>
    <cellStyle name="표준 43 5" xfId="7361"/>
    <cellStyle name="표준 43 5 2" xfId="16368"/>
    <cellStyle name="표준 43 5 2 2" xfId="37244"/>
    <cellStyle name="표준 43 5 3" xfId="28506"/>
    <cellStyle name="표준 43 6" xfId="8005"/>
    <cellStyle name="표준 43 6 2" xfId="17011"/>
    <cellStyle name="표준 43 6 2 2" xfId="37887"/>
    <cellStyle name="표준 43 6 3" xfId="29149"/>
    <cellStyle name="표준 43 7" xfId="8853"/>
    <cellStyle name="표준 43 7 2" xfId="17858"/>
    <cellStyle name="표준 43 7 2 2" xfId="38734"/>
    <cellStyle name="표준 43 7 3" xfId="29996"/>
    <cellStyle name="표준 43 8" xfId="9678"/>
    <cellStyle name="표준 43 8 2" xfId="18676"/>
    <cellStyle name="표준 43 8 2 2" xfId="39552"/>
    <cellStyle name="표준 43 8 3" xfId="30814"/>
    <cellStyle name="표준 43 9" xfId="10733"/>
    <cellStyle name="표준 43 9 2" xfId="19504"/>
    <cellStyle name="표준 43 9 2 2" xfId="40380"/>
    <cellStyle name="표준 43 9 3" xfId="31644"/>
    <cellStyle name="표준 44" xfId="3282"/>
    <cellStyle name="표준 44 10" xfId="11600"/>
    <cellStyle name="표준 44 10 2" xfId="20366"/>
    <cellStyle name="표준 44 10 2 2" xfId="41242"/>
    <cellStyle name="표준 44 10 3" xfId="32506"/>
    <cellStyle name="표준 44 11" xfId="12749"/>
    <cellStyle name="표준 44 11 2" xfId="33626"/>
    <cellStyle name="표준 44 12" xfId="24876"/>
    <cellStyle name="표준 44 2" xfId="3723"/>
    <cellStyle name="표준 44 2 10" xfId="13186"/>
    <cellStyle name="표준 44 2 10 2" xfId="34063"/>
    <cellStyle name="표준 44 2 11" xfId="25313"/>
    <cellStyle name="표준 44 2 2" xfId="5108"/>
    <cellStyle name="표준 44 2 2 2" xfId="6933"/>
    <cellStyle name="표준 44 2 2 2 2" xfId="15942"/>
    <cellStyle name="표준 44 2 2 2 2 2" xfId="36818"/>
    <cellStyle name="표준 44 2 2 2 3" xfId="28080"/>
    <cellStyle name="표준 44 2 2 3" xfId="14124"/>
    <cellStyle name="표준 44 2 2 3 2" xfId="35000"/>
    <cellStyle name="표준 44 2 2 4" xfId="26262"/>
    <cellStyle name="표준 44 2 3" xfId="5996"/>
    <cellStyle name="표준 44 2 3 2" xfId="15005"/>
    <cellStyle name="표준 44 2 3 2 2" xfId="35881"/>
    <cellStyle name="표준 44 2 3 3" xfId="27143"/>
    <cellStyle name="표준 44 2 4" xfId="7579"/>
    <cellStyle name="표준 44 2 4 2" xfId="16586"/>
    <cellStyle name="표준 44 2 4 2 2" xfId="37462"/>
    <cellStyle name="표준 44 2 4 3" xfId="28724"/>
    <cellStyle name="표준 44 2 5" xfId="8223"/>
    <cellStyle name="표준 44 2 5 2" xfId="17229"/>
    <cellStyle name="표준 44 2 5 2 2" xfId="38105"/>
    <cellStyle name="표준 44 2 5 3" xfId="29367"/>
    <cellStyle name="표준 44 2 6" xfId="9071"/>
    <cellStyle name="표준 44 2 6 2" xfId="18076"/>
    <cellStyle name="표준 44 2 6 2 2" xfId="38952"/>
    <cellStyle name="표준 44 2 6 3" xfId="30214"/>
    <cellStyle name="표준 44 2 7" xfId="9896"/>
    <cellStyle name="표준 44 2 7 2" xfId="18894"/>
    <cellStyle name="표준 44 2 7 2 2" xfId="39770"/>
    <cellStyle name="표준 44 2 7 3" xfId="31032"/>
    <cellStyle name="표준 44 2 8" xfId="10951"/>
    <cellStyle name="표준 44 2 8 2" xfId="19722"/>
    <cellStyle name="표준 44 2 8 2 2" xfId="40598"/>
    <cellStyle name="표준 44 2 8 3" xfId="31862"/>
    <cellStyle name="표준 44 2 9" xfId="11817"/>
    <cellStyle name="표준 44 2 9 2" xfId="20583"/>
    <cellStyle name="표준 44 2 9 2 2" xfId="41459"/>
    <cellStyle name="표준 44 2 9 3" xfId="32723"/>
    <cellStyle name="표준 44 3" xfId="4885"/>
    <cellStyle name="표준 44 3 2" xfId="6716"/>
    <cellStyle name="표준 44 3 2 2" xfId="15725"/>
    <cellStyle name="표준 44 3 2 2 2" xfId="36601"/>
    <cellStyle name="표준 44 3 2 3" xfId="27863"/>
    <cellStyle name="표준 44 3 3" xfId="11170"/>
    <cellStyle name="표준 44 3 3 2" xfId="19939"/>
    <cellStyle name="표준 44 3 3 2 2" xfId="40815"/>
    <cellStyle name="표준 44 3 3 3" xfId="32079"/>
    <cellStyle name="표준 44 3 4" xfId="12034"/>
    <cellStyle name="표준 44 3 4 2" xfId="20800"/>
    <cellStyle name="표준 44 3 4 2 2" xfId="41676"/>
    <cellStyle name="표준 44 3 4 3" xfId="32940"/>
    <cellStyle name="표준 44 3 5" xfId="13907"/>
    <cellStyle name="표준 44 3 5 2" xfId="34783"/>
    <cellStyle name="표준 44 3 6" xfId="26045"/>
    <cellStyle name="표준 44 4" xfId="5559"/>
    <cellStyle name="표준 44 4 2" xfId="14568"/>
    <cellStyle name="표준 44 4 2 2" xfId="35444"/>
    <cellStyle name="표준 44 4 3" xfId="26706"/>
    <cellStyle name="표준 44 5" xfId="7362"/>
    <cellStyle name="표준 44 5 2" xfId="16369"/>
    <cellStyle name="표준 44 5 2 2" xfId="37245"/>
    <cellStyle name="표준 44 5 3" xfId="28507"/>
    <cellStyle name="표준 44 6" xfId="8006"/>
    <cellStyle name="표준 44 6 2" xfId="17012"/>
    <cellStyle name="표준 44 6 2 2" xfId="37888"/>
    <cellStyle name="표준 44 6 3" xfId="29150"/>
    <cellStyle name="표준 44 7" xfId="8854"/>
    <cellStyle name="표준 44 7 2" xfId="17859"/>
    <cellStyle name="표준 44 7 2 2" xfId="38735"/>
    <cellStyle name="표준 44 7 3" xfId="29997"/>
    <cellStyle name="표준 44 8" xfId="9679"/>
    <cellStyle name="표준 44 8 2" xfId="18677"/>
    <cellStyle name="표준 44 8 2 2" xfId="39553"/>
    <cellStyle name="표준 44 8 3" xfId="30815"/>
    <cellStyle name="표준 44 9" xfId="10734"/>
    <cellStyle name="표준 44 9 2" xfId="19505"/>
    <cellStyle name="표준 44 9 2 2" xfId="40381"/>
    <cellStyle name="표준 44 9 3" xfId="31645"/>
    <cellStyle name="표준 45" xfId="3099"/>
    <cellStyle name="표준 45 10" xfId="11419"/>
    <cellStyle name="표준 45 10 2" xfId="20185"/>
    <cellStyle name="표준 45 10 2 2" xfId="41061"/>
    <cellStyle name="표준 45 10 3" xfId="32325"/>
    <cellStyle name="표준 45 11" xfId="12568"/>
    <cellStyle name="표준 45 11 2" xfId="33445"/>
    <cellStyle name="표준 45 12" xfId="24695"/>
    <cellStyle name="표준 45 2" xfId="3542"/>
    <cellStyle name="표준 45 2 2" xfId="5815"/>
    <cellStyle name="표준 45 2 2 2" xfId="14824"/>
    <cellStyle name="표준 45 2 2 2 2" xfId="35700"/>
    <cellStyle name="표준 45 2 2 3" xfId="26962"/>
    <cellStyle name="표준 45 2 3" xfId="11171"/>
    <cellStyle name="표준 45 2 3 2" xfId="19940"/>
    <cellStyle name="표준 45 2 3 2 2" xfId="40816"/>
    <cellStyle name="표준 45 2 3 3" xfId="32080"/>
    <cellStyle name="표준 45 2 4" xfId="12035"/>
    <cellStyle name="표준 45 2 4 2" xfId="20801"/>
    <cellStyle name="표준 45 2 4 2 2" xfId="41677"/>
    <cellStyle name="표준 45 2 4 3" xfId="32941"/>
    <cellStyle name="표준 45 2 5" xfId="13005"/>
    <cellStyle name="표준 45 2 5 2" xfId="33882"/>
    <cellStyle name="표준 45 2 6" xfId="25132"/>
    <cellStyle name="표준 45 3" xfId="4702"/>
    <cellStyle name="표준 45 3 2" xfId="6535"/>
    <cellStyle name="표준 45 3 2 2" xfId="15544"/>
    <cellStyle name="표준 45 3 2 2 2" xfId="36420"/>
    <cellStyle name="표준 45 3 2 3" xfId="27682"/>
    <cellStyle name="표준 45 3 3" xfId="13726"/>
    <cellStyle name="표준 45 3 3 2" xfId="34602"/>
    <cellStyle name="표준 45 3 4" xfId="25864"/>
    <cellStyle name="표준 45 4" xfId="5378"/>
    <cellStyle name="표준 45 4 2" xfId="14387"/>
    <cellStyle name="표준 45 4 2 2" xfId="35263"/>
    <cellStyle name="표준 45 4 3" xfId="26525"/>
    <cellStyle name="표준 45 5" xfId="7181"/>
    <cellStyle name="표준 45 5 2" xfId="16188"/>
    <cellStyle name="표준 45 5 2 2" xfId="37064"/>
    <cellStyle name="표준 45 5 3" xfId="28326"/>
    <cellStyle name="표준 45 6" xfId="7825"/>
    <cellStyle name="표준 45 6 2" xfId="16831"/>
    <cellStyle name="표준 45 6 2 2" xfId="37707"/>
    <cellStyle name="표준 45 6 3" xfId="28969"/>
    <cellStyle name="표준 45 7" xfId="8673"/>
    <cellStyle name="표준 45 7 2" xfId="17678"/>
    <cellStyle name="표준 45 7 2 2" xfId="38554"/>
    <cellStyle name="표준 45 7 3" xfId="29816"/>
    <cellStyle name="표준 45 8" xfId="9498"/>
    <cellStyle name="표준 45 8 2" xfId="18496"/>
    <cellStyle name="표준 45 8 2 2" xfId="39372"/>
    <cellStyle name="표준 45 8 3" xfId="30634"/>
    <cellStyle name="표준 45 9" xfId="10553"/>
    <cellStyle name="표준 45 9 2" xfId="19324"/>
    <cellStyle name="표준 45 9 2 2" xfId="40200"/>
    <cellStyle name="표준 45 9 3" xfId="31464"/>
    <cellStyle name="표준 46" xfId="1200"/>
    <cellStyle name="표준 46 2" xfId="4924"/>
    <cellStyle name="표준 46 2 2" xfId="6752"/>
    <cellStyle name="표준 46 2 2 2" xfId="15761"/>
    <cellStyle name="표준 46 2 2 2 2" xfId="36637"/>
    <cellStyle name="표준 46 2 2 3" xfId="27899"/>
    <cellStyle name="표준 46 2 3" xfId="11172"/>
    <cellStyle name="표준 46 2 3 2" xfId="19941"/>
    <cellStyle name="표준 46 2 3 2 2" xfId="40817"/>
    <cellStyle name="표준 46 2 3 3" xfId="32081"/>
    <cellStyle name="표준 46 2 4" xfId="12036"/>
    <cellStyle name="표준 46 2 4 2" xfId="20802"/>
    <cellStyle name="표준 46 2 4 2 2" xfId="41678"/>
    <cellStyle name="표준 46 2 4 3" xfId="32942"/>
    <cellStyle name="표준 46 2 5" xfId="13943"/>
    <cellStyle name="표준 46 2 5 2" xfId="34819"/>
    <cellStyle name="표준 46 2 6" xfId="26081"/>
    <cellStyle name="표준 46 3" xfId="7398"/>
    <cellStyle name="표준 46 3 2" xfId="16405"/>
    <cellStyle name="표준 46 3 2 2" xfId="37281"/>
    <cellStyle name="표준 46 3 3" xfId="28543"/>
    <cellStyle name="표준 46 4" xfId="8042"/>
    <cellStyle name="표준 46 4 2" xfId="17048"/>
    <cellStyle name="표준 46 4 2 2" xfId="37924"/>
    <cellStyle name="표준 46 4 3" xfId="29186"/>
    <cellStyle name="표준 46 5" xfId="8890"/>
    <cellStyle name="표준 46 5 2" xfId="17895"/>
    <cellStyle name="표준 46 5 2 2" xfId="38771"/>
    <cellStyle name="표준 46 5 3" xfId="30033"/>
    <cellStyle name="표준 46 6" xfId="9715"/>
    <cellStyle name="표준 46 6 2" xfId="18713"/>
    <cellStyle name="표준 46 6 2 2" xfId="39589"/>
    <cellStyle name="표준 46 6 3" xfId="30851"/>
    <cellStyle name="표준 46 7" xfId="10770"/>
    <cellStyle name="표준 46 7 2" xfId="19541"/>
    <cellStyle name="표준 46 7 2 2" xfId="40417"/>
    <cellStyle name="표준 46 7 3" xfId="31681"/>
    <cellStyle name="표준 46 8" xfId="11636"/>
    <cellStyle name="표준 46 8 2" xfId="20402"/>
    <cellStyle name="표준 46 8 2 2" xfId="41278"/>
    <cellStyle name="표준 46 8 3" xfId="32542"/>
    <cellStyle name="표준 47" xfId="3098"/>
    <cellStyle name="표준 47 2" xfId="10987"/>
    <cellStyle name="표준 47 2 2" xfId="19758"/>
    <cellStyle name="표준 47 2 2 2" xfId="40634"/>
    <cellStyle name="표준 47 2 3" xfId="31898"/>
    <cellStyle name="표준 47 3" xfId="11853"/>
    <cellStyle name="표준 47 3 2" xfId="20619"/>
    <cellStyle name="표준 47 3 2 2" xfId="41495"/>
    <cellStyle name="표준 47 3 3" xfId="32759"/>
    <cellStyle name="표준 48" xfId="3321"/>
    <cellStyle name="표준 49" xfId="3799"/>
    <cellStyle name="표준 49 2" xfId="6032"/>
    <cellStyle name="표준 49 2 2" xfId="15041"/>
    <cellStyle name="표준 49 2 2 2" xfId="35917"/>
    <cellStyle name="표준 49 2 3" xfId="27179"/>
    <cellStyle name="표준 49 3" xfId="13222"/>
    <cellStyle name="표준 49 3 2" xfId="34099"/>
    <cellStyle name="표준 49 4" xfId="25361"/>
    <cellStyle name="표준 5" xfId="3063"/>
    <cellStyle name="표준 5 10" xfId="3802"/>
    <cellStyle name="표준 5 10 2" xfId="11173"/>
    <cellStyle name="표준 5 10 2 2" xfId="19942"/>
    <cellStyle name="표준 5 10 2 2 2" xfId="40818"/>
    <cellStyle name="표준 5 10 2 3" xfId="32082"/>
    <cellStyle name="표준 5 10 3" xfId="12037"/>
    <cellStyle name="표준 5 10 3 2" xfId="20803"/>
    <cellStyle name="표준 5 10 3 2 2" xfId="41679"/>
    <cellStyle name="표준 5 10 3 3" xfId="32943"/>
    <cellStyle name="표준 5 11" xfId="4666"/>
    <cellStyle name="표준 5 11 2" xfId="6500"/>
    <cellStyle name="표준 5 11 2 2" xfId="15509"/>
    <cellStyle name="표준 5 11 2 2 2" xfId="36385"/>
    <cellStyle name="표준 5 11 2 3" xfId="27647"/>
    <cellStyle name="표준 5 11 3" xfId="13691"/>
    <cellStyle name="표준 5 11 3 2" xfId="34567"/>
    <cellStyle name="표준 5 11 4" xfId="25829"/>
    <cellStyle name="표준 5 12" xfId="4489"/>
    <cellStyle name="표준 5 13" xfId="5343"/>
    <cellStyle name="표준 5 13 2" xfId="14352"/>
    <cellStyle name="표준 5 13 2 2" xfId="35228"/>
    <cellStyle name="표준 5 13 3" xfId="26490"/>
    <cellStyle name="표준 5 14" xfId="7145"/>
    <cellStyle name="표준 5 14 2" xfId="16153"/>
    <cellStyle name="표준 5 14 2 2" xfId="37029"/>
    <cellStyle name="표준 5 14 3" xfId="28291"/>
    <cellStyle name="표준 5 15" xfId="7790"/>
    <cellStyle name="표준 5 15 2" xfId="16796"/>
    <cellStyle name="표준 5 15 2 2" xfId="37672"/>
    <cellStyle name="표준 5 15 3" xfId="28934"/>
    <cellStyle name="표준 5 16" xfId="8638"/>
    <cellStyle name="표준 5 16 2" xfId="17643"/>
    <cellStyle name="표준 5 16 2 2" xfId="38519"/>
    <cellStyle name="표준 5 16 3" xfId="29781"/>
    <cellStyle name="표준 5 17" xfId="9462"/>
    <cellStyle name="표준 5 17 2" xfId="18461"/>
    <cellStyle name="표준 5 17 2 2" xfId="39337"/>
    <cellStyle name="표준 5 17 3" xfId="30599"/>
    <cellStyle name="표준 5 18" xfId="10518"/>
    <cellStyle name="표준 5 18 2" xfId="19289"/>
    <cellStyle name="표준 5 18 2 2" xfId="40165"/>
    <cellStyle name="표준 5 18 3" xfId="31429"/>
    <cellStyle name="표준 5 19" xfId="11384"/>
    <cellStyle name="표준 5 19 2" xfId="20150"/>
    <cellStyle name="표준 5 19 2 2" xfId="41026"/>
    <cellStyle name="표준 5 19 3" xfId="32290"/>
    <cellStyle name="표준 5 2" xfId="3064"/>
    <cellStyle name="표준 5 2 10" xfId="9463"/>
    <cellStyle name="표준 5 2 10 2" xfId="18462"/>
    <cellStyle name="표준 5 2 10 2 2" xfId="39338"/>
    <cellStyle name="표준 5 2 10 3" xfId="30600"/>
    <cellStyle name="표준 5 2 11" xfId="10519"/>
    <cellStyle name="표준 5 2 11 2" xfId="19290"/>
    <cellStyle name="표준 5 2 11 2 2" xfId="40166"/>
    <cellStyle name="표준 5 2 11 3" xfId="31430"/>
    <cellStyle name="표준 5 2 12" xfId="11385"/>
    <cellStyle name="표준 5 2 12 2" xfId="20151"/>
    <cellStyle name="표준 5 2 12 2 2" xfId="41027"/>
    <cellStyle name="표준 5 2 12 3" xfId="32291"/>
    <cellStyle name="표준 5 2 13" xfId="12534"/>
    <cellStyle name="표준 5 2 13 2" xfId="33411"/>
    <cellStyle name="표준 5 2 14" xfId="24661"/>
    <cellStyle name="표준 5 2 2" xfId="3284"/>
    <cellStyle name="표준 5 2 2 10" xfId="11602"/>
    <cellStyle name="표준 5 2 2 10 2" xfId="20368"/>
    <cellStyle name="표준 5 2 2 10 2 2" xfId="41244"/>
    <cellStyle name="표준 5 2 2 10 3" xfId="32508"/>
    <cellStyle name="표준 5 2 2 11" xfId="12751"/>
    <cellStyle name="표준 5 2 2 11 2" xfId="33628"/>
    <cellStyle name="표준 5 2 2 12" xfId="24878"/>
    <cellStyle name="표준 5 2 2 2" xfId="3725"/>
    <cellStyle name="표준 5 2 2 2 2" xfId="5998"/>
    <cellStyle name="표준 5 2 2 2 2 2" xfId="15007"/>
    <cellStyle name="표준 5 2 2 2 2 2 2" xfId="35883"/>
    <cellStyle name="표준 5 2 2 2 2 3" xfId="27145"/>
    <cellStyle name="표준 5 2 2 2 3" xfId="13188"/>
    <cellStyle name="표준 5 2 2 2 3 2" xfId="34065"/>
    <cellStyle name="표준 5 2 2 2 4" xfId="25315"/>
    <cellStyle name="표준 5 2 2 3" xfId="4887"/>
    <cellStyle name="표준 5 2 2 3 2" xfId="6718"/>
    <cellStyle name="표준 5 2 2 3 2 2" xfId="15727"/>
    <cellStyle name="표준 5 2 2 3 2 2 2" xfId="36603"/>
    <cellStyle name="표준 5 2 2 3 2 3" xfId="27865"/>
    <cellStyle name="표준 5 2 2 3 3" xfId="13909"/>
    <cellStyle name="표준 5 2 2 3 3 2" xfId="34785"/>
    <cellStyle name="표준 5 2 2 3 4" xfId="26047"/>
    <cellStyle name="표준 5 2 2 4" xfId="5561"/>
    <cellStyle name="표준 5 2 2 4 2" xfId="14570"/>
    <cellStyle name="표준 5 2 2 4 2 2" xfId="35446"/>
    <cellStyle name="표준 5 2 2 4 3" xfId="26708"/>
    <cellStyle name="표준 5 2 2 5" xfId="7364"/>
    <cellStyle name="표준 5 2 2 5 2" xfId="16371"/>
    <cellStyle name="표준 5 2 2 5 2 2" xfId="37247"/>
    <cellStyle name="표준 5 2 2 5 3" xfId="28509"/>
    <cellStyle name="표준 5 2 2 6" xfId="8008"/>
    <cellStyle name="표준 5 2 2 6 2" xfId="17014"/>
    <cellStyle name="표준 5 2 2 6 2 2" xfId="37890"/>
    <cellStyle name="표준 5 2 2 6 3" xfId="29152"/>
    <cellStyle name="표준 5 2 2 7" xfId="8856"/>
    <cellStyle name="표준 5 2 2 7 2" xfId="17861"/>
    <cellStyle name="표준 5 2 2 7 2 2" xfId="38737"/>
    <cellStyle name="표준 5 2 2 7 3" xfId="29999"/>
    <cellStyle name="표준 5 2 2 8" xfId="9681"/>
    <cellStyle name="표준 5 2 2 8 2" xfId="18679"/>
    <cellStyle name="표준 5 2 2 8 2 2" xfId="39555"/>
    <cellStyle name="표준 5 2 2 8 3" xfId="30817"/>
    <cellStyle name="표준 5 2 2 9" xfId="10736"/>
    <cellStyle name="표준 5 2 2 9 2" xfId="19507"/>
    <cellStyle name="표준 5 2 2 9 2 2" xfId="40383"/>
    <cellStyle name="표준 5 2 2 9 3" xfId="31647"/>
    <cellStyle name="표준 5 2 3" xfId="3508"/>
    <cellStyle name="표준 5 2 3 10" xfId="12971"/>
    <cellStyle name="표준 5 2 3 10 2" xfId="33848"/>
    <cellStyle name="표준 5 2 3 11" xfId="25098"/>
    <cellStyle name="표준 5 2 3 2" xfId="5110"/>
    <cellStyle name="표준 5 2 3 2 2" xfId="6935"/>
    <cellStyle name="표준 5 2 3 2 2 2" xfId="15944"/>
    <cellStyle name="표준 5 2 3 2 2 2 2" xfId="36820"/>
    <cellStyle name="표준 5 2 3 2 2 3" xfId="28082"/>
    <cellStyle name="표준 5 2 3 2 3" xfId="14126"/>
    <cellStyle name="표준 5 2 3 2 3 2" xfId="35002"/>
    <cellStyle name="표준 5 2 3 2 4" xfId="26264"/>
    <cellStyle name="표준 5 2 3 3" xfId="5781"/>
    <cellStyle name="표준 5 2 3 3 2" xfId="14790"/>
    <cellStyle name="표준 5 2 3 3 2 2" xfId="35666"/>
    <cellStyle name="표준 5 2 3 3 3" xfId="26928"/>
    <cellStyle name="표준 5 2 3 4" xfId="7581"/>
    <cellStyle name="표준 5 2 3 4 2" xfId="16588"/>
    <cellStyle name="표준 5 2 3 4 2 2" xfId="37464"/>
    <cellStyle name="표준 5 2 3 4 3" xfId="28726"/>
    <cellStyle name="표준 5 2 3 5" xfId="8225"/>
    <cellStyle name="표준 5 2 3 5 2" xfId="17231"/>
    <cellStyle name="표준 5 2 3 5 2 2" xfId="38107"/>
    <cellStyle name="표준 5 2 3 5 3" xfId="29369"/>
    <cellStyle name="표준 5 2 3 6" xfId="9073"/>
    <cellStyle name="표준 5 2 3 6 2" xfId="18078"/>
    <cellStyle name="표준 5 2 3 6 2 2" xfId="38954"/>
    <cellStyle name="표준 5 2 3 6 3" xfId="30216"/>
    <cellStyle name="표준 5 2 3 7" xfId="9898"/>
    <cellStyle name="표준 5 2 3 7 2" xfId="18896"/>
    <cellStyle name="표준 5 2 3 7 2 2" xfId="39772"/>
    <cellStyle name="표준 5 2 3 7 3" xfId="31034"/>
    <cellStyle name="표준 5 2 3 8" xfId="10953"/>
    <cellStyle name="표준 5 2 3 8 2" xfId="19724"/>
    <cellStyle name="표준 5 2 3 8 2 2" xfId="40600"/>
    <cellStyle name="표준 5 2 3 8 3" xfId="31864"/>
    <cellStyle name="표준 5 2 3 9" xfId="11819"/>
    <cellStyle name="표준 5 2 3 9 2" xfId="20585"/>
    <cellStyle name="표준 5 2 3 9 2 2" xfId="41461"/>
    <cellStyle name="표준 5 2 3 9 3" xfId="32725"/>
    <cellStyle name="표준 5 2 4" xfId="4667"/>
    <cellStyle name="표준 5 2 4 2" xfId="6501"/>
    <cellStyle name="표준 5 2 4 2 2" xfId="15510"/>
    <cellStyle name="표준 5 2 4 2 2 2" xfId="36386"/>
    <cellStyle name="표준 5 2 4 2 3" xfId="27648"/>
    <cellStyle name="표준 5 2 4 3" xfId="11174"/>
    <cellStyle name="표준 5 2 4 3 2" xfId="19943"/>
    <cellStyle name="표준 5 2 4 3 2 2" xfId="40819"/>
    <cellStyle name="표준 5 2 4 3 3" xfId="32083"/>
    <cellStyle name="표준 5 2 4 4" xfId="12038"/>
    <cellStyle name="표준 5 2 4 4 2" xfId="20804"/>
    <cellStyle name="표준 5 2 4 4 2 2" xfId="41680"/>
    <cellStyle name="표준 5 2 4 4 3" xfId="32944"/>
    <cellStyle name="표준 5 2 4 5" xfId="13692"/>
    <cellStyle name="표준 5 2 4 5 2" xfId="34568"/>
    <cellStyle name="표준 5 2 4 6" xfId="25830"/>
    <cellStyle name="표준 5 2 5" xfId="3849"/>
    <cellStyle name="표준 5 2 6" xfId="5344"/>
    <cellStyle name="표준 5 2 6 2" xfId="14353"/>
    <cellStyle name="표준 5 2 6 2 2" xfId="35229"/>
    <cellStyle name="표준 5 2 6 3" xfId="26491"/>
    <cellStyle name="표준 5 2 7" xfId="7146"/>
    <cellStyle name="표준 5 2 7 2" xfId="16154"/>
    <cellStyle name="표준 5 2 7 2 2" xfId="37030"/>
    <cellStyle name="표준 5 2 7 3" xfId="28292"/>
    <cellStyle name="표준 5 2 8" xfId="7791"/>
    <cellStyle name="표준 5 2 8 2" xfId="16797"/>
    <cellStyle name="표준 5 2 8 2 2" xfId="37673"/>
    <cellStyle name="표준 5 2 8 3" xfId="28935"/>
    <cellStyle name="표준 5 2 9" xfId="8639"/>
    <cellStyle name="표준 5 2 9 2" xfId="17644"/>
    <cellStyle name="표준 5 2 9 2 2" xfId="38520"/>
    <cellStyle name="표준 5 2 9 3" xfId="29782"/>
    <cellStyle name="표준 5 20" xfId="12533"/>
    <cellStyle name="표준 5 20 2" xfId="33410"/>
    <cellStyle name="표준 5 21" xfId="20873"/>
    <cellStyle name="표준 5 22" xfId="12106"/>
    <cellStyle name="표준 5 23" xfId="24295"/>
    <cellStyle name="표준 5 24" xfId="24660"/>
    <cellStyle name="표준 5 3" xfId="3065"/>
    <cellStyle name="표준 5 3 10" xfId="9464"/>
    <cellStyle name="표준 5 3 10 2" xfId="18463"/>
    <cellStyle name="표준 5 3 10 2 2" xfId="39339"/>
    <cellStyle name="표준 5 3 10 3" xfId="30601"/>
    <cellStyle name="표준 5 3 11" xfId="10121"/>
    <cellStyle name="표준 5 3 12" xfId="10520"/>
    <cellStyle name="표준 5 3 12 2" xfId="19291"/>
    <cellStyle name="표준 5 3 12 2 2" xfId="40167"/>
    <cellStyle name="표준 5 3 12 3" xfId="31431"/>
    <cellStyle name="표준 5 3 13" xfId="11386"/>
    <cellStyle name="표준 5 3 13 2" xfId="20152"/>
    <cellStyle name="표준 5 3 13 2 2" xfId="41028"/>
    <cellStyle name="표준 5 3 13 3" xfId="32292"/>
    <cellStyle name="표준 5 3 14" xfId="12535"/>
    <cellStyle name="표준 5 3 14 2" xfId="33412"/>
    <cellStyle name="표준 5 3 15" xfId="24662"/>
    <cellStyle name="표준 5 3 2" xfId="3285"/>
    <cellStyle name="표준 5 3 2 10" xfId="10737"/>
    <cellStyle name="표준 5 3 2 10 2" xfId="19508"/>
    <cellStyle name="표준 5 3 2 10 2 2" xfId="40384"/>
    <cellStyle name="표준 5 3 2 10 3" xfId="31648"/>
    <cellStyle name="표준 5 3 2 11" xfId="11603"/>
    <cellStyle name="표준 5 3 2 11 2" xfId="20369"/>
    <cellStyle name="표준 5 3 2 11 2 2" xfId="41245"/>
    <cellStyle name="표준 5 3 2 11 3" xfId="32509"/>
    <cellStyle name="표준 5 3 2 12" xfId="12752"/>
    <cellStyle name="표준 5 3 2 12 2" xfId="33629"/>
    <cellStyle name="표준 5 3 2 13" xfId="24879"/>
    <cellStyle name="표준 5 3 2 2" xfId="3726"/>
    <cellStyle name="표준 5 3 2 2 2" xfId="5999"/>
    <cellStyle name="표준 5 3 2 2 2 2" xfId="15008"/>
    <cellStyle name="표준 5 3 2 2 2 2 2" xfId="35884"/>
    <cellStyle name="표준 5 3 2 2 2 3" xfId="27146"/>
    <cellStyle name="표준 5 3 2 2 3" xfId="13189"/>
    <cellStyle name="표준 5 3 2 2 3 2" xfId="34066"/>
    <cellStyle name="표준 5 3 2 2 4" xfId="25316"/>
    <cellStyle name="표준 5 3 2 3" xfId="4888"/>
    <cellStyle name="표준 5 3 2 3 2" xfId="6719"/>
    <cellStyle name="표준 5 3 2 3 2 2" xfId="15728"/>
    <cellStyle name="표준 5 3 2 3 2 2 2" xfId="36604"/>
    <cellStyle name="표준 5 3 2 3 2 3" xfId="27866"/>
    <cellStyle name="표준 5 3 2 3 3" xfId="13910"/>
    <cellStyle name="표준 5 3 2 3 3 2" xfId="34786"/>
    <cellStyle name="표준 5 3 2 3 4" xfId="26048"/>
    <cellStyle name="표준 5 3 2 4" xfId="5562"/>
    <cellStyle name="표준 5 3 2 4 2" xfId="14571"/>
    <cellStyle name="표준 5 3 2 4 2 2" xfId="35447"/>
    <cellStyle name="표준 5 3 2 4 3" xfId="26709"/>
    <cellStyle name="표준 5 3 2 5" xfId="7365"/>
    <cellStyle name="표준 5 3 2 5 2" xfId="16372"/>
    <cellStyle name="표준 5 3 2 5 2 2" xfId="37248"/>
    <cellStyle name="표준 5 3 2 5 3" xfId="28510"/>
    <cellStyle name="표준 5 3 2 6" xfId="8009"/>
    <cellStyle name="표준 5 3 2 6 2" xfId="17015"/>
    <cellStyle name="표준 5 3 2 6 2 2" xfId="37891"/>
    <cellStyle name="표준 5 3 2 6 3" xfId="29153"/>
    <cellStyle name="표준 5 3 2 7" xfId="8857"/>
    <cellStyle name="표준 5 3 2 7 2" xfId="17862"/>
    <cellStyle name="표준 5 3 2 7 2 2" xfId="38738"/>
    <cellStyle name="표준 5 3 2 7 3" xfId="30000"/>
    <cellStyle name="표준 5 3 2 8" xfId="9682"/>
    <cellStyle name="표준 5 3 2 8 2" xfId="18680"/>
    <cellStyle name="표준 5 3 2 8 2 2" xfId="39556"/>
    <cellStyle name="표준 5 3 2 8 3" xfId="30818"/>
    <cellStyle name="표준 5 3 2 9" xfId="10122"/>
    <cellStyle name="표준 5 3 3" xfId="3509"/>
    <cellStyle name="표준 5 3 3 10" xfId="12972"/>
    <cellStyle name="표준 5 3 3 10 2" xfId="33849"/>
    <cellStyle name="표준 5 3 3 11" xfId="25099"/>
    <cellStyle name="표준 5 3 3 2" xfId="5111"/>
    <cellStyle name="표준 5 3 3 2 2" xfId="6936"/>
    <cellStyle name="표준 5 3 3 2 2 2" xfId="15945"/>
    <cellStyle name="표준 5 3 3 2 2 2 2" xfId="36821"/>
    <cellStyle name="표준 5 3 3 2 2 3" xfId="28083"/>
    <cellStyle name="표준 5 3 3 2 3" xfId="14127"/>
    <cellStyle name="표준 5 3 3 2 3 2" xfId="35003"/>
    <cellStyle name="표준 5 3 3 2 4" xfId="26265"/>
    <cellStyle name="표준 5 3 3 3" xfId="5782"/>
    <cellStyle name="표준 5 3 3 3 2" xfId="14791"/>
    <cellStyle name="표준 5 3 3 3 2 2" xfId="35667"/>
    <cellStyle name="표준 5 3 3 3 3" xfId="26929"/>
    <cellStyle name="표준 5 3 3 4" xfId="7582"/>
    <cellStyle name="표준 5 3 3 4 2" xfId="16589"/>
    <cellStyle name="표준 5 3 3 4 2 2" xfId="37465"/>
    <cellStyle name="표준 5 3 3 4 3" xfId="28727"/>
    <cellStyle name="표준 5 3 3 5" xfId="8226"/>
    <cellStyle name="표준 5 3 3 5 2" xfId="17232"/>
    <cellStyle name="표준 5 3 3 5 2 2" xfId="38108"/>
    <cellStyle name="표준 5 3 3 5 3" xfId="29370"/>
    <cellStyle name="표준 5 3 3 6" xfId="9074"/>
    <cellStyle name="표준 5 3 3 6 2" xfId="18079"/>
    <cellStyle name="표준 5 3 3 6 2 2" xfId="38955"/>
    <cellStyle name="표준 5 3 3 6 3" xfId="30217"/>
    <cellStyle name="표준 5 3 3 7" xfId="9899"/>
    <cellStyle name="표준 5 3 3 7 2" xfId="18897"/>
    <cellStyle name="표준 5 3 3 7 2 2" xfId="39773"/>
    <cellStyle name="표준 5 3 3 7 3" xfId="31035"/>
    <cellStyle name="표준 5 3 3 8" xfId="10954"/>
    <cellStyle name="표준 5 3 3 8 2" xfId="19725"/>
    <cellStyle name="표준 5 3 3 8 2 2" xfId="40601"/>
    <cellStyle name="표준 5 3 3 8 3" xfId="31865"/>
    <cellStyle name="표준 5 3 3 9" xfId="11820"/>
    <cellStyle name="표준 5 3 3 9 2" xfId="20586"/>
    <cellStyle name="표준 5 3 3 9 2 2" xfId="41462"/>
    <cellStyle name="표준 5 3 3 9 3" xfId="32726"/>
    <cellStyle name="표준 5 3 4" xfId="4668"/>
    <cellStyle name="표준 5 3 4 2" xfId="6502"/>
    <cellStyle name="표준 5 3 4 2 2" xfId="15511"/>
    <cellStyle name="표준 5 3 4 2 2 2" xfId="36387"/>
    <cellStyle name="표준 5 3 4 2 3" xfId="27649"/>
    <cellStyle name="표준 5 3 4 3" xfId="11175"/>
    <cellStyle name="표준 5 3 4 3 2" xfId="19944"/>
    <cellStyle name="표준 5 3 4 3 2 2" xfId="40820"/>
    <cellStyle name="표준 5 3 4 3 3" xfId="32084"/>
    <cellStyle name="표준 5 3 4 4" xfId="12039"/>
    <cellStyle name="표준 5 3 4 4 2" xfId="20805"/>
    <cellStyle name="표준 5 3 4 4 2 2" xfId="41681"/>
    <cellStyle name="표준 5 3 4 4 3" xfId="32945"/>
    <cellStyle name="표준 5 3 4 5" xfId="13693"/>
    <cellStyle name="표준 5 3 4 5 2" xfId="34569"/>
    <cellStyle name="표준 5 3 4 6" xfId="25831"/>
    <cellStyle name="표준 5 3 5" xfId="5345"/>
    <cellStyle name="표준 5 3 5 2" xfId="14354"/>
    <cellStyle name="표준 5 3 5 2 2" xfId="35230"/>
    <cellStyle name="표준 5 3 5 3" xfId="26492"/>
    <cellStyle name="표준 5 3 6" xfId="7147"/>
    <cellStyle name="표준 5 3 6 2" xfId="16155"/>
    <cellStyle name="표준 5 3 6 2 2" xfId="37031"/>
    <cellStyle name="표준 5 3 6 3" xfId="28293"/>
    <cellStyle name="표준 5 3 7" xfId="7792"/>
    <cellStyle name="표준 5 3 7 2" xfId="16798"/>
    <cellStyle name="표준 5 3 7 2 2" xfId="37674"/>
    <cellStyle name="표준 5 3 7 3" xfId="28936"/>
    <cellStyle name="표준 5 3 8" xfId="8640"/>
    <cellStyle name="표준 5 3 8 2" xfId="17645"/>
    <cellStyle name="표준 5 3 8 2 2" xfId="38521"/>
    <cellStyle name="표준 5 3 8 3" xfId="29783"/>
    <cellStyle name="표준 5 3 9" xfId="9186"/>
    <cellStyle name="표준 5 3 9 2" xfId="18190"/>
    <cellStyle name="표준 5 3 9 2 2" xfId="39066"/>
    <cellStyle name="표준 5 3 9 3" xfId="30328"/>
    <cellStyle name="표준 5 4" xfId="3066"/>
    <cellStyle name="표준 5 4 10" xfId="9465"/>
    <cellStyle name="표준 5 4 10 2" xfId="18464"/>
    <cellStyle name="표준 5 4 10 2 2" xfId="39340"/>
    <cellStyle name="표준 5 4 10 3" xfId="30602"/>
    <cellStyle name="표준 5 4 11" xfId="10123"/>
    <cellStyle name="표준 5 4 12" xfId="10521"/>
    <cellStyle name="표준 5 4 12 2" xfId="19292"/>
    <cellStyle name="표준 5 4 12 2 2" xfId="40168"/>
    <cellStyle name="표준 5 4 12 3" xfId="31432"/>
    <cellStyle name="표준 5 4 13" xfId="11387"/>
    <cellStyle name="표준 5 4 13 2" xfId="20153"/>
    <cellStyle name="표준 5 4 13 2 2" xfId="41029"/>
    <cellStyle name="표준 5 4 13 3" xfId="32293"/>
    <cellStyle name="표준 5 4 14" xfId="12536"/>
    <cellStyle name="표준 5 4 14 2" xfId="33413"/>
    <cellStyle name="표준 5 4 15" xfId="24663"/>
    <cellStyle name="표준 5 4 2" xfId="3286"/>
    <cellStyle name="표준 5 4 2 10" xfId="10738"/>
    <cellStyle name="표준 5 4 2 10 2" xfId="19509"/>
    <cellStyle name="표준 5 4 2 10 2 2" xfId="40385"/>
    <cellStyle name="표준 5 4 2 10 3" xfId="31649"/>
    <cellStyle name="표준 5 4 2 11" xfId="11604"/>
    <cellStyle name="표준 5 4 2 11 2" xfId="20370"/>
    <cellStyle name="표준 5 4 2 11 2 2" xfId="41246"/>
    <cellStyle name="표준 5 4 2 11 3" xfId="32510"/>
    <cellStyle name="표준 5 4 2 12" xfId="12753"/>
    <cellStyle name="표준 5 4 2 12 2" xfId="33630"/>
    <cellStyle name="표준 5 4 2 13" xfId="24880"/>
    <cellStyle name="표준 5 4 2 2" xfId="3727"/>
    <cellStyle name="표준 5 4 2 2 2" xfId="6000"/>
    <cellStyle name="표준 5 4 2 2 2 2" xfId="15009"/>
    <cellStyle name="표준 5 4 2 2 2 2 2" xfId="35885"/>
    <cellStyle name="표준 5 4 2 2 2 3" xfId="27147"/>
    <cellStyle name="표준 5 4 2 2 3" xfId="13190"/>
    <cellStyle name="표준 5 4 2 2 3 2" xfId="34067"/>
    <cellStyle name="표준 5 4 2 2 4" xfId="25317"/>
    <cellStyle name="표준 5 4 2 3" xfId="4889"/>
    <cellStyle name="표준 5 4 2 3 2" xfId="6720"/>
    <cellStyle name="표준 5 4 2 3 2 2" xfId="15729"/>
    <cellStyle name="표준 5 4 2 3 2 2 2" xfId="36605"/>
    <cellStyle name="표준 5 4 2 3 2 3" xfId="27867"/>
    <cellStyle name="표준 5 4 2 3 3" xfId="13911"/>
    <cellStyle name="표준 5 4 2 3 3 2" xfId="34787"/>
    <cellStyle name="표준 5 4 2 3 4" xfId="26049"/>
    <cellStyle name="표준 5 4 2 4" xfId="5563"/>
    <cellStyle name="표준 5 4 2 4 2" xfId="14572"/>
    <cellStyle name="표준 5 4 2 4 2 2" xfId="35448"/>
    <cellStyle name="표준 5 4 2 4 3" xfId="26710"/>
    <cellStyle name="표준 5 4 2 5" xfId="7366"/>
    <cellStyle name="표준 5 4 2 5 2" xfId="16373"/>
    <cellStyle name="표준 5 4 2 5 2 2" xfId="37249"/>
    <cellStyle name="표준 5 4 2 5 3" xfId="28511"/>
    <cellStyle name="표준 5 4 2 6" xfId="8010"/>
    <cellStyle name="표준 5 4 2 6 2" xfId="17016"/>
    <cellStyle name="표준 5 4 2 6 2 2" xfId="37892"/>
    <cellStyle name="표준 5 4 2 6 3" xfId="29154"/>
    <cellStyle name="표준 5 4 2 7" xfId="8858"/>
    <cellStyle name="표준 5 4 2 7 2" xfId="17863"/>
    <cellStyle name="표준 5 4 2 7 2 2" xfId="38739"/>
    <cellStyle name="표준 5 4 2 7 3" xfId="30001"/>
    <cellStyle name="표준 5 4 2 8" xfId="9683"/>
    <cellStyle name="표준 5 4 2 8 2" xfId="18681"/>
    <cellStyle name="표준 5 4 2 8 2 2" xfId="39557"/>
    <cellStyle name="표준 5 4 2 8 3" xfId="30819"/>
    <cellStyle name="표준 5 4 2 9" xfId="10124"/>
    <cellStyle name="표준 5 4 3" xfId="3510"/>
    <cellStyle name="표준 5 4 3 10" xfId="12973"/>
    <cellStyle name="표준 5 4 3 10 2" xfId="33850"/>
    <cellStyle name="표준 5 4 3 11" xfId="25100"/>
    <cellStyle name="표준 5 4 3 2" xfId="5112"/>
    <cellStyle name="표준 5 4 3 2 2" xfId="6937"/>
    <cellStyle name="표준 5 4 3 2 2 2" xfId="15946"/>
    <cellStyle name="표준 5 4 3 2 2 2 2" xfId="36822"/>
    <cellStyle name="표준 5 4 3 2 2 3" xfId="28084"/>
    <cellStyle name="표준 5 4 3 2 3" xfId="14128"/>
    <cellStyle name="표준 5 4 3 2 3 2" xfId="35004"/>
    <cellStyle name="표준 5 4 3 2 4" xfId="26266"/>
    <cellStyle name="표준 5 4 3 3" xfId="5783"/>
    <cellStyle name="표준 5 4 3 3 2" xfId="14792"/>
    <cellStyle name="표준 5 4 3 3 2 2" xfId="35668"/>
    <cellStyle name="표준 5 4 3 3 3" xfId="26930"/>
    <cellStyle name="표준 5 4 3 4" xfId="7583"/>
    <cellStyle name="표준 5 4 3 4 2" xfId="16590"/>
    <cellStyle name="표준 5 4 3 4 2 2" xfId="37466"/>
    <cellStyle name="표준 5 4 3 4 3" xfId="28728"/>
    <cellStyle name="표준 5 4 3 5" xfId="8227"/>
    <cellStyle name="표준 5 4 3 5 2" xfId="17233"/>
    <cellStyle name="표준 5 4 3 5 2 2" xfId="38109"/>
    <cellStyle name="표준 5 4 3 5 3" xfId="29371"/>
    <cellStyle name="표준 5 4 3 6" xfId="9075"/>
    <cellStyle name="표준 5 4 3 6 2" xfId="18080"/>
    <cellStyle name="표준 5 4 3 6 2 2" xfId="38956"/>
    <cellStyle name="표준 5 4 3 6 3" xfId="30218"/>
    <cellStyle name="표준 5 4 3 7" xfId="9900"/>
    <cellStyle name="표준 5 4 3 7 2" xfId="18898"/>
    <cellStyle name="표준 5 4 3 7 2 2" xfId="39774"/>
    <cellStyle name="표준 5 4 3 7 3" xfId="31036"/>
    <cellStyle name="표준 5 4 3 8" xfId="10955"/>
    <cellStyle name="표준 5 4 3 8 2" xfId="19726"/>
    <cellStyle name="표준 5 4 3 8 2 2" xfId="40602"/>
    <cellStyle name="표준 5 4 3 8 3" xfId="31866"/>
    <cellStyle name="표준 5 4 3 9" xfId="11821"/>
    <cellStyle name="표준 5 4 3 9 2" xfId="20587"/>
    <cellStyle name="표준 5 4 3 9 2 2" xfId="41463"/>
    <cellStyle name="표준 5 4 3 9 3" xfId="32727"/>
    <cellStyle name="표준 5 4 4" xfId="4669"/>
    <cellStyle name="표준 5 4 4 2" xfId="6503"/>
    <cellStyle name="표준 5 4 4 2 2" xfId="15512"/>
    <cellStyle name="표준 5 4 4 2 2 2" xfId="36388"/>
    <cellStyle name="표준 5 4 4 2 3" xfId="27650"/>
    <cellStyle name="표준 5 4 4 3" xfId="11176"/>
    <cellStyle name="표준 5 4 4 3 2" xfId="19945"/>
    <cellStyle name="표준 5 4 4 3 2 2" xfId="40821"/>
    <cellStyle name="표준 5 4 4 3 3" xfId="32085"/>
    <cellStyle name="표준 5 4 4 4" xfId="12040"/>
    <cellStyle name="표준 5 4 4 4 2" xfId="20806"/>
    <cellStyle name="표준 5 4 4 4 2 2" xfId="41682"/>
    <cellStyle name="표준 5 4 4 4 3" xfId="32946"/>
    <cellStyle name="표준 5 4 4 5" xfId="13694"/>
    <cellStyle name="표준 5 4 4 5 2" xfId="34570"/>
    <cellStyle name="표준 5 4 4 6" xfId="25832"/>
    <cellStyle name="표준 5 4 5" xfId="5346"/>
    <cellStyle name="표준 5 4 5 2" xfId="14355"/>
    <cellStyle name="표준 5 4 5 2 2" xfId="35231"/>
    <cellStyle name="표준 5 4 5 3" xfId="26493"/>
    <cellStyle name="표준 5 4 6" xfId="7148"/>
    <cellStyle name="표준 5 4 6 2" xfId="16156"/>
    <cellStyle name="표준 5 4 6 2 2" xfId="37032"/>
    <cellStyle name="표준 5 4 6 3" xfId="28294"/>
    <cellStyle name="표준 5 4 7" xfId="7793"/>
    <cellStyle name="표준 5 4 7 2" xfId="16799"/>
    <cellStyle name="표준 5 4 7 2 2" xfId="37675"/>
    <cellStyle name="표준 5 4 7 3" xfId="28937"/>
    <cellStyle name="표준 5 4 8" xfId="8641"/>
    <cellStyle name="표준 5 4 8 2" xfId="17646"/>
    <cellStyle name="표준 5 4 8 2 2" xfId="38522"/>
    <cellStyle name="표준 5 4 8 3" xfId="29784"/>
    <cellStyle name="표준 5 4 9" xfId="9187"/>
    <cellStyle name="표준 5 4 9 2" xfId="18191"/>
    <cellStyle name="표준 5 4 9 2 2" xfId="39067"/>
    <cellStyle name="표준 5 4 9 3" xfId="30329"/>
    <cellStyle name="표준 5 5" xfId="3067"/>
    <cellStyle name="표준 5 5 10" xfId="9466"/>
    <cellStyle name="표준 5 5 10 2" xfId="18465"/>
    <cellStyle name="표준 5 5 10 2 2" xfId="39341"/>
    <cellStyle name="표준 5 5 10 3" xfId="30603"/>
    <cellStyle name="표준 5 5 11" xfId="10125"/>
    <cellStyle name="표준 5 5 12" xfId="10522"/>
    <cellStyle name="표준 5 5 12 2" xfId="19293"/>
    <cellStyle name="표준 5 5 12 2 2" xfId="40169"/>
    <cellStyle name="표준 5 5 12 3" xfId="31433"/>
    <cellStyle name="표준 5 5 13" xfId="11388"/>
    <cellStyle name="표준 5 5 13 2" xfId="20154"/>
    <cellStyle name="표준 5 5 13 2 2" xfId="41030"/>
    <cellStyle name="표준 5 5 13 3" xfId="32294"/>
    <cellStyle name="표준 5 5 14" xfId="12537"/>
    <cellStyle name="표준 5 5 14 2" xfId="33414"/>
    <cellStyle name="표준 5 5 15" xfId="24664"/>
    <cellStyle name="표준 5 5 2" xfId="3287"/>
    <cellStyle name="표준 5 5 2 10" xfId="10739"/>
    <cellStyle name="표준 5 5 2 10 2" xfId="19510"/>
    <cellStyle name="표준 5 5 2 10 2 2" xfId="40386"/>
    <cellStyle name="표준 5 5 2 10 3" xfId="31650"/>
    <cellStyle name="표준 5 5 2 11" xfId="11605"/>
    <cellStyle name="표준 5 5 2 11 2" xfId="20371"/>
    <cellStyle name="표준 5 5 2 11 2 2" xfId="41247"/>
    <cellStyle name="표준 5 5 2 11 3" xfId="32511"/>
    <cellStyle name="표준 5 5 2 12" xfId="12754"/>
    <cellStyle name="표준 5 5 2 12 2" xfId="33631"/>
    <cellStyle name="표준 5 5 2 13" xfId="24881"/>
    <cellStyle name="표준 5 5 2 2" xfId="3728"/>
    <cellStyle name="표준 5 5 2 2 2" xfId="6001"/>
    <cellStyle name="표준 5 5 2 2 2 2" xfId="15010"/>
    <cellStyle name="표준 5 5 2 2 2 2 2" xfId="35886"/>
    <cellStyle name="표준 5 5 2 2 2 3" xfId="27148"/>
    <cellStyle name="표준 5 5 2 2 3" xfId="13191"/>
    <cellStyle name="표준 5 5 2 2 3 2" xfId="34068"/>
    <cellStyle name="표준 5 5 2 2 4" xfId="25318"/>
    <cellStyle name="표준 5 5 2 3" xfId="4890"/>
    <cellStyle name="표준 5 5 2 3 2" xfId="6721"/>
    <cellStyle name="표준 5 5 2 3 2 2" xfId="15730"/>
    <cellStyle name="표준 5 5 2 3 2 2 2" xfId="36606"/>
    <cellStyle name="표준 5 5 2 3 2 3" xfId="27868"/>
    <cellStyle name="표준 5 5 2 3 3" xfId="13912"/>
    <cellStyle name="표준 5 5 2 3 3 2" xfId="34788"/>
    <cellStyle name="표준 5 5 2 3 4" xfId="26050"/>
    <cellStyle name="표준 5 5 2 4" xfId="5564"/>
    <cellStyle name="표준 5 5 2 4 2" xfId="14573"/>
    <cellStyle name="표준 5 5 2 4 2 2" xfId="35449"/>
    <cellStyle name="표준 5 5 2 4 3" xfId="26711"/>
    <cellStyle name="표준 5 5 2 5" xfId="7367"/>
    <cellStyle name="표준 5 5 2 5 2" xfId="16374"/>
    <cellStyle name="표준 5 5 2 5 2 2" xfId="37250"/>
    <cellStyle name="표준 5 5 2 5 3" xfId="28512"/>
    <cellStyle name="표준 5 5 2 6" xfId="8011"/>
    <cellStyle name="표준 5 5 2 6 2" xfId="17017"/>
    <cellStyle name="표준 5 5 2 6 2 2" xfId="37893"/>
    <cellStyle name="표준 5 5 2 6 3" xfId="29155"/>
    <cellStyle name="표준 5 5 2 7" xfId="8859"/>
    <cellStyle name="표준 5 5 2 7 2" xfId="17864"/>
    <cellStyle name="표준 5 5 2 7 2 2" xfId="38740"/>
    <cellStyle name="표준 5 5 2 7 3" xfId="30002"/>
    <cellStyle name="표준 5 5 2 8" xfId="9684"/>
    <cellStyle name="표준 5 5 2 8 2" xfId="18682"/>
    <cellStyle name="표준 5 5 2 8 2 2" xfId="39558"/>
    <cellStyle name="표준 5 5 2 8 3" xfId="30820"/>
    <cellStyle name="표준 5 5 2 9" xfId="10126"/>
    <cellStyle name="표준 5 5 3" xfId="3511"/>
    <cellStyle name="표준 5 5 3 10" xfId="12974"/>
    <cellStyle name="표준 5 5 3 10 2" xfId="33851"/>
    <cellStyle name="표준 5 5 3 11" xfId="25101"/>
    <cellStyle name="표준 5 5 3 2" xfId="5113"/>
    <cellStyle name="표준 5 5 3 2 2" xfId="6938"/>
    <cellStyle name="표준 5 5 3 2 2 2" xfId="15947"/>
    <cellStyle name="표준 5 5 3 2 2 2 2" xfId="36823"/>
    <cellStyle name="표준 5 5 3 2 2 3" xfId="28085"/>
    <cellStyle name="표준 5 5 3 2 3" xfId="14129"/>
    <cellStyle name="표준 5 5 3 2 3 2" xfId="35005"/>
    <cellStyle name="표준 5 5 3 2 4" xfId="26267"/>
    <cellStyle name="표준 5 5 3 3" xfId="5784"/>
    <cellStyle name="표준 5 5 3 3 2" xfId="14793"/>
    <cellStyle name="표준 5 5 3 3 2 2" xfId="35669"/>
    <cellStyle name="표준 5 5 3 3 3" xfId="26931"/>
    <cellStyle name="표준 5 5 3 4" xfId="7584"/>
    <cellStyle name="표준 5 5 3 4 2" xfId="16591"/>
    <cellStyle name="표준 5 5 3 4 2 2" xfId="37467"/>
    <cellStyle name="표준 5 5 3 4 3" xfId="28729"/>
    <cellStyle name="표준 5 5 3 5" xfId="8228"/>
    <cellStyle name="표준 5 5 3 5 2" xfId="17234"/>
    <cellStyle name="표준 5 5 3 5 2 2" xfId="38110"/>
    <cellStyle name="표준 5 5 3 5 3" xfId="29372"/>
    <cellStyle name="표준 5 5 3 6" xfId="9076"/>
    <cellStyle name="표준 5 5 3 6 2" xfId="18081"/>
    <cellStyle name="표준 5 5 3 6 2 2" xfId="38957"/>
    <cellStyle name="표준 5 5 3 6 3" xfId="30219"/>
    <cellStyle name="표준 5 5 3 7" xfId="9901"/>
    <cellStyle name="표준 5 5 3 7 2" xfId="18899"/>
    <cellStyle name="표준 5 5 3 7 2 2" xfId="39775"/>
    <cellStyle name="표준 5 5 3 7 3" xfId="31037"/>
    <cellStyle name="표준 5 5 3 8" xfId="10956"/>
    <cellStyle name="표준 5 5 3 8 2" xfId="19727"/>
    <cellStyle name="표준 5 5 3 8 2 2" xfId="40603"/>
    <cellStyle name="표준 5 5 3 8 3" xfId="31867"/>
    <cellStyle name="표준 5 5 3 9" xfId="11822"/>
    <cellStyle name="표준 5 5 3 9 2" xfId="20588"/>
    <cellStyle name="표준 5 5 3 9 2 2" xfId="41464"/>
    <cellStyle name="표준 5 5 3 9 3" xfId="32728"/>
    <cellStyle name="표준 5 5 4" xfId="4670"/>
    <cellStyle name="표준 5 5 4 2" xfId="6504"/>
    <cellStyle name="표준 5 5 4 2 2" xfId="15513"/>
    <cellStyle name="표준 5 5 4 2 2 2" xfId="36389"/>
    <cellStyle name="표준 5 5 4 2 3" xfId="27651"/>
    <cellStyle name="표준 5 5 4 3" xfId="11177"/>
    <cellStyle name="표준 5 5 4 3 2" xfId="19946"/>
    <cellStyle name="표준 5 5 4 3 2 2" xfId="40822"/>
    <cellStyle name="표준 5 5 4 3 3" xfId="32086"/>
    <cellStyle name="표준 5 5 4 4" xfId="12041"/>
    <cellStyle name="표준 5 5 4 4 2" xfId="20807"/>
    <cellStyle name="표준 5 5 4 4 2 2" xfId="41683"/>
    <cellStyle name="표준 5 5 4 4 3" xfId="32947"/>
    <cellStyle name="표준 5 5 4 5" xfId="13695"/>
    <cellStyle name="표준 5 5 4 5 2" xfId="34571"/>
    <cellStyle name="표준 5 5 4 6" xfId="25833"/>
    <cellStyle name="표준 5 5 5" xfId="5347"/>
    <cellStyle name="표준 5 5 5 2" xfId="14356"/>
    <cellStyle name="표준 5 5 5 2 2" xfId="35232"/>
    <cellStyle name="표준 5 5 5 3" xfId="26494"/>
    <cellStyle name="표준 5 5 6" xfId="7149"/>
    <cellStyle name="표준 5 5 6 2" xfId="16157"/>
    <cellStyle name="표준 5 5 6 2 2" xfId="37033"/>
    <cellStyle name="표준 5 5 6 3" xfId="28295"/>
    <cellStyle name="표준 5 5 7" xfId="7794"/>
    <cellStyle name="표준 5 5 7 2" xfId="16800"/>
    <cellStyle name="표준 5 5 7 2 2" xfId="37676"/>
    <cellStyle name="표준 5 5 7 3" xfId="28938"/>
    <cellStyle name="표준 5 5 8" xfId="8642"/>
    <cellStyle name="표준 5 5 8 2" xfId="17647"/>
    <cellStyle name="표준 5 5 8 2 2" xfId="38523"/>
    <cellStyle name="표준 5 5 8 3" xfId="29785"/>
    <cellStyle name="표준 5 5 9" xfId="9188"/>
    <cellStyle name="표준 5 5 9 2" xfId="18192"/>
    <cellStyle name="표준 5 5 9 2 2" xfId="39068"/>
    <cellStyle name="표준 5 5 9 3" xfId="30330"/>
    <cellStyle name="표준 5 6" xfId="3068"/>
    <cellStyle name="표준 5 6 10" xfId="10127"/>
    <cellStyle name="표준 5 6 11" xfId="10523"/>
    <cellStyle name="표준 5 6 11 2" xfId="19294"/>
    <cellStyle name="표준 5 6 11 2 2" xfId="40170"/>
    <cellStyle name="표준 5 6 11 3" xfId="31434"/>
    <cellStyle name="표준 5 6 12" xfId="11389"/>
    <cellStyle name="표준 5 6 12 2" xfId="20155"/>
    <cellStyle name="표준 5 6 12 2 2" xfId="41031"/>
    <cellStyle name="표준 5 6 12 3" xfId="32295"/>
    <cellStyle name="표준 5 6 13" xfId="12538"/>
    <cellStyle name="표준 5 6 13 2" xfId="33415"/>
    <cellStyle name="표준 5 6 14" xfId="24665"/>
    <cellStyle name="표준 5 6 2" xfId="3288"/>
    <cellStyle name="표준 5 6 2 10" xfId="11606"/>
    <cellStyle name="표준 5 6 2 10 2" xfId="20372"/>
    <cellStyle name="표준 5 6 2 10 2 2" xfId="41248"/>
    <cellStyle name="표준 5 6 2 10 3" xfId="32512"/>
    <cellStyle name="표준 5 6 2 11" xfId="12755"/>
    <cellStyle name="표준 5 6 2 11 2" xfId="33632"/>
    <cellStyle name="표준 5 6 2 12" xfId="24882"/>
    <cellStyle name="표준 5 6 2 2" xfId="3729"/>
    <cellStyle name="표준 5 6 2 2 2" xfId="6002"/>
    <cellStyle name="표준 5 6 2 2 2 2" xfId="15011"/>
    <cellStyle name="표준 5 6 2 2 2 2 2" xfId="35887"/>
    <cellStyle name="표준 5 6 2 2 2 3" xfId="27149"/>
    <cellStyle name="표준 5 6 2 2 3" xfId="13192"/>
    <cellStyle name="표준 5 6 2 2 3 2" xfId="34069"/>
    <cellStyle name="표준 5 6 2 2 4" xfId="25319"/>
    <cellStyle name="표준 5 6 2 3" xfId="4891"/>
    <cellStyle name="표준 5 6 2 3 2" xfId="6722"/>
    <cellStyle name="표준 5 6 2 3 2 2" xfId="15731"/>
    <cellStyle name="표준 5 6 2 3 2 2 2" xfId="36607"/>
    <cellStyle name="표준 5 6 2 3 2 3" xfId="27869"/>
    <cellStyle name="표준 5 6 2 3 3" xfId="13913"/>
    <cellStyle name="표준 5 6 2 3 3 2" xfId="34789"/>
    <cellStyle name="표준 5 6 2 3 4" xfId="26051"/>
    <cellStyle name="표준 5 6 2 4" xfId="5565"/>
    <cellStyle name="표준 5 6 2 4 2" xfId="14574"/>
    <cellStyle name="표준 5 6 2 4 2 2" xfId="35450"/>
    <cellStyle name="표준 5 6 2 4 3" xfId="26712"/>
    <cellStyle name="표준 5 6 2 5" xfId="7368"/>
    <cellStyle name="표준 5 6 2 5 2" xfId="16375"/>
    <cellStyle name="표준 5 6 2 5 2 2" xfId="37251"/>
    <cellStyle name="표준 5 6 2 5 3" xfId="28513"/>
    <cellStyle name="표준 5 6 2 6" xfId="8012"/>
    <cellStyle name="표준 5 6 2 6 2" xfId="17018"/>
    <cellStyle name="표준 5 6 2 6 2 2" xfId="37894"/>
    <cellStyle name="표준 5 6 2 6 3" xfId="29156"/>
    <cellStyle name="표준 5 6 2 7" xfId="8860"/>
    <cellStyle name="표준 5 6 2 7 2" xfId="17865"/>
    <cellStyle name="표준 5 6 2 7 2 2" xfId="38741"/>
    <cellStyle name="표준 5 6 2 7 3" xfId="30003"/>
    <cellStyle name="표준 5 6 2 8" xfId="9685"/>
    <cellStyle name="표준 5 6 2 8 2" xfId="18683"/>
    <cellStyle name="표준 5 6 2 8 2 2" xfId="39559"/>
    <cellStyle name="표준 5 6 2 8 3" xfId="30821"/>
    <cellStyle name="표준 5 6 2 9" xfId="10740"/>
    <cellStyle name="표준 5 6 2 9 2" xfId="19511"/>
    <cellStyle name="표준 5 6 2 9 2 2" xfId="40387"/>
    <cellStyle name="표준 5 6 2 9 3" xfId="31651"/>
    <cellStyle name="표준 5 6 3" xfId="3512"/>
    <cellStyle name="표준 5 6 3 10" xfId="12975"/>
    <cellStyle name="표준 5 6 3 10 2" xfId="33852"/>
    <cellStyle name="표준 5 6 3 11" xfId="25102"/>
    <cellStyle name="표준 5 6 3 2" xfId="5114"/>
    <cellStyle name="표준 5 6 3 2 2" xfId="6939"/>
    <cellStyle name="표준 5 6 3 2 2 2" xfId="15948"/>
    <cellStyle name="표준 5 6 3 2 2 2 2" xfId="36824"/>
    <cellStyle name="표준 5 6 3 2 2 3" xfId="28086"/>
    <cellStyle name="표준 5 6 3 2 3" xfId="14130"/>
    <cellStyle name="표준 5 6 3 2 3 2" xfId="35006"/>
    <cellStyle name="표준 5 6 3 2 4" xfId="26268"/>
    <cellStyle name="표준 5 6 3 3" xfId="5785"/>
    <cellStyle name="표준 5 6 3 3 2" xfId="14794"/>
    <cellStyle name="표준 5 6 3 3 2 2" xfId="35670"/>
    <cellStyle name="표준 5 6 3 3 3" xfId="26932"/>
    <cellStyle name="표준 5 6 3 4" xfId="7585"/>
    <cellStyle name="표준 5 6 3 4 2" xfId="16592"/>
    <cellStyle name="표준 5 6 3 4 2 2" xfId="37468"/>
    <cellStyle name="표준 5 6 3 4 3" xfId="28730"/>
    <cellStyle name="표준 5 6 3 5" xfId="8229"/>
    <cellStyle name="표준 5 6 3 5 2" xfId="17235"/>
    <cellStyle name="표준 5 6 3 5 2 2" xfId="38111"/>
    <cellStyle name="표준 5 6 3 5 3" xfId="29373"/>
    <cellStyle name="표준 5 6 3 6" xfId="9077"/>
    <cellStyle name="표준 5 6 3 6 2" xfId="18082"/>
    <cellStyle name="표준 5 6 3 6 2 2" xfId="38958"/>
    <cellStyle name="표준 5 6 3 6 3" xfId="30220"/>
    <cellStyle name="표준 5 6 3 7" xfId="9902"/>
    <cellStyle name="표준 5 6 3 7 2" xfId="18900"/>
    <cellStyle name="표준 5 6 3 7 2 2" xfId="39776"/>
    <cellStyle name="표준 5 6 3 7 3" xfId="31038"/>
    <cellStyle name="표준 5 6 3 8" xfId="10957"/>
    <cellStyle name="표준 5 6 3 8 2" xfId="19728"/>
    <cellStyle name="표준 5 6 3 8 2 2" xfId="40604"/>
    <cellStyle name="표준 5 6 3 8 3" xfId="31868"/>
    <cellStyle name="표준 5 6 3 9" xfId="11823"/>
    <cellStyle name="표준 5 6 3 9 2" xfId="20589"/>
    <cellStyle name="표준 5 6 3 9 2 2" xfId="41465"/>
    <cellStyle name="표준 5 6 3 9 3" xfId="32729"/>
    <cellStyle name="표준 5 6 4" xfId="4671"/>
    <cellStyle name="표준 5 6 4 2" xfId="6505"/>
    <cellStyle name="표준 5 6 4 2 2" xfId="15514"/>
    <cellStyle name="표준 5 6 4 2 2 2" xfId="36390"/>
    <cellStyle name="표준 5 6 4 2 3" xfId="27652"/>
    <cellStyle name="표준 5 6 4 3" xfId="11178"/>
    <cellStyle name="표준 5 6 4 3 2" xfId="19947"/>
    <cellStyle name="표준 5 6 4 3 2 2" xfId="40823"/>
    <cellStyle name="표준 5 6 4 3 3" xfId="32087"/>
    <cellStyle name="표준 5 6 4 4" xfId="12042"/>
    <cellStyle name="표준 5 6 4 4 2" xfId="20808"/>
    <cellStyle name="표준 5 6 4 4 2 2" xfId="41684"/>
    <cellStyle name="표준 5 6 4 4 3" xfId="32948"/>
    <cellStyle name="표준 5 6 4 5" xfId="13696"/>
    <cellStyle name="표준 5 6 4 5 2" xfId="34572"/>
    <cellStyle name="표준 5 6 4 6" xfId="25834"/>
    <cellStyle name="표준 5 6 5" xfId="5348"/>
    <cellStyle name="표준 5 6 5 2" xfId="14357"/>
    <cellStyle name="표준 5 6 5 2 2" xfId="35233"/>
    <cellStyle name="표준 5 6 5 3" xfId="26495"/>
    <cellStyle name="표준 5 6 6" xfId="7150"/>
    <cellStyle name="표준 5 6 6 2" xfId="16158"/>
    <cellStyle name="표준 5 6 6 2 2" xfId="37034"/>
    <cellStyle name="표준 5 6 6 3" xfId="28296"/>
    <cellStyle name="표준 5 6 7" xfId="7795"/>
    <cellStyle name="표준 5 6 7 2" xfId="16801"/>
    <cellStyle name="표준 5 6 7 2 2" xfId="37677"/>
    <cellStyle name="표준 5 6 7 3" xfId="28939"/>
    <cellStyle name="표준 5 6 8" xfId="8643"/>
    <cellStyle name="표준 5 6 8 2" xfId="17648"/>
    <cellStyle name="표준 5 6 8 2 2" xfId="38524"/>
    <cellStyle name="표준 5 6 8 3" xfId="29786"/>
    <cellStyle name="표준 5 6 9" xfId="9467"/>
    <cellStyle name="표준 5 6 9 2" xfId="18466"/>
    <cellStyle name="표준 5 6 9 2 2" xfId="39342"/>
    <cellStyle name="표준 5 6 9 3" xfId="30604"/>
    <cellStyle name="표준 5 7" xfId="3069"/>
    <cellStyle name="표준 5 7 10" xfId="10524"/>
    <cellStyle name="표준 5 7 10 2" xfId="19295"/>
    <cellStyle name="표준 5 7 10 2 2" xfId="40171"/>
    <cellStyle name="표준 5 7 10 3" xfId="31435"/>
    <cellStyle name="표준 5 7 11" xfId="11390"/>
    <cellStyle name="표준 5 7 11 2" xfId="20156"/>
    <cellStyle name="표준 5 7 11 2 2" xfId="41032"/>
    <cellStyle name="표준 5 7 11 3" xfId="32296"/>
    <cellStyle name="표준 5 7 12" xfId="12539"/>
    <cellStyle name="표준 5 7 12 2" xfId="33416"/>
    <cellStyle name="표준 5 7 13" xfId="24666"/>
    <cellStyle name="표준 5 7 2" xfId="3289"/>
    <cellStyle name="표준 5 7 2 10" xfId="11607"/>
    <cellStyle name="표준 5 7 2 10 2" xfId="20373"/>
    <cellStyle name="표준 5 7 2 10 2 2" xfId="41249"/>
    <cellStyle name="표준 5 7 2 10 3" xfId="32513"/>
    <cellStyle name="표준 5 7 2 11" xfId="12756"/>
    <cellStyle name="표준 5 7 2 11 2" xfId="33633"/>
    <cellStyle name="표준 5 7 2 12" xfId="24883"/>
    <cellStyle name="표준 5 7 2 2" xfId="3730"/>
    <cellStyle name="표준 5 7 2 2 2" xfId="6003"/>
    <cellStyle name="표준 5 7 2 2 2 2" xfId="15012"/>
    <cellStyle name="표준 5 7 2 2 2 2 2" xfId="35888"/>
    <cellStyle name="표준 5 7 2 2 2 3" xfId="27150"/>
    <cellStyle name="표준 5 7 2 2 3" xfId="13193"/>
    <cellStyle name="표준 5 7 2 2 3 2" xfId="34070"/>
    <cellStyle name="표준 5 7 2 2 4" xfId="25320"/>
    <cellStyle name="표준 5 7 2 3" xfId="4892"/>
    <cellStyle name="표준 5 7 2 3 2" xfId="6723"/>
    <cellStyle name="표준 5 7 2 3 2 2" xfId="15732"/>
    <cellStyle name="표준 5 7 2 3 2 2 2" xfId="36608"/>
    <cellStyle name="표준 5 7 2 3 2 3" xfId="27870"/>
    <cellStyle name="표준 5 7 2 3 3" xfId="13914"/>
    <cellStyle name="표준 5 7 2 3 3 2" xfId="34790"/>
    <cellStyle name="표준 5 7 2 3 4" xfId="26052"/>
    <cellStyle name="표준 5 7 2 4" xfId="5566"/>
    <cellStyle name="표준 5 7 2 4 2" xfId="14575"/>
    <cellStyle name="표준 5 7 2 4 2 2" xfId="35451"/>
    <cellStyle name="표준 5 7 2 4 3" xfId="26713"/>
    <cellStyle name="표준 5 7 2 5" xfId="7369"/>
    <cellStyle name="표준 5 7 2 5 2" xfId="16376"/>
    <cellStyle name="표준 5 7 2 5 2 2" xfId="37252"/>
    <cellStyle name="표준 5 7 2 5 3" xfId="28514"/>
    <cellStyle name="표준 5 7 2 6" xfId="8013"/>
    <cellStyle name="표준 5 7 2 6 2" xfId="17019"/>
    <cellStyle name="표준 5 7 2 6 2 2" xfId="37895"/>
    <cellStyle name="표준 5 7 2 6 3" xfId="29157"/>
    <cellStyle name="표준 5 7 2 7" xfId="8861"/>
    <cellStyle name="표준 5 7 2 7 2" xfId="17866"/>
    <cellStyle name="표준 5 7 2 7 2 2" xfId="38742"/>
    <cellStyle name="표준 5 7 2 7 3" xfId="30004"/>
    <cellStyle name="표준 5 7 2 8" xfId="9686"/>
    <cellStyle name="표준 5 7 2 8 2" xfId="18684"/>
    <cellStyle name="표준 5 7 2 8 2 2" xfId="39560"/>
    <cellStyle name="표준 5 7 2 8 3" xfId="30822"/>
    <cellStyle name="표준 5 7 2 9" xfId="10741"/>
    <cellStyle name="표준 5 7 2 9 2" xfId="19512"/>
    <cellStyle name="표준 5 7 2 9 2 2" xfId="40388"/>
    <cellStyle name="표준 5 7 2 9 3" xfId="31652"/>
    <cellStyle name="표준 5 7 3" xfId="3513"/>
    <cellStyle name="표준 5 7 3 10" xfId="12976"/>
    <cellStyle name="표준 5 7 3 10 2" xfId="33853"/>
    <cellStyle name="표준 5 7 3 11" xfId="25103"/>
    <cellStyle name="표준 5 7 3 2" xfId="5115"/>
    <cellStyle name="표준 5 7 3 2 2" xfId="6940"/>
    <cellStyle name="표준 5 7 3 2 2 2" xfId="15949"/>
    <cellStyle name="표준 5 7 3 2 2 2 2" xfId="36825"/>
    <cellStyle name="표준 5 7 3 2 2 3" xfId="28087"/>
    <cellStyle name="표준 5 7 3 2 3" xfId="14131"/>
    <cellStyle name="표준 5 7 3 2 3 2" xfId="35007"/>
    <cellStyle name="표준 5 7 3 2 4" xfId="26269"/>
    <cellStyle name="표준 5 7 3 3" xfId="5786"/>
    <cellStyle name="표준 5 7 3 3 2" xfId="14795"/>
    <cellStyle name="표준 5 7 3 3 2 2" xfId="35671"/>
    <cellStyle name="표준 5 7 3 3 3" xfId="26933"/>
    <cellStyle name="표준 5 7 3 4" xfId="7586"/>
    <cellStyle name="표준 5 7 3 4 2" xfId="16593"/>
    <cellStyle name="표준 5 7 3 4 2 2" xfId="37469"/>
    <cellStyle name="표준 5 7 3 4 3" xfId="28731"/>
    <cellStyle name="표준 5 7 3 5" xfId="8230"/>
    <cellStyle name="표준 5 7 3 5 2" xfId="17236"/>
    <cellStyle name="표준 5 7 3 5 2 2" xfId="38112"/>
    <cellStyle name="표준 5 7 3 5 3" xfId="29374"/>
    <cellStyle name="표준 5 7 3 6" xfId="9078"/>
    <cellStyle name="표준 5 7 3 6 2" xfId="18083"/>
    <cellStyle name="표준 5 7 3 6 2 2" xfId="38959"/>
    <cellStyle name="표준 5 7 3 6 3" xfId="30221"/>
    <cellStyle name="표준 5 7 3 7" xfId="9903"/>
    <cellStyle name="표준 5 7 3 7 2" xfId="18901"/>
    <cellStyle name="표준 5 7 3 7 2 2" xfId="39777"/>
    <cellStyle name="표준 5 7 3 7 3" xfId="31039"/>
    <cellStyle name="표준 5 7 3 8" xfId="10958"/>
    <cellStyle name="표준 5 7 3 8 2" xfId="19729"/>
    <cellStyle name="표준 5 7 3 8 2 2" xfId="40605"/>
    <cellStyle name="표준 5 7 3 8 3" xfId="31869"/>
    <cellStyle name="표준 5 7 3 9" xfId="11824"/>
    <cellStyle name="표준 5 7 3 9 2" xfId="20590"/>
    <cellStyle name="표준 5 7 3 9 2 2" xfId="41466"/>
    <cellStyle name="표준 5 7 3 9 3" xfId="32730"/>
    <cellStyle name="표준 5 7 4" xfId="4672"/>
    <cellStyle name="표준 5 7 4 2" xfId="6506"/>
    <cellStyle name="표준 5 7 4 2 2" xfId="15515"/>
    <cellStyle name="표준 5 7 4 2 2 2" xfId="36391"/>
    <cellStyle name="표준 5 7 4 2 3" xfId="27653"/>
    <cellStyle name="표준 5 7 4 3" xfId="11179"/>
    <cellStyle name="표준 5 7 4 3 2" xfId="19948"/>
    <cellStyle name="표준 5 7 4 3 2 2" xfId="40824"/>
    <cellStyle name="표준 5 7 4 3 3" xfId="32088"/>
    <cellStyle name="표준 5 7 4 4" xfId="12043"/>
    <cellStyle name="표준 5 7 4 4 2" xfId="20809"/>
    <cellStyle name="표준 5 7 4 4 2 2" xfId="41685"/>
    <cellStyle name="표준 5 7 4 4 3" xfId="32949"/>
    <cellStyle name="표준 5 7 4 5" xfId="13697"/>
    <cellStyle name="표준 5 7 4 5 2" xfId="34573"/>
    <cellStyle name="표준 5 7 4 6" xfId="25835"/>
    <cellStyle name="표준 5 7 5" xfId="5349"/>
    <cellStyle name="표준 5 7 5 2" xfId="14358"/>
    <cellStyle name="표준 5 7 5 2 2" xfId="35234"/>
    <cellStyle name="표준 5 7 5 3" xfId="26496"/>
    <cellStyle name="표준 5 7 6" xfId="7151"/>
    <cellStyle name="표준 5 7 6 2" xfId="16159"/>
    <cellStyle name="표준 5 7 6 2 2" xfId="37035"/>
    <cellStyle name="표준 5 7 6 3" xfId="28297"/>
    <cellStyle name="표준 5 7 7" xfId="7796"/>
    <cellStyle name="표준 5 7 7 2" xfId="16802"/>
    <cellStyle name="표준 5 7 7 2 2" xfId="37678"/>
    <cellStyle name="표준 5 7 7 3" xfId="28940"/>
    <cellStyle name="표준 5 7 8" xfId="8644"/>
    <cellStyle name="표준 5 7 8 2" xfId="17649"/>
    <cellStyle name="표준 5 7 8 2 2" xfId="38525"/>
    <cellStyle name="표준 5 7 8 3" xfId="29787"/>
    <cellStyle name="표준 5 7 9" xfId="9468"/>
    <cellStyle name="표준 5 7 9 2" xfId="18467"/>
    <cellStyle name="표준 5 7 9 2 2" xfId="39343"/>
    <cellStyle name="표준 5 7 9 3" xfId="30605"/>
    <cellStyle name="표준 5 8" xfId="3283"/>
    <cellStyle name="표준 5 8 10" xfId="11601"/>
    <cellStyle name="표준 5 8 10 2" xfId="20367"/>
    <cellStyle name="표준 5 8 10 2 2" xfId="41243"/>
    <cellStyle name="표준 5 8 10 3" xfId="32507"/>
    <cellStyle name="표준 5 8 11" xfId="12750"/>
    <cellStyle name="표준 5 8 11 2" xfId="33627"/>
    <cellStyle name="표준 5 8 12" xfId="24877"/>
    <cellStyle name="표준 5 8 2" xfId="3724"/>
    <cellStyle name="표준 5 8 2 2" xfId="5997"/>
    <cellStyle name="표준 5 8 2 2 2" xfId="15006"/>
    <cellStyle name="표준 5 8 2 2 2 2" xfId="35882"/>
    <cellStyle name="표준 5 8 2 2 3" xfId="27144"/>
    <cellStyle name="표준 5 8 2 3" xfId="13187"/>
    <cellStyle name="표준 5 8 2 3 2" xfId="34064"/>
    <cellStyle name="표준 5 8 2 4" xfId="25314"/>
    <cellStyle name="표준 5 8 3" xfId="4886"/>
    <cellStyle name="표준 5 8 3 2" xfId="6717"/>
    <cellStyle name="표준 5 8 3 2 2" xfId="15726"/>
    <cellStyle name="표준 5 8 3 2 2 2" xfId="36602"/>
    <cellStyle name="표준 5 8 3 2 3" xfId="27864"/>
    <cellStyle name="표준 5 8 3 3" xfId="13908"/>
    <cellStyle name="표준 5 8 3 3 2" xfId="34784"/>
    <cellStyle name="표준 5 8 3 4" xfId="26046"/>
    <cellStyle name="표준 5 8 4" xfId="5560"/>
    <cellStyle name="표준 5 8 4 2" xfId="14569"/>
    <cellStyle name="표준 5 8 4 2 2" xfId="35445"/>
    <cellStyle name="표준 5 8 4 3" xfId="26707"/>
    <cellStyle name="표준 5 8 5" xfId="7363"/>
    <cellStyle name="표준 5 8 5 2" xfId="16370"/>
    <cellStyle name="표준 5 8 5 2 2" xfId="37246"/>
    <cellStyle name="표준 5 8 5 3" xfId="28508"/>
    <cellStyle name="표준 5 8 6" xfId="8007"/>
    <cellStyle name="표준 5 8 6 2" xfId="17013"/>
    <cellStyle name="표준 5 8 6 2 2" xfId="37889"/>
    <cellStyle name="표준 5 8 6 3" xfId="29151"/>
    <cellStyle name="표준 5 8 7" xfId="8855"/>
    <cellStyle name="표준 5 8 7 2" xfId="17860"/>
    <cellStyle name="표준 5 8 7 2 2" xfId="38736"/>
    <cellStyle name="표준 5 8 7 3" xfId="29998"/>
    <cellStyle name="표준 5 8 8" xfId="9680"/>
    <cellStyle name="표준 5 8 8 2" xfId="18678"/>
    <cellStyle name="표준 5 8 8 2 2" xfId="39554"/>
    <cellStyle name="표준 5 8 8 3" xfId="30816"/>
    <cellStyle name="표준 5 8 9" xfId="10735"/>
    <cellStyle name="표준 5 8 9 2" xfId="19506"/>
    <cellStyle name="표준 5 8 9 2 2" xfId="40382"/>
    <cellStyle name="표준 5 8 9 3" xfId="31646"/>
    <cellStyle name="표준 5 9" xfId="3507"/>
    <cellStyle name="표준 5 9 10" xfId="12970"/>
    <cellStyle name="표준 5 9 10 2" xfId="33847"/>
    <cellStyle name="표준 5 9 11" xfId="25097"/>
    <cellStyle name="표준 5 9 2" xfId="5109"/>
    <cellStyle name="표준 5 9 2 2" xfId="6934"/>
    <cellStyle name="표준 5 9 2 2 2" xfId="15943"/>
    <cellStyle name="표준 5 9 2 2 2 2" xfId="36819"/>
    <cellStyle name="표준 5 9 2 2 3" xfId="28081"/>
    <cellStyle name="표준 5 9 2 3" xfId="14125"/>
    <cellStyle name="표준 5 9 2 3 2" xfId="35001"/>
    <cellStyle name="표준 5 9 2 4" xfId="26263"/>
    <cellStyle name="표준 5 9 3" xfId="5780"/>
    <cellStyle name="표준 5 9 3 2" xfId="14789"/>
    <cellStyle name="표준 5 9 3 2 2" xfId="35665"/>
    <cellStyle name="표준 5 9 3 3" xfId="26927"/>
    <cellStyle name="표준 5 9 4" xfId="7580"/>
    <cellStyle name="표준 5 9 4 2" xfId="16587"/>
    <cellStyle name="표준 5 9 4 2 2" xfId="37463"/>
    <cellStyle name="표준 5 9 4 3" xfId="28725"/>
    <cellStyle name="표준 5 9 5" xfId="8224"/>
    <cellStyle name="표준 5 9 5 2" xfId="17230"/>
    <cellStyle name="표준 5 9 5 2 2" xfId="38106"/>
    <cellStyle name="표준 5 9 5 3" xfId="29368"/>
    <cellStyle name="표준 5 9 6" xfId="9072"/>
    <cellStyle name="표준 5 9 6 2" xfId="18077"/>
    <cellStyle name="표준 5 9 6 2 2" xfId="38953"/>
    <cellStyle name="표준 5 9 6 3" xfId="30215"/>
    <cellStyle name="표준 5 9 7" xfId="9897"/>
    <cellStyle name="표준 5 9 7 2" xfId="18895"/>
    <cellStyle name="표준 5 9 7 2 2" xfId="39771"/>
    <cellStyle name="표준 5 9 7 3" xfId="31033"/>
    <cellStyle name="표준 5 9 8" xfId="10952"/>
    <cellStyle name="표준 5 9 8 2" xfId="19723"/>
    <cellStyle name="표준 5 9 8 2 2" xfId="40599"/>
    <cellStyle name="표준 5 9 8 3" xfId="31863"/>
    <cellStyle name="표준 5 9 9" xfId="11818"/>
    <cellStyle name="표준 5 9 9 2" xfId="20584"/>
    <cellStyle name="표준 5 9 9 2 2" xfId="41460"/>
    <cellStyle name="표준 5 9 9 3" xfId="32724"/>
    <cellStyle name="표준 50" xfId="3844"/>
    <cellStyle name="표준 50 2" xfId="6073"/>
    <cellStyle name="표준 50 2 2" xfId="15082"/>
    <cellStyle name="표준 50 2 2 2" xfId="35958"/>
    <cellStyle name="표준 50 2 3" xfId="27220"/>
    <cellStyle name="표준 50 3" xfId="13264"/>
    <cellStyle name="표준 50 3 2" xfId="34140"/>
    <cellStyle name="표준 50 4" xfId="25402"/>
    <cellStyle name="표준 51" xfId="3845"/>
    <cellStyle name="표준 52" xfId="4701"/>
    <cellStyle name="표준 53" xfId="5147"/>
    <cellStyle name="표준 53 2" xfId="14160"/>
    <cellStyle name="표준 53 2 2" xfId="35036"/>
    <cellStyle name="표준 53 3" xfId="26298"/>
    <cellStyle name="표준 54" xfId="5149"/>
    <cellStyle name="표준 54 2" xfId="14162"/>
    <cellStyle name="표준 54 2 2" xfId="35038"/>
    <cellStyle name="표준 54 3" xfId="26300"/>
    <cellStyle name="표준 55" xfId="5150"/>
    <cellStyle name="표준 55 2" xfId="14163"/>
    <cellStyle name="표준 55 2 2" xfId="35039"/>
    <cellStyle name="표준 55 3" xfId="26301"/>
    <cellStyle name="표준 56" xfId="5151"/>
    <cellStyle name="표준 56 2" xfId="14164"/>
    <cellStyle name="표준 56 2 2" xfId="35040"/>
    <cellStyle name="표준 56 3" xfId="26302"/>
    <cellStyle name="표준 57" xfId="5165"/>
    <cellStyle name="표준 58" xfId="5152"/>
    <cellStyle name="표준 58 2" xfId="14165"/>
    <cellStyle name="표준 58 2 2" xfId="35041"/>
    <cellStyle name="표준 58 3" xfId="26303"/>
    <cellStyle name="표준 59" xfId="6969"/>
    <cellStyle name="표준 6" xfId="3070"/>
    <cellStyle name="표준 6 10" xfId="4673"/>
    <cellStyle name="표준 6 10 2" xfId="6507"/>
    <cellStyle name="표준 6 10 2 2" xfId="15516"/>
    <cellStyle name="표준 6 10 2 2 2" xfId="36392"/>
    <cellStyle name="표준 6 10 2 3" xfId="27654"/>
    <cellStyle name="표준 6 10 3" xfId="11180"/>
    <cellStyle name="표준 6 10 3 2" xfId="19949"/>
    <cellStyle name="표준 6 10 3 2 2" xfId="40825"/>
    <cellStyle name="표준 6 10 3 3" xfId="32089"/>
    <cellStyle name="표준 6 10 4" xfId="12044"/>
    <cellStyle name="표준 6 10 4 2" xfId="20810"/>
    <cellStyle name="표준 6 10 4 2 2" xfId="41686"/>
    <cellStyle name="표준 6 10 4 3" xfId="32950"/>
    <cellStyle name="표준 6 10 5" xfId="13698"/>
    <cellStyle name="표준 6 10 5 2" xfId="34574"/>
    <cellStyle name="표준 6 10 6" xfId="25836"/>
    <cellStyle name="표준 6 11" xfId="5350"/>
    <cellStyle name="표준 6 11 2" xfId="14359"/>
    <cellStyle name="표준 6 11 2 2" xfId="35235"/>
    <cellStyle name="표준 6 11 3" xfId="26497"/>
    <cellStyle name="표준 6 12" xfId="7152"/>
    <cellStyle name="표준 6 12 2" xfId="16160"/>
    <cellStyle name="표준 6 12 2 2" xfId="37036"/>
    <cellStyle name="표준 6 12 3" xfId="28298"/>
    <cellStyle name="표준 6 13" xfId="7797"/>
    <cellStyle name="표준 6 13 2" xfId="16803"/>
    <cellStyle name="표준 6 13 2 2" xfId="37679"/>
    <cellStyle name="표준 6 13 3" xfId="28941"/>
    <cellStyle name="표준 6 14" xfId="8645"/>
    <cellStyle name="표준 6 14 2" xfId="17650"/>
    <cellStyle name="표준 6 14 2 2" xfId="38526"/>
    <cellStyle name="표준 6 14 3" xfId="29788"/>
    <cellStyle name="표준 6 15" xfId="9189"/>
    <cellStyle name="표준 6 15 2" xfId="18193"/>
    <cellStyle name="표준 6 15 2 2" xfId="39069"/>
    <cellStyle name="표준 6 15 3" xfId="30331"/>
    <cellStyle name="표준 6 16" xfId="9469"/>
    <cellStyle name="표준 6 16 2" xfId="18468"/>
    <cellStyle name="표준 6 16 2 2" xfId="39344"/>
    <cellStyle name="표준 6 16 3" xfId="30606"/>
    <cellStyle name="표준 6 17" xfId="10128"/>
    <cellStyle name="표준 6 18" xfId="10525"/>
    <cellStyle name="표준 6 18 2" xfId="19296"/>
    <cellStyle name="표준 6 18 2 2" xfId="40172"/>
    <cellStyle name="표준 6 18 3" xfId="31436"/>
    <cellStyle name="표준 6 19" xfId="11391"/>
    <cellStyle name="표준 6 19 2" xfId="20157"/>
    <cellStyle name="표준 6 19 2 2" xfId="41033"/>
    <cellStyle name="표준 6 19 3" xfId="32297"/>
    <cellStyle name="표준 6 2" xfId="3071"/>
    <cellStyle name="표준 6 2 10" xfId="9470"/>
    <cellStyle name="표준 6 2 10 2" xfId="18469"/>
    <cellStyle name="표준 6 2 10 2 2" xfId="39345"/>
    <cellStyle name="표준 6 2 10 3" xfId="30607"/>
    <cellStyle name="표준 6 2 11" xfId="10129"/>
    <cellStyle name="표준 6 2 12" xfId="10526"/>
    <cellStyle name="표준 6 2 12 2" xfId="19297"/>
    <cellStyle name="표준 6 2 12 2 2" xfId="40173"/>
    <cellStyle name="표준 6 2 12 3" xfId="31437"/>
    <cellStyle name="표준 6 2 13" xfId="11392"/>
    <cellStyle name="표준 6 2 13 2" xfId="20158"/>
    <cellStyle name="표준 6 2 13 2 2" xfId="41034"/>
    <cellStyle name="표준 6 2 13 3" xfId="32298"/>
    <cellStyle name="표준 6 2 14" xfId="12541"/>
    <cellStyle name="표준 6 2 14 2" xfId="33418"/>
    <cellStyle name="표준 6 2 15" xfId="24668"/>
    <cellStyle name="표준 6 2 2" xfId="3291"/>
    <cellStyle name="표준 6 2 2 10" xfId="10743"/>
    <cellStyle name="표준 6 2 2 10 2" xfId="19514"/>
    <cellStyle name="표준 6 2 2 10 2 2" xfId="40390"/>
    <cellStyle name="표준 6 2 2 10 3" xfId="31654"/>
    <cellStyle name="표준 6 2 2 11" xfId="11609"/>
    <cellStyle name="표준 6 2 2 11 2" xfId="20375"/>
    <cellStyle name="표준 6 2 2 11 2 2" xfId="41251"/>
    <cellStyle name="표준 6 2 2 11 3" xfId="32515"/>
    <cellStyle name="표준 6 2 2 12" xfId="12758"/>
    <cellStyle name="표준 6 2 2 12 2" xfId="33635"/>
    <cellStyle name="표준 6 2 2 13" xfId="24885"/>
    <cellStyle name="표준 6 2 2 2" xfId="3732"/>
    <cellStyle name="표준 6 2 2 2 2" xfId="6005"/>
    <cellStyle name="표준 6 2 2 2 2 2" xfId="15014"/>
    <cellStyle name="표준 6 2 2 2 2 2 2" xfId="35890"/>
    <cellStyle name="표준 6 2 2 2 2 3" xfId="27152"/>
    <cellStyle name="표준 6 2 2 2 3" xfId="13195"/>
    <cellStyle name="표준 6 2 2 2 3 2" xfId="34072"/>
    <cellStyle name="표준 6 2 2 2 4" xfId="25322"/>
    <cellStyle name="표준 6 2 2 3" xfId="4894"/>
    <cellStyle name="표준 6 2 2 3 2" xfId="6725"/>
    <cellStyle name="표준 6 2 2 3 2 2" xfId="15734"/>
    <cellStyle name="표준 6 2 2 3 2 2 2" xfId="36610"/>
    <cellStyle name="표준 6 2 2 3 2 3" xfId="27872"/>
    <cellStyle name="표준 6 2 2 3 3" xfId="13916"/>
    <cellStyle name="표준 6 2 2 3 3 2" xfId="34792"/>
    <cellStyle name="표준 6 2 2 3 4" xfId="26054"/>
    <cellStyle name="표준 6 2 2 4" xfId="5568"/>
    <cellStyle name="표준 6 2 2 4 2" xfId="14577"/>
    <cellStyle name="표준 6 2 2 4 2 2" xfId="35453"/>
    <cellStyle name="표준 6 2 2 4 3" xfId="26715"/>
    <cellStyle name="표준 6 2 2 5" xfId="7371"/>
    <cellStyle name="표준 6 2 2 5 2" xfId="16378"/>
    <cellStyle name="표준 6 2 2 5 2 2" xfId="37254"/>
    <cellStyle name="표준 6 2 2 5 3" xfId="28516"/>
    <cellStyle name="표준 6 2 2 6" xfId="8015"/>
    <cellStyle name="표준 6 2 2 6 2" xfId="17021"/>
    <cellStyle name="표준 6 2 2 6 2 2" xfId="37897"/>
    <cellStyle name="표준 6 2 2 6 3" xfId="29159"/>
    <cellStyle name="표준 6 2 2 7" xfId="8863"/>
    <cellStyle name="표준 6 2 2 7 2" xfId="17868"/>
    <cellStyle name="표준 6 2 2 7 2 2" xfId="38744"/>
    <cellStyle name="표준 6 2 2 7 3" xfId="30006"/>
    <cellStyle name="표준 6 2 2 8" xfId="9688"/>
    <cellStyle name="표준 6 2 2 8 2" xfId="18686"/>
    <cellStyle name="표준 6 2 2 8 2 2" xfId="39562"/>
    <cellStyle name="표준 6 2 2 8 3" xfId="30824"/>
    <cellStyle name="표준 6 2 2 9" xfId="10130"/>
    <cellStyle name="표준 6 2 3" xfId="3515"/>
    <cellStyle name="표준 6 2 3 10" xfId="12978"/>
    <cellStyle name="표준 6 2 3 10 2" xfId="33855"/>
    <cellStyle name="표준 6 2 3 11" xfId="25105"/>
    <cellStyle name="표준 6 2 3 2" xfId="5117"/>
    <cellStyle name="표준 6 2 3 2 2" xfId="6942"/>
    <cellStyle name="표준 6 2 3 2 2 2" xfId="15951"/>
    <cellStyle name="표준 6 2 3 2 2 2 2" xfId="36827"/>
    <cellStyle name="표준 6 2 3 2 2 3" xfId="28089"/>
    <cellStyle name="표준 6 2 3 2 3" xfId="14133"/>
    <cellStyle name="표준 6 2 3 2 3 2" xfId="35009"/>
    <cellStyle name="표준 6 2 3 2 4" xfId="26271"/>
    <cellStyle name="표준 6 2 3 3" xfId="5788"/>
    <cellStyle name="표준 6 2 3 3 2" xfId="14797"/>
    <cellStyle name="표준 6 2 3 3 2 2" xfId="35673"/>
    <cellStyle name="표준 6 2 3 3 3" xfId="26935"/>
    <cellStyle name="표준 6 2 3 4" xfId="7588"/>
    <cellStyle name="표준 6 2 3 4 2" xfId="16595"/>
    <cellStyle name="표준 6 2 3 4 2 2" xfId="37471"/>
    <cellStyle name="표준 6 2 3 4 3" xfId="28733"/>
    <cellStyle name="표준 6 2 3 5" xfId="8232"/>
    <cellStyle name="표준 6 2 3 5 2" xfId="17238"/>
    <cellStyle name="표준 6 2 3 5 2 2" xfId="38114"/>
    <cellStyle name="표준 6 2 3 5 3" xfId="29376"/>
    <cellStyle name="표준 6 2 3 6" xfId="9080"/>
    <cellStyle name="표준 6 2 3 6 2" xfId="18085"/>
    <cellStyle name="표준 6 2 3 6 2 2" xfId="38961"/>
    <cellStyle name="표준 6 2 3 6 3" xfId="30223"/>
    <cellStyle name="표준 6 2 3 7" xfId="9905"/>
    <cellStyle name="표준 6 2 3 7 2" xfId="18903"/>
    <cellStyle name="표준 6 2 3 7 2 2" xfId="39779"/>
    <cellStyle name="표준 6 2 3 7 3" xfId="31041"/>
    <cellStyle name="표준 6 2 3 8" xfId="10960"/>
    <cellStyle name="표준 6 2 3 8 2" xfId="19731"/>
    <cellStyle name="표준 6 2 3 8 2 2" xfId="40607"/>
    <cellStyle name="표준 6 2 3 8 3" xfId="31871"/>
    <cellStyle name="표준 6 2 3 9" xfId="11826"/>
    <cellStyle name="표준 6 2 3 9 2" xfId="20592"/>
    <cellStyle name="표준 6 2 3 9 2 2" xfId="41468"/>
    <cellStyle name="표준 6 2 3 9 3" xfId="32732"/>
    <cellStyle name="표준 6 2 4" xfId="4674"/>
    <cellStyle name="표준 6 2 4 2" xfId="6508"/>
    <cellStyle name="표준 6 2 4 2 2" xfId="15517"/>
    <cellStyle name="표준 6 2 4 2 2 2" xfId="36393"/>
    <cellStyle name="표준 6 2 4 2 3" xfId="27655"/>
    <cellStyle name="표준 6 2 4 3" xfId="11181"/>
    <cellStyle name="표준 6 2 4 3 2" xfId="19950"/>
    <cellStyle name="표준 6 2 4 3 2 2" xfId="40826"/>
    <cellStyle name="표준 6 2 4 3 3" xfId="32090"/>
    <cellStyle name="표준 6 2 4 4" xfId="12045"/>
    <cellStyle name="표준 6 2 4 4 2" xfId="20811"/>
    <cellStyle name="표준 6 2 4 4 2 2" xfId="41687"/>
    <cellStyle name="표준 6 2 4 4 3" xfId="32951"/>
    <cellStyle name="표준 6 2 4 5" xfId="13699"/>
    <cellStyle name="표준 6 2 4 5 2" xfId="34575"/>
    <cellStyle name="표준 6 2 4 6" xfId="25837"/>
    <cellStyle name="표준 6 2 5" xfId="5351"/>
    <cellStyle name="표준 6 2 5 2" xfId="14360"/>
    <cellStyle name="표준 6 2 5 2 2" xfId="35236"/>
    <cellStyle name="표준 6 2 5 3" xfId="26498"/>
    <cellStyle name="표준 6 2 6" xfId="7153"/>
    <cellStyle name="표준 6 2 6 2" xfId="16161"/>
    <cellStyle name="표준 6 2 6 2 2" xfId="37037"/>
    <cellStyle name="표준 6 2 6 3" xfId="28299"/>
    <cellStyle name="표준 6 2 7" xfId="7798"/>
    <cellStyle name="표준 6 2 7 2" xfId="16804"/>
    <cellStyle name="표준 6 2 7 2 2" xfId="37680"/>
    <cellStyle name="표준 6 2 7 3" xfId="28942"/>
    <cellStyle name="표준 6 2 8" xfId="8646"/>
    <cellStyle name="표준 6 2 8 2" xfId="17651"/>
    <cellStyle name="표준 6 2 8 2 2" xfId="38527"/>
    <cellStyle name="표준 6 2 8 3" xfId="29789"/>
    <cellStyle name="표준 6 2 9" xfId="9190"/>
    <cellStyle name="표준 6 2 9 2" xfId="18194"/>
    <cellStyle name="표준 6 2 9 2 2" xfId="39070"/>
    <cellStyle name="표준 6 2 9 3" xfId="30332"/>
    <cellStyle name="표준 6 20" xfId="12540"/>
    <cellStyle name="표준 6 20 2" xfId="33417"/>
    <cellStyle name="표준 6 21" xfId="24296"/>
    <cellStyle name="표준 6 22" xfId="24667"/>
    <cellStyle name="표준 6 3" xfId="3072"/>
    <cellStyle name="표준 6 3 10" xfId="9471"/>
    <cellStyle name="표준 6 3 10 2" xfId="18470"/>
    <cellStyle name="표준 6 3 10 2 2" xfId="39346"/>
    <cellStyle name="표준 6 3 10 3" xfId="30608"/>
    <cellStyle name="표준 6 3 11" xfId="10131"/>
    <cellStyle name="표준 6 3 12" xfId="10527"/>
    <cellStyle name="표준 6 3 12 2" xfId="19298"/>
    <cellStyle name="표준 6 3 12 2 2" xfId="40174"/>
    <cellStyle name="표준 6 3 12 3" xfId="31438"/>
    <cellStyle name="표준 6 3 13" xfId="11393"/>
    <cellStyle name="표준 6 3 13 2" xfId="20159"/>
    <cellStyle name="표준 6 3 13 2 2" xfId="41035"/>
    <cellStyle name="표준 6 3 13 3" xfId="32299"/>
    <cellStyle name="표준 6 3 14" xfId="12542"/>
    <cellStyle name="표준 6 3 14 2" xfId="33419"/>
    <cellStyle name="표준 6 3 15" xfId="24669"/>
    <cellStyle name="표준 6 3 2" xfId="3292"/>
    <cellStyle name="표준 6 3 2 10" xfId="10744"/>
    <cellStyle name="표준 6 3 2 10 2" xfId="19515"/>
    <cellStyle name="표준 6 3 2 10 2 2" xfId="40391"/>
    <cellStyle name="표준 6 3 2 10 3" xfId="31655"/>
    <cellStyle name="표준 6 3 2 11" xfId="11610"/>
    <cellStyle name="표준 6 3 2 11 2" xfId="20376"/>
    <cellStyle name="표준 6 3 2 11 2 2" xfId="41252"/>
    <cellStyle name="표준 6 3 2 11 3" xfId="32516"/>
    <cellStyle name="표준 6 3 2 12" xfId="12759"/>
    <cellStyle name="표준 6 3 2 12 2" xfId="33636"/>
    <cellStyle name="표준 6 3 2 13" xfId="24886"/>
    <cellStyle name="표준 6 3 2 2" xfId="3733"/>
    <cellStyle name="표준 6 3 2 2 2" xfId="6006"/>
    <cellStyle name="표준 6 3 2 2 2 2" xfId="15015"/>
    <cellStyle name="표준 6 3 2 2 2 2 2" xfId="35891"/>
    <cellStyle name="표준 6 3 2 2 2 3" xfId="27153"/>
    <cellStyle name="표준 6 3 2 2 3" xfId="13196"/>
    <cellStyle name="표준 6 3 2 2 3 2" xfId="34073"/>
    <cellStyle name="표준 6 3 2 2 4" xfId="25323"/>
    <cellStyle name="표준 6 3 2 3" xfId="4895"/>
    <cellStyle name="표준 6 3 2 3 2" xfId="6726"/>
    <cellStyle name="표준 6 3 2 3 2 2" xfId="15735"/>
    <cellStyle name="표준 6 3 2 3 2 2 2" xfId="36611"/>
    <cellStyle name="표준 6 3 2 3 2 3" xfId="27873"/>
    <cellStyle name="표준 6 3 2 3 3" xfId="13917"/>
    <cellStyle name="표준 6 3 2 3 3 2" xfId="34793"/>
    <cellStyle name="표준 6 3 2 3 4" xfId="26055"/>
    <cellStyle name="표준 6 3 2 4" xfId="5569"/>
    <cellStyle name="표준 6 3 2 4 2" xfId="14578"/>
    <cellStyle name="표준 6 3 2 4 2 2" xfId="35454"/>
    <cellStyle name="표준 6 3 2 4 3" xfId="26716"/>
    <cellStyle name="표준 6 3 2 5" xfId="7372"/>
    <cellStyle name="표준 6 3 2 5 2" xfId="16379"/>
    <cellStyle name="표준 6 3 2 5 2 2" xfId="37255"/>
    <cellStyle name="표준 6 3 2 5 3" xfId="28517"/>
    <cellStyle name="표준 6 3 2 6" xfId="8016"/>
    <cellStyle name="표준 6 3 2 6 2" xfId="17022"/>
    <cellStyle name="표준 6 3 2 6 2 2" xfId="37898"/>
    <cellStyle name="표준 6 3 2 6 3" xfId="29160"/>
    <cellStyle name="표준 6 3 2 7" xfId="8864"/>
    <cellStyle name="표준 6 3 2 7 2" xfId="17869"/>
    <cellStyle name="표준 6 3 2 7 2 2" xfId="38745"/>
    <cellStyle name="표준 6 3 2 7 3" xfId="30007"/>
    <cellStyle name="표준 6 3 2 8" xfId="9689"/>
    <cellStyle name="표준 6 3 2 8 2" xfId="18687"/>
    <cellStyle name="표준 6 3 2 8 2 2" xfId="39563"/>
    <cellStyle name="표준 6 3 2 8 3" xfId="30825"/>
    <cellStyle name="표준 6 3 2 9" xfId="10132"/>
    <cellStyle name="표준 6 3 3" xfId="3516"/>
    <cellStyle name="표준 6 3 3 10" xfId="12979"/>
    <cellStyle name="표준 6 3 3 10 2" xfId="33856"/>
    <cellStyle name="표준 6 3 3 11" xfId="25106"/>
    <cellStyle name="표준 6 3 3 2" xfId="5118"/>
    <cellStyle name="표준 6 3 3 2 2" xfId="6943"/>
    <cellStyle name="표준 6 3 3 2 2 2" xfId="15952"/>
    <cellStyle name="표준 6 3 3 2 2 2 2" xfId="36828"/>
    <cellStyle name="표준 6 3 3 2 2 3" xfId="28090"/>
    <cellStyle name="표준 6 3 3 2 3" xfId="14134"/>
    <cellStyle name="표준 6 3 3 2 3 2" xfId="35010"/>
    <cellStyle name="표준 6 3 3 2 4" xfId="26272"/>
    <cellStyle name="표준 6 3 3 3" xfId="5789"/>
    <cellStyle name="표준 6 3 3 3 2" xfId="14798"/>
    <cellStyle name="표준 6 3 3 3 2 2" xfId="35674"/>
    <cellStyle name="표준 6 3 3 3 3" xfId="26936"/>
    <cellStyle name="표준 6 3 3 4" xfId="7589"/>
    <cellStyle name="표준 6 3 3 4 2" xfId="16596"/>
    <cellStyle name="표준 6 3 3 4 2 2" xfId="37472"/>
    <cellStyle name="표준 6 3 3 4 3" xfId="28734"/>
    <cellStyle name="표준 6 3 3 5" xfId="8233"/>
    <cellStyle name="표준 6 3 3 5 2" xfId="17239"/>
    <cellStyle name="표준 6 3 3 5 2 2" xfId="38115"/>
    <cellStyle name="표준 6 3 3 5 3" xfId="29377"/>
    <cellStyle name="표준 6 3 3 6" xfId="9081"/>
    <cellStyle name="표준 6 3 3 6 2" xfId="18086"/>
    <cellStyle name="표준 6 3 3 6 2 2" xfId="38962"/>
    <cellStyle name="표준 6 3 3 6 3" xfId="30224"/>
    <cellStyle name="표준 6 3 3 7" xfId="9906"/>
    <cellStyle name="표준 6 3 3 7 2" xfId="18904"/>
    <cellStyle name="표준 6 3 3 7 2 2" xfId="39780"/>
    <cellStyle name="표준 6 3 3 7 3" xfId="31042"/>
    <cellStyle name="표준 6 3 3 8" xfId="10961"/>
    <cellStyle name="표준 6 3 3 8 2" xfId="19732"/>
    <cellStyle name="표준 6 3 3 8 2 2" xfId="40608"/>
    <cellStyle name="표준 6 3 3 8 3" xfId="31872"/>
    <cellStyle name="표준 6 3 3 9" xfId="11827"/>
    <cellStyle name="표준 6 3 3 9 2" xfId="20593"/>
    <cellStyle name="표준 6 3 3 9 2 2" xfId="41469"/>
    <cellStyle name="표준 6 3 3 9 3" xfId="32733"/>
    <cellStyle name="표준 6 3 4" xfId="4675"/>
    <cellStyle name="표준 6 3 4 2" xfId="6509"/>
    <cellStyle name="표준 6 3 4 2 2" xfId="15518"/>
    <cellStyle name="표준 6 3 4 2 2 2" xfId="36394"/>
    <cellStyle name="표준 6 3 4 2 3" xfId="27656"/>
    <cellStyle name="표준 6 3 4 3" xfId="11182"/>
    <cellStyle name="표준 6 3 4 3 2" xfId="19951"/>
    <cellStyle name="표준 6 3 4 3 2 2" xfId="40827"/>
    <cellStyle name="표준 6 3 4 3 3" xfId="32091"/>
    <cellStyle name="표준 6 3 4 4" xfId="12046"/>
    <cellStyle name="표준 6 3 4 4 2" xfId="20812"/>
    <cellStyle name="표준 6 3 4 4 2 2" xfId="41688"/>
    <cellStyle name="표준 6 3 4 4 3" xfId="32952"/>
    <cellStyle name="표준 6 3 4 5" xfId="13700"/>
    <cellStyle name="표준 6 3 4 5 2" xfId="34576"/>
    <cellStyle name="표준 6 3 4 6" xfId="25838"/>
    <cellStyle name="표준 6 3 5" xfId="5352"/>
    <cellStyle name="표준 6 3 5 2" xfId="14361"/>
    <cellStyle name="표준 6 3 5 2 2" xfId="35237"/>
    <cellStyle name="표준 6 3 5 3" xfId="26499"/>
    <cellStyle name="표준 6 3 6" xfId="7154"/>
    <cellStyle name="표준 6 3 6 2" xfId="16162"/>
    <cellStyle name="표준 6 3 6 2 2" xfId="37038"/>
    <cellStyle name="표준 6 3 6 3" xfId="28300"/>
    <cellStyle name="표준 6 3 7" xfId="7799"/>
    <cellStyle name="표준 6 3 7 2" xfId="16805"/>
    <cellStyle name="표준 6 3 7 2 2" xfId="37681"/>
    <cellStyle name="표준 6 3 7 3" xfId="28943"/>
    <cellStyle name="표준 6 3 8" xfId="8647"/>
    <cellStyle name="표준 6 3 8 2" xfId="17652"/>
    <cellStyle name="표준 6 3 8 2 2" xfId="38528"/>
    <cellStyle name="표준 6 3 8 3" xfId="29790"/>
    <cellStyle name="표준 6 3 9" xfId="9191"/>
    <cellStyle name="표준 6 3 9 2" xfId="18195"/>
    <cellStyle name="표준 6 3 9 2 2" xfId="39071"/>
    <cellStyle name="표준 6 3 9 3" xfId="30333"/>
    <cellStyle name="표준 6 4" xfId="3073"/>
    <cellStyle name="표준 6 4 10" xfId="9472"/>
    <cellStyle name="표준 6 4 10 2" xfId="18471"/>
    <cellStyle name="표준 6 4 10 2 2" xfId="39347"/>
    <cellStyle name="표준 6 4 10 3" xfId="30609"/>
    <cellStyle name="표준 6 4 11" xfId="10133"/>
    <cellStyle name="표준 6 4 12" xfId="10528"/>
    <cellStyle name="표준 6 4 12 2" xfId="19299"/>
    <cellStyle name="표준 6 4 12 2 2" xfId="40175"/>
    <cellStyle name="표준 6 4 12 3" xfId="31439"/>
    <cellStyle name="표준 6 4 13" xfId="11394"/>
    <cellStyle name="표준 6 4 13 2" xfId="20160"/>
    <cellStyle name="표준 6 4 13 2 2" xfId="41036"/>
    <cellStyle name="표준 6 4 13 3" xfId="32300"/>
    <cellStyle name="표준 6 4 14" xfId="12543"/>
    <cellStyle name="표준 6 4 14 2" xfId="33420"/>
    <cellStyle name="표준 6 4 15" xfId="24670"/>
    <cellStyle name="표준 6 4 2" xfId="3293"/>
    <cellStyle name="표준 6 4 2 10" xfId="10745"/>
    <cellStyle name="표준 6 4 2 10 2" xfId="19516"/>
    <cellStyle name="표준 6 4 2 10 2 2" xfId="40392"/>
    <cellStyle name="표준 6 4 2 10 3" xfId="31656"/>
    <cellStyle name="표준 6 4 2 11" xfId="11611"/>
    <cellStyle name="표준 6 4 2 11 2" xfId="20377"/>
    <cellStyle name="표준 6 4 2 11 2 2" xfId="41253"/>
    <cellStyle name="표준 6 4 2 11 3" xfId="32517"/>
    <cellStyle name="표준 6 4 2 12" xfId="12760"/>
    <cellStyle name="표준 6 4 2 12 2" xfId="33637"/>
    <cellStyle name="표준 6 4 2 13" xfId="24887"/>
    <cellStyle name="표준 6 4 2 2" xfId="3734"/>
    <cellStyle name="표준 6 4 2 2 2" xfId="6007"/>
    <cellStyle name="표준 6 4 2 2 2 2" xfId="15016"/>
    <cellStyle name="표준 6 4 2 2 2 2 2" xfId="35892"/>
    <cellStyle name="표준 6 4 2 2 2 3" xfId="27154"/>
    <cellStyle name="표준 6 4 2 2 3" xfId="13197"/>
    <cellStyle name="표준 6 4 2 2 3 2" xfId="34074"/>
    <cellStyle name="표준 6 4 2 2 4" xfId="25324"/>
    <cellStyle name="표준 6 4 2 3" xfId="4896"/>
    <cellStyle name="표준 6 4 2 3 2" xfId="6727"/>
    <cellStyle name="표준 6 4 2 3 2 2" xfId="15736"/>
    <cellStyle name="표준 6 4 2 3 2 2 2" xfId="36612"/>
    <cellStyle name="표준 6 4 2 3 2 3" xfId="27874"/>
    <cellStyle name="표준 6 4 2 3 3" xfId="13918"/>
    <cellStyle name="표준 6 4 2 3 3 2" xfId="34794"/>
    <cellStyle name="표준 6 4 2 3 4" xfId="26056"/>
    <cellStyle name="표준 6 4 2 4" xfId="5570"/>
    <cellStyle name="표준 6 4 2 4 2" xfId="14579"/>
    <cellStyle name="표준 6 4 2 4 2 2" xfId="35455"/>
    <cellStyle name="표준 6 4 2 4 3" xfId="26717"/>
    <cellStyle name="표준 6 4 2 5" xfId="7373"/>
    <cellStyle name="표준 6 4 2 5 2" xfId="16380"/>
    <cellStyle name="표준 6 4 2 5 2 2" xfId="37256"/>
    <cellStyle name="표준 6 4 2 5 3" xfId="28518"/>
    <cellStyle name="표준 6 4 2 6" xfId="8017"/>
    <cellStyle name="표준 6 4 2 6 2" xfId="17023"/>
    <cellStyle name="표준 6 4 2 6 2 2" xfId="37899"/>
    <cellStyle name="표준 6 4 2 6 3" xfId="29161"/>
    <cellStyle name="표준 6 4 2 7" xfId="8865"/>
    <cellStyle name="표준 6 4 2 7 2" xfId="17870"/>
    <cellStyle name="표준 6 4 2 7 2 2" xfId="38746"/>
    <cellStyle name="표준 6 4 2 7 3" xfId="30008"/>
    <cellStyle name="표준 6 4 2 8" xfId="9690"/>
    <cellStyle name="표준 6 4 2 8 2" xfId="18688"/>
    <cellStyle name="표준 6 4 2 8 2 2" xfId="39564"/>
    <cellStyle name="표준 6 4 2 8 3" xfId="30826"/>
    <cellStyle name="표준 6 4 2 9" xfId="10134"/>
    <cellStyle name="표준 6 4 3" xfId="3517"/>
    <cellStyle name="표준 6 4 3 10" xfId="12980"/>
    <cellStyle name="표준 6 4 3 10 2" xfId="33857"/>
    <cellStyle name="표준 6 4 3 11" xfId="25107"/>
    <cellStyle name="표준 6 4 3 2" xfId="5119"/>
    <cellStyle name="표준 6 4 3 2 2" xfId="6944"/>
    <cellStyle name="표준 6 4 3 2 2 2" xfId="15953"/>
    <cellStyle name="표준 6 4 3 2 2 2 2" xfId="36829"/>
    <cellStyle name="표준 6 4 3 2 2 3" xfId="28091"/>
    <cellStyle name="표준 6 4 3 2 3" xfId="14135"/>
    <cellStyle name="표준 6 4 3 2 3 2" xfId="35011"/>
    <cellStyle name="표준 6 4 3 2 4" xfId="26273"/>
    <cellStyle name="표준 6 4 3 3" xfId="5790"/>
    <cellStyle name="표준 6 4 3 3 2" xfId="14799"/>
    <cellStyle name="표준 6 4 3 3 2 2" xfId="35675"/>
    <cellStyle name="표준 6 4 3 3 3" xfId="26937"/>
    <cellStyle name="표준 6 4 3 4" xfId="7590"/>
    <cellStyle name="표준 6 4 3 4 2" xfId="16597"/>
    <cellStyle name="표준 6 4 3 4 2 2" xfId="37473"/>
    <cellStyle name="표준 6 4 3 4 3" xfId="28735"/>
    <cellStyle name="표준 6 4 3 5" xfId="8234"/>
    <cellStyle name="표준 6 4 3 5 2" xfId="17240"/>
    <cellStyle name="표준 6 4 3 5 2 2" xfId="38116"/>
    <cellStyle name="표준 6 4 3 5 3" xfId="29378"/>
    <cellStyle name="표준 6 4 3 6" xfId="9082"/>
    <cellStyle name="표준 6 4 3 6 2" xfId="18087"/>
    <cellStyle name="표준 6 4 3 6 2 2" xfId="38963"/>
    <cellStyle name="표준 6 4 3 6 3" xfId="30225"/>
    <cellStyle name="표준 6 4 3 7" xfId="9907"/>
    <cellStyle name="표준 6 4 3 7 2" xfId="18905"/>
    <cellStyle name="표준 6 4 3 7 2 2" xfId="39781"/>
    <cellStyle name="표준 6 4 3 7 3" xfId="31043"/>
    <cellStyle name="표준 6 4 3 8" xfId="10962"/>
    <cellStyle name="표준 6 4 3 8 2" xfId="19733"/>
    <cellStyle name="표준 6 4 3 8 2 2" xfId="40609"/>
    <cellStyle name="표준 6 4 3 8 3" xfId="31873"/>
    <cellStyle name="표준 6 4 3 9" xfId="11828"/>
    <cellStyle name="표준 6 4 3 9 2" xfId="20594"/>
    <cellStyle name="표준 6 4 3 9 2 2" xfId="41470"/>
    <cellStyle name="표준 6 4 3 9 3" xfId="32734"/>
    <cellStyle name="표준 6 4 4" xfId="4676"/>
    <cellStyle name="표준 6 4 4 2" xfId="6510"/>
    <cellStyle name="표준 6 4 4 2 2" xfId="15519"/>
    <cellStyle name="표준 6 4 4 2 2 2" xfId="36395"/>
    <cellStyle name="표준 6 4 4 2 3" xfId="27657"/>
    <cellStyle name="표준 6 4 4 3" xfId="11183"/>
    <cellStyle name="표준 6 4 4 3 2" xfId="19952"/>
    <cellStyle name="표준 6 4 4 3 2 2" xfId="40828"/>
    <cellStyle name="표준 6 4 4 3 3" xfId="32092"/>
    <cellStyle name="표준 6 4 4 4" xfId="12047"/>
    <cellStyle name="표준 6 4 4 4 2" xfId="20813"/>
    <cellStyle name="표준 6 4 4 4 2 2" xfId="41689"/>
    <cellStyle name="표준 6 4 4 4 3" xfId="32953"/>
    <cellStyle name="표준 6 4 4 5" xfId="13701"/>
    <cellStyle name="표준 6 4 4 5 2" xfId="34577"/>
    <cellStyle name="표준 6 4 4 6" xfId="25839"/>
    <cellStyle name="표준 6 4 5" xfId="5353"/>
    <cellStyle name="표준 6 4 5 2" xfId="14362"/>
    <cellStyle name="표준 6 4 5 2 2" xfId="35238"/>
    <cellStyle name="표준 6 4 5 3" xfId="26500"/>
    <cellStyle name="표준 6 4 6" xfId="7155"/>
    <cellStyle name="표준 6 4 6 2" xfId="16163"/>
    <cellStyle name="표준 6 4 6 2 2" xfId="37039"/>
    <cellStyle name="표준 6 4 6 3" xfId="28301"/>
    <cellStyle name="표준 6 4 7" xfId="7800"/>
    <cellStyle name="표준 6 4 7 2" xfId="16806"/>
    <cellStyle name="표준 6 4 7 2 2" xfId="37682"/>
    <cellStyle name="표준 6 4 7 3" xfId="28944"/>
    <cellStyle name="표준 6 4 8" xfId="8648"/>
    <cellStyle name="표준 6 4 8 2" xfId="17653"/>
    <cellStyle name="표준 6 4 8 2 2" xfId="38529"/>
    <cellStyle name="표준 6 4 8 3" xfId="29791"/>
    <cellStyle name="표준 6 4 9" xfId="9192"/>
    <cellStyle name="표준 6 4 9 2" xfId="18196"/>
    <cellStyle name="표준 6 4 9 2 2" xfId="39072"/>
    <cellStyle name="표준 6 4 9 3" xfId="30334"/>
    <cellStyle name="표준 6 5" xfId="3074"/>
    <cellStyle name="표준 6 5 10" xfId="10135"/>
    <cellStyle name="표준 6 5 11" xfId="10529"/>
    <cellStyle name="표준 6 5 11 2" xfId="19300"/>
    <cellStyle name="표준 6 5 11 2 2" xfId="40176"/>
    <cellStyle name="표준 6 5 11 3" xfId="31440"/>
    <cellStyle name="표준 6 5 12" xfId="11395"/>
    <cellStyle name="표준 6 5 12 2" xfId="20161"/>
    <cellStyle name="표준 6 5 12 2 2" xfId="41037"/>
    <cellStyle name="표준 6 5 12 3" xfId="32301"/>
    <cellStyle name="표준 6 5 13" xfId="12544"/>
    <cellStyle name="표준 6 5 13 2" xfId="33421"/>
    <cellStyle name="표준 6 5 14" xfId="24671"/>
    <cellStyle name="표준 6 5 2" xfId="3294"/>
    <cellStyle name="표준 6 5 2 10" xfId="11612"/>
    <cellStyle name="표준 6 5 2 10 2" xfId="20378"/>
    <cellStyle name="표준 6 5 2 10 2 2" xfId="41254"/>
    <cellStyle name="표준 6 5 2 10 3" xfId="32518"/>
    <cellStyle name="표준 6 5 2 11" xfId="12761"/>
    <cellStyle name="표준 6 5 2 11 2" xfId="33638"/>
    <cellStyle name="표준 6 5 2 12" xfId="24888"/>
    <cellStyle name="표준 6 5 2 2" xfId="3735"/>
    <cellStyle name="표준 6 5 2 2 2" xfId="6008"/>
    <cellStyle name="표준 6 5 2 2 2 2" xfId="15017"/>
    <cellStyle name="표준 6 5 2 2 2 2 2" xfId="35893"/>
    <cellStyle name="표준 6 5 2 2 2 3" xfId="27155"/>
    <cellStyle name="표준 6 5 2 2 3" xfId="13198"/>
    <cellStyle name="표준 6 5 2 2 3 2" xfId="34075"/>
    <cellStyle name="표준 6 5 2 2 4" xfId="25325"/>
    <cellStyle name="표준 6 5 2 3" xfId="4897"/>
    <cellStyle name="표준 6 5 2 3 2" xfId="6728"/>
    <cellStyle name="표준 6 5 2 3 2 2" xfId="15737"/>
    <cellStyle name="표준 6 5 2 3 2 2 2" xfId="36613"/>
    <cellStyle name="표준 6 5 2 3 2 3" xfId="27875"/>
    <cellStyle name="표준 6 5 2 3 3" xfId="13919"/>
    <cellStyle name="표준 6 5 2 3 3 2" xfId="34795"/>
    <cellStyle name="표준 6 5 2 3 4" xfId="26057"/>
    <cellStyle name="표준 6 5 2 4" xfId="5571"/>
    <cellStyle name="표준 6 5 2 4 2" xfId="14580"/>
    <cellStyle name="표준 6 5 2 4 2 2" xfId="35456"/>
    <cellStyle name="표준 6 5 2 4 3" xfId="26718"/>
    <cellStyle name="표준 6 5 2 5" xfId="7374"/>
    <cellStyle name="표준 6 5 2 5 2" xfId="16381"/>
    <cellStyle name="표준 6 5 2 5 2 2" xfId="37257"/>
    <cellStyle name="표준 6 5 2 5 3" xfId="28519"/>
    <cellStyle name="표준 6 5 2 6" xfId="8018"/>
    <cellStyle name="표준 6 5 2 6 2" xfId="17024"/>
    <cellStyle name="표준 6 5 2 6 2 2" xfId="37900"/>
    <cellStyle name="표준 6 5 2 6 3" xfId="29162"/>
    <cellStyle name="표준 6 5 2 7" xfId="8866"/>
    <cellStyle name="표준 6 5 2 7 2" xfId="17871"/>
    <cellStyle name="표준 6 5 2 7 2 2" xfId="38747"/>
    <cellStyle name="표준 6 5 2 7 3" xfId="30009"/>
    <cellStyle name="표준 6 5 2 8" xfId="9691"/>
    <cellStyle name="표준 6 5 2 8 2" xfId="18689"/>
    <cellStyle name="표준 6 5 2 8 2 2" xfId="39565"/>
    <cellStyle name="표준 6 5 2 8 3" xfId="30827"/>
    <cellStyle name="표준 6 5 2 9" xfId="10746"/>
    <cellStyle name="표준 6 5 2 9 2" xfId="19517"/>
    <cellStyle name="표준 6 5 2 9 2 2" xfId="40393"/>
    <cellStyle name="표준 6 5 2 9 3" xfId="31657"/>
    <cellStyle name="표준 6 5 3" xfId="3518"/>
    <cellStyle name="표준 6 5 3 10" xfId="12981"/>
    <cellStyle name="표준 6 5 3 10 2" xfId="33858"/>
    <cellStyle name="표준 6 5 3 11" xfId="25108"/>
    <cellStyle name="표준 6 5 3 2" xfId="5120"/>
    <cellStyle name="표준 6 5 3 2 2" xfId="6945"/>
    <cellStyle name="표준 6 5 3 2 2 2" xfId="15954"/>
    <cellStyle name="표준 6 5 3 2 2 2 2" xfId="36830"/>
    <cellStyle name="표준 6 5 3 2 2 3" xfId="28092"/>
    <cellStyle name="표준 6 5 3 2 3" xfId="14136"/>
    <cellStyle name="표준 6 5 3 2 3 2" xfId="35012"/>
    <cellStyle name="표준 6 5 3 2 4" xfId="26274"/>
    <cellStyle name="표준 6 5 3 3" xfId="5791"/>
    <cellStyle name="표준 6 5 3 3 2" xfId="14800"/>
    <cellStyle name="표준 6 5 3 3 2 2" xfId="35676"/>
    <cellStyle name="표준 6 5 3 3 3" xfId="26938"/>
    <cellStyle name="표준 6 5 3 4" xfId="7591"/>
    <cellStyle name="표준 6 5 3 4 2" xfId="16598"/>
    <cellStyle name="표준 6 5 3 4 2 2" xfId="37474"/>
    <cellStyle name="표준 6 5 3 4 3" xfId="28736"/>
    <cellStyle name="표준 6 5 3 5" xfId="8235"/>
    <cellStyle name="표준 6 5 3 5 2" xfId="17241"/>
    <cellStyle name="표준 6 5 3 5 2 2" xfId="38117"/>
    <cellStyle name="표준 6 5 3 5 3" xfId="29379"/>
    <cellStyle name="표준 6 5 3 6" xfId="9083"/>
    <cellStyle name="표준 6 5 3 6 2" xfId="18088"/>
    <cellStyle name="표준 6 5 3 6 2 2" xfId="38964"/>
    <cellStyle name="표준 6 5 3 6 3" xfId="30226"/>
    <cellStyle name="표준 6 5 3 7" xfId="9908"/>
    <cellStyle name="표준 6 5 3 7 2" xfId="18906"/>
    <cellStyle name="표준 6 5 3 7 2 2" xfId="39782"/>
    <cellStyle name="표준 6 5 3 7 3" xfId="31044"/>
    <cellStyle name="표준 6 5 3 8" xfId="10963"/>
    <cellStyle name="표준 6 5 3 8 2" xfId="19734"/>
    <cellStyle name="표준 6 5 3 8 2 2" xfId="40610"/>
    <cellStyle name="표준 6 5 3 8 3" xfId="31874"/>
    <cellStyle name="표준 6 5 3 9" xfId="11829"/>
    <cellStyle name="표준 6 5 3 9 2" xfId="20595"/>
    <cellStyle name="표준 6 5 3 9 2 2" xfId="41471"/>
    <cellStyle name="표준 6 5 3 9 3" xfId="32735"/>
    <cellStyle name="표준 6 5 4" xfId="4677"/>
    <cellStyle name="표준 6 5 4 2" xfId="6511"/>
    <cellStyle name="표준 6 5 4 2 2" xfId="15520"/>
    <cellStyle name="표준 6 5 4 2 2 2" xfId="36396"/>
    <cellStyle name="표준 6 5 4 2 3" xfId="27658"/>
    <cellStyle name="표준 6 5 4 3" xfId="11184"/>
    <cellStyle name="표준 6 5 4 3 2" xfId="19953"/>
    <cellStyle name="표준 6 5 4 3 2 2" xfId="40829"/>
    <cellStyle name="표준 6 5 4 3 3" xfId="32093"/>
    <cellStyle name="표준 6 5 4 4" xfId="12048"/>
    <cellStyle name="표준 6 5 4 4 2" xfId="20814"/>
    <cellStyle name="표준 6 5 4 4 2 2" xfId="41690"/>
    <cellStyle name="표준 6 5 4 4 3" xfId="32954"/>
    <cellStyle name="표준 6 5 4 5" xfId="13702"/>
    <cellStyle name="표준 6 5 4 5 2" xfId="34578"/>
    <cellStyle name="표준 6 5 4 6" xfId="25840"/>
    <cellStyle name="표준 6 5 5" xfId="5354"/>
    <cellStyle name="표준 6 5 5 2" xfId="14363"/>
    <cellStyle name="표준 6 5 5 2 2" xfId="35239"/>
    <cellStyle name="표준 6 5 5 3" xfId="26501"/>
    <cellStyle name="표준 6 5 6" xfId="7156"/>
    <cellStyle name="표준 6 5 6 2" xfId="16164"/>
    <cellStyle name="표준 6 5 6 2 2" xfId="37040"/>
    <cellStyle name="표준 6 5 6 3" xfId="28302"/>
    <cellStyle name="표준 6 5 7" xfId="7801"/>
    <cellStyle name="표준 6 5 7 2" xfId="16807"/>
    <cellStyle name="표준 6 5 7 2 2" xfId="37683"/>
    <cellStyle name="표준 6 5 7 3" xfId="28945"/>
    <cellStyle name="표준 6 5 8" xfId="8649"/>
    <cellStyle name="표준 6 5 8 2" xfId="17654"/>
    <cellStyle name="표준 6 5 8 2 2" xfId="38530"/>
    <cellStyle name="표준 6 5 8 3" xfId="29792"/>
    <cellStyle name="표준 6 5 9" xfId="9473"/>
    <cellStyle name="표준 6 5 9 2" xfId="18472"/>
    <cellStyle name="표준 6 5 9 2 2" xfId="39348"/>
    <cellStyle name="표준 6 5 9 3" xfId="30610"/>
    <cellStyle name="표준 6 6" xfId="3075"/>
    <cellStyle name="표준 6 6 10" xfId="10530"/>
    <cellStyle name="표준 6 6 10 2" xfId="19301"/>
    <cellStyle name="표준 6 6 10 2 2" xfId="40177"/>
    <cellStyle name="표준 6 6 10 3" xfId="31441"/>
    <cellStyle name="표준 6 6 11" xfId="11396"/>
    <cellStyle name="표준 6 6 11 2" xfId="20162"/>
    <cellStyle name="표준 6 6 11 2 2" xfId="41038"/>
    <cellStyle name="표준 6 6 11 3" xfId="32302"/>
    <cellStyle name="표준 6 6 12" xfId="12545"/>
    <cellStyle name="표준 6 6 12 2" xfId="33422"/>
    <cellStyle name="표준 6 6 13" xfId="24672"/>
    <cellStyle name="표준 6 6 2" xfId="3295"/>
    <cellStyle name="표준 6 6 2 10" xfId="11613"/>
    <cellStyle name="표준 6 6 2 10 2" xfId="20379"/>
    <cellStyle name="표준 6 6 2 10 2 2" xfId="41255"/>
    <cellStyle name="표준 6 6 2 10 3" xfId="32519"/>
    <cellStyle name="표준 6 6 2 11" xfId="12762"/>
    <cellStyle name="표준 6 6 2 11 2" xfId="33639"/>
    <cellStyle name="표준 6 6 2 12" xfId="24889"/>
    <cellStyle name="표준 6 6 2 2" xfId="3736"/>
    <cellStyle name="표준 6 6 2 2 2" xfId="6009"/>
    <cellStyle name="표준 6 6 2 2 2 2" xfId="15018"/>
    <cellStyle name="표준 6 6 2 2 2 2 2" xfId="35894"/>
    <cellStyle name="표준 6 6 2 2 2 3" xfId="27156"/>
    <cellStyle name="표준 6 6 2 2 3" xfId="13199"/>
    <cellStyle name="표준 6 6 2 2 3 2" xfId="34076"/>
    <cellStyle name="표준 6 6 2 2 4" xfId="25326"/>
    <cellStyle name="표준 6 6 2 3" xfId="4898"/>
    <cellStyle name="표준 6 6 2 3 2" xfId="6729"/>
    <cellStyle name="표준 6 6 2 3 2 2" xfId="15738"/>
    <cellStyle name="표준 6 6 2 3 2 2 2" xfId="36614"/>
    <cellStyle name="표준 6 6 2 3 2 3" xfId="27876"/>
    <cellStyle name="표준 6 6 2 3 3" xfId="13920"/>
    <cellStyle name="표준 6 6 2 3 3 2" xfId="34796"/>
    <cellStyle name="표준 6 6 2 3 4" xfId="26058"/>
    <cellStyle name="표준 6 6 2 4" xfId="5572"/>
    <cellStyle name="표준 6 6 2 4 2" xfId="14581"/>
    <cellStyle name="표준 6 6 2 4 2 2" xfId="35457"/>
    <cellStyle name="표준 6 6 2 4 3" xfId="26719"/>
    <cellStyle name="표준 6 6 2 5" xfId="7375"/>
    <cellStyle name="표준 6 6 2 5 2" xfId="16382"/>
    <cellStyle name="표준 6 6 2 5 2 2" xfId="37258"/>
    <cellStyle name="표준 6 6 2 5 3" xfId="28520"/>
    <cellStyle name="표준 6 6 2 6" xfId="8019"/>
    <cellStyle name="표준 6 6 2 6 2" xfId="17025"/>
    <cellStyle name="표준 6 6 2 6 2 2" xfId="37901"/>
    <cellStyle name="표준 6 6 2 6 3" xfId="29163"/>
    <cellStyle name="표준 6 6 2 7" xfId="8867"/>
    <cellStyle name="표준 6 6 2 7 2" xfId="17872"/>
    <cellStyle name="표준 6 6 2 7 2 2" xfId="38748"/>
    <cellStyle name="표준 6 6 2 7 3" xfId="30010"/>
    <cellStyle name="표준 6 6 2 8" xfId="9692"/>
    <cellStyle name="표준 6 6 2 8 2" xfId="18690"/>
    <cellStyle name="표준 6 6 2 8 2 2" xfId="39566"/>
    <cellStyle name="표준 6 6 2 8 3" xfId="30828"/>
    <cellStyle name="표준 6 6 2 9" xfId="10747"/>
    <cellStyle name="표준 6 6 2 9 2" xfId="19518"/>
    <cellStyle name="표준 6 6 2 9 2 2" xfId="40394"/>
    <cellStyle name="표준 6 6 2 9 3" xfId="31658"/>
    <cellStyle name="표준 6 6 3" xfId="3519"/>
    <cellStyle name="표준 6 6 3 10" xfId="12982"/>
    <cellStyle name="표준 6 6 3 10 2" xfId="33859"/>
    <cellStyle name="표준 6 6 3 11" xfId="25109"/>
    <cellStyle name="표준 6 6 3 2" xfId="5121"/>
    <cellStyle name="표준 6 6 3 2 2" xfId="6946"/>
    <cellStyle name="표준 6 6 3 2 2 2" xfId="15955"/>
    <cellStyle name="표준 6 6 3 2 2 2 2" xfId="36831"/>
    <cellStyle name="표준 6 6 3 2 2 3" xfId="28093"/>
    <cellStyle name="표준 6 6 3 2 3" xfId="14137"/>
    <cellStyle name="표준 6 6 3 2 3 2" xfId="35013"/>
    <cellStyle name="표준 6 6 3 2 4" xfId="26275"/>
    <cellStyle name="표준 6 6 3 3" xfId="5792"/>
    <cellStyle name="표준 6 6 3 3 2" xfId="14801"/>
    <cellStyle name="표준 6 6 3 3 2 2" xfId="35677"/>
    <cellStyle name="표준 6 6 3 3 3" xfId="26939"/>
    <cellStyle name="표준 6 6 3 4" xfId="7592"/>
    <cellStyle name="표준 6 6 3 4 2" xfId="16599"/>
    <cellStyle name="표준 6 6 3 4 2 2" xfId="37475"/>
    <cellStyle name="표준 6 6 3 4 3" xfId="28737"/>
    <cellStyle name="표준 6 6 3 5" xfId="8236"/>
    <cellStyle name="표준 6 6 3 5 2" xfId="17242"/>
    <cellStyle name="표준 6 6 3 5 2 2" xfId="38118"/>
    <cellStyle name="표준 6 6 3 5 3" xfId="29380"/>
    <cellStyle name="표준 6 6 3 6" xfId="9084"/>
    <cellStyle name="표준 6 6 3 6 2" xfId="18089"/>
    <cellStyle name="표준 6 6 3 6 2 2" xfId="38965"/>
    <cellStyle name="표준 6 6 3 6 3" xfId="30227"/>
    <cellStyle name="표준 6 6 3 7" xfId="9909"/>
    <cellStyle name="표준 6 6 3 7 2" xfId="18907"/>
    <cellStyle name="표준 6 6 3 7 2 2" xfId="39783"/>
    <cellStyle name="표준 6 6 3 7 3" xfId="31045"/>
    <cellStyle name="표준 6 6 3 8" xfId="10964"/>
    <cellStyle name="표준 6 6 3 8 2" xfId="19735"/>
    <cellStyle name="표준 6 6 3 8 2 2" xfId="40611"/>
    <cellStyle name="표준 6 6 3 8 3" xfId="31875"/>
    <cellStyle name="표준 6 6 3 9" xfId="11830"/>
    <cellStyle name="표준 6 6 3 9 2" xfId="20596"/>
    <cellStyle name="표준 6 6 3 9 2 2" xfId="41472"/>
    <cellStyle name="표준 6 6 3 9 3" xfId="32736"/>
    <cellStyle name="표준 6 6 4" xfId="4678"/>
    <cellStyle name="표준 6 6 4 2" xfId="6512"/>
    <cellStyle name="표준 6 6 4 2 2" xfId="15521"/>
    <cellStyle name="표준 6 6 4 2 2 2" xfId="36397"/>
    <cellStyle name="표준 6 6 4 2 3" xfId="27659"/>
    <cellStyle name="표준 6 6 4 3" xfId="11185"/>
    <cellStyle name="표준 6 6 4 3 2" xfId="19954"/>
    <cellStyle name="표준 6 6 4 3 2 2" xfId="40830"/>
    <cellStyle name="표준 6 6 4 3 3" xfId="32094"/>
    <cellStyle name="표준 6 6 4 4" xfId="12049"/>
    <cellStyle name="표준 6 6 4 4 2" xfId="20815"/>
    <cellStyle name="표준 6 6 4 4 2 2" xfId="41691"/>
    <cellStyle name="표준 6 6 4 4 3" xfId="32955"/>
    <cellStyle name="표준 6 6 4 5" xfId="13703"/>
    <cellStyle name="표준 6 6 4 5 2" xfId="34579"/>
    <cellStyle name="표준 6 6 4 6" xfId="25841"/>
    <cellStyle name="표준 6 6 5" xfId="5355"/>
    <cellStyle name="표준 6 6 5 2" xfId="14364"/>
    <cellStyle name="표준 6 6 5 2 2" xfId="35240"/>
    <cellStyle name="표준 6 6 5 3" xfId="26502"/>
    <cellStyle name="표준 6 6 6" xfId="7157"/>
    <cellStyle name="표준 6 6 6 2" xfId="16165"/>
    <cellStyle name="표준 6 6 6 2 2" xfId="37041"/>
    <cellStyle name="표준 6 6 6 3" xfId="28303"/>
    <cellStyle name="표준 6 6 7" xfId="7802"/>
    <cellStyle name="표준 6 6 7 2" xfId="16808"/>
    <cellStyle name="표준 6 6 7 2 2" xfId="37684"/>
    <cellStyle name="표준 6 6 7 3" xfId="28946"/>
    <cellStyle name="표준 6 6 8" xfId="8650"/>
    <cellStyle name="표준 6 6 8 2" xfId="17655"/>
    <cellStyle name="표준 6 6 8 2 2" xfId="38531"/>
    <cellStyle name="표준 6 6 8 3" xfId="29793"/>
    <cellStyle name="표준 6 6 9" xfId="9474"/>
    <cellStyle name="표준 6 6 9 2" xfId="18473"/>
    <cellStyle name="표준 6 6 9 2 2" xfId="39349"/>
    <cellStyle name="표준 6 6 9 3" xfId="30611"/>
    <cellStyle name="표준 6 7" xfId="3076"/>
    <cellStyle name="표준 6 7 10" xfId="10531"/>
    <cellStyle name="표준 6 7 10 2" xfId="19302"/>
    <cellStyle name="표준 6 7 10 2 2" xfId="40178"/>
    <cellStyle name="표준 6 7 10 3" xfId="31442"/>
    <cellStyle name="표준 6 7 11" xfId="11397"/>
    <cellStyle name="표준 6 7 11 2" xfId="20163"/>
    <cellStyle name="표준 6 7 11 2 2" xfId="41039"/>
    <cellStyle name="표준 6 7 11 3" xfId="32303"/>
    <cellStyle name="표준 6 7 12" xfId="12546"/>
    <cellStyle name="표준 6 7 12 2" xfId="33423"/>
    <cellStyle name="표준 6 7 13" xfId="24673"/>
    <cellStyle name="표준 6 7 2" xfId="3296"/>
    <cellStyle name="표준 6 7 2 10" xfId="11614"/>
    <cellStyle name="표준 6 7 2 10 2" xfId="20380"/>
    <cellStyle name="표준 6 7 2 10 2 2" xfId="41256"/>
    <cellStyle name="표준 6 7 2 10 3" xfId="32520"/>
    <cellStyle name="표준 6 7 2 11" xfId="12763"/>
    <cellStyle name="표준 6 7 2 11 2" xfId="33640"/>
    <cellStyle name="표준 6 7 2 12" xfId="24890"/>
    <cellStyle name="표준 6 7 2 2" xfId="3737"/>
    <cellStyle name="표준 6 7 2 2 2" xfId="6010"/>
    <cellStyle name="표준 6 7 2 2 2 2" xfId="15019"/>
    <cellStyle name="표준 6 7 2 2 2 2 2" xfId="35895"/>
    <cellStyle name="표준 6 7 2 2 2 3" xfId="27157"/>
    <cellStyle name="표준 6 7 2 2 3" xfId="13200"/>
    <cellStyle name="표준 6 7 2 2 3 2" xfId="34077"/>
    <cellStyle name="표준 6 7 2 2 4" xfId="25327"/>
    <cellStyle name="표준 6 7 2 3" xfId="4899"/>
    <cellStyle name="표준 6 7 2 3 2" xfId="6730"/>
    <cellStyle name="표준 6 7 2 3 2 2" xfId="15739"/>
    <cellStyle name="표준 6 7 2 3 2 2 2" xfId="36615"/>
    <cellStyle name="표준 6 7 2 3 2 3" xfId="27877"/>
    <cellStyle name="표준 6 7 2 3 3" xfId="13921"/>
    <cellStyle name="표준 6 7 2 3 3 2" xfId="34797"/>
    <cellStyle name="표준 6 7 2 3 4" xfId="26059"/>
    <cellStyle name="표준 6 7 2 4" xfId="5573"/>
    <cellStyle name="표준 6 7 2 4 2" xfId="14582"/>
    <cellStyle name="표준 6 7 2 4 2 2" xfId="35458"/>
    <cellStyle name="표준 6 7 2 4 3" xfId="26720"/>
    <cellStyle name="표준 6 7 2 5" xfId="7376"/>
    <cellStyle name="표준 6 7 2 5 2" xfId="16383"/>
    <cellStyle name="표준 6 7 2 5 2 2" xfId="37259"/>
    <cellStyle name="표준 6 7 2 5 3" xfId="28521"/>
    <cellStyle name="표준 6 7 2 6" xfId="8020"/>
    <cellStyle name="표준 6 7 2 6 2" xfId="17026"/>
    <cellStyle name="표준 6 7 2 6 2 2" xfId="37902"/>
    <cellStyle name="표준 6 7 2 6 3" xfId="29164"/>
    <cellStyle name="표준 6 7 2 7" xfId="8868"/>
    <cellStyle name="표준 6 7 2 7 2" xfId="17873"/>
    <cellStyle name="표준 6 7 2 7 2 2" xfId="38749"/>
    <cellStyle name="표준 6 7 2 7 3" xfId="30011"/>
    <cellStyle name="표준 6 7 2 8" xfId="9693"/>
    <cellStyle name="표준 6 7 2 8 2" xfId="18691"/>
    <cellStyle name="표준 6 7 2 8 2 2" xfId="39567"/>
    <cellStyle name="표준 6 7 2 8 3" xfId="30829"/>
    <cellStyle name="표준 6 7 2 9" xfId="10748"/>
    <cellStyle name="표준 6 7 2 9 2" xfId="19519"/>
    <cellStyle name="표준 6 7 2 9 2 2" xfId="40395"/>
    <cellStyle name="표준 6 7 2 9 3" xfId="31659"/>
    <cellStyle name="표준 6 7 3" xfId="3520"/>
    <cellStyle name="표준 6 7 3 10" xfId="12983"/>
    <cellStyle name="표준 6 7 3 10 2" xfId="33860"/>
    <cellStyle name="표준 6 7 3 11" xfId="25110"/>
    <cellStyle name="표준 6 7 3 2" xfId="5122"/>
    <cellStyle name="표준 6 7 3 2 2" xfId="6947"/>
    <cellStyle name="표준 6 7 3 2 2 2" xfId="15956"/>
    <cellStyle name="표준 6 7 3 2 2 2 2" xfId="36832"/>
    <cellStyle name="표준 6 7 3 2 2 3" xfId="28094"/>
    <cellStyle name="표준 6 7 3 2 3" xfId="14138"/>
    <cellStyle name="표준 6 7 3 2 3 2" xfId="35014"/>
    <cellStyle name="표준 6 7 3 2 4" xfId="26276"/>
    <cellStyle name="표준 6 7 3 3" xfId="5793"/>
    <cellStyle name="표준 6 7 3 3 2" xfId="14802"/>
    <cellStyle name="표준 6 7 3 3 2 2" xfId="35678"/>
    <cellStyle name="표준 6 7 3 3 3" xfId="26940"/>
    <cellStyle name="표준 6 7 3 4" xfId="7593"/>
    <cellStyle name="표준 6 7 3 4 2" xfId="16600"/>
    <cellStyle name="표준 6 7 3 4 2 2" xfId="37476"/>
    <cellStyle name="표준 6 7 3 4 3" xfId="28738"/>
    <cellStyle name="표준 6 7 3 5" xfId="8237"/>
    <cellStyle name="표준 6 7 3 5 2" xfId="17243"/>
    <cellStyle name="표준 6 7 3 5 2 2" xfId="38119"/>
    <cellStyle name="표준 6 7 3 5 3" xfId="29381"/>
    <cellStyle name="표준 6 7 3 6" xfId="9085"/>
    <cellStyle name="표준 6 7 3 6 2" xfId="18090"/>
    <cellStyle name="표준 6 7 3 6 2 2" xfId="38966"/>
    <cellStyle name="표준 6 7 3 6 3" xfId="30228"/>
    <cellStyle name="표준 6 7 3 7" xfId="9910"/>
    <cellStyle name="표준 6 7 3 7 2" xfId="18908"/>
    <cellStyle name="표준 6 7 3 7 2 2" xfId="39784"/>
    <cellStyle name="표준 6 7 3 7 3" xfId="31046"/>
    <cellStyle name="표준 6 7 3 8" xfId="10965"/>
    <cellStyle name="표준 6 7 3 8 2" xfId="19736"/>
    <cellStyle name="표준 6 7 3 8 2 2" xfId="40612"/>
    <cellStyle name="표준 6 7 3 8 3" xfId="31876"/>
    <cellStyle name="표준 6 7 3 9" xfId="11831"/>
    <cellStyle name="표준 6 7 3 9 2" xfId="20597"/>
    <cellStyle name="표준 6 7 3 9 2 2" xfId="41473"/>
    <cellStyle name="표준 6 7 3 9 3" xfId="32737"/>
    <cellStyle name="표준 6 7 4" xfId="4679"/>
    <cellStyle name="표준 6 7 4 2" xfId="6513"/>
    <cellStyle name="표준 6 7 4 2 2" xfId="15522"/>
    <cellStyle name="표준 6 7 4 2 2 2" xfId="36398"/>
    <cellStyle name="표준 6 7 4 2 3" xfId="27660"/>
    <cellStyle name="표준 6 7 4 3" xfId="11186"/>
    <cellStyle name="표준 6 7 4 3 2" xfId="19955"/>
    <cellStyle name="표준 6 7 4 3 2 2" xfId="40831"/>
    <cellStyle name="표준 6 7 4 3 3" xfId="32095"/>
    <cellStyle name="표준 6 7 4 4" xfId="12050"/>
    <cellStyle name="표준 6 7 4 4 2" xfId="20816"/>
    <cellStyle name="표준 6 7 4 4 2 2" xfId="41692"/>
    <cellStyle name="표준 6 7 4 4 3" xfId="32956"/>
    <cellStyle name="표준 6 7 4 5" xfId="13704"/>
    <cellStyle name="표준 6 7 4 5 2" xfId="34580"/>
    <cellStyle name="표준 6 7 4 6" xfId="25842"/>
    <cellStyle name="표준 6 7 5" xfId="5356"/>
    <cellStyle name="표준 6 7 5 2" xfId="14365"/>
    <cellStyle name="표준 6 7 5 2 2" xfId="35241"/>
    <cellStyle name="표준 6 7 5 3" xfId="26503"/>
    <cellStyle name="표준 6 7 6" xfId="7158"/>
    <cellStyle name="표준 6 7 6 2" xfId="16166"/>
    <cellStyle name="표준 6 7 6 2 2" xfId="37042"/>
    <cellStyle name="표준 6 7 6 3" xfId="28304"/>
    <cellStyle name="표준 6 7 7" xfId="7803"/>
    <cellStyle name="표준 6 7 7 2" xfId="16809"/>
    <cellStyle name="표준 6 7 7 2 2" xfId="37685"/>
    <cellStyle name="표준 6 7 7 3" xfId="28947"/>
    <cellStyle name="표준 6 7 8" xfId="8651"/>
    <cellStyle name="표준 6 7 8 2" xfId="17656"/>
    <cellStyle name="표준 6 7 8 2 2" xfId="38532"/>
    <cellStyle name="표준 6 7 8 3" xfId="29794"/>
    <cellStyle name="표준 6 7 9" xfId="9475"/>
    <cellStyle name="표준 6 7 9 2" xfId="18474"/>
    <cellStyle name="표준 6 7 9 2 2" xfId="39350"/>
    <cellStyle name="표준 6 7 9 3" xfId="30612"/>
    <cellStyle name="표준 6 8" xfId="3290"/>
    <cellStyle name="표준 6 8 10" xfId="11608"/>
    <cellStyle name="표준 6 8 10 2" xfId="20374"/>
    <cellStyle name="표준 6 8 10 2 2" xfId="41250"/>
    <cellStyle name="표준 6 8 10 3" xfId="32514"/>
    <cellStyle name="표준 6 8 11" xfId="12757"/>
    <cellStyle name="표준 6 8 11 2" xfId="33634"/>
    <cellStyle name="표준 6 8 12" xfId="24884"/>
    <cellStyle name="표준 6 8 2" xfId="3731"/>
    <cellStyle name="표준 6 8 2 2" xfId="6004"/>
    <cellStyle name="표준 6 8 2 2 2" xfId="15013"/>
    <cellStyle name="표준 6 8 2 2 2 2" xfId="35889"/>
    <cellStyle name="표준 6 8 2 2 3" xfId="27151"/>
    <cellStyle name="표준 6 8 2 3" xfId="13194"/>
    <cellStyle name="표준 6 8 2 3 2" xfId="34071"/>
    <cellStyle name="표준 6 8 2 4" xfId="25321"/>
    <cellStyle name="표준 6 8 3" xfId="4893"/>
    <cellStyle name="표준 6 8 3 2" xfId="6724"/>
    <cellStyle name="표준 6 8 3 2 2" xfId="15733"/>
    <cellStyle name="표준 6 8 3 2 2 2" xfId="36609"/>
    <cellStyle name="표준 6 8 3 2 3" xfId="27871"/>
    <cellStyle name="표준 6 8 3 3" xfId="13915"/>
    <cellStyle name="표준 6 8 3 3 2" xfId="34791"/>
    <cellStyle name="표준 6 8 3 4" xfId="26053"/>
    <cellStyle name="표준 6 8 4" xfId="5567"/>
    <cellStyle name="표준 6 8 4 2" xfId="14576"/>
    <cellStyle name="표준 6 8 4 2 2" xfId="35452"/>
    <cellStyle name="표준 6 8 4 3" xfId="26714"/>
    <cellStyle name="표준 6 8 5" xfId="7370"/>
    <cellStyle name="표준 6 8 5 2" xfId="16377"/>
    <cellStyle name="표준 6 8 5 2 2" xfId="37253"/>
    <cellStyle name="표준 6 8 5 3" xfId="28515"/>
    <cellStyle name="표준 6 8 6" xfId="8014"/>
    <cellStyle name="표준 6 8 6 2" xfId="17020"/>
    <cellStyle name="표준 6 8 6 2 2" xfId="37896"/>
    <cellStyle name="표준 6 8 6 3" xfId="29158"/>
    <cellStyle name="표준 6 8 7" xfId="8862"/>
    <cellStyle name="표준 6 8 7 2" xfId="17867"/>
    <cellStyle name="표준 6 8 7 2 2" xfId="38743"/>
    <cellStyle name="표준 6 8 7 3" xfId="30005"/>
    <cellStyle name="표준 6 8 8" xfId="9687"/>
    <cellStyle name="표준 6 8 8 2" xfId="18685"/>
    <cellStyle name="표준 6 8 8 2 2" xfId="39561"/>
    <cellStyle name="표준 6 8 8 3" xfId="30823"/>
    <cellStyle name="표준 6 8 9" xfId="10742"/>
    <cellStyle name="표준 6 8 9 2" xfId="19513"/>
    <cellStyle name="표준 6 8 9 2 2" xfId="40389"/>
    <cellStyle name="표준 6 8 9 3" xfId="31653"/>
    <cellStyle name="표준 6 9" xfId="3514"/>
    <cellStyle name="표준 6 9 10" xfId="12977"/>
    <cellStyle name="표준 6 9 10 2" xfId="33854"/>
    <cellStyle name="표준 6 9 11" xfId="25104"/>
    <cellStyle name="표준 6 9 2" xfId="5116"/>
    <cellStyle name="표준 6 9 2 2" xfId="6941"/>
    <cellStyle name="표준 6 9 2 2 2" xfId="15950"/>
    <cellStyle name="표준 6 9 2 2 2 2" xfId="36826"/>
    <cellStyle name="표준 6 9 2 2 3" xfId="28088"/>
    <cellStyle name="표준 6 9 2 3" xfId="14132"/>
    <cellStyle name="표준 6 9 2 3 2" xfId="35008"/>
    <cellStyle name="표준 6 9 2 4" xfId="26270"/>
    <cellStyle name="표준 6 9 3" xfId="5787"/>
    <cellStyle name="표준 6 9 3 2" xfId="14796"/>
    <cellStyle name="표준 6 9 3 2 2" xfId="35672"/>
    <cellStyle name="표준 6 9 3 3" xfId="26934"/>
    <cellStyle name="표준 6 9 4" xfId="7587"/>
    <cellStyle name="표준 6 9 4 2" xfId="16594"/>
    <cellStyle name="표준 6 9 4 2 2" xfId="37470"/>
    <cellStyle name="표준 6 9 4 3" xfId="28732"/>
    <cellStyle name="표준 6 9 5" xfId="8231"/>
    <cellStyle name="표준 6 9 5 2" xfId="17237"/>
    <cellStyle name="표준 6 9 5 2 2" xfId="38113"/>
    <cellStyle name="표준 6 9 5 3" xfId="29375"/>
    <cellStyle name="표준 6 9 6" xfId="9079"/>
    <cellStyle name="표준 6 9 6 2" xfId="18084"/>
    <cellStyle name="표준 6 9 6 2 2" xfId="38960"/>
    <cellStyle name="표준 6 9 6 3" xfId="30222"/>
    <cellStyle name="표준 6 9 7" xfId="9904"/>
    <cellStyle name="표준 6 9 7 2" xfId="18902"/>
    <cellStyle name="표준 6 9 7 2 2" xfId="39778"/>
    <cellStyle name="표준 6 9 7 3" xfId="31040"/>
    <cellStyle name="표준 6 9 8" xfId="10959"/>
    <cellStyle name="표준 6 9 8 2" xfId="19730"/>
    <cellStyle name="표준 6 9 8 2 2" xfId="40606"/>
    <cellStyle name="표준 6 9 8 3" xfId="31870"/>
    <cellStyle name="표준 6 9 9" xfId="11825"/>
    <cellStyle name="표준 6 9 9 2" xfId="20591"/>
    <cellStyle name="표준 6 9 9 2 2" xfId="41467"/>
    <cellStyle name="표준 6 9 9 3" xfId="32731"/>
    <cellStyle name="표준 60" xfId="7180"/>
    <cellStyle name="표준 61" xfId="7615"/>
    <cellStyle name="표준 62" xfId="8259"/>
    <cellStyle name="표준 63" xfId="9107"/>
    <cellStyle name="표준 63 2" xfId="18112"/>
    <cellStyle name="표준 63 2 2" xfId="38988"/>
    <cellStyle name="표준 63 3" xfId="30250"/>
    <cellStyle name="표준 64" xfId="9108"/>
    <cellStyle name="표준 65" xfId="9205"/>
    <cellStyle name="표준 66" xfId="9497"/>
    <cellStyle name="표준 67" xfId="9932"/>
    <cellStyle name="표준 68" xfId="9275"/>
    <cellStyle name="표준 69" xfId="9936"/>
    <cellStyle name="표준 7" xfId="3077"/>
    <cellStyle name="표준 7 10" xfId="4680"/>
    <cellStyle name="표준 7 10 2" xfId="6514"/>
    <cellStyle name="표준 7 10 2 2" xfId="15523"/>
    <cellStyle name="표준 7 10 2 2 2" xfId="36399"/>
    <cellStyle name="표준 7 10 2 3" xfId="27661"/>
    <cellStyle name="표준 7 10 3" xfId="11187"/>
    <cellStyle name="표준 7 10 3 2" xfId="19956"/>
    <cellStyle name="표준 7 10 3 2 2" xfId="40832"/>
    <cellStyle name="표준 7 10 3 3" xfId="32096"/>
    <cellStyle name="표준 7 10 4" xfId="12051"/>
    <cellStyle name="표준 7 10 4 2" xfId="20817"/>
    <cellStyle name="표준 7 10 4 2 2" xfId="41693"/>
    <cellStyle name="표준 7 10 4 3" xfId="32957"/>
    <cellStyle name="표준 7 10 5" xfId="13705"/>
    <cellStyle name="표준 7 10 5 2" xfId="34581"/>
    <cellStyle name="표준 7 10 6" xfId="25843"/>
    <cellStyle name="표준 7 11" xfId="3848"/>
    <cellStyle name="표준 7 12" xfId="5357"/>
    <cellStyle name="표준 7 12 2" xfId="14366"/>
    <cellStyle name="표준 7 12 2 2" xfId="35242"/>
    <cellStyle name="표준 7 12 3" xfId="26504"/>
    <cellStyle name="표준 7 13" xfId="7159"/>
    <cellStyle name="표준 7 13 2" xfId="16167"/>
    <cellStyle name="표준 7 13 2 2" xfId="37043"/>
    <cellStyle name="표준 7 13 3" xfId="28305"/>
    <cellStyle name="표준 7 14" xfId="7804"/>
    <cellStyle name="표준 7 14 2" xfId="16810"/>
    <cellStyle name="표준 7 14 2 2" xfId="37686"/>
    <cellStyle name="표준 7 14 3" xfId="28948"/>
    <cellStyle name="표준 7 15" xfId="8652"/>
    <cellStyle name="표준 7 15 2" xfId="17657"/>
    <cellStyle name="표준 7 15 2 2" xfId="38533"/>
    <cellStyle name="표준 7 15 3" xfId="29795"/>
    <cellStyle name="표준 7 16" xfId="9476"/>
    <cellStyle name="표준 7 16 2" xfId="18475"/>
    <cellStyle name="표준 7 16 2 2" xfId="39351"/>
    <cellStyle name="표준 7 16 3" xfId="30613"/>
    <cellStyle name="표준 7 17" xfId="10532"/>
    <cellStyle name="표준 7 17 2" xfId="19303"/>
    <cellStyle name="표준 7 17 2 2" xfId="40179"/>
    <cellStyle name="표준 7 17 3" xfId="31443"/>
    <cellStyle name="표준 7 18" xfId="11398"/>
    <cellStyle name="표준 7 18 2" xfId="20164"/>
    <cellStyle name="표준 7 18 2 2" xfId="41040"/>
    <cellStyle name="표준 7 18 3" xfId="32304"/>
    <cellStyle name="표준 7 19" xfId="12547"/>
    <cellStyle name="표준 7 19 2" xfId="33424"/>
    <cellStyle name="표준 7 2" xfId="3078"/>
    <cellStyle name="표준 7 2 10" xfId="9477"/>
    <cellStyle name="표준 7 2 10 2" xfId="18476"/>
    <cellStyle name="표준 7 2 10 2 2" xfId="39352"/>
    <cellStyle name="표준 7 2 10 3" xfId="30614"/>
    <cellStyle name="표준 7 2 11" xfId="10136"/>
    <cellStyle name="표준 7 2 12" xfId="10533"/>
    <cellStyle name="표준 7 2 12 2" xfId="19304"/>
    <cellStyle name="표준 7 2 12 2 2" xfId="40180"/>
    <cellStyle name="표준 7 2 12 3" xfId="31444"/>
    <cellStyle name="표준 7 2 13" xfId="11399"/>
    <cellStyle name="표준 7 2 13 2" xfId="20165"/>
    <cellStyle name="표준 7 2 13 2 2" xfId="41041"/>
    <cellStyle name="표준 7 2 13 3" xfId="32305"/>
    <cellStyle name="표준 7 2 14" xfId="12548"/>
    <cellStyle name="표준 7 2 14 2" xfId="33425"/>
    <cellStyle name="표준 7 2 15" xfId="24675"/>
    <cellStyle name="표준 7 2 2" xfId="3298"/>
    <cellStyle name="표준 7 2 2 10" xfId="10750"/>
    <cellStyle name="표준 7 2 2 10 2" xfId="19521"/>
    <cellStyle name="표준 7 2 2 10 2 2" xfId="40397"/>
    <cellStyle name="표준 7 2 2 10 3" xfId="31661"/>
    <cellStyle name="표준 7 2 2 11" xfId="11616"/>
    <cellStyle name="표준 7 2 2 11 2" xfId="20382"/>
    <cellStyle name="표준 7 2 2 11 2 2" xfId="41258"/>
    <cellStyle name="표준 7 2 2 11 3" xfId="32522"/>
    <cellStyle name="표준 7 2 2 12" xfId="12765"/>
    <cellStyle name="표준 7 2 2 12 2" xfId="33642"/>
    <cellStyle name="표준 7 2 2 13" xfId="24892"/>
    <cellStyle name="표준 7 2 2 2" xfId="3739"/>
    <cellStyle name="표준 7 2 2 2 2" xfId="6012"/>
    <cellStyle name="표준 7 2 2 2 2 2" xfId="15021"/>
    <cellStyle name="표준 7 2 2 2 2 2 2" xfId="35897"/>
    <cellStyle name="표준 7 2 2 2 2 3" xfId="27159"/>
    <cellStyle name="표준 7 2 2 2 3" xfId="13202"/>
    <cellStyle name="표준 7 2 2 2 3 2" xfId="34079"/>
    <cellStyle name="표준 7 2 2 2 4" xfId="25329"/>
    <cellStyle name="표준 7 2 2 3" xfId="4901"/>
    <cellStyle name="표준 7 2 2 3 2" xfId="6732"/>
    <cellStyle name="표준 7 2 2 3 2 2" xfId="15741"/>
    <cellStyle name="표준 7 2 2 3 2 2 2" xfId="36617"/>
    <cellStyle name="표준 7 2 2 3 2 3" xfId="27879"/>
    <cellStyle name="표준 7 2 2 3 3" xfId="13923"/>
    <cellStyle name="표준 7 2 2 3 3 2" xfId="34799"/>
    <cellStyle name="표준 7 2 2 3 4" xfId="26061"/>
    <cellStyle name="표준 7 2 2 4" xfId="5575"/>
    <cellStyle name="표준 7 2 2 4 2" xfId="14584"/>
    <cellStyle name="표준 7 2 2 4 2 2" xfId="35460"/>
    <cellStyle name="표준 7 2 2 4 3" xfId="26722"/>
    <cellStyle name="표준 7 2 2 5" xfId="7378"/>
    <cellStyle name="표준 7 2 2 5 2" xfId="16385"/>
    <cellStyle name="표준 7 2 2 5 2 2" xfId="37261"/>
    <cellStyle name="표준 7 2 2 5 3" xfId="28523"/>
    <cellStyle name="표준 7 2 2 6" xfId="8022"/>
    <cellStyle name="표준 7 2 2 6 2" xfId="17028"/>
    <cellStyle name="표준 7 2 2 6 2 2" xfId="37904"/>
    <cellStyle name="표준 7 2 2 6 3" xfId="29166"/>
    <cellStyle name="표준 7 2 2 7" xfId="8870"/>
    <cellStyle name="표준 7 2 2 7 2" xfId="17875"/>
    <cellStyle name="표준 7 2 2 7 2 2" xfId="38751"/>
    <cellStyle name="표준 7 2 2 7 3" xfId="30013"/>
    <cellStyle name="표준 7 2 2 8" xfId="9695"/>
    <cellStyle name="표준 7 2 2 8 2" xfId="18693"/>
    <cellStyle name="표준 7 2 2 8 2 2" xfId="39569"/>
    <cellStyle name="표준 7 2 2 8 3" xfId="30831"/>
    <cellStyle name="표준 7 2 2 9" xfId="10137"/>
    <cellStyle name="표준 7 2 3" xfId="3522"/>
    <cellStyle name="표준 7 2 3 10" xfId="12985"/>
    <cellStyle name="표준 7 2 3 10 2" xfId="33862"/>
    <cellStyle name="표준 7 2 3 11" xfId="25112"/>
    <cellStyle name="표준 7 2 3 2" xfId="5124"/>
    <cellStyle name="표준 7 2 3 2 2" xfId="6949"/>
    <cellStyle name="표준 7 2 3 2 2 2" xfId="15958"/>
    <cellStyle name="표준 7 2 3 2 2 2 2" xfId="36834"/>
    <cellStyle name="표준 7 2 3 2 2 3" xfId="28096"/>
    <cellStyle name="표준 7 2 3 2 3" xfId="14140"/>
    <cellStyle name="표준 7 2 3 2 3 2" xfId="35016"/>
    <cellStyle name="표준 7 2 3 2 4" xfId="26278"/>
    <cellStyle name="표준 7 2 3 3" xfId="5795"/>
    <cellStyle name="표준 7 2 3 3 2" xfId="14804"/>
    <cellStyle name="표준 7 2 3 3 2 2" xfId="35680"/>
    <cellStyle name="표준 7 2 3 3 3" xfId="26942"/>
    <cellStyle name="표준 7 2 3 4" xfId="7595"/>
    <cellStyle name="표준 7 2 3 4 2" xfId="16602"/>
    <cellStyle name="표준 7 2 3 4 2 2" xfId="37478"/>
    <cellStyle name="표준 7 2 3 4 3" xfId="28740"/>
    <cellStyle name="표준 7 2 3 5" xfId="8239"/>
    <cellStyle name="표준 7 2 3 5 2" xfId="17245"/>
    <cellStyle name="표준 7 2 3 5 2 2" xfId="38121"/>
    <cellStyle name="표준 7 2 3 5 3" xfId="29383"/>
    <cellStyle name="표준 7 2 3 6" xfId="9087"/>
    <cellStyle name="표준 7 2 3 6 2" xfId="18092"/>
    <cellStyle name="표준 7 2 3 6 2 2" xfId="38968"/>
    <cellStyle name="표준 7 2 3 6 3" xfId="30230"/>
    <cellStyle name="표준 7 2 3 7" xfId="9912"/>
    <cellStyle name="표준 7 2 3 7 2" xfId="18910"/>
    <cellStyle name="표준 7 2 3 7 2 2" xfId="39786"/>
    <cellStyle name="표준 7 2 3 7 3" xfId="31048"/>
    <cellStyle name="표준 7 2 3 8" xfId="10967"/>
    <cellStyle name="표준 7 2 3 8 2" xfId="19738"/>
    <cellStyle name="표준 7 2 3 8 2 2" xfId="40614"/>
    <cellStyle name="표준 7 2 3 8 3" xfId="31878"/>
    <cellStyle name="표준 7 2 3 9" xfId="11833"/>
    <cellStyle name="표준 7 2 3 9 2" xfId="20599"/>
    <cellStyle name="표준 7 2 3 9 2 2" xfId="41475"/>
    <cellStyle name="표준 7 2 3 9 3" xfId="32739"/>
    <cellStyle name="표준 7 2 4" xfId="4681"/>
    <cellStyle name="표준 7 2 4 2" xfId="6515"/>
    <cellStyle name="표준 7 2 4 2 2" xfId="15524"/>
    <cellStyle name="표준 7 2 4 2 2 2" xfId="36400"/>
    <cellStyle name="표준 7 2 4 2 3" xfId="27662"/>
    <cellStyle name="표준 7 2 4 3" xfId="11188"/>
    <cellStyle name="표준 7 2 4 3 2" xfId="19957"/>
    <cellStyle name="표준 7 2 4 3 2 2" xfId="40833"/>
    <cellStyle name="표준 7 2 4 3 3" xfId="32097"/>
    <cellStyle name="표준 7 2 4 4" xfId="12052"/>
    <cellStyle name="표준 7 2 4 4 2" xfId="20818"/>
    <cellStyle name="표준 7 2 4 4 2 2" xfId="41694"/>
    <cellStyle name="표준 7 2 4 4 3" xfId="32958"/>
    <cellStyle name="표준 7 2 4 5" xfId="13706"/>
    <cellStyle name="표준 7 2 4 5 2" xfId="34582"/>
    <cellStyle name="표준 7 2 4 6" xfId="25844"/>
    <cellStyle name="표준 7 2 5" xfId="5358"/>
    <cellStyle name="표준 7 2 5 2" xfId="14367"/>
    <cellStyle name="표준 7 2 5 2 2" xfId="35243"/>
    <cellStyle name="표준 7 2 5 3" xfId="26505"/>
    <cellStyle name="표준 7 2 6" xfId="7160"/>
    <cellStyle name="표준 7 2 6 2" xfId="16168"/>
    <cellStyle name="표준 7 2 6 2 2" xfId="37044"/>
    <cellStyle name="표준 7 2 6 3" xfId="28306"/>
    <cellStyle name="표준 7 2 7" xfId="7805"/>
    <cellStyle name="표준 7 2 7 2" xfId="16811"/>
    <cellStyle name="표준 7 2 7 2 2" xfId="37687"/>
    <cellStyle name="표준 7 2 7 3" xfId="28949"/>
    <cellStyle name="표준 7 2 8" xfId="8653"/>
    <cellStyle name="표준 7 2 8 2" xfId="17658"/>
    <cellStyle name="표준 7 2 8 2 2" xfId="38534"/>
    <cellStyle name="표준 7 2 8 3" xfId="29796"/>
    <cellStyle name="표준 7 2 9" xfId="9193"/>
    <cellStyle name="표준 7 2 9 2" xfId="18197"/>
    <cellStyle name="표준 7 2 9 2 2" xfId="39073"/>
    <cellStyle name="표준 7 2 9 3" xfId="30335"/>
    <cellStyle name="표준 7 20" xfId="24674"/>
    <cellStyle name="표준 7 3" xfId="3079"/>
    <cellStyle name="표준 7 3 10" xfId="9478"/>
    <cellStyle name="표준 7 3 10 2" xfId="18477"/>
    <cellStyle name="표준 7 3 10 2 2" xfId="39353"/>
    <cellStyle name="표준 7 3 10 3" xfId="30615"/>
    <cellStyle name="표준 7 3 11" xfId="10138"/>
    <cellStyle name="표준 7 3 12" xfId="10534"/>
    <cellStyle name="표준 7 3 12 2" xfId="19305"/>
    <cellStyle name="표준 7 3 12 2 2" xfId="40181"/>
    <cellStyle name="표준 7 3 12 3" xfId="31445"/>
    <cellStyle name="표준 7 3 13" xfId="11400"/>
    <cellStyle name="표준 7 3 13 2" xfId="20166"/>
    <cellStyle name="표준 7 3 13 2 2" xfId="41042"/>
    <cellStyle name="표준 7 3 13 3" xfId="32306"/>
    <cellStyle name="표준 7 3 14" xfId="12549"/>
    <cellStyle name="표준 7 3 14 2" xfId="33426"/>
    <cellStyle name="표준 7 3 15" xfId="24676"/>
    <cellStyle name="표준 7 3 2" xfId="3299"/>
    <cellStyle name="표준 7 3 2 10" xfId="10751"/>
    <cellStyle name="표준 7 3 2 10 2" xfId="19522"/>
    <cellStyle name="표준 7 3 2 10 2 2" xfId="40398"/>
    <cellStyle name="표준 7 3 2 10 3" xfId="31662"/>
    <cellStyle name="표준 7 3 2 11" xfId="11617"/>
    <cellStyle name="표준 7 3 2 11 2" xfId="20383"/>
    <cellStyle name="표준 7 3 2 11 2 2" xfId="41259"/>
    <cellStyle name="표준 7 3 2 11 3" xfId="32523"/>
    <cellStyle name="표준 7 3 2 12" xfId="12766"/>
    <cellStyle name="표준 7 3 2 12 2" xfId="33643"/>
    <cellStyle name="표준 7 3 2 13" xfId="24893"/>
    <cellStyle name="표준 7 3 2 2" xfId="3740"/>
    <cellStyle name="표준 7 3 2 2 2" xfId="6013"/>
    <cellStyle name="표준 7 3 2 2 2 2" xfId="15022"/>
    <cellStyle name="표준 7 3 2 2 2 2 2" xfId="35898"/>
    <cellStyle name="표준 7 3 2 2 2 3" xfId="27160"/>
    <cellStyle name="표준 7 3 2 2 3" xfId="13203"/>
    <cellStyle name="표준 7 3 2 2 3 2" xfId="34080"/>
    <cellStyle name="표준 7 3 2 2 4" xfId="25330"/>
    <cellStyle name="표준 7 3 2 3" xfId="4902"/>
    <cellStyle name="표준 7 3 2 3 2" xfId="6733"/>
    <cellStyle name="표준 7 3 2 3 2 2" xfId="15742"/>
    <cellStyle name="표준 7 3 2 3 2 2 2" xfId="36618"/>
    <cellStyle name="표준 7 3 2 3 2 3" xfId="27880"/>
    <cellStyle name="표준 7 3 2 3 3" xfId="13924"/>
    <cellStyle name="표준 7 3 2 3 3 2" xfId="34800"/>
    <cellStyle name="표준 7 3 2 3 4" xfId="26062"/>
    <cellStyle name="표준 7 3 2 4" xfId="5576"/>
    <cellStyle name="표준 7 3 2 4 2" xfId="14585"/>
    <cellStyle name="표준 7 3 2 4 2 2" xfId="35461"/>
    <cellStyle name="표준 7 3 2 4 3" xfId="26723"/>
    <cellStyle name="표준 7 3 2 5" xfId="7379"/>
    <cellStyle name="표준 7 3 2 5 2" xfId="16386"/>
    <cellStyle name="표준 7 3 2 5 2 2" xfId="37262"/>
    <cellStyle name="표준 7 3 2 5 3" xfId="28524"/>
    <cellStyle name="표준 7 3 2 6" xfId="8023"/>
    <cellStyle name="표준 7 3 2 6 2" xfId="17029"/>
    <cellStyle name="표준 7 3 2 6 2 2" xfId="37905"/>
    <cellStyle name="표준 7 3 2 6 3" xfId="29167"/>
    <cellStyle name="표준 7 3 2 7" xfId="8871"/>
    <cellStyle name="표준 7 3 2 7 2" xfId="17876"/>
    <cellStyle name="표준 7 3 2 7 2 2" xfId="38752"/>
    <cellStyle name="표준 7 3 2 7 3" xfId="30014"/>
    <cellStyle name="표준 7 3 2 8" xfId="9696"/>
    <cellStyle name="표준 7 3 2 8 2" xfId="18694"/>
    <cellStyle name="표준 7 3 2 8 2 2" xfId="39570"/>
    <cellStyle name="표준 7 3 2 8 3" xfId="30832"/>
    <cellStyle name="표준 7 3 2 9" xfId="10139"/>
    <cellStyle name="표준 7 3 3" xfId="3523"/>
    <cellStyle name="표준 7 3 3 10" xfId="12986"/>
    <cellStyle name="표준 7 3 3 10 2" xfId="33863"/>
    <cellStyle name="표준 7 3 3 11" xfId="25113"/>
    <cellStyle name="표준 7 3 3 2" xfId="5125"/>
    <cellStyle name="표준 7 3 3 2 2" xfId="6950"/>
    <cellStyle name="표준 7 3 3 2 2 2" xfId="15959"/>
    <cellStyle name="표준 7 3 3 2 2 2 2" xfId="36835"/>
    <cellStyle name="표준 7 3 3 2 2 3" xfId="28097"/>
    <cellStyle name="표준 7 3 3 2 3" xfId="14141"/>
    <cellStyle name="표준 7 3 3 2 3 2" xfId="35017"/>
    <cellStyle name="표준 7 3 3 2 4" xfId="26279"/>
    <cellStyle name="표준 7 3 3 3" xfId="5796"/>
    <cellStyle name="표준 7 3 3 3 2" xfId="14805"/>
    <cellStyle name="표준 7 3 3 3 2 2" xfId="35681"/>
    <cellStyle name="표준 7 3 3 3 3" xfId="26943"/>
    <cellStyle name="표준 7 3 3 4" xfId="7596"/>
    <cellStyle name="표준 7 3 3 4 2" xfId="16603"/>
    <cellStyle name="표준 7 3 3 4 2 2" xfId="37479"/>
    <cellStyle name="표준 7 3 3 4 3" xfId="28741"/>
    <cellStyle name="표준 7 3 3 5" xfId="8240"/>
    <cellStyle name="표준 7 3 3 5 2" xfId="17246"/>
    <cellStyle name="표준 7 3 3 5 2 2" xfId="38122"/>
    <cellStyle name="표준 7 3 3 5 3" xfId="29384"/>
    <cellStyle name="표준 7 3 3 6" xfId="9088"/>
    <cellStyle name="표준 7 3 3 6 2" xfId="18093"/>
    <cellStyle name="표준 7 3 3 6 2 2" xfId="38969"/>
    <cellStyle name="표준 7 3 3 6 3" xfId="30231"/>
    <cellStyle name="표준 7 3 3 7" xfId="9913"/>
    <cellStyle name="표준 7 3 3 7 2" xfId="18911"/>
    <cellStyle name="표준 7 3 3 7 2 2" xfId="39787"/>
    <cellStyle name="표준 7 3 3 7 3" xfId="31049"/>
    <cellStyle name="표준 7 3 3 8" xfId="10968"/>
    <cellStyle name="표준 7 3 3 8 2" xfId="19739"/>
    <cellStyle name="표준 7 3 3 8 2 2" xfId="40615"/>
    <cellStyle name="표준 7 3 3 8 3" xfId="31879"/>
    <cellStyle name="표준 7 3 3 9" xfId="11834"/>
    <cellStyle name="표준 7 3 3 9 2" xfId="20600"/>
    <cellStyle name="표준 7 3 3 9 2 2" xfId="41476"/>
    <cellStyle name="표준 7 3 3 9 3" xfId="32740"/>
    <cellStyle name="표준 7 3 4" xfId="4682"/>
    <cellStyle name="표준 7 3 4 2" xfId="6516"/>
    <cellStyle name="표준 7 3 4 2 2" xfId="15525"/>
    <cellStyle name="표준 7 3 4 2 2 2" xfId="36401"/>
    <cellStyle name="표준 7 3 4 2 3" xfId="27663"/>
    <cellStyle name="표준 7 3 4 3" xfId="11189"/>
    <cellStyle name="표준 7 3 4 3 2" xfId="19958"/>
    <cellStyle name="표준 7 3 4 3 2 2" xfId="40834"/>
    <cellStyle name="표준 7 3 4 3 3" xfId="32098"/>
    <cellStyle name="표준 7 3 4 4" xfId="12053"/>
    <cellStyle name="표준 7 3 4 4 2" xfId="20819"/>
    <cellStyle name="표준 7 3 4 4 2 2" xfId="41695"/>
    <cellStyle name="표준 7 3 4 4 3" xfId="32959"/>
    <cellStyle name="표준 7 3 4 5" xfId="13707"/>
    <cellStyle name="표준 7 3 4 5 2" xfId="34583"/>
    <cellStyle name="표준 7 3 4 6" xfId="25845"/>
    <cellStyle name="표준 7 3 5" xfId="5359"/>
    <cellStyle name="표준 7 3 5 2" xfId="14368"/>
    <cellStyle name="표준 7 3 5 2 2" xfId="35244"/>
    <cellStyle name="표준 7 3 5 3" xfId="26506"/>
    <cellStyle name="표준 7 3 6" xfId="7161"/>
    <cellStyle name="표준 7 3 6 2" xfId="16169"/>
    <cellStyle name="표준 7 3 6 2 2" xfId="37045"/>
    <cellStyle name="표준 7 3 6 3" xfId="28307"/>
    <cellStyle name="표준 7 3 7" xfId="7806"/>
    <cellStyle name="표준 7 3 7 2" xfId="16812"/>
    <cellStyle name="표준 7 3 7 2 2" xfId="37688"/>
    <cellStyle name="표준 7 3 7 3" xfId="28950"/>
    <cellStyle name="표준 7 3 8" xfId="8654"/>
    <cellStyle name="표준 7 3 8 2" xfId="17659"/>
    <cellStyle name="표준 7 3 8 2 2" xfId="38535"/>
    <cellStyle name="표준 7 3 8 3" xfId="29797"/>
    <cellStyle name="표준 7 3 9" xfId="9194"/>
    <cellStyle name="표준 7 3 9 2" xfId="18198"/>
    <cellStyle name="표준 7 3 9 2 2" xfId="39074"/>
    <cellStyle name="표준 7 3 9 3" xfId="30336"/>
    <cellStyle name="표준 7 4" xfId="3080"/>
    <cellStyle name="표준 7 4 10" xfId="9479"/>
    <cellStyle name="표준 7 4 10 2" xfId="18478"/>
    <cellStyle name="표준 7 4 10 2 2" xfId="39354"/>
    <cellStyle name="표준 7 4 10 3" xfId="30616"/>
    <cellStyle name="표준 7 4 11" xfId="10140"/>
    <cellStyle name="표준 7 4 12" xfId="10535"/>
    <cellStyle name="표준 7 4 12 2" xfId="19306"/>
    <cellStyle name="표준 7 4 12 2 2" xfId="40182"/>
    <cellStyle name="표준 7 4 12 3" xfId="31446"/>
    <cellStyle name="표준 7 4 13" xfId="11401"/>
    <cellStyle name="표준 7 4 13 2" xfId="20167"/>
    <cellStyle name="표준 7 4 13 2 2" xfId="41043"/>
    <cellStyle name="표준 7 4 13 3" xfId="32307"/>
    <cellStyle name="표준 7 4 14" xfId="12550"/>
    <cellStyle name="표준 7 4 14 2" xfId="33427"/>
    <cellStyle name="표준 7 4 15" xfId="24677"/>
    <cellStyle name="표준 7 4 2" xfId="3300"/>
    <cellStyle name="표준 7 4 2 10" xfId="10752"/>
    <cellStyle name="표준 7 4 2 10 2" xfId="19523"/>
    <cellStyle name="표준 7 4 2 10 2 2" xfId="40399"/>
    <cellStyle name="표준 7 4 2 10 3" xfId="31663"/>
    <cellStyle name="표준 7 4 2 11" xfId="11618"/>
    <cellStyle name="표준 7 4 2 11 2" xfId="20384"/>
    <cellStyle name="표준 7 4 2 11 2 2" xfId="41260"/>
    <cellStyle name="표준 7 4 2 11 3" xfId="32524"/>
    <cellStyle name="표준 7 4 2 12" xfId="12767"/>
    <cellStyle name="표준 7 4 2 12 2" xfId="33644"/>
    <cellStyle name="표준 7 4 2 13" xfId="24894"/>
    <cellStyle name="표준 7 4 2 2" xfId="3741"/>
    <cellStyle name="표준 7 4 2 2 2" xfId="6014"/>
    <cellStyle name="표준 7 4 2 2 2 2" xfId="15023"/>
    <cellStyle name="표준 7 4 2 2 2 2 2" xfId="35899"/>
    <cellStyle name="표준 7 4 2 2 2 3" xfId="27161"/>
    <cellStyle name="표준 7 4 2 2 3" xfId="13204"/>
    <cellStyle name="표준 7 4 2 2 3 2" xfId="34081"/>
    <cellStyle name="표준 7 4 2 2 4" xfId="25331"/>
    <cellStyle name="표준 7 4 2 3" xfId="4903"/>
    <cellStyle name="표준 7 4 2 3 2" xfId="6734"/>
    <cellStyle name="표준 7 4 2 3 2 2" xfId="15743"/>
    <cellStyle name="표준 7 4 2 3 2 2 2" xfId="36619"/>
    <cellStyle name="표준 7 4 2 3 2 3" xfId="27881"/>
    <cellStyle name="표준 7 4 2 3 3" xfId="13925"/>
    <cellStyle name="표준 7 4 2 3 3 2" xfId="34801"/>
    <cellStyle name="표준 7 4 2 3 4" xfId="26063"/>
    <cellStyle name="표준 7 4 2 4" xfId="5577"/>
    <cellStyle name="표준 7 4 2 4 2" xfId="14586"/>
    <cellStyle name="표준 7 4 2 4 2 2" xfId="35462"/>
    <cellStyle name="표준 7 4 2 4 3" xfId="26724"/>
    <cellStyle name="표준 7 4 2 5" xfId="7380"/>
    <cellStyle name="표준 7 4 2 5 2" xfId="16387"/>
    <cellStyle name="표준 7 4 2 5 2 2" xfId="37263"/>
    <cellStyle name="표준 7 4 2 5 3" xfId="28525"/>
    <cellStyle name="표준 7 4 2 6" xfId="8024"/>
    <cellStyle name="표준 7 4 2 6 2" xfId="17030"/>
    <cellStyle name="표준 7 4 2 6 2 2" xfId="37906"/>
    <cellStyle name="표준 7 4 2 6 3" xfId="29168"/>
    <cellStyle name="표준 7 4 2 7" xfId="8872"/>
    <cellStyle name="표준 7 4 2 7 2" xfId="17877"/>
    <cellStyle name="표준 7 4 2 7 2 2" xfId="38753"/>
    <cellStyle name="표준 7 4 2 7 3" xfId="30015"/>
    <cellStyle name="표준 7 4 2 8" xfId="9697"/>
    <cellStyle name="표준 7 4 2 8 2" xfId="18695"/>
    <cellStyle name="표준 7 4 2 8 2 2" xfId="39571"/>
    <cellStyle name="표준 7 4 2 8 3" xfId="30833"/>
    <cellStyle name="표준 7 4 2 9" xfId="10141"/>
    <cellStyle name="표준 7 4 3" xfId="3524"/>
    <cellStyle name="표준 7 4 3 10" xfId="12987"/>
    <cellStyle name="표준 7 4 3 10 2" xfId="33864"/>
    <cellStyle name="표준 7 4 3 11" xfId="25114"/>
    <cellStyle name="표준 7 4 3 2" xfId="5126"/>
    <cellStyle name="표준 7 4 3 2 2" xfId="6951"/>
    <cellStyle name="표준 7 4 3 2 2 2" xfId="15960"/>
    <cellStyle name="표준 7 4 3 2 2 2 2" xfId="36836"/>
    <cellStyle name="표준 7 4 3 2 2 3" xfId="28098"/>
    <cellStyle name="표준 7 4 3 2 3" xfId="14142"/>
    <cellStyle name="표준 7 4 3 2 3 2" xfId="35018"/>
    <cellStyle name="표준 7 4 3 2 4" xfId="26280"/>
    <cellStyle name="표준 7 4 3 3" xfId="5797"/>
    <cellStyle name="표준 7 4 3 3 2" xfId="14806"/>
    <cellStyle name="표준 7 4 3 3 2 2" xfId="35682"/>
    <cellStyle name="표준 7 4 3 3 3" xfId="26944"/>
    <cellStyle name="표준 7 4 3 4" xfId="7597"/>
    <cellStyle name="표준 7 4 3 4 2" xfId="16604"/>
    <cellStyle name="표준 7 4 3 4 2 2" xfId="37480"/>
    <cellStyle name="표준 7 4 3 4 3" xfId="28742"/>
    <cellStyle name="표준 7 4 3 5" xfId="8241"/>
    <cellStyle name="표준 7 4 3 5 2" xfId="17247"/>
    <cellStyle name="표준 7 4 3 5 2 2" xfId="38123"/>
    <cellStyle name="표준 7 4 3 5 3" xfId="29385"/>
    <cellStyle name="표준 7 4 3 6" xfId="9089"/>
    <cellStyle name="표준 7 4 3 6 2" xfId="18094"/>
    <cellStyle name="표준 7 4 3 6 2 2" xfId="38970"/>
    <cellStyle name="표준 7 4 3 6 3" xfId="30232"/>
    <cellStyle name="표준 7 4 3 7" xfId="9914"/>
    <cellStyle name="표준 7 4 3 7 2" xfId="18912"/>
    <cellStyle name="표준 7 4 3 7 2 2" xfId="39788"/>
    <cellStyle name="표준 7 4 3 7 3" xfId="31050"/>
    <cellStyle name="표준 7 4 3 8" xfId="10969"/>
    <cellStyle name="표준 7 4 3 8 2" xfId="19740"/>
    <cellStyle name="표준 7 4 3 8 2 2" xfId="40616"/>
    <cellStyle name="표준 7 4 3 8 3" xfId="31880"/>
    <cellStyle name="표준 7 4 3 9" xfId="11835"/>
    <cellStyle name="표준 7 4 3 9 2" xfId="20601"/>
    <cellStyle name="표준 7 4 3 9 2 2" xfId="41477"/>
    <cellStyle name="표준 7 4 3 9 3" xfId="32741"/>
    <cellStyle name="표준 7 4 4" xfId="4683"/>
    <cellStyle name="표준 7 4 4 2" xfId="6517"/>
    <cellStyle name="표준 7 4 4 2 2" xfId="15526"/>
    <cellStyle name="표준 7 4 4 2 2 2" xfId="36402"/>
    <cellStyle name="표준 7 4 4 2 3" xfId="27664"/>
    <cellStyle name="표준 7 4 4 3" xfId="11190"/>
    <cellStyle name="표준 7 4 4 3 2" xfId="19959"/>
    <cellStyle name="표준 7 4 4 3 2 2" xfId="40835"/>
    <cellStyle name="표준 7 4 4 3 3" xfId="32099"/>
    <cellStyle name="표준 7 4 4 4" xfId="12054"/>
    <cellStyle name="표준 7 4 4 4 2" xfId="20820"/>
    <cellStyle name="표준 7 4 4 4 2 2" xfId="41696"/>
    <cellStyle name="표준 7 4 4 4 3" xfId="32960"/>
    <cellStyle name="표준 7 4 4 5" xfId="13708"/>
    <cellStyle name="표준 7 4 4 5 2" xfId="34584"/>
    <cellStyle name="표준 7 4 4 6" xfId="25846"/>
    <cellStyle name="표준 7 4 5" xfId="5360"/>
    <cellStyle name="표준 7 4 5 2" xfId="14369"/>
    <cellStyle name="표준 7 4 5 2 2" xfId="35245"/>
    <cellStyle name="표준 7 4 5 3" xfId="26507"/>
    <cellStyle name="표준 7 4 6" xfId="7162"/>
    <cellStyle name="표준 7 4 6 2" xfId="16170"/>
    <cellStyle name="표준 7 4 6 2 2" xfId="37046"/>
    <cellStyle name="표준 7 4 6 3" xfId="28308"/>
    <cellStyle name="표준 7 4 7" xfId="7807"/>
    <cellStyle name="표준 7 4 7 2" xfId="16813"/>
    <cellStyle name="표준 7 4 7 2 2" xfId="37689"/>
    <cellStyle name="표준 7 4 7 3" xfId="28951"/>
    <cellStyle name="표준 7 4 8" xfId="8655"/>
    <cellStyle name="표준 7 4 8 2" xfId="17660"/>
    <cellStyle name="표준 7 4 8 2 2" xfId="38536"/>
    <cellStyle name="표준 7 4 8 3" xfId="29798"/>
    <cellStyle name="표준 7 4 9" xfId="9195"/>
    <cellStyle name="표준 7 4 9 2" xfId="18199"/>
    <cellStyle name="표준 7 4 9 2 2" xfId="39075"/>
    <cellStyle name="표준 7 4 9 3" xfId="30337"/>
    <cellStyle name="표준 7 5" xfId="3081"/>
    <cellStyle name="표준 7 5 10" xfId="10142"/>
    <cellStyle name="표준 7 5 11" xfId="10536"/>
    <cellStyle name="표준 7 5 11 2" xfId="19307"/>
    <cellStyle name="표준 7 5 11 2 2" xfId="40183"/>
    <cellStyle name="표준 7 5 11 3" xfId="31447"/>
    <cellStyle name="표준 7 5 12" xfId="11402"/>
    <cellStyle name="표준 7 5 12 2" xfId="20168"/>
    <cellStyle name="표준 7 5 12 2 2" xfId="41044"/>
    <cellStyle name="표준 7 5 12 3" xfId="32308"/>
    <cellStyle name="표준 7 5 13" xfId="12551"/>
    <cellStyle name="표준 7 5 13 2" xfId="33428"/>
    <cellStyle name="표준 7 5 14" xfId="24678"/>
    <cellStyle name="표준 7 5 2" xfId="3301"/>
    <cellStyle name="표준 7 5 2 10" xfId="11619"/>
    <cellStyle name="표준 7 5 2 10 2" xfId="20385"/>
    <cellStyle name="표준 7 5 2 10 2 2" xfId="41261"/>
    <cellStyle name="표준 7 5 2 10 3" xfId="32525"/>
    <cellStyle name="표준 7 5 2 11" xfId="12768"/>
    <cellStyle name="표준 7 5 2 11 2" xfId="33645"/>
    <cellStyle name="표준 7 5 2 12" xfId="24895"/>
    <cellStyle name="표준 7 5 2 2" xfId="3742"/>
    <cellStyle name="표준 7 5 2 2 2" xfId="6015"/>
    <cellStyle name="표준 7 5 2 2 2 2" xfId="15024"/>
    <cellStyle name="표준 7 5 2 2 2 2 2" xfId="35900"/>
    <cellStyle name="표준 7 5 2 2 2 3" xfId="27162"/>
    <cellStyle name="표준 7 5 2 2 3" xfId="13205"/>
    <cellStyle name="표준 7 5 2 2 3 2" xfId="34082"/>
    <cellStyle name="표준 7 5 2 2 4" xfId="25332"/>
    <cellStyle name="표준 7 5 2 3" xfId="4904"/>
    <cellStyle name="표준 7 5 2 3 2" xfId="6735"/>
    <cellStyle name="표준 7 5 2 3 2 2" xfId="15744"/>
    <cellStyle name="표준 7 5 2 3 2 2 2" xfId="36620"/>
    <cellStyle name="표준 7 5 2 3 2 3" xfId="27882"/>
    <cellStyle name="표준 7 5 2 3 3" xfId="13926"/>
    <cellStyle name="표준 7 5 2 3 3 2" xfId="34802"/>
    <cellStyle name="표준 7 5 2 3 4" xfId="26064"/>
    <cellStyle name="표준 7 5 2 4" xfId="5578"/>
    <cellStyle name="표준 7 5 2 4 2" xfId="14587"/>
    <cellStyle name="표준 7 5 2 4 2 2" xfId="35463"/>
    <cellStyle name="표준 7 5 2 4 3" xfId="26725"/>
    <cellStyle name="표준 7 5 2 5" xfId="7381"/>
    <cellStyle name="표준 7 5 2 5 2" xfId="16388"/>
    <cellStyle name="표준 7 5 2 5 2 2" xfId="37264"/>
    <cellStyle name="표준 7 5 2 5 3" xfId="28526"/>
    <cellStyle name="표준 7 5 2 6" xfId="8025"/>
    <cellStyle name="표준 7 5 2 6 2" xfId="17031"/>
    <cellStyle name="표준 7 5 2 6 2 2" xfId="37907"/>
    <cellStyle name="표준 7 5 2 6 3" xfId="29169"/>
    <cellStyle name="표준 7 5 2 7" xfId="8873"/>
    <cellStyle name="표준 7 5 2 7 2" xfId="17878"/>
    <cellStyle name="표준 7 5 2 7 2 2" xfId="38754"/>
    <cellStyle name="표준 7 5 2 7 3" xfId="30016"/>
    <cellStyle name="표준 7 5 2 8" xfId="9698"/>
    <cellStyle name="표준 7 5 2 8 2" xfId="18696"/>
    <cellStyle name="표준 7 5 2 8 2 2" xfId="39572"/>
    <cellStyle name="표준 7 5 2 8 3" xfId="30834"/>
    <cellStyle name="표준 7 5 2 9" xfId="10753"/>
    <cellStyle name="표준 7 5 2 9 2" xfId="19524"/>
    <cellStyle name="표준 7 5 2 9 2 2" xfId="40400"/>
    <cellStyle name="표준 7 5 2 9 3" xfId="31664"/>
    <cellStyle name="표준 7 5 3" xfId="3525"/>
    <cellStyle name="표준 7 5 3 10" xfId="12988"/>
    <cellStyle name="표준 7 5 3 10 2" xfId="33865"/>
    <cellStyle name="표준 7 5 3 11" xfId="25115"/>
    <cellStyle name="표준 7 5 3 2" xfId="5127"/>
    <cellStyle name="표준 7 5 3 2 2" xfId="6952"/>
    <cellStyle name="표준 7 5 3 2 2 2" xfId="15961"/>
    <cellStyle name="표준 7 5 3 2 2 2 2" xfId="36837"/>
    <cellStyle name="표준 7 5 3 2 2 3" xfId="28099"/>
    <cellStyle name="표준 7 5 3 2 3" xfId="14143"/>
    <cellStyle name="표준 7 5 3 2 3 2" xfId="35019"/>
    <cellStyle name="표준 7 5 3 2 4" xfId="26281"/>
    <cellStyle name="표준 7 5 3 3" xfId="5798"/>
    <cellStyle name="표준 7 5 3 3 2" xfId="14807"/>
    <cellStyle name="표준 7 5 3 3 2 2" xfId="35683"/>
    <cellStyle name="표준 7 5 3 3 3" xfId="26945"/>
    <cellStyle name="표준 7 5 3 4" xfId="7598"/>
    <cellStyle name="표준 7 5 3 4 2" xfId="16605"/>
    <cellStyle name="표준 7 5 3 4 2 2" xfId="37481"/>
    <cellStyle name="표준 7 5 3 4 3" xfId="28743"/>
    <cellStyle name="표준 7 5 3 5" xfId="8242"/>
    <cellStyle name="표준 7 5 3 5 2" xfId="17248"/>
    <cellStyle name="표준 7 5 3 5 2 2" xfId="38124"/>
    <cellStyle name="표준 7 5 3 5 3" xfId="29386"/>
    <cellStyle name="표준 7 5 3 6" xfId="9090"/>
    <cellStyle name="표준 7 5 3 6 2" xfId="18095"/>
    <cellStyle name="표준 7 5 3 6 2 2" xfId="38971"/>
    <cellStyle name="표준 7 5 3 6 3" xfId="30233"/>
    <cellStyle name="표준 7 5 3 7" xfId="9915"/>
    <cellStyle name="표준 7 5 3 7 2" xfId="18913"/>
    <cellStyle name="표준 7 5 3 7 2 2" xfId="39789"/>
    <cellStyle name="표준 7 5 3 7 3" xfId="31051"/>
    <cellStyle name="표준 7 5 3 8" xfId="10970"/>
    <cellStyle name="표준 7 5 3 8 2" xfId="19741"/>
    <cellStyle name="표준 7 5 3 8 2 2" xfId="40617"/>
    <cellStyle name="표준 7 5 3 8 3" xfId="31881"/>
    <cellStyle name="표준 7 5 3 9" xfId="11836"/>
    <cellStyle name="표준 7 5 3 9 2" xfId="20602"/>
    <cellStyle name="표준 7 5 3 9 2 2" xfId="41478"/>
    <cellStyle name="표준 7 5 3 9 3" xfId="32742"/>
    <cellStyle name="표준 7 5 4" xfId="4684"/>
    <cellStyle name="표준 7 5 4 2" xfId="6518"/>
    <cellStyle name="표준 7 5 4 2 2" xfId="15527"/>
    <cellStyle name="표준 7 5 4 2 2 2" xfId="36403"/>
    <cellStyle name="표준 7 5 4 2 3" xfId="27665"/>
    <cellStyle name="표준 7 5 4 3" xfId="11191"/>
    <cellStyle name="표준 7 5 4 3 2" xfId="19960"/>
    <cellStyle name="표준 7 5 4 3 2 2" xfId="40836"/>
    <cellStyle name="표준 7 5 4 3 3" xfId="32100"/>
    <cellStyle name="표준 7 5 4 4" xfId="12055"/>
    <cellStyle name="표준 7 5 4 4 2" xfId="20821"/>
    <cellStyle name="표준 7 5 4 4 2 2" xfId="41697"/>
    <cellStyle name="표준 7 5 4 4 3" xfId="32961"/>
    <cellStyle name="표준 7 5 4 5" xfId="13709"/>
    <cellStyle name="표준 7 5 4 5 2" xfId="34585"/>
    <cellStyle name="표준 7 5 4 6" xfId="25847"/>
    <cellStyle name="표준 7 5 5" xfId="5361"/>
    <cellStyle name="표준 7 5 5 2" xfId="14370"/>
    <cellStyle name="표준 7 5 5 2 2" xfId="35246"/>
    <cellStyle name="표준 7 5 5 3" xfId="26508"/>
    <cellStyle name="표준 7 5 6" xfId="7163"/>
    <cellStyle name="표준 7 5 6 2" xfId="16171"/>
    <cellStyle name="표준 7 5 6 2 2" xfId="37047"/>
    <cellStyle name="표준 7 5 6 3" xfId="28309"/>
    <cellStyle name="표준 7 5 7" xfId="7808"/>
    <cellStyle name="표준 7 5 7 2" xfId="16814"/>
    <cellStyle name="표준 7 5 7 2 2" xfId="37690"/>
    <cellStyle name="표준 7 5 7 3" xfId="28952"/>
    <cellStyle name="표준 7 5 8" xfId="8656"/>
    <cellStyle name="표준 7 5 8 2" xfId="17661"/>
    <cellStyle name="표준 7 5 8 2 2" xfId="38537"/>
    <cellStyle name="표준 7 5 8 3" xfId="29799"/>
    <cellStyle name="표준 7 5 9" xfId="9480"/>
    <cellStyle name="표준 7 5 9 2" xfId="18479"/>
    <cellStyle name="표준 7 5 9 2 2" xfId="39355"/>
    <cellStyle name="표준 7 5 9 3" xfId="30617"/>
    <cellStyle name="표준 7 6" xfId="3082"/>
    <cellStyle name="표준 7 6 10" xfId="10537"/>
    <cellStyle name="표준 7 6 10 2" xfId="19308"/>
    <cellStyle name="표준 7 6 10 2 2" xfId="40184"/>
    <cellStyle name="표준 7 6 10 3" xfId="31448"/>
    <cellStyle name="표준 7 6 11" xfId="11403"/>
    <cellStyle name="표준 7 6 11 2" xfId="20169"/>
    <cellStyle name="표준 7 6 11 2 2" xfId="41045"/>
    <cellStyle name="표준 7 6 11 3" xfId="32309"/>
    <cellStyle name="표준 7 6 12" xfId="12552"/>
    <cellStyle name="표준 7 6 12 2" xfId="33429"/>
    <cellStyle name="표준 7 6 13" xfId="24679"/>
    <cellStyle name="표준 7 6 2" xfId="3302"/>
    <cellStyle name="표준 7 6 2 10" xfId="11620"/>
    <cellStyle name="표준 7 6 2 10 2" xfId="20386"/>
    <cellStyle name="표준 7 6 2 10 2 2" xfId="41262"/>
    <cellStyle name="표준 7 6 2 10 3" xfId="32526"/>
    <cellStyle name="표준 7 6 2 11" xfId="12769"/>
    <cellStyle name="표준 7 6 2 11 2" xfId="33646"/>
    <cellStyle name="표준 7 6 2 12" xfId="24896"/>
    <cellStyle name="표준 7 6 2 2" xfId="3743"/>
    <cellStyle name="표준 7 6 2 2 2" xfId="6016"/>
    <cellStyle name="표준 7 6 2 2 2 2" xfId="15025"/>
    <cellStyle name="표준 7 6 2 2 2 2 2" xfId="35901"/>
    <cellStyle name="표준 7 6 2 2 2 3" xfId="27163"/>
    <cellStyle name="표준 7 6 2 2 3" xfId="13206"/>
    <cellStyle name="표준 7 6 2 2 3 2" xfId="34083"/>
    <cellStyle name="표준 7 6 2 2 4" xfId="25333"/>
    <cellStyle name="표준 7 6 2 3" xfId="4905"/>
    <cellStyle name="표준 7 6 2 3 2" xfId="6736"/>
    <cellStyle name="표준 7 6 2 3 2 2" xfId="15745"/>
    <cellStyle name="표준 7 6 2 3 2 2 2" xfId="36621"/>
    <cellStyle name="표준 7 6 2 3 2 3" xfId="27883"/>
    <cellStyle name="표준 7 6 2 3 3" xfId="13927"/>
    <cellStyle name="표준 7 6 2 3 3 2" xfId="34803"/>
    <cellStyle name="표준 7 6 2 3 4" xfId="26065"/>
    <cellStyle name="표준 7 6 2 4" xfId="5579"/>
    <cellStyle name="표준 7 6 2 4 2" xfId="14588"/>
    <cellStyle name="표준 7 6 2 4 2 2" xfId="35464"/>
    <cellStyle name="표준 7 6 2 4 3" xfId="26726"/>
    <cellStyle name="표준 7 6 2 5" xfId="7382"/>
    <cellStyle name="표준 7 6 2 5 2" xfId="16389"/>
    <cellStyle name="표준 7 6 2 5 2 2" xfId="37265"/>
    <cellStyle name="표준 7 6 2 5 3" xfId="28527"/>
    <cellStyle name="표준 7 6 2 6" xfId="8026"/>
    <cellStyle name="표준 7 6 2 6 2" xfId="17032"/>
    <cellStyle name="표준 7 6 2 6 2 2" xfId="37908"/>
    <cellStyle name="표준 7 6 2 6 3" xfId="29170"/>
    <cellStyle name="표준 7 6 2 7" xfId="8874"/>
    <cellStyle name="표준 7 6 2 7 2" xfId="17879"/>
    <cellStyle name="표준 7 6 2 7 2 2" xfId="38755"/>
    <cellStyle name="표준 7 6 2 7 3" xfId="30017"/>
    <cellStyle name="표준 7 6 2 8" xfId="9699"/>
    <cellStyle name="표준 7 6 2 8 2" xfId="18697"/>
    <cellStyle name="표준 7 6 2 8 2 2" xfId="39573"/>
    <cellStyle name="표준 7 6 2 8 3" xfId="30835"/>
    <cellStyle name="표준 7 6 2 9" xfId="10754"/>
    <cellStyle name="표준 7 6 2 9 2" xfId="19525"/>
    <cellStyle name="표준 7 6 2 9 2 2" xfId="40401"/>
    <cellStyle name="표준 7 6 2 9 3" xfId="31665"/>
    <cellStyle name="표준 7 6 3" xfId="3526"/>
    <cellStyle name="표준 7 6 3 10" xfId="12989"/>
    <cellStyle name="표준 7 6 3 10 2" xfId="33866"/>
    <cellStyle name="표준 7 6 3 11" xfId="25116"/>
    <cellStyle name="표준 7 6 3 2" xfId="5128"/>
    <cellStyle name="표준 7 6 3 2 2" xfId="6953"/>
    <cellStyle name="표준 7 6 3 2 2 2" xfId="15962"/>
    <cellStyle name="표준 7 6 3 2 2 2 2" xfId="36838"/>
    <cellStyle name="표준 7 6 3 2 2 3" xfId="28100"/>
    <cellStyle name="표준 7 6 3 2 3" xfId="14144"/>
    <cellStyle name="표준 7 6 3 2 3 2" xfId="35020"/>
    <cellStyle name="표준 7 6 3 2 4" xfId="26282"/>
    <cellStyle name="표준 7 6 3 3" xfId="5799"/>
    <cellStyle name="표준 7 6 3 3 2" xfId="14808"/>
    <cellStyle name="표준 7 6 3 3 2 2" xfId="35684"/>
    <cellStyle name="표준 7 6 3 3 3" xfId="26946"/>
    <cellStyle name="표준 7 6 3 4" xfId="7599"/>
    <cellStyle name="표준 7 6 3 4 2" xfId="16606"/>
    <cellStyle name="표준 7 6 3 4 2 2" xfId="37482"/>
    <cellStyle name="표준 7 6 3 4 3" xfId="28744"/>
    <cellStyle name="표준 7 6 3 5" xfId="8243"/>
    <cellStyle name="표준 7 6 3 5 2" xfId="17249"/>
    <cellStyle name="표준 7 6 3 5 2 2" xfId="38125"/>
    <cellStyle name="표준 7 6 3 5 3" xfId="29387"/>
    <cellStyle name="표준 7 6 3 6" xfId="9091"/>
    <cellStyle name="표준 7 6 3 6 2" xfId="18096"/>
    <cellStyle name="표준 7 6 3 6 2 2" xfId="38972"/>
    <cellStyle name="표준 7 6 3 6 3" xfId="30234"/>
    <cellStyle name="표준 7 6 3 7" xfId="9916"/>
    <cellStyle name="표준 7 6 3 7 2" xfId="18914"/>
    <cellStyle name="표준 7 6 3 7 2 2" xfId="39790"/>
    <cellStyle name="표준 7 6 3 7 3" xfId="31052"/>
    <cellStyle name="표준 7 6 3 8" xfId="10971"/>
    <cellStyle name="표준 7 6 3 8 2" xfId="19742"/>
    <cellStyle name="표준 7 6 3 8 2 2" xfId="40618"/>
    <cellStyle name="표준 7 6 3 8 3" xfId="31882"/>
    <cellStyle name="표준 7 6 3 9" xfId="11837"/>
    <cellStyle name="표준 7 6 3 9 2" xfId="20603"/>
    <cellStyle name="표준 7 6 3 9 2 2" xfId="41479"/>
    <cellStyle name="표준 7 6 3 9 3" xfId="32743"/>
    <cellStyle name="표준 7 6 4" xfId="4685"/>
    <cellStyle name="표준 7 6 4 2" xfId="6519"/>
    <cellStyle name="표준 7 6 4 2 2" xfId="15528"/>
    <cellStyle name="표준 7 6 4 2 2 2" xfId="36404"/>
    <cellStyle name="표준 7 6 4 2 3" xfId="27666"/>
    <cellStyle name="표준 7 6 4 3" xfId="11192"/>
    <cellStyle name="표준 7 6 4 3 2" xfId="19961"/>
    <cellStyle name="표준 7 6 4 3 2 2" xfId="40837"/>
    <cellStyle name="표준 7 6 4 3 3" xfId="32101"/>
    <cellStyle name="표준 7 6 4 4" xfId="12056"/>
    <cellStyle name="표준 7 6 4 4 2" xfId="20822"/>
    <cellStyle name="표준 7 6 4 4 2 2" xfId="41698"/>
    <cellStyle name="표준 7 6 4 4 3" xfId="32962"/>
    <cellStyle name="표준 7 6 4 5" xfId="13710"/>
    <cellStyle name="표준 7 6 4 5 2" xfId="34586"/>
    <cellStyle name="표준 7 6 4 6" xfId="25848"/>
    <cellStyle name="표준 7 6 5" xfId="5362"/>
    <cellStyle name="표준 7 6 5 2" xfId="14371"/>
    <cellStyle name="표준 7 6 5 2 2" xfId="35247"/>
    <cellStyle name="표준 7 6 5 3" xfId="26509"/>
    <cellStyle name="표준 7 6 6" xfId="7164"/>
    <cellStyle name="표준 7 6 6 2" xfId="16172"/>
    <cellStyle name="표준 7 6 6 2 2" xfId="37048"/>
    <cellStyle name="표준 7 6 6 3" xfId="28310"/>
    <cellStyle name="표준 7 6 7" xfId="7809"/>
    <cellStyle name="표준 7 6 7 2" xfId="16815"/>
    <cellStyle name="표준 7 6 7 2 2" xfId="37691"/>
    <cellStyle name="표준 7 6 7 3" xfId="28953"/>
    <cellStyle name="표준 7 6 8" xfId="8657"/>
    <cellStyle name="표준 7 6 8 2" xfId="17662"/>
    <cellStyle name="표준 7 6 8 2 2" xfId="38538"/>
    <cellStyle name="표준 7 6 8 3" xfId="29800"/>
    <cellStyle name="표준 7 6 9" xfId="9481"/>
    <cellStyle name="표준 7 6 9 2" xfId="18480"/>
    <cellStyle name="표준 7 6 9 2 2" xfId="39356"/>
    <cellStyle name="표준 7 6 9 3" xfId="30618"/>
    <cellStyle name="표준 7 7" xfId="3083"/>
    <cellStyle name="표준 7 7 10" xfId="10538"/>
    <cellStyle name="표준 7 7 10 2" xfId="19309"/>
    <cellStyle name="표준 7 7 10 2 2" xfId="40185"/>
    <cellStyle name="표준 7 7 10 3" xfId="31449"/>
    <cellStyle name="표준 7 7 11" xfId="11404"/>
    <cellStyle name="표준 7 7 11 2" xfId="20170"/>
    <cellStyle name="표준 7 7 11 2 2" xfId="41046"/>
    <cellStyle name="표준 7 7 11 3" xfId="32310"/>
    <cellStyle name="표준 7 7 12" xfId="12553"/>
    <cellStyle name="표준 7 7 12 2" xfId="33430"/>
    <cellStyle name="표준 7 7 13" xfId="24680"/>
    <cellStyle name="표준 7 7 2" xfId="3303"/>
    <cellStyle name="표준 7 7 2 10" xfId="11621"/>
    <cellStyle name="표준 7 7 2 10 2" xfId="20387"/>
    <cellStyle name="표준 7 7 2 10 2 2" xfId="41263"/>
    <cellStyle name="표준 7 7 2 10 3" xfId="32527"/>
    <cellStyle name="표준 7 7 2 11" xfId="12770"/>
    <cellStyle name="표준 7 7 2 11 2" xfId="33647"/>
    <cellStyle name="표준 7 7 2 12" xfId="24897"/>
    <cellStyle name="표준 7 7 2 2" xfId="3744"/>
    <cellStyle name="표준 7 7 2 2 2" xfId="6017"/>
    <cellStyle name="표준 7 7 2 2 2 2" xfId="15026"/>
    <cellStyle name="표준 7 7 2 2 2 2 2" xfId="35902"/>
    <cellStyle name="표준 7 7 2 2 2 3" xfId="27164"/>
    <cellStyle name="표준 7 7 2 2 3" xfId="13207"/>
    <cellStyle name="표준 7 7 2 2 3 2" xfId="34084"/>
    <cellStyle name="표준 7 7 2 2 4" xfId="25334"/>
    <cellStyle name="표준 7 7 2 3" xfId="4906"/>
    <cellStyle name="표준 7 7 2 3 2" xfId="6737"/>
    <cellStyle name="표준 7 7 2 3 2 2" xfId="15746"/>
    <cellStyle name="표준 7 7 2 3 2 2 2" xfId="36622"/>
    <cellStyle name="표준 7 7 2 3 2 3" xfId="27884"/>
    <cellStyle name="표준 7 7 2 3 3" xfId="13928"/>
    <cellStyle name="표준 7 7 2 3 3 2" xfId="34804"/>
    <cellStyle name="표준 7 7 2 3 4" xfId="26066"/>
    <cellStyle name="표준 7 7 2 4" xfId="5580"/>
    <cellStyle name="표준 7 7 2 4 2" xfId="14589"/>
    <cellStyle name="표준 7 7 2 4 2 2" xfId="35465"/>
    <cellStyle name="표준 7 7 2 4 3" xfId="26727"/>
    <cellStyle name="표준 7 7 2 5" xfId="7383"/>
    <cellStyle name="표준 7 7 2 5 2" xfId="16390"/>
    <cellStyle name="표준 7 7 2 5 2 2" xfId="37266"/>
    <cellStyle name="표준 7 7 2 5 3" xfId="28528"/>
    <cellStyle name="표준 7 7 2 6" xfId="8027"/>
    <cellStyle name="표준 7 7 2 6 2" xfId="17033"/>
    <cellStyle name="표준 7 7 2 6 2 2" xfId="37909"/>
    <cellStyle name="표준 7 7 2 6 3" xfId="29171"/>
    <cellStyle name="표준 7 7 2 7" xfId="8875"/>
    <cellStyle name="표준 7 7 2 7 2" xfId="17880"/>
    <cellStyle name="표준 7 7 2 7 2 2" xfId="38756"/>
    <cellStyle name="표준 7 7 2 7 3" xfId="30018"/>
    <cellStyle name="표준 7 7 2 8" xfId="9700"/>
    <cellStyle name="표준 7 7 2 8 2" xfId="18698"/>
    <cellStyle name="표준 7 7 2 8 2 2" xfId="39574"/>
    <cellStyle name="표준 7 7 2 8 3" xfId="30836"/>
    <cellStyle name="표준 7 7 2 9" xfId="10755"/>
    <cellStyle name="표준 7 7 2 9 2" xfId="19526"/>
    <cellStyle name="표준 7 7 2 9 2 2" xfId="40402"/>
    <cellStyle name="표준 7 7 2 9 3" xfId="31666"/>
    <cellStyle name="표준 7 7 3" xfId="3527"/>
    <cellStyle name="표준 7 7 3 10" xfId="12990"/>
    <cellStyle name="표준 7 7 3 10 2" xfId="33867"/>
    <cellStyle name="표준 7 7 3 11" xfId="25117"/>
    <cellStyle name="표준 7 7 3 2" xfId="5129"/>
    <cellStyle name="표준 7 7 3 2 2" xfId="6954"/>
    <cellStyle name="표준 7 7 3 2 2 2" xfId="15963"/>
    <cellStyle name="표준 7 7 3 2 2 2 2" xfId="36839"/>
    <cellStyle name="표준 7 7 3 2 2 3" xfId="28101"/>
    <cellStyle name="표준 7 7 3 2 3" xfId="14145"/>
    <cellStyle name="표준 7 7 3 2 3 2" xfId="35021"/>
    <cellStyle name="표준 7 7 3 2 4" xfId="26283"/>
    <cellStyle name="표준 7 7 3 3" xfId="5800"/>
    <cellStyle name="표준 7 7 3 3 2" xfId="14809"/>
    <cellStyle name="표준 7 7 3 3 2 2" xfId="35685"/>
    <cellStyle name="표준 7 7 3 3 3" xfId="26947"/>
    <cellStyle name="표준 7 7 3 4" xfId="7600"/>
    <cellStyle name="표준 7 7 3 4 2" xfId="16607"/>
    <cellStyle name="표준 7 7 3 4 2 2" xfId="37483"/>
    <cellStyle name="표준 7 7 3 4 3" xfId="28745"/>
    <cellStyle name="표준 7 7 3 5" xfId="8244"/>
    <cellStyle name="표준 7 7 3 5 2" xfId="17250"/>
    <cellStyle name="표준 7 7 3 5 2 2" xfId="38126"/>
    <cellStyle name="표준 7 7 3 5 3" xfId="29388"/>
    <cellStyle name="표준 7 7 3 6" xfId="9092"/>
    <cellStyle name="표준 7 7 3 6 2" xfId="18097"/>
    <cellStyle name="표준 7 7 3 6 2 2" xfId="38973"/>
    <cellStyle name="표준 7 7 3 6 3" xfId="30235"/>
    <cellStyle name="표준 7 7 3 7" xfId="9917"/>
    <cellStyle name="표준 7 7 3 7 2" xfId="18915"/>
    <cellStyle name="표준 7 7 3 7 2 2" xfId="39791"/>
    <cellStyle name="표준 7 7 3 7 3" xfId="31053"/>
    <cellStyle name="표준 7 7 3 8" xfId="10972"/>
    <cellStyle name="표준 7 7 3 8 2" xfId="19743"/>
    <cellStyle name="표준 7 7 3 8 2 2" xfId="40619"/>
    <cellStyle name="표준 7 7 3 8 3" xfId="31883"/>
    <cellStyle name="표준 7 7 3 9" xfId="11838"/>
    <cellStyle name="표준 7 7 3 9 2" xfId="20604"/>
    <cellStyle name="표준 7 7 3 9 2 2" xfId="41480"/>
    <cellStyle name="표준 7 7 3 9 3" xfId="32744"/>
    <cellStyle name="표준 7 7 4" xfId="4686"/>
    <cellStyle name="표준 7 7 4 2" xfId="6520"/>
    <cellStyle name="표준 7 7 4 2 2" xfId="15529"/>
    <cellStyle name="표준 7 7 4 2 2 2" xfId="36405"/>
    <cellStyle name="표준 7 7 4 2 3" xfId="27667"/>
    <cellStyle name="표준 7 7 4 3" xfId="11193"/>
    <cellStyle name="표준 7 7 4 3 2" xfId="19962"/>
    <cellStyle name="표준 7 7 4 3 2 2" xfId="40838"/>
    <cellStyle name="표준 7 7 4 3 3" xfId="32102"/>
    <cellStyle name="표준 7 7 4 4" xfId="12057"/>
    <cellStyle name="표준 7 7 4 4 2" xfId="20823"/>
    <cellStyle name="표준 7 7 4 4 2 2" xfId="41699"/>
    <cellStyle name="표준 7 7 4 4 3" xfId="32963"/>
    <cellStyle name="표준 7 7 4 5" xfId="13711"/>
    <cellStyle name="표준 7 7 4 5 2" xfId="34587"/>
    <cellStyle name="표준 7 7 4 6" xfId="25849"/>
    <cellStyle name="표준 7 7 5" xfId="5363"/>
    <cellStyle name="표준 7 7 5 2" xfId="14372"/>
    <cellStyle name="표준 7 7 5 2 2" xfId="35248"/>
    <cellStyle name="표준 7 7 5 3" xfId="26510"/>
    <cellStyle name="표준 7 7 6" xfId="7165"/>
    <cellStyle name="표준 7 7 6 2" xfId="16173"/>
    <cellStyle name="표준 7 7 6 2 2" xfId="37049"/>
    <cellStyle name="표준 7 7 6 3" xfId="28311"/>
    <cellStyle name="표준 7 7 7" xfId="7810"/>
    <cellStyle name="표준 7 7 7 2" xfId="16816"/>
    <cellStyle name="표준 7 7 7 2 2" xfId="37692"/>
    <cellStyle name="표준 7 7 7 3" xfId="28954"/>
    <cellStyle name="표준 7 7 8" xfId="8658"/>
    <cellStyle name="표준 7 7 8 2" xfId="17663"/>
    <cellStyle name="표준 7 7 8 2 2" xfId="38539"/>
    <cellStyle name="표준 7 7 8 3" xfId="29801"/>
    <cellStyle name="표준 7 7 9" xfId="9482"/>
    <cellStyle name="표준 7 7 9 2" xfId="18481"/>
    <cellStyle name="표준 7 7 9 2 2" xfId="39357"/>
    <cellStyle name="표준 7 7 9 3" xfId="30619"/>
    <cellStyle name="표준 7 8" xfId="3297"/>
    <cellStyle name="표준 7 8 10" xfId="11615"/>
    <cellStyle name="표준 7 8 10 2" xfId="20381"/>
    <cellStyle name="표준 7 8 10 2 2" xfId="41257"/>
    <cellStyle name="표준 7 8 10 3" xfId="32521"/>
    <cellStyle name="표준 7 8 11" xfId="12764"/>
    <cellStyle name="표준 7 8 11 2" xfId="33641"/>
    <cellStyle name="표준 7 8 12" xfId="24891"/>
    <cellStyle name="표준 7 8 2" xfId="3738"/>
    <cellStyle name="표준 7 8 2 2" xfId="6011"/>
    <cellStyle name="표준 7 8 2 2 2" xfId="15020"/>
    <cellStyle name="표준 7 8 2 2 2 2" xfId="35896"/>
    <cellStyle name="표준 7 8 2 2 3" xfId="27158"/>
    <cellStyle name="표준 7 8 2 3" xfId="13201"/>
    <cellStyle name="표준 7 8 2 3 2" xfId="34078"/>
    <cellStyle name="표준 7 8 2 4" xfId="25328"/>
    <cellStyle name="표준 7 8 3" xfId="4900"/>
    <cellStyle name="표준 7 8 3 2" xfId="6731"/>
    <cellStyle name="표준 7 8 3 2 2" xfId="15740"/>
    <cellStyle name="표준 7 8 3 2 2 2" xfId="36616"/>
    <cellStyle name="표준 7 8 3 2 3" xfId="27878"/>
    <cellStyle name="표준 7 8 3 3" xfId="13922"/>
    <cellStyle name="표준 7 8 3 3 2" xfId="34798"/>
    <cellStyle name="표준 7 8 3 4" xfId="26060"/>
    <cellStyle name="표준 7 8 4" xfId="5574"/>
    <cellStyle name="표준 7 8 4 2" xfId="14583"/>
    <cellStyle name="표준 7 8 4 2 2" xfId="35459"/>
    <cellStyle name="표준 7 8 4 3" xfId="26721"/>
    <cellStyle name="표준 7 8 5" xfId="7377"/>
    <cellStyle name="표준 7 8 5 2" xfId="16384"/>
    <cellStyle name="표준 7 8 5 2 2" xfId="37260"/>
    <cellStyle name="표준 7 8 5 3" xfId="28522"/>
    <cellStyle name="표준 7 8 6" xfId="8021"/>
    <cellStyle name="표준 7 8 6 2" xfId="17027"/>
    <cellStyle name="표준 7 8 6 2 2" xfId="37903"/>
    <cellStyle name="표준 7 8 6 3" xfId="29165"/>
    <cellStyle name="표준 7 8 7" xfId="8869"/>
    <cellStyle name="표준 7 8 7 2" xfId="17874"/>
    <cellStyle name="표준 7 8 7 2 2" xfId="38750"/>
    <cellStyle name="표준 7 8 7 3" xfId="30012"/>
    <cellStyle name="표준 7 8 8" xfId="9694"/>
    <cellStyle name="표준 7 8 8 2" xfId="18692"/>
    <cellStyle name="표준 7 8 8 2 2" xfId="39568"/>
    <cellStyle name="표준 7 8 8 3" xfId="30830"/>
    <cellStyle name="표준 7 8 9" xfId="10749"/>
    <cellStyle name="표준 7 8 9 2" xfId="19520"/>
    <cellStyle name="표준 7 8 9 2 2" xfId="40396"/>
    <cellStyle name="표준 7 8 9 3" xfId="31660"/>
    <cellStyle name="표준 7 9" xfId="3521"/>
    <cellStyle name="표준 7 9 10" xfId="12984"/>
    <cellStyle name="표준 7 9 10 2" xfId="33861"/>
    <cellStyle name="표준 7 9 11" xfId="25111"/>
    <cellStyle name="표준 7 9 2" xfId="5123"/>
    <cellStyle name="표준 7 9 2 2" xfId="6948"/>
    <cellStyle name="표준 7 9 2 2 2" xfId="15957"/>
    <cellStyle name="표준 7 9 2 2 2 2" xfId="36833"/>
    <cellStyle name="표준 7 9 2 2 3" xfId="28095"/>
    <cellStyle name="표준 7 9 2 3" xfId="14139"/>
    <cellStyle name="표준 7 9 2 3 2" xfId="35015"/>
    <cellStyle name="표준 7 9 2 4" xfId="26277"/>
    <cellStyle name="표준 7 9 3" xfId="5794"/>
    <cellStyle name="표준 7 9 3 2" xfId="14803"/>
    <cellStyle name="표준 7 9 3 2 2" xfId="35679"/>
    <cellStyle name="표준 7 9 3 3" xfId="26941"/>
    <cellStyle name="표준 7 9 4" xfId="7594"/>
    <cellStyle name="표준 7 9 4 2" xfId="16601"/>
    <cellStyle name="표준 7 9 4 2 2" xfId="37477"/>
    <cellStyle name="표준 7 9 4 3" xfId="28739"/>
    <cellStyle name="표준 7 9 5" xfId="8238"/>
    <cellStyle name="표준 7 9 5 2" xfId="17244"/>
    <cellStyle name="표준 7 9 5 2 2" xfId="38120"/>
    <cellStyle name="표준 7 9 5 3" xfId="29382"/>
    <cellStyle name="표준 7 9 6" xfId="9086"/>
    <cellStyle name="표준 7 9 6 2" xfId="18091"/>
    <cellStyle name="표준 7 9 6 2 2" xfId="38967"/>
    <cellStyle name="표준 7 9 6 3" xfId="30229"/>
    <cellStyle name="표준 7 9 7" xfId="9911"/>
    <cellStyle name="표준 7 9 7 2" xfId="18909"/>
    <cellStyle name="표준 7 9 7 2 2" xfId="39785"/>
    <cellStyle name="표준 7 9 7 3" xfId="31047"/>
    <cellStyle name="표준 7 9 8" xfId="10966"/>
    <cellStyle name="표준 7 9 8 2" xfId="19737"/>
    <cellStyle name="표준 7 9 8 2 2" xfId="40613"/>
    <cellStyle name="표준 7 9 8 3" xfId="31877"/>
    <cellStyle name="표준 7 9 9" xfId="11832"/>
    <cellStyle name="표준 7 9 9 2" xfId="20598"/>
    <cellStyle name="표준 7 9 9 2 2" xfId="41474"/>
    <cellStyle name="표준 7 9 9 3" xfId="32738"/>
    <cellStyle name="표준 70" xfId="9227"/>
    <cellStyle name="표준 71" xfId="10159"/>
    <cellStyle name="표준 72" xfId="10161"/>
    <cellStyle name="표준 73" xfId="11210"/>
    <cellStyle name="표준 74" xfId="12072"/>
    <cellStyle name="표준 74 2" xfId="20838"/>
    <cellStyle name="표준 74 2 2" xfId="41714"/>
    <cellStyle name="표준 74 3" xfId="32978"/>
    <cellStyle name="표준 75" xfId="24091"/>
    <cellStyle name="표준 76" xfId="24128"/>
    <cellStyle name="표준 77" xfId="24129"/>
    <cellStyle name="표준 77 2" xfId="44999"/>
    <cellStyle name="표준 78" xfId="24130"/>
    <cellStyle name="표준 78 2" xfId="45000"/>
    <cellStyle name="표준 79" xfId="12088"/>
    <cellStyle name="표준 8" xfId="3084"/>
    <cellStyle name="표준 8 10" xfId="4687"/>
    <cellStyle name="표준 8 10 2" xfId="6521"/>
    <cellStyle name="표준 8 10 2 2" xfId="15530"/>
    <cellStyle name="표준 8 10 2 2 2" xfId="36406"/>
    <cellStyle name="표준 8 10 2 3" xfId="27668"/>
    <cellStyle name="표준 8 10 3" xfId="11194"/>
    <cellStyle name="표준 8 10 3 2" xfId="19963"/>
    <cellStyle name="표준 8 10 3 2 2" xfId="40839"/>
    <cellStyle name="표준 8 10 3 3" xfId="32103"/>
    <cellStyle name="표준 8 10 4" xfId="12058"/>
    <cellStyle name="표준 8 10 4 2" xfId="20824"/>
    <cellStyle name="표준 8 10 4 2 2" xfId="41700"/>
    <cellStyle name="표준 8 10 4 3" xfId="32964"/>
    <cellStyle name="표준 8 10 5" xfId="13712"/>
    <cellStyle name="표준 8 10 5 2" xfId="34588"/>
    <cellStyle name="표준 8 10 6" xfId="25850"/>
    <cellStyle name="표준 8 11" xfId="5364"/>
    <cellStyle name="표준 8 11 2" xfId="14373"/>
    <cellStyle name="표준 8 11 2 2" xfId="35249"/>
    <cellStyle name="표준 8 11 3" xfId="26511"/>
    <cellStyle name="표준 8 12" xfId="7166"/>
    <cellStyle name="표준 8 12 2" xfId="16174"/>
    <cellStyle name="표준 8 12 2 2" xfId="37050"/>
    <cellStyle name="표준 8 12 3" xfId="28312"/>
    <cellStyle name="표준 8 13" xfId="7811"/>
    <cellStyle name="표준 8 13 2" xfId="16817"/>
    <cellStyle name="표준 8 13 2 2" xfId="37693"/>
    <cellStyle name="표준 8 13 3" xfId="28955"/>
    <cellStyle name="표준 8 14" xfId="8659"/>
    <cellStyle name="표준 8 14 2" xfId="17664"/>
    <cellStyle name="표준 8 14 2 2" xfId="38540"/>
    <cellStyle name="표준 8 14 3" xfId="29802"/>
    <cellStyle name="표준 8 15" xfId="9202"/>
    <cellStyle name="표준 8 15 2" xfId="18206"/>
    <cellStyle name="표준 8 15 2 2" xfId="39082"/>
    <cellStyle name="표준 8 15 3" xfId="30344"/>
    <cellStyle name="표준 8 16" xfId="9483"/>
    <cellStyle name="표준 8 16 2" xfId="18482"/>
    <cellStyle name="표준 8 16 2 2" xfId="39358"/>
    <cellStyle name="표준 8 16 3" xfId="30620"/>
    <cellStyle name="표준 8 17" xfId="10143"/>
    <cellStyle name="표준 8 18" xfId="10539"/>
    <cellStyle name="표준 8 18 2" xfId="19310"/>
    <cellStyle name="표준 8 18 2 2" xfId="40186"/>
    <cellStyle name="표준 8 18 3" xfId="31450"/>
    <cellStyle name="표준 8 19" xfId="11405"/>
    <cellStyle name="표준 8 19 2" xfId="20171"/>
    <cellStyle name="표준 8 19 2 2" xfId="41047"/>
    <cellStyle name="표준 8 19 3" xfId="32311"/>
    <cellStyle name="표준 8 2" xfId="3085"/>
    <cellStyle name="표준 8 2 10" xfId="9484"/>
    <cellStyle name="표준 8 2 10 2" xfId="18483"/>
    <cellStyle name="표준 8 2 10 2 2" xfId="39359"/>
    <cellStyle name="표준 8 2 10 3" xfId="30621"/>
    <cellStyle name="표준 8 2 11" xfId="10144"/>
    <cellStyle name="표준 8 2 12" xfId="10540"/>
    <cellStyle name="표준 8 2 12 2" xfId="19311"/>
    <cellStyle name="표준 8 2 12 2 2" xfId="40187"/>
    <cellStyle name="표준 8 2 12 3" xfId="31451"/>
    <cellStyle name="표준 8 2 13" xfId="11406"/>
    <cellStyle name="표준 8 2 13 2" xfId="20172"/>
    <cellStyle name="표준 8 2 13 2 2" xfId="41048"/>
    <cellStyle name="표준 8 2 13 3" xfId="32312"/>
    <cellStyle name="표준 8 2 14" xfId="12555"/>
    <cellStyle name="표준 8 2 14 2" xfId="33432"/>
    <cellStyle name="표준 8 2 15" xfId="24682"/>
    <cellStyle name="표준 8 2 2" xfId="3305"/>
    <cellStyle name="표준 8 2 2 10" xfId="10757"/>
    <cellStyle name="표준 8 2 2 10 2" xfId="19528"/>
    <cellStyle name="표준 8 2 2 10 2 2" xfId="40404"/>
    <cellStyle name="표준 8 2 2 10 3" xfId="31668"/>
    <cellStyle name="표준 8 2 2 11" xfId="11623"/>
    <cellStyle name="표준 8 2 2 11 2" xfId="20389"/>
    <cellStyle name="표준 8 2 2 11 2 2" xfId="41265"/>
    <cellStyle name="표준 8 2 2 11 3" xfId="32529"/>
    <cellStyle name="표준 8 2 2 12" xfId="12772"/>
    <cellStyle name="표준 8 2 2 12 2" xfId="33649"/>
    <cellStyle name="표준 8 2 2 13" xfId="24899"/>
    <cellStyle name="표준 8 2 2 2" xfId="3746"/>
    <cellStyle name="표준 8 2 2 2 2" xfId="6019"/>
    <cellStyle name="표준 8 2 2 2 2 2" xfId="15028"/>
    <cellStyle name="표준 8 2 2 2 2 2 2" xfId="35904"/>
    <cellStyle name="표준 8 2 2 2 2 3" xfId="27166"/>
    <cellStyle name="표준 8 2 2 2 3" xfId="13209"/>
    <cellStyle name="표준 8 2 2 2 3 2" xfId="34086"/>
    <cellStyle name="표준 8 2 2 2 4" xfId="25336"/>
    <cellStyle name="표준 8 2 2 3" xfId="4908"/>
    <cellStyle name="표준 8 2 2 3 2" xfId="6739"/>
    <cellStyle name="표준 8 2 2 3 2 2" xfId="15748"/>
    <cellStyle name="표준 8 2 2 3 2 2 2" xfId="36624"/>
    <cellStyle name="표준 8 2 2 3 2 3" xfId="27886"/>
    <cellStyle name="표준 8 2 2 3 3" xfId="13930"/>
    <cellStyle name="표준 8 2 2 3 3 2" xfId="34806"/>
    <cellStyle name="표준 8 2 2 3 4" xfId="26068"/>
    <cellStyle name="표준 8 2 2 4" xfId="5582"/>
    <cellStyle name="표준 8 2 2 4 2" xfId="14591"/>
    <cellStyle name="표준 8 2 2 4 2 2" xfId="35467"/>
    <cellStyle name="표준 8 2 2 4 3" xfId="26729"/>
    <cellStyle name="표준 8 2 2 5" xfId="7385"/>
    <cellStyle name="표준 8 2 2 5 2" xfId="16392"/>
    <cellStyle name="표준 8 2 2 5 2 2" xfId="37268"/>
    <cellStyle name="표준 8 2 2 5 3" xfId="28530"/>
    <cellStyle name="표준 8 2 2 6" xfId="8029"/>
    <cellStyle name="표준 8 2 2 6 2" xfId="17035"/>
    <cellStyle name="표준 8 2 2 6 2 2" xfId="37911"/>
    <cellStyle name="표준 8 2 2 6 3" xfId="29173"/>
    <cellStyle name="표준 8 2 2 7" xfId="8877"/>
    <cellStyle name="표준 8 2 2 7 2" xfId="17882"/>
    <cellStyle name="표준 8 2 2 7 2 2" xfId="38758"/>
    <cellStyle name="표준 8 2 2 7 3" xfId="30020"/>
    <cellStyle name="표준 8 2 2 8" xfId="9702"/>
    <cellStyle name="표준 8 2 2 8 2" xfId="18700"/>
    <cellStyle name="표준 8 2 2 8 2 2" xfId="39576"/>
    <cellStyle name="표준 8 2 2 8 3" xfId="30838"/>
    <cellStyle name="표준 8 2 2 9" xfId="10145"/>
    <cellStyle name="표준 8 2 3" xfId="3529"/>
    <cellStyle name="표준 8 2 3 10" xfId="12992"/>
    <cellStyle name="표준 8 2 3 10 2" xfId="33869"/>
    <cellStyle name="표준 8 2 3 11" xfId="25119"/>
    <cellStyle name="표준 8 2 3 2" xfId="5131"/>
    <cellStyle name="표준 8 2 3 2 2" xfId="6956"/>
    <cellStyle name="표준 8 2 3 2 2 2" xfId="15965"/>
    <cellStyle name="표준 8 2 3 2 2 2 2" xfId="36841"/>
    <cellStyle name="표준 8 2 3 2 2 3" xfId="28103"/>
    <cellStyle name="표준 8 2 3 2 3" xfId="14147"/>
    <cellStyle name="표준 8 2 3 2 3 2" xfId="35023"/>
    <cellStyle name="표준 8 2 3 2 4" xfId="26285"/>
    <cellStyle name="표준 8 2 3 3" xfId="5802"/>
    <cellStyle name="표준 8 2 3 3 2" xfId="14811"/>
    <cellStyle name="표준 8 2 3 3 2 2" xfId="35687"/>
    <cellStyle name="표준 8 2 3 3 3" xfId="26949"/>
    <cellStyle name="표준 8 2 3 4" xfId="7602"/>
    <cellStyle name="표준 8 2 3 4 2" xfId="16609"/>
    <cellStyle name="표준 8 2 3 4 2 2" xfId="37485"/>
    <cellStyle name="표준 8 2 3 4 3" xfId="28747"/>
    <cellStyle name="표준 8 2 3 5" xfId="8246"/>
    <cellStyle name="표준 8 2 3 5 2" xfId="17252"/>
    <cellStyle name="표준 8 2 3 5 2 2" xfId="38128"/>
    <cellStyle name="표준 8 2 3 5 3" xfId="29390"/>
    <cellStyle name="표준 8 2 3 6" xfId="9094"/>
    <cellStyle name="표준 8 2 3 6 2" xfId="18099"/>
    <cellStyle name="표준 8 2 3 6 2 2" xfId="38975"/>
    <cellStyle name="표준 8 2 3 6 3" xfId="30237"/>
    <cellStyle name="표준 8 2 3 7" xfId="9919"/>
    <cellStyle name="표준 8 2 3 7 2" xfId="18917"/>
    <cellStyle name="표준 8 2 3 7 2 2" xfId="39793"/>
    <cellStyle name="표준 8 2 3 7 3" xfId="31055"/>
    <cellStyle name="표준 8 2 3 8" xfId="10974"/>
    <cellStyle name="표준 8 2 3 8 2" xfId="19745"/>
    <cellStyle name="표준 8 2 3 8 2 2" xfId="40621"/>
    <cellStyle name="표준 8 2 3 8 3" xfId="31885"/>
    <cellStyle name="표준 8 2 3 9" xfId="11840"/>
    <cellStyle name="표준 8 2 3 9 2" xfId="20606"/>
    <cellStyle name="표준 8 2 3 9 2 2" xfId="41482"/>
    <cellStyle name="표준 8 2 3 9 3" xfId="32746"/>
    <cellStyle name="표준 8 2 4" xfId="4688"/>
    <cellStyle name="표준 8 2 4 2" xfId="6522"/>
    <cellStyle name="표준 8 2 4 2 2" xfId="15531"/>
    <cellStyle name="표준 8 2 4 2 2 2" xfId="36407"/>
    <cellStyle name="표준 8 2 4 2 3" xfId="27669"/>
    <cellStyle name="표준 8 2 4 3" xfId="11195"/>
    <cellStyle name="표준 8 2 4 3 2" xfId="19964"/>
    <cellStyle name="표준 8 2 4 3 2 2" xfId="40840"/>
    <cellStyle name="표준 8 2 4 3 3" xfId="32104"/>
    <cellStyle name="표준 8 2 4 4" xfId="12059"/>
    <cellStyle name="표준 8 2 4 4 2" xfId="20825"/>
    <cellStyle name="표준 8 2 4 4 2 2" xfId="41701"/>
    <cellStyle name="표준 8 2 4 4 3" xfId="32965"/>
    <cellStyle name="표준 8 2 4 5" xfId="13713"/>
    <cellStyle name="표준 8 2 4 5 2" xfId="34589"/>
    <cellStyle name="표준 8 2 4 6" xfId="25851"/>
    <cellStyle name="표준 8 2 5" xfId="5365"/>
    <cellStyle name="표준 8 2 5 2" xfId="14374"/>
    <cellStyle name="표준 8 2 5 2 2" xfId="35250"/>
    <cellStyle name="표준 8 2 5 3" xfId="26512"/>
    <cellStyle name="표준 8 2 6" xfId="7167"/>
    <cellStyle name="표준 8 2 6 2" xfId="16175"/>
    <cellStyle name="표준 8 2 6 2 2" xfId="37051"/>
    <cellStyle name="표준 8 2 6 3" xfId="28313"/>
    <cellStyle name="표준 8 2 7" xfId="7812"/>
    <cellStyle name="표준 8 2 7 2" xfId="16818"/>
    <cellStyle name="표준 8 2 7 2 2" xfId="37694"/>
    <cellStyle name="표준 8 2 7 3" xfId="28956"/>
    <cellStyle name="표준 8 2 8" xfId="8660"/>
    <cellStyle name="표준 8 2 8 2" xfId="17665"/>
    <cellStyle name="표준 8 2 8 2 2" xfId="38541"/>
    <cellStyle name="표준 8 2 8 3" xfId="29803"/>
    <cellStyle name="표준 8 2 9" xfId="9196"/>
    <cellStyle name="표준 8 2 9 2" xfId="18200"/>
    <cellStyle name="표준 8 2 9 2 2" xfId="39076"/>
    <cellStyle name="표준 8 2 9 3" xfId="30338"/>
    <cellStyle name="표준 8 20" xfId="12554"/>
    <cellStyle name="표준 8 20 2" xfId="33431"/>
    <cellStyle name="표준 8 21" xfId="24681"/>
    <cellStyle name="표준 8 3" xfId="3086"/>
    <cellStyle name="표준 8 3 10" xfId="9485"/>
    <cellStyle name="표준 8 3 10 2" xfId="18484"/>
    <cellStyle name="표준 8 3 10 2 2" xfId="39360"/>
    <cellStyle name="표준 8 3 10 3" xfId="30622"/>
    <cellStyle name="표준 8 3 11" xfId="10146"/>
    <cellStyle name="표준 8 3 12" xfId="10541"/>
    <cellStyle name="표준 8 3 12 2" xfId="19312"/>
    <cellStyle name="표준 8 3 12 2 2" xfId="40188"/>
    <cellStyle name="표준 8 3 12 3" xfId="31452"/>
    <cellStyle name="표준 8 3 13" xfId="11407"/>
    <cellStyle name="표준 8 3 13 2" xfId="20173"/>
    <cellStyle name="표준 8 3 13 2 2" xfId="41049"/>
    <cellStyle name="표준 8 3 13 3" xfId="32313"/>
    <cellStyle name="표준 8 3 14" xfId="12556"/>
    <cellStyle name="표준 8 3 14 2" xfId="33433"/>
    <cellStyle name="표준 8 3 15" xfId="24683"/>
    <cellStyle name="표준 8 3 2" xfId="3306"/>
    <cellStyle name="표준 8 3 2 10" xfId="10758"/>
    <cellStyle name="표준 8 3 2 10 2" xfId="19529"/>
    <cellStyle name="표준 8 3 2 10 2 2" xfId="40405"/>
    <cellStyle name="표준 8 3 2 10 3" xfId="31669"/>
    <cellStyle name="표준 8 3 2 11" xfId="11624"/>
    <cellStyle name="표준 8 3 2 11 2" xfId="20390"/>
    <cellStyle name="표준 8 3 2 11 2 2" xfId="41266"/>
    <cellStyle name="표준 8 3 2 11 3" xfId="32530"/>
    <cellStyle name="표준 8 3 2 12" xfId="12773"/>
    <cellStyle name="표준 8 3 2 12 2" xfId="33650"/>
    <cellStyle name="표준 8 3 2 13" xfId="24900"/>
    <cellStyle name="표준 8 3 2 2" xfId="3747"/>
    <cellStyle name="표준 8 3 2 2 2" xfId="6020"/>
    <cellStyle name="표준 8 3 2 2 2 2" xfId="15029"/>
    <cellStyle name="표준 8 3 2 2 2 2 2" xfId="35905"/>
    <cellStyle name="표준 8 3 2 2 2 3" xfId="27167"/>
    <cellStyle name="표준 8 3 2 2 3" xfId="13210"/>
    <cellStyle name="표준 8 3 2 2 3 2" xfId="34087"/>
    <cellStyle name="표준 8 3 2 2 4" xfId="25337"/>
    <cellStyle name="표준 8 3 2 3" xfId="4909"/>
    <cellStyle name="표준 8 3 2 3 2" xfId="6740"/>
    <cellStyle name="표준 8 3 2 3 2 2" xfId="15749"/>
    <cellStyle name="표준 8 3 2 3 2 2 2" xfId="36625"/>
    <cellStyle name="표준 8 3 2 3 2 3" xfId="27887"/>
    <cellStyle name="표준 8 3 2 3 3" xfId="13931"/>
    <cellStyle name="표준 8 3 2 3 3 2" xfId="34807"/>
    <cellStyle name="표준 8 3 2 3 4" xfId="26069"/>
    <cellStyle name="표준 8 3 2 4" xfId="5583"/>
    <cellStyle name="표준 8 3 2 4 2" xfId="14592"/>
    <cellStyle name="표준 8 3 2 4 2 2" xfId="35468"/>
    <cellStyle name="표준 8 3 2 4 3" xfId="26730"/>
    <cellStyle name="표준 8 3 2 5" xfId="7386"/>
    <cellStyle name="표준 8 3 2 5 2" xfId="16393"/>
    <cellStyle name="표준 8 3 2 5 2 2" xfId="37269"/>
    <cellStyle name="표준 8 3 2 5 3" xfId="28531"/>
    <cellStyle name="표준 8 3 2 6" xfId="8030"/>
    <cellStyle name="표준 8 3 2 6 2" xfId="17036"/>
    <cellStyle name="표준 8 3 2 6 2 2" xfId="37912"/>
    <cellStyle name="표준 8 3 2 6 3" xfId="29174"/>
    <cellStyle name="표준 8 3 2 7" xfId="8878"/>
    <cellStyle name="표준 8 3 2 7 2" xfId="17883"/>
    <cellStyle name="표준 8 3 2 7 2 2" xfId="38759"/>
    <cellStyle name="표준 8 3 2 7 3" xfId="30021"/>
    <cellStyle name="표준 8 3 2 8" xfId="9703"/>
    <cellStyle name="표준 8 3 2 8 2" xfId="18701"/>
    <cellStyle name="표준 8 3 2 8 2 2" xfId="39577"/>
    <cellStyle name="표준 8 3 2 8 3" xfId="30839"/>
    <cellStyle name="표준 8 3 2 9" xfId="10147"/>
    <cellStyle name="표준 8 3 3" xfId="3530"/>
    <cellStyle name="표준 8 3 3 10" xfId="12993"/>
    <cellStyle name="표준 8 3 3 10 2" xfId="33870"/>
    <cellStyle name="표준 8 3 3 11" xfId="25120"/>
    <cellStyle name="표준 8 3 3 2" xfId="5132"/>
    <cellStyle name="표준 8 3 3 2 2" xfId="6957"/>
    <cellStyle name="표준 8 3 3 2 2 2" xfId="15966"/>
    <cellStyle name="표준 8 3 3 2 2 2 2" xfId="36842"/>
    <cellStyle name="표준 8 3 3 2 2 3" xfId="28104"/>
    <cellStyle name="표준 8 3 3 2 3" xfId="14148"/>
    <cellStyle name="표준 8 3 3 2 3 2" xfId="35024"/>
    <cellStyle name="표준 8 3 3 2 4" xfId="26286"/>
    <cellStyle name="표준 8 3 3 3" xfId="5803"/>
    <cellStyle name="표준 8 3 3 3 2" xfId="14812"/>
    <cellStyle name="표준 8 3 3 3 2 2" xfId="35688"/>
    <cellStyle name="표준 8 3 3 3 3" xfId="26950"/>
    <cellStyle name="표준 8 3 3 4" xfId="7603"/>
    <cellStyle name="표준 8 3 3 4 2" xfId="16610"/>
    <cellStyle name="표준 8 3 3 4 2 2" xfId="37486"/>
    <cellStyle name="표준 8 3 3 4 3" xfId="28748"/>
    <cellStyle name="표준 8 3 3 5" xfId="8247"/>
    <cellStyle name="표준 8 3 3 5 2" xfId="17253"/>
    <cellStyle name="표준 8 3 3 5 2 2" xfId="38129"/>
    <cellStyle name="표준 8 3 3 5 3" xfId="29391"/>
    <cellStyle name="표준 8 3 3 6" xfId="9095"/>
    <cellStyle name="표준 8 3 3 6 2" xfId="18100"/>
    <cellStyle name="표준 8 3 3 6 2 2" xfId="38976"/>
    <cellStyle name="표준 8 3 3 6 3" xfId="30238"/>
    <cellStyle name="표준 8 3 3 7" xfId="9920"/>
    <cellStyle name="표준 8 3 3 7 2" xfId="18918"/>
    <cellStyle name="표준 8 3 3 7 2 2" xfId="39794"/>
    <cellStyle name="표준 8 3 3 7 3" xfId="31056"/>
    <cellStyle name="표준 8 3 3 8" xfId="10975"/>
    <cellStyle name="표준 8 3 3 8 2" xfId="19746"/>
    <cellStyle name="표준 8 3 3 8 2 2" xfId="40622"/>
    <cellStyle name="표준 8 3 3 8 3" xfId="31886"/>
    <cellStyle name="표준 8 3 3 9" xfId="11841"/>
    <cellStyle name="표준 8 3 3 9 2" xfId="20607"/>
    <cellStyle name="표준 8 3 3 9 2 2" xfId="41483"/>
    <cellStyle name="표준 8 3 3 9 3" xfId="32747"/>
    <cellStyle name="표준 8 3 4" xfId="4689"/>
    <cellStyle name="표준 8 3 4 2" xfId="6523"/>
    <cellStyle name="표준 8 3 4 2 2" xfId="15532"/>
    <cellStyle name="표준 8 3 4 2 2 2" xfId="36408"/>
    <cellStyle name="표준 8 3 4 2 3" xfId="27670"/>
    <cellStyle name="표준 8 3 4 3" xfId="11196"/>
    <cellStyle name="표준 8 3 4 3 2" xfId="19965"/>
    <cellStyle name="표준 8 3 4 3 2 2" xfId="40841"/>
    <cellStyle name="표준 8 3 4 3 3" xfId="32105"/>
    <cellStyle name="표준 8 3 4 4" xfId="12060"/>
    <cellStyle name="표준 8 3 4 4 2" xfId="20826"/>
    <cellStyle name="표준 8 3 4 4 2 2" xfId="41702"/>
    <cellStyle name="표준 8 3 4 4 3" xfId="32966"/>
    <cellStyle name="표준 8 3 4 5" xfId="13714"/>
    <cellStyle name="표준 8 3 4 5 2" xfId="34590"/>
    <cellStyle name="표준 8 3 4 6" xfId="25852"/>
    <cellStyle name="표준 8 3 5" xfId="5366"/>
    <cellStyle name="표준 8 3 5 2" xfId="14375"/>
    <cellStyle name="표준 8 3 5 2 2" xfId="35251"/>
    <cellStyle name="표준 8 3 5 3" xfId="26513"/>
    <cellStyle name="표준 8 3 6" xfId="7168"/>
    <cellStyle name="표준 8 3 6 2" xfId="16176"/>
    <cellStyle name="표준 8 3 6 2 2" xfId="37052"/>
    <cellStyle name="표준 8 3 6 3" xfId="28314"/>
    <cellStyle name="표준 8 3 7" xfId="7813"/>
    <cellStyle name="표준 8 3 7 2" xfId="16819"/>
    <cellStyle name="표준 8 3 7 2 2" xfId="37695"/>
    <cellStyle name="표준 8 3 7 3" xfId="28957"/>
    <cellStyle name="표준 8 3 8" xfId="8661"/>
    <cellStyle name="표준 8 3 8 2" xfId="17666"/>
    <cellStyle name="표준 8 3 8 2 2" xfId="38542"/>
    <cellStyle name="표준 8 3 8 3" xfId="29804"/>
    <cellStyle name="표준 8 3 9" xfId="9197"/>
    <cellStyle name="표준 8 3 9 2" xfId="18201"/>
    <cellStyle name="표준 8 3 9 2 2" xfId="39077"/>
    <cellStyle name="표준 8 3 9 3" xfId="30339"/>
    <cellStyle name="표준 8 4" xfId="3087"/>
    <cellStyle name="표준 8 4 10" xfId="9486"/>
    <cellStyle name="표준 8 4 10 2" xfId="18485"/>
    <cellStyle name="표준 8 4 10 2 2" xfId="39361"/>
    <cellStyle name="표준 8 4 10 3" xfId="30623"/>
    <cellStyle name="표준 8 4 11" xfId="10148"/>
    <cellStyle name="표준 8 4 12" xfId="10542"/>
    <cellStyle name="표준 8 4 12 2" xfId="19313"/>
    <cellStyle name="표준 8 4 12 2 2" xfId="40189"/>
    <cellStyle name="표준 8 4 12 3" xfId="31453"/>
    <cellStyle name="표준 8 4 13" xfId="11408"/>
    <cellStyle name="표준 8 4 13 2" xfId="20174"/>
    <cellStyle name="표준 8 4 13 2 2" xfId="41050"/>
    <cellStyle name="표준 8 4 13 3" xfId="32314"/>
    <cellStyle name="표준 8 4 14" xfId="12557"/>
    <cellStyle name="표준 8 4 14 2" xfId="33434"/>
    <cellStyle name="표준 8 4 15" xfId="24684"/>
    <cellStyle name="표준 8 4 2" xfId="3307"/>
    <cellStyle name="표준 8 4 2 10" xfId="10759"/>
    <cellStyle name="표준 8 4 2 10 2" xfId="19530"/>
    <cellStyle name="표준 8 4 2 10 2 2" xfId="40406"/>
    <cellStyle name="표준 8 4 2 10 3" xfId="31670"/>
    <cellStyle name="표준 8 4 2 11" xfId="11625"/>
    <cellStyle name="표준 8 4 2 11 2" xfId="20391"/>
    <cellStyle name="표준 8 4 2 11 2 2" xfId="41267"/>
    <cellStyle name="표준 8 4 2 11 3" xfId="32531"/>
    <cellStyle name="표준 8 4 2 12" xfId="12774"/>
    <cellStyle name="표준 8 4 2 12 2" xfId="33651"/>
    <cellStyle name="표준 8 4 2 13" xfId="24901"/>
    <cellStyle name="표준 8 4 2 2" xfId="3748"/>
    <cellStyle name="표준 8 4 2 2 2" xfId="6021"/>
    <cellStyle name="표준 8 4 2 2 2 2" xfId="15030"/>
    <cellStyle name="표준 8 4 2 2 2 2 2" xfId="35906"/>
    <cellStyle name="표준 8 4 2 2 2 3" xfId="27168"/>
    <cellStyle name="표준 8 4 2 2 3" xfId="13211"/>
    <cellStyle name="표준 8 4 2 2 3 2" xfId="34088"/>
    <cellStyle name="표준 8 4 2 2 4" xfId="25338"/>
    <cellStyle name="표준 8 4 2 3" xfId="4910"/>
    <cellStyle name="표준 8 4 2 3 2" xfId="6741"/>
    <cellStyle name="표준 8 4 2 3 2 2" xfId="15750"/>
    <cellStyle name="표준 8 4 2 3 2 2 2" xfId="36626"/>
    <cellStyle name="표준 8 4 2 3 2 3" xfId="27888"/>
    <cellStyle name="표준 8 4 2 3 3" xfId="13932"/>
    <cellStyle name="표준 8 4 2 3 3 2" xfId="34808"/>
    <cellStyle name="표준 8 4 2 3 4" xfId="26070"/>
    <cellStyle name="표준 8 4 2 4" xfId="5584"/>
    <cellStyle name="표준 8 4 2 4 2" xfId="14593"/>
    <cellStyle name="표준 8 4 2 4 2 2" xfId="35469"/>
    <cellStyle name="표준 8 4 2 4 3" xfId="26731"/>
    <cellStyle name="표준 8 4 2 5" xfId="7387"/>
    <cellStyle name="표준 8 4 2 5 2" xfId="16394"/>
    <cellStyle name="표준 8 4 2 5 2 2" xfId="37270"/>
    <cellStyle name="표준 8 4 2 5 3" xfId="28532"/>
    <cellStyle name="표준 8 4 2 6" xfId="8031"/>
    <cellStyle name="표준 8 4 2 6 2" xfId="17037"/>
    <cellStyle name="표준 8 4 2 6 2 2" xfId="37913"/>
    <cellStyle name="표준 8 4 2 6 3" xfId="29175"/>
    <cellStyle name="표준 8 4 2 7" xfId="8879"/>
    <cellStyle name="표준 8 4 2 7 2" xfId="17884"/>
    <cellStyle name="표준 8 4 2 7 2 2" xfId="38760"/>
    <cellStyle name="표준 8 4 2 7 3" xfId="30022"/>
    <cellStyle name="표준 8 4 2 8" xfId="9704"/>
    <cellStyle name="표준 8 4 2 8 2" xfId="18702"/>
    <cellStyle name="표준 8 4 2 8 2 2" xfId="39578"/>
    <cellStyle name="표준 8 4 2 8 3" xfId="30840"/>
    <cellStyle name="표준 8 4 2 9" xfId="10149"/>
    <cellStyle name="표준 8 4 3" xfId="3531"/>
    <cellStyle name="표준 8 4 3 10" xfId="12994"/>
    <cellStyle name="표준 8 4 3 10 2" xfId="33871"/>
    <cellStyle name="표준 8 4 3 11" xfId="25121"/>
    <cellStyle name="표준 8 4 3 2" xfId="5133"/>
    <cellStyle name="표준 8 4 3 2 2" xfId="6958"/>
    <cellStyle name="표준 8 4 3 2 2 2" xfId="15967"/>
    <cellStyle name="표준 8 4 3 2 2 2 2" xfId="36843"/>
    <cellStyle name="표준 8 4 3 2 2 3" xfId="28105"/>
    <cellStyle name="표준 8 4 3 2 3" xfId="14149"/>
    <cellStyle name="표준 8 4 3 2 3 2" xfId="35025"/>
    <cellStyle name="표준 8 4 3 2 4" xfId="26287"/>
    <cellStyle name="표준 8 4 3 3" xfId="5804"/>
    <cellStyle name="표준 8 4 3 3 2" xfId="14813"/>
    <cellStyle name="표준 8 4 3 3 2 2" xfId="35689"/>
    <cellStyle name="표준 8 4 3 3 3" xfId="26951"/>
    <cellStyle name="표준 8 4 3 4" xfId="7604"/>
    <cellStyle name="표준 8 4 3 4 2" xfId="16611"/>
    <cellStyle name="표준 8 4 3 4 2 2" xfId="37487"/>
    <cellStyle name="표준 8 4 3 4 3" xfId="28749"/>
    <cellStyle name="표준 8 4 3 5" xfId="8248"/>
    <cellStyle name="표준 8 4 3 5 2" xfId="17254"/>
    <cellStyle name="표준 8 4 3 5 2 2" xfId="38130"/>
    <cellStyle name="표준 8 4 3 5 3" xfId="29392"/>
    <cellStyle name="표준 8 4 3 6" xfId="9096"/>
    <cellStyle name="표준 8 4 3 6 2" xfId="18101"/>
    <cellStyle name="표준 8 4 3 6 2 2" xfId="38977"/>
    <cellStyle name="표준 8 4 3 6 3" xfId="30239"/>
    <cellStyle name="표준 8 4 3 7" xfId="9921"/>
    <cellStyle name="표준 8 4 3 7 2" xfId="18919"/>
    <cellStyle name="표준 8 4 3 7 2 2" xfId="39795"/>
    <cellStyle name="표준 8 4 3 7 3" xfId="31057"/>
    <cellStyle name="표준 8 4 3 8" xfId="10976"/>
    <cellStyle name="표준 8 4 3 8 2" xfId="19747"/>
    <cellStyle name="표준 8 4 3 8 2 2" xfId="40623"/>
    <cellStyle name="표준 8 4 3 8 3" xfId="31887"/>
    <cellStyle name="표준 8 4 3 9" xfId="11842"/>
    <cellStyle name="표준 8 4 3 9 2" xfId="20608"/>
    <cellStyle name="표준 8 4 3 9 2 2" xfId="41484"/>
    <cellStyle name="표준 8 4 3 9 3" xfId="32748"/>
    <cellStyle name="표준 8 4 4" xfId="4690"/>
    <cellStyle name="표준 8 4 4 2" xfId="6524"/>
    <cellStyle name="표준 8 4 4 2 2" xfId="15533"/>
    <cellStyle name="표준 8 4 4 2 2 2" xfId="36409"/>
    <cellStyle name="표준 8 4 4 2 3" xfId="27671"/>
    <cellStyle name="표준 8 4 4 3" xfId="11197"/>
    <cellStyle name="표준 8 4 4 3 2" xfId="19966"/>
    <cellStyle name="표준 8 4 4 3 2 2" xfId="40842"/>
    <cellStyle name="표준 8 4 4 3 3" xfId="32106"/>
    <cellStyle name="표준 8 4 4 4" xfId="12061"/>
    <cellStyle name="표준 8 4 4 4 2" xfId="20827"/>
    <cellStyle name="표준 8 4 4 4 2 2" xfId="41703"/>
    <cellStyle name="표준 8 4 4 4 3" xfId="32967"/>
    <cellStyle name="표준 8 4 4 5" xfId="13715"/>
    <cellStyle name="표준 8 4 4 5 2" xfId="34591"/>
    <cellStyle name="표준 8 4 4 6" xfId="25853"/>
    <cellStyle name="표준 8 4 5" xfId="5367"/>
    <cellStyle name="표준 8 4 5 2" xfId="14376"/>
    <cellStyle name="표준 8 4 5 2 2" xfId="35252"/>
    <cellStyle name="표준 8 4 5 3" xfId="26514"/>
    <cellStyle name="표준 8 4 6" xfId="7169"/>
    <cellStyle name="표준 8 4 6 2" xfId="16177"/>
    <cellStyle name="표준 8 4 6 2 2" xfId="37053"/>
    <cellStyle name="표준 8 4 6 3" xfId="28315"/>
    <cellStyle name="표준 8 4 7" xfId="7814"/>
    <cellStyle name="표준 8 4 7 2" xfId="16820"/>
    <cellStyle name="표준 8 4 7 2 2" xfId="37696"/>
    <cellStyle name="표준 8 4 7 3" xfId="28958"/>
    <cellStyle name="표준 8 4 8" xfId="8662"/>
    <cellStyle name="표준 8 4 8 2" xfId="17667"/>
    <cellStyle name="표준 8 4 8 2 2" xfId="38543"/>
    <cellStyle name="표준 8 4 8 3" xfId="29805"/>
    <cellStyle name="표준 8 4 9" xfId="9198"/>
    <cellStyle name="표준 8 4 9 2" xfId="18202"/>
    <cellStyle name="표준 8 4 9 2 2" xfId="39078"/>
    <cellStyle name="표준 8 4 9 3" xfId="30340"/>
    <cellStyle name="표준 8 5" xfId="3088"/>
    <cellStyle name="표준 8 5 10" xfId="10150"/>
    <cellStyle name="표준 8 5 11" xfId="10543"/>
    <cellStyle name="표준 8 5 11 2" xfId="19314"/>
    <cellStyle name="표준 8 5 11 2 2" xfId="40190"/>
    <cellStyle name="표준 8 5 11 3" xfId="31454"/>
    <cellStyle name="표준 8 5 12" xfId="11409"/>
    <cellStyle name="표준 8 5 12 2" xfId="20175"/>
    <cellStyle name="표준 8 5 12 2 2" xfId="41051"/>
    <cellStyle name="표준 8 5 12 3" xfId="32315"/>
    <cellStyle name="표준 8 5 13" xfId="12558"/>
    <cellStyle name="표준 8 5 13 2" xfId="33435"/>
    <cellStyle name="표준 8 5 14" xfId="24685"/>
    <cellStyle name="표준 8 5 2" xfId="3308"/>
    <cellStyle name="표준 8 5 2 10" xfId="11626"/>
    <cellStyle name="표준 8 5 2 10 2" xfId="20392"/>
    <cellStyle name="표준 8 5 2 10 2 2" xfId="41268"/>
    <cellStyle name="표준 8 5 2 10 3" xfId="32532"/>
    <cellStyle name="표준 8 5 2 11" xfId="12775"/>
    <cellStyle name="표준 8 5 2 11 2" xfId="33652"/>
    <cellStyle name="표준 8 5 2 12" xfId="24902"/>
    <cellStyle name="표준 8 5 2 2" xfId="3749"/>
    <cellStyle name="표준 8 5 2 2 2" xfId="6022"/>
    <cellStyle name="표준 8 5 2 2 2 2" xfId="15031"/>
    <cellStyle name="표준 8 5 2 2 2 2 2" xfId="35907"/>
    <cellStyle name="표준 8 5 2 2 2 3" xfId="27169"/>
    <cellStyle name="표준 8 5 2 2 3" xfId="13212"/>
    <cellStyle name="표준 8 5 2 2 3 2" xfId="34089"/>
    <cellStyle name="표준 8 5 2 2 4" xfId="25339"/>
    <cellStyle name="표준 8 5 2 3" xfId="4911"/>
    <cellStyle name="표준 8 5 2 3 2" xfId="6742"/>
    <cellStyle name="표준 8 5 2 3 2 2" xfId="15751"/>
    <cellStyle name="표준 8 5 2 3 2 2 2" xfId="36627"/>
    <cellStyle name="표준 8 5 2 3 2 3" xfId="27889"/>
    <cellStyle name="표준 8 5 2 3 3" xfId="13933"/>
    <cellStyle name="표준 8 5 2 3 3 2" xfId="34809"/>
    <cellStyle name="표준 8 5 2 3 4" xfId="26071"/>
    <cellStyle name="표준 8 5 2 4" xfId="5585"/>
    <cellStyle name="표준 8 5 2 4 2" xfId="14594"/>
    <cellStyle name="표준 8 5 2 4 2 2" xfId="35470"/>
    <cellStyle name="표준 8 5 2 4 3" xfId="26732"/>
    <cellStyle name="표준 8 5 2 5" xfId="7388"/>
    <cellStyle name="표준 8 5 2 5 2" xfId="16395"/>
    <cellStyle name="표준 8 5 2 5 2 2" xfId="37271"/>
    <cellStyle name="표준 8 5 2 5 3" xfId="28533"/>
    <cellStyle name="표준 8 5 2 6" xfId="8032"/>
    <cellStyle name="표준 8 5 2 6 2" xfId="17038"/>
    <cellStyle name="표준 8 5 2 6 2 2" xfId="37914"/>
    <cellStyle name="표준 8 5 2 6 3" xfId="29176"/>
    <cellStyle name="표준 8 5 2 7" xfId="8880"/>
    <cellStyle name="표준 8 5 2 7 2" xfId="17885"/>
    <cellStyle name="표준 8 5 2 7 2 2" xfId="38761"/>
    <cellStyle name="표준 8 5 2 7 3" xfId="30023"/>
    <cellStyle name="표준 8 5 2 8" xfId="9705"/>
    <cellStyle name="표준 8 5 2 8 2" xfId="18703"/>
    <cellStyle name="표준 8 5 2 8 2 2" xfId="39579"/>
    <cellStyle name="표준 8 5 2 8 3" xfId="30841"/>
    <cellStyle name="표준 8 5 2 9" xfId="10760"/>
    <cellStyle name="표준 8 5 2 9 2" xfId="19531"/>
    <cellStyle name="표준 8 5 2 9 2 2" xfId="40407"/>
    <cellStyle name="표준 8 5 2 9 3" xfId="31671"/>
    <cellStyle name="표준 8 5 3" xfId="3532"/>
    <cellStyle name="표준 8 5 3 10" xfId="12995"/>
    <cellStyle name="표준 8 5 3 10 2" xfId="33872"/>
    <cellStyle name="표준 8 5 3 11" xfId="25122"/>
    <cellStyle name="표준 8 5 3 2" xfId="5134"/>
    <cellStyle name="표준 8 5 3 2 2" xfId="6959"/>
    <cellStyle name="표준 8 5 3 2 2 2" xfId="15968"/>
    <cellStyle name="표준 8 5 3 2 2 2 2" xfId="36844"/>
    <cellStyle name="표준 8 5 3 2 2 3" xfId="28106"/>
    <cellStyle name="표준 8 5 3 2 3" xfId="14150"/>
    <cellStyle name="표준 8 5 3 2 3 2" xfId="35026"/>
    <cellStyle name="표준 8 5 3 2 4" xfId="26288"/>
    <cellStyle name="표준 8 5 3 3" xfId="5805"/>
    <cellStyle name="표준 8 5 3 3 2" xfId="14814"/>
    <cellStyle name="표준 8 5 3 3 2 2" xfId="35690"/>
    <cellStyle name="표준 8 5 3 3 3" xfId="26952"/>
    <cellStyle name="표준 8 5 3 4" xfId="7605"/>
    <cellStyle name="표준 8 5 3 4 2" xfId="16612"/>
    <cellStyle name="표준 8 5 3 4 2 2" xfId="37488"/>
    <cellStyle name="표준 8 5 3 4 3" xfId="28750"/>
    <cellStyle name="표준 8 5 3 5" xfId="8249"/>
    <cellStyle name="표준 8 5 3 5 2" xfId="17255"/>
    <cellStyle name="표준 8 5 3 5 2 2" xfId="38131"/>
    <cellStyle name="표준 8 5 3 5 3" xfId="29393"/>
    <cellStyle name="표준 8 5 3 6" xfId="9097"/>
    <cellStyle name="표준 8 5 3 6 2" xfId="18102"/>
    <cellStyle name="표준 8 5 3 6 2 2" xfId="38978"/>
    <cellStyle name="표준 8 5 3 6 3" xfId="30240"/>
    <cellStyle name="표준 8 5 3 7" xfId="9922"/>
    <cellStyle name="표준 8 5 3 7 2" xfId="18920"/>
    <cellStyle name="표준 8 5 3 7 2 2" xfId="39796"/>
    <cellStyle name="표준 8 5 3 7 3" xfId="31058"/>
    <cellStyle name="표준 8 5 3 8" xfId="10977"/>
    <cellStyle name="표준 8 5 3 8 2" xfId="19748"/>
    <cellStyle name="표준 8 5 3 8 2 2" xfId="40624"/>
    <cellStyle name="표준 8 5 3 8 3" xfId="31888"/>
    <cellStyle name="표준 8 5 3 9" xfId="11843"/>
    <cellStyle name="표준 8 5 3 9 2" xfId="20609"/>
    <cellStyle name="표준 8 5 3 9 2 2" xfId="41485"/>
    <cellStyle name="표준 8 5 3 9 3" xfId="32749"/>
    <cellStyle name="표준 8 5 4" xfId="4691"/>
    <cellStyle name="표준 8 5 4 2" xfId="6525"/>
    <cellStyle name="표준 8 5 4 2 2" xfId="15534"/>
    <cellStyle name="표준 8 5 4 2 2 2" xfId="36410"/>
    <cellStyle name="표준 8 5 4 2 3" xfId="27672"/>
    <cellStyle name="표준 8 5 4 3" xfId="11198"/>
    <cellStyle name="표준 8 5 4 3 2" xfId="19967"/>
    <cellStyle name="표준 8 5 4 3 2 2" xfId="40843"/>
    <cellStyle name="표준 8 5 4 3 3" xfId="32107"/>
    <cellStyle name="표준 8 5 4 4" xfId="12062"/>
    <cellStyle name="표준 8 5 4 4 2" xfId="20828"/>
    <cellStyle name="표준 8 5 4 4 2 2" xfId="41704"/>
    <cellStyle name="표준 8 5 4 4 3" xfId="32968"/>
    <cellStyle name="표준 8 5 4 5" xfId="13716"/>
    <cellStyle name="표준 8 5 4 5 2" xfId="34592"/>
    <cellStyle name="표준 8 5 4 6" xfId="25854"/>
    <cellStyle name="표준 8 5 5" xfId="5368"/>
    <cellStyle name="표준 8 5 5 2" xfId="14377"/>
    <cellStyle name="표준 8 5 5 2 2" xfId="35253"/>
    <cellStyle name="표준 8 5 5 3" xfId="26515"/>
    <cellStyle name="표준 8 5 6" xfId="7170"/>
    <cellStyle name="표준 8 5 6 2" xfId="16178"/>
    <cellStyle name="표준 8 5 6 2 2" xfId="37054"/>
    <cellStyle name="표준 8 5 6 3" xfId="28316"/>
    <cellStyle name="표준 8 5 7" xfId="7815"/>
    <cellStyle name="표준 8 5 7 2" xfId="16821"/>
    <cellStyle name="표준 8 5 7 2 2" xfId="37697"/>
    <cellStyle name="표준 8 5 7 3" xfId="28959"/>
    <cellStyle name="표준 8 5 8" xfId="8663"/>
    <cellStyle name="표준 8 5 8 2" xfId="17668"/>
    <cellStyle name="표준 8 5 8 2 2" xfId="38544"/>
    <cellStyle name="표준 8 5 8 3" xfId="29806"/>
    <cellStyle name="표준 8 5 9" xfId="9487"/>
    <cellStyle name="표준 8 5 9 2" xfId="18486"/>
    <cellStyle name="표준 8 5 9 2 2" xfId="39362"/>
    <cellStyle name="표준 8 5 9 3" xfId="30624"/>
    <cellStyle name="표준 8 6" xfId="3089"/>
    <cellStyle name="표준 8 6 10" xfId="10544"/>
    <cellStyle name="표준 8 6 10 2" xfId="19315"/>
    <cellStyle name="표준 8 6 10 2 2" xfId="40191"/>
    <cellStyle name="표준 8 6 10 3" xfId="31455"/>
    <cellStyle name="표준 8 6 11" xfId="11410"/>
    <cellStyle name="표준 8 6 11 2" xfId="20176"/>
    <cellStyle name="표준 8 6 11 2 2" xfId="41052"/>
    <cellStyle name="표준 8 6 11 3" xfId="32316"/>
    <cellStyle name="표준 8 6 12" xfId="12559"/>
    <cellStyle name="표준 8 6 12 2" xfId="33436"/>
    <cellStyle name="표준 8 6 13" xfId="24686"/>
    <cellStyle name="표준 8 6 2" xfId="3309"/>
    <cellStyle name="표준 8 6 2 10" xfId="11627"/>
    <cellStyle name="표준 8 6 2 10 2" xfId="20393"/>
    <cellStyle name="표준 8 6 2 10 2 2" xfId="41269"/>
    <cellStyle name="표준 8 6 2 10 3" xfId="32533"/>
    <cellStyle name="표준 8 6 2 11" xfId="12776"/>
    <cellStyle name="표준 8 6 2 11 2" xfId="33653"/>
    <cellStyle name="표준 8 6 2 12" xfId="24903"/>
    <cellStyle name="표준 8 6 2 2" xfId="3750"/>
    <cellStyle name="표준 8 6 2 2 2" xfId="6023"/>
    <cellStyle name="표준 8 6 2 2 2 2" xfId="15032"/>
    <cellStyle name="표준 8 6 2 2 2 2 2" xfId="35908"/>
    <cellStyle name="표준 8 6 2 2 2 3" xfId="27170"/>
    <cellStyle name="표준 8 6 2 2 3" xfId="13213"/>
    <cellStyle name="표준 8 6 2 2 3 2" xfId="34090"/>
    <cellStyle name="표준 8 6 2 2 4" xfId="25340"/>
    <cellStyle name="표준 8 6 2 3" xfId="4912"/>
    <cellStyle name="표준 8 6 2 3 2" xfId="6743"/>
    <cellStyle name="표준 8 6 2 3 2 2" xfId="15752"/>
    <cellStyle name="표준 8 6 2 3 2 2 2" xfId="36628"/>
    <cellStyle name="표준 8 6 2 3 2 3" xfId="27890"/>
    <cellStyle name="표준 8 6 2 3 3" xfId="13934"/>
    <cellStyle name="표준 8 6 2 3 3 2" xfId="34810"/>
    <cellStyle name="표준 8 6 2 3 4" xfId="26072"/>
    <cellStyle name="표준 8 6 2 4" xfId="5586"/>
    <cellStyle name="표준 8 6 2 4 2" xfId="14595"/>
    <cellStyle name="표준 8 6 2 4 2 2" xfId="35471"/>
    <cellStyle name="표준 8 6 2 4 3" xfId="26733"/>
    <cellStyle name="표준 8 6 2 5" xfId="7389"/>
    <cellStyle name="표준 8 6 2 5 2" xfId="16396"/>
    <cellStyle name="표준 8 6 2 5 2 2" xfId="37272"/>
    <cellStyle name="표준 8 6 2 5 3" xfId="28534"/>
    <cellStyle name="표준 8 6 2 6" xfId="8033"/>
    <cellStyle name="표준 8 6 2 6 2" xfId="17039"/>
    <cellStyle name="표준 8 6 2 6 2 2" xfId="37915"/>
    <cellStyle name="표준 8 6 2 6 3" xfId="29177"/>
    <cellStyle name="표준 8 6 2 7" xfId="8881"/>
    <cellStyle name="표준 8 6 2 7 2" xfId="17886"/>
    <cellStyle name="표준 8 6 2 7 2 2" xfId="38762"/>
    <cellStyle name="표준 8 6 2 7 3" xfId="30024"/>
    <cellStyle name="표준 8 6 2 8" xfId="9706"/>
    <cellStyle name="표준 8 6 2 8 2" xfId="18704"/>
    <cellStyle name="표준 8 6 2 8 2 2" xfId="39580"/>
    <cellStyle name="표준 8 6 2 8 3" xfId="30842"/>
    <cellStyle name="표준 8 6 2 9" xfId="10761"/>
    <cellStyle name="표준 8 6 2 9 2" xfId="19532"/>
    <cellStyle name="표준 8 6 2 9 2 2" xfId="40408"/>
    <cellStyle name="표준 8 6 2 9 3" xfId="31672"/>
    <cellStyle name="표준 8 6 3" xfId="3533"/>
    <cellStyle name="표준 8 6 3 10" xfId="12996"/>
    <cellStyle name="표준 8 6 3 10 2" xfId="33873"/>
    <cellStyle name="표준 8 6 3 11" xfId="25123"/>
    <cellStyle name="표준 8 6 3 2" xfId="5135"/>
    <cellStyle name="표준 8 6 3 2 2" xfId="6960"/>
    <cellStyle name="표준 8 6 3 2 2 2" xfId="15969"/>
    <cellStyle name="표준 8 6 3 2 2 2 2" xfId="36845"/>
    <cellStyle name="표준 8 6 3 2 2 3" xfId="28107"/>
    <cellStyle name="표준 8 6 3 2 3" xfId="14151"/>
    <cellStyle name="표준 8 6 3 2 3 2" xfId="35027"/>
    <cellStyle name="표준 8 6 3 2 4" xfId="26289"/>
    <cellStyle name="표준 8 6 3 3" xfId="5806"/>
    <cellStyle name="표준 8 6 3 3 2" xfId="14815"/>
    <cellStyle name="표준 8 6 3 3 2 2" xfId="35691"/>
    <cellStyle name="표준 8 6 3 3 3" xfId="26953"/>
    <cellStyle name="표준 8 6 3 4" xfId="7606"/>
    <cellStyle name="표준 8 6 3 4 2" xfId="16613"/>
    <cellStyle name="표준 8 6 3 4 2 2" xfId="37489"/>
    <cellStyle name="표준 8 6 3 4 3" xfId="28751"/>
    <cellStyle name="표준 8 6 3 5" xfId="8250"/>
    <cellStyle name="표준 8 6 3 5 2" xfId="17256"/>
    <cellStyle name="표준 8 6 3 5 2 2" xfId="38132"/>
    <cellStyle name="표준 8 6 3 5 3" xfId="29394"/>
    <cellStyle name="표준 8 6 3 6" xfId="9098"/>
    <cellStyle name="표준 8 6 3 6 2" xfId="18103"/>
    <cellStyle name="표준 8 6 3 6 2 2" xfId="38979"/>
    <cellStyle name="표준 8 6 3 6 3" xfId="30241"/>
    <cellStyle name="표준 8 6 3 7" xfId="9923"/>
    <cellStyle name="표준 8 6 3 7 2" xfId="18921"/>
    <cellStyle name="표준 8 6 3 7 2 2" xfId="39797"/>
    <cellStyle name="표준 8 6 3 7 3" xfId="31059"/>
    <cellStyle name="표준 8 6 3 8" xfId="10978"/>
    <cellStyle name="표준 8 6 3 8 2" xfId="19749"/>
    <cellStyle name="표준 8 6 3 8 2 2" xfId="40625"/>
    <cellStyle name="표준 8 6 3 8 3" xfId="31889"/>
    <cellStyle name="표준 8 6 3 9" xfId="11844"/>
    <cellStyle name="표준 8 6 3 9 2" xfId="20610"/>
    <cellStyle name="표준 8 6 3 9 2 2" xfId="41486"/>
    <cellStyle name="표준 8 6 3 9 3" xfId="32750"/>
    <cellStyle name="표준 8 6 4" xfId="4692"/>
    <cellStyle name="표준 8 6 4 2" xfId="6526"/>
    <cellStyle name="표준 8 6 4 2 2" xfId="15535"/>
    <cellStyle name="표준 8 6 4 2 2 2" xfId="36411"/>
    <cellStyle name="표준 8 6 4 2 3" xfId="27673"/>
    <cellStyle name="표준 8 6 4 3" xfId="11199"/>
    <cellStyle name="표준 8 6 4 3 2" xfId="19968"/>
    <cellStyle name="표준 8 6 4 3 2 2" xfId="40844"/>
    <cellStyle name="표준 8 6 4 3 3" xfId="32108"/>
    <cellStyle name="표준 8 6 4 4" xfId="12063"/>
    <cellStyle name="표준 8 6 4 4 2" xfId="20829"/>
    <cellStyle name="표준 8 6 4 4 2 2" xfId="41705"/>
    <cellStyle name="표준 8 6 4 4 3" xfId="32969"/>
    <cellStyle name="표준 8 6 4 5" xfId="13717"/>
    <cellStyle name="표준 8 6 4 5 2" xfId="34593"/>
    <cellStyle name="표준 8 6 4 6" xfId="25855"/>
    <cellStyle name="표준 8 6 5" xfId="5369"/>
    <cellStyle name="표준 8 6 5 2" xfId="14378"/>
    <cellStyle name="표준 8 6 5 2 2" xfId="35254"/>
    <cellStyle name="표준 8 6 5 3" xfId="26516"/>
    <cellStyle name="표준 8 6 6" xfId="7171"/>
    <cellStyle name="표준 8 6 6 2" xfId="16179"/>
    <cellStyle name="표준 8 6 6 2 2" xfId="37055"/>
    <cellStyle name="표준 8 6 6 3" xfId="28317"/>
    <cellStyle name="표준 8 6 7" xfId="7816"/>
    <cellStyle name="표준 8 6 7 2" xfId="16822"/>
    <cellStyle name="표준 8 6 7 2 2" xfId="37698"/>
    <cellStyle name="표준 8 6 7 3" xfId="28960"/>
    <cellStyle name="표준 8 6 8" xfId="8664"/>
    <cellStyle name="표준 8 6 8 2" xfId="17669"/>
    <cellStyle name="표준 8 6 8 2 2" xfId="38545"/>
    <cellStyle name="표준 8 6 8 3" xfId="29807"/>
    <cellStyle name="표준 8 6 9" xfId="9488"/>
    <cellStyle name="표준 8 6 9 2" xfId="18487"/>
    <cellStyle name="표준 8 6 9 2 2" xfId="39363"/>
    <cellStyle name="표준 8 6 9 3" xfId="30625"/>
    <cellStyle name="표준 8 7" xfId="3090"/>
    <cellStyle name="표준 8 7 10" xfId="10545"/>
    <cellStyle name="표준 8 7 10 2" xfId="19316"/>
    <cellStyle name="표준 8 7 10 2 2" xfId="40192"/>
    <cellStyle name="표준 8 7 10 3" xfId="31456"/>
    <cellStyle name="표준 8 7 11" xfId="11411"/>
    <cellStyle name="표준 8 7 11 2" xfId="20177"/>
    <cellStyle name="표준 8 7 11 2 2" xfId="41053"/>
    <cellStyle name="표준 8 7 11 3" xfId="32317"/>
    <cellStyle name="표준 8 7 12" xfId="12560"/>
    <cellStyle name="표준 8 7 12 2" xfId="33437"/>
    <cellStyle name="표준 8 7 13" xfId="24687"/>
    <cellStyle name="표준 8 7 2" xfId="3310"/>
    <cellStyle name="표준 8 7 2 10" xfId="11628"/>
    <cellStyle name="표준 8 7 2 10 2" xfId="20394"/>
    <cellStyle name="표준 8 7 2 10 2 2" xfId="41270"/>
    <cellStyle name="표준 8 7 2 10 3" xfId="32534"/>
    <cellStyle name="표준 8 7 2 11" xfId="12777"/>
    <cellStyle name="표준 8 7 2 11 2" xfId="33654"/>
    <cellStyle name="표준 8 7 2 12" xfId="24904"/>
    <cellStyle name="표준 8 7 2 2" xfId="3751"/>
    <cellStyle name="표준 8 7 2 2 2" xfId="6024"/>
    <cellStyle name="표준 8 7 2 2 2 2" xfId="15033"/>
    <cellStyle name="표준 8 7 2 2 2 2 2" xfId="35909"/>
    <cellStyle name="표준 8 7 2 2 2 3" xfId="27171"/>
    <cellStyle name="표준 8 7 2 2 3" xfId="13214"/>
    <cellStyle name="표준 8 7 2 2 3 2" xfId="34091"/>
    <cellStyle name="표준 8 7 2 2 4" xfId="25341"/>
    <cellStyle name="표준 8 7 2 3" xfId="4913"/>
    <cellStyle name="표준 8 7 2 3 2" xfId="6744"/>
    <cellStyle name="표준 8 7 2 3 2 2" xfId="15753"/>
    <cellStyle name="표준 8 7 2 3 2 2 2" xfId="36629"/>
    <cellStyle name="표준 8 7 2 3 2 3" xfId="27891"/>
    <cellStyle name="표준 8 7 2 3 3" xfId="13935"/>
    <cellStyle name="표준 8 7 2 3 3 2" xfId="34811"/>
    <cellStyle name="표준 8 7 2 3 4" xfId="26073"/>
    <cellStyle name="표준 8 7 2 4" xfId="5587"/>
    <cellStyle name="표준 8 7 2 4 2" xfId="14596"/>
    <cellStyle name="표준 8 7 2 4 2 2" xfId="35472"/>
    <cellStyle name="표준 8 7 2 4 3" xfId="26734"/>
    <cellStyle name="표준 8 7 2 5" xfId="7390"/>
    <cellStyle name="표준 8 7 2 5 2" xfId="16397"/>
    <cellStyle name="표준 8 7 2 5 2 2" xfId="37273"/>
    <cellStyle name="표준 8 7 2 5 3" xfId="28535"/>
    <cellStyle name="표준 8 7 2 6" xfId="8034"/>
    <cellStyle name="표준 8 7 2 6 2" xfId="17040"/>
    <cellStyle name="표준 8 7 2 6 2 2" xfId="37916"/>
    <cellStyle name="표준 8 7 2 6 3" xfId="29178"/>
    <cellStyle name="표준 8 7 2 7" xfId="8882"/>
    <cellStyle name="표준 8 7 2 7 2" xfId="17887"/>
    <cellStyle name="표준 8 7 2 7 2 2" xfId="38763"/>
    <cellStyle name="표준 8 7 2 7 3" xfId="30025"/>
    <cellStyle name="표준 8 7 2 8" xfId="9707"/>
    <cellStyle name="표준 8 7 2 8 2" xfId="18705"/>
    <cellStyle name="표준 8 7 2 8 2 2" xfId="39581"/>
    <cellStyle name="표준 8 7 2 8 3" xfId="30843"/>
    <cellStyle name="표준 8 7 2 9" xfId="10762"/>
    <cellStyle name="표준 8 7 2 9 2" xfId="19533"/>
    <cellStyle name="표준 8 7 2 9 2 2" xfId="40409"/>
    <cellStyle name="표준 8 7 2 9 3" xfId="31673"/>
    <cellStyle name="표준 8 7 3" xfId="3534"/>
    <cellStyle name="표준 8 7 3 10" xfId="12997"/>
    <cellStyle name="표준 8 7 3 10 2" xfId="33874"/>
    <cellStyle name="표준 8 7 3 11" xfId="25124"/>
    <cellStyle name="표준 8 7 3 2" xfId="5136"/>
    <cellStyle name="표준 8 7 3 2 2" xfId="6961"/>
    <cellStyle name="표준 8 7 3 2 2 2" xfId="15970"/>
    <cellStyle name="표준 8 7 3 2 2 2 2" xfId="36846"/>
    <cellStyle name="표준 8 7 3 2 2 3" xfId="28108"/>
    <cellStyle name="표준 8 7 3 2 3" xfId="14152"/>
    <cellStyle name="표준 8 7 3 2 3 2" xfId="35028"/>
    <cellStyle name="표준 8 7 3 2 4" xfId="26290"/>
    <cellStyle name="표준 8 7 3 3" xfId="5807"/>
    <cellStyle name="표준 8 7 3 3 2" xfId="14816"/>
    <cellStyle name="표준 8 7 3 3 2 2" xfId="35692"/>
    <cellStyle name="표준 8 7 3 3 3" xfId="26954"/>
    <cellStyle name="표준 8 7 3 4" xfId="7607"/>
    <cellStyle name="표준 8 7 3 4 2" xfId="16614"/>
    <cellStyle name="표준 8 7 3 4 2 2" xfId="37490"/>
    <cellStyle name="표준 8 7 3 4 3" xfId="28752"/>
    <cellStyle name="표준 8 7 3 5" xfId="8251"/>
    <cellStyle name="표준 8 7 3 5 2" xfId="17257"/>
    <cellStyle name="표준 8 7 3 5 2 2" xfId="38133"/>
    <cellStyle name="표준 8 7 3 5 3" xfId="29395"/>
    <cellStyle name="표준 8 7 3 6" xfId="9099"/>
    <cellStyle name="표준 8 7 3 6 2" xfId="18104"/>
    <cellStyle name="표준 8 7 3 6 2 2" xfId="38980"/>
    <cellStyle name="표준 8 7 3 6 3" xfId="30242"/>
    <cellStyle name="표준 8 7 3 7" xfId="9924"/>
    <cellStyle name="표준 8 7 3 7 2" xfId="18922"/>
    <cellStyle name="표준 8 7 3 7 2 2" xfId="39798"/>
    <cellStyle name="표준 8 7 3 7 3" xfId="31060"/>
    <cellStyle name="표준 8 7 3 8" xfId="10979"/>
    <cellStyle name="표준 8 7 3 8 2" xfId="19750"/>
    <cellStyle name="표준 8 7 3 8 2 2" xfId="40626"/>
    <cellStyle name="표준 8 7 3 8 3" xfId="31890"/>
    <cellStyle name="표준 8 7 3 9" xfId="11845"/>
    <cellStyle name="표준 8 7 3 9 2" xfId="20611"/>
    <cellStyle name="표준 8 7 3 9 2 2" xfId="41487"/>
    <cellStyle name="표준 8 7 3 9 3" xfId="32751"/>
    <cellStyle name="표준 8 7 4" xfId="4693"/>
    <cellStyle name="표준 8 7 4 2" xfId="6527"/>
    <cellStyle name="표준 8 7 4 2 2" xfId="15536"/>
    <cellStyle name="표준 8 7 4 2 2 2" xfId="36412"/>
    <cellStyle name="표준 8 7 4 2 3" xfId="27674"/>
    <cellStyle name="표준 8 7 4 3" xfId="11200"/>
    <cellStyle name="표준 8 7 4 3 2" xfId="19969"/>
    <cellStyle name="표준 8 7 4 3 2 2" xfId="40845"/>
    <cellStyle name="표준 8 7 4 3 3" xfId="32109"/>
    <cellStyle name="표준 8 7 4 4" xfId="12064"/>
    <cellStyle name="표준 8 7 4 4 2" xfId="20830"/>
    <cellStyle name="표준 8 7 4 4 2 2" xfId="41706"/>
    <cellStyle name="표준 8 7 4 4 3" xfId="32970"/>
    <cellStyle name="표준 8 7 4 5" xfId="13718"/>
    <cellStyle name="표준 8 7 4 5 2" xfId="34594"/>
    <cellStyle name="표준 8 7 4 6" xfId="25856"/>
    <cellStyle name="표준 8 7 5" xfId="5370"/>
    <cellStyle name="표준 8 7 5 2" xfId="14379"/>
    <cellStyle name="표준 8 7 5 2 2" xfId="35255"/>
    <cellStyle name="표준 8 7 5 3" xfId="26517"/>
    <cellStyle name="표준 8 7 6" xfId="7172"/>
    <cellStyle name="표준 8 7 6 2" xfId="16180"/>
    <cellStyle name="표준 8 7 6 2 2" xfId="37056"/>
    <cellStyle name="표준 8 7 6 3" xfId="28318"/>
    <cellStyle name="표준 8 7 7" xfId="7817"/>
    <cellStyle name="표준 8 7 7 2" xfId="16823"/>
    <cellStyle name="표준 8 7 7 2 2" xfId="37699"/>
    <cellStyle name="표준 8 7 7 3" xfId="28961"/>
    <cellStyle name="표준 8 7 8" xfId="8665"/>
    <cellStyle name="표준 8 7 8 2" xfId="17670"/>
    <cellStyle name="표준 8 7 8 2 2" xfId="38546"/>
    <cellStyle name="표준 8 7 8 3" xfId="29808"/>
    <cellStyle name="표준 8 7 9" xfId="9489"/>
    <cellStyle name="표준 8 7 9 2" xfId="18488"/>
    <cellStyle name="표준 8 7 9 2 2" xfId="39364"/>
    <cellStyle name="표준 8 7 9 3" xfId="30626"/>
    <cellStyle name="표준 8 8" xfId="3304"/>
    <cellStyle name="표준 8 8 10" xfId="11622"/>
    <cellStyle name="표준 8 8 10 2" xfId="20388"/>
    <cellStyle name="표준 8 8 10 2 2" xfId="41264"/>
    <cellStyle name="표준 8 8 10 3" xfId="32528"/>
    <cellStyle name="표준 8 8 11" xfId="12771"/>
    <cellStyle name="표준 8 8 11 2" xfId="33648"/>
    <cellStyle name="표준 8 8 12" xfId="24898"/>
    <cellStyle name="표준 8 8 2" xfId="3745"/>
    <cellStyle name="표준 8 8 2 2" xfId="6018"/>
    <cellStyle name="표준 8 8 2 2 2" xfId="15027"/>
    <cellStyle name="표준 8 8 2 2 2 2" xfId="35903"/>
    <cellStyle name="표준 8 8 2 2 3" xfId="27165"/>
    <cellStyle name="표준 8 8 2 3" xfId="13208"/>
    <cellStyle name="표준 8 8 2 3 2" xfId="34085"/>
    <cellStyle name="표준 8 8 2 4" xfId="25335"/>
    <cellStyle name="표준 8 8 3" xfId="4907"/>
    <cellStyle name="표준 8 8 3 2" xfId="6738"/>
    <cellStyle name="표준 8 8 3 2 2" xfId="15747"/>
    <cellStyle name="표준 8 8 3 2 2 2" xfId="36623"/>
    <cellStyle name="표준 8 8 3 2 3" xfId="27885"/>
    <cellStyle name="표준 8 8 3 3" xfId="13929"/>
    <cellStyle name="표준 8 8 3 3 2" xfId="34805"/>
    <cellStyle name="표준 8 8 3 4" xfId="26067"/>
    <cellStyle name="표준 8 8 4" xfId="5581"/>
    <cellStyle name="표준 8 8 4 2" xfId="14590"/>
    <cellStyle name="표준 8 8 4 2 2" xfId="35466"/>
    <cellStyle name="표준 8 8 4 3" xfId="26728"/>
    <cellStyle name="표준 8 8 5" xfId="7384"/>
    <cellStyle name="표준 8 8 5 2" xfId="16391"/>
    <cellStyle name="표준 8 8 5 2 2" xfId="37267"/>
    <cellStyle name="표준 8 8 5 3" xfId="28529"/>
    <cellStyle name="표준 8 8 6" xfId="8028"/>
    <cellStyle name="표준 8 8 6 2" xfId="17034"/>
    <cellStyle name="표준 8 8 6 2 2" xfId="37910"/>
    <cellStyle name="표준 8 8 6 3" xfId="29172"/>
    <cellStyle name="표준 8 8 7" xfId="8876"/>
    <cellStyle name="표준 8 8 7 2" xfId="17881"/>
    <cellStyle name="표준 8 8 7 2 2" xfId="38757"/>
    <cellStyle name="표준 8 8 7 3" xfId="30019"/>
    <cellStyle name="표준 8 8 8" xfId="9701"/>
    <cellStyle name="표준 8 8 8 2" xfId="18699"/>
    <cellStyle name="표준 8 8 8 2 2" xfId="39575"/>
    <cellStyle name="표준 8 8 8 3" xfId="30837"/>
    <cellStyle name="표준 8 8 9" xfId="10756"/>
    <cellStyle name="표준 8 8 9 2" xfId="19527"/>
    <cellStyle name="표준 8 8 9 2 2" xfId="40403"/>
    <cellStyle name="표준 8 8 9 3" xfId="31667"/>
    <cellStyle name="표준 8 9" xfId="3528"/>
    <cellStyle name="표준 8 9 10" xfId="12991"/>
    <cellStyle name="표준 8 9 10 2" xfId="33868"/>
    <cellStyle name="표준 8 9 11" xfId="25118"/>
    <cellStyle name="표준 8 9 2" xfId="5130"/>
    <cellStyle name="표준 8 9 2 2" xfId="6955"/>
    <cellStyle name="표준 8 9 2 2 2" xfId="15964"/>
    <cellStyle name="표준 8 9 2 2 2 2" xfId="36840"/>
    <cellStyle name="표준 8 9 2 2 3" xfId="28102"/>
    <cellStyle name="표준 8 9 2 3" xfId="14146"/>
    <cellStyle name="표준 8 9 2 3 2" xfId="35022"/>
    <cellStyle name="표준 8 9 2 4" xfId="26284"/>
    <cellStyle name="표준 8 9 3" xfId="5801"/>
    <cellStyle name="표준 8 9 3 2" xfId="14810"/>
    <cellStyle name="표준 8 9 3 2 2" xfId="35686"/>
    <cellStyle name="표준 8 9 3 3" xfId="26948"/>
    <cellStyle name="표준 8 9 4" xfId="7601"/>
    <cellStyle name="표준 8 9 4 2" xfId="16608"/>
    <cellStyle name="표준 8 9 4 2 2" xfId="37484"/>
    <cellStyle name="표준 8 9 4 3" xfId="28746"/>
    <cellStyle name="표준 8 9 5" xfId="8245"/>
    <cellStyle name="표준 8 9 5 2" xfId="17251"/>
    <cellStyle name="표준 8 9 5 2 2" xfId="38127"/>
    <cellStyle name="표준 8 9 5 3" xfId="29389"/>
    <cellStyle name="표준 8 9 6" xfId="9093"/>
    <cellStyle name="표준 8 9 6 2" xfId="18098"/>
    <cellStyle name="표준 8 9 6 2 2" xfId="38974"/>
    <cellStyle name="표준 8 9 6 3" xfId="30236"/>
    <cellStyle name="표준 8 9 7" xfId="9918"/>
    <cellStyle name="표준 8 9 7 2" xfId="18916"/>
    <cellStyle name="표준 8 9 7 2 2" xfId="39792"/>
    <cellStyle name="표준 8 9 7 3" xfId="31054"/>
    <cellStyle name="표준 8 9 8" xfId="10973"/>
    <cellStyle name="표준 8 9 8 2" xfId="19744"/>
    <cellStyle name="표준 8 9 8 2 2" xfId="40620"/>
    <cellStyle name="표준 8 9 8 3" xfId="31884"/>
    <cellStyle name="표준 8 9 9" xfId="11839"/>
    <cellStyle name="표준 8 9 9 2" xfId="20605"/>
    <cellStyle name="표준 8 9 9 2 2" xfId="41481"/>
    <cellStyle name="표준 8 9 9 3" xfId="32745"/>
    <cellStyle name="표준 80" xfId="12075"/>
    <cellStyle name="표준 80 2" xfId="32981"/>
    <cellStyle name="표준 81" xfId="24234"/>
    <cellStyle name="표준 81 2" xfId="45097"/>
    <cellStyle name="표준 82" xfId="24237"/>
    <cellStyle name="표준 82 2" xfId="45100"/>
    <cellStyle name="표준 83" xfId="24239"/>
    <cellStyle name="표준 83 2" xfId="45102"/>
    <cellStyle name="표준 84" xfId="24243"/>
    <cellStyle name="표준 84 2" xfId="45105"/>
    <cellStyle name="표준 9" xfId="3091"/>
    <cellStyle name="표준 9 10" xfId="4694"/>
    <cellStyle name="표준 9 10 2" xfId="6528"/>
    <cellStyle name="표준 9 10 2 2" xfId="15537"/>
    <cellStyle name="표준 9 10 2 2 2" xfId="36413"/>
    <cellStyle name="표준 9 10 2 3" xfId="27675"/>
    <cellStyle name="표준 9 10 3" xfId="11201"/>
    <cellStyle name="표준 9 10 3 2" xfId="19970"/>
    <cellStyle name="표준 9 10 3 2 2" xfId="40846"/>
    <cellStyle name="표준 9 10 3 3" xfId="32110"/>
    <cellStyle name="표준 9 10 4" xfId="12065"/>
    <cellStyle name="표준 9 10 4 2" xfId="20831"/>
    <cellStyle name="표준 9 10 4 2 2" xfId="41707"/>
    <cellStyle name="표준 9 10 4 3" xfId="32971"/>
    <cellStyle name="표준 9 10 5" xfId="13719"/>
    <cellStyle name="표준 9 10 5 2" xfId="34595"/>
    <cellStyle name="표준 9 10 6" xfId="25857"/>
    <cellStyle name="표준 9 11" xfId="5371"/>
    <cellStyle name="표준 9 11 2" xfId="14380"/>
    <cellStyle name="표준 9 11 2 2" xfId="35256"/>
    <cellStyle name="표준 9 11 3" xfId="26518"/>
    <cellStyle name="표준 9 12" xfId="7173"/>
    <cellStyle name="표준 9 12 2" xfId="16181"/>
    <cellStyle name="표준 9 12 2 2" xfId="37057"/>
    <cellStyle name="표준 9 12 3" xfId="28319"/>
    <cellStyle name="표준 9 13" xfId="7818"/>
    <cellStyle name="표준 9 13 2" xfId="16824"/>
    <cellStyle name="표준 9 13 2 2" xfId="37700"/>
    <cellStyle name="표준 9 13 3" xfId="28962"/>
    <cellStyle name="표준 9 14" xfId="8666"/>
    <cellStyle name="표준 9 14 2" xfId="17671"/>
    <cellStyle name="표준 9 14 2 2" xfId="38547"/>
    <cellStyle name="표준 9 14 3" xfId="29809"/>
    <cellStyle name="표준 9 15" xfId="9204"/>
    <cellStyle name="표준 9 15 2" xfId="18208"/>
    <cellStyle name="표준 9 15 2 2" xfId="39084"/>
    <cellStyle name="표준 9 15 3" xfId="30346"/>
    <cellStyle name="표준 9 16" xfId="9490"/>
    <cellStyle name="표준 9 16 2" xfId="18489"/>
    <cellStyle name="표준 9 16 2 2" xfId="39365"/>
    <cellStyle name="표준 9 16 3" xfId="30627"/>
    <cellStyle name="표준 9 17" xfId="10151"/>
    <cellStyle name="표준 9 18" xfId="10546"/>
    <cellStyle name="표준 9 18 2" xfId="19317"/>
    <cellStyle name="표준 9 18 2 2" xfId="40193"/>
    <cellStyle name="표준 9 18 3" xfId="31457"/>
    <cellStyle name="표준 9 19" xfId="11412"/>
    <cellStyle name="표준 9 19 2" xfId="20178"/>
    <cellStyle name="표준 9 19 2 2" xfId="41054"/>
    <cellStyle name="표준 9 19 3" xfId="32318"/>
    <cellStyle name="표준 9 2" xfId="3092"/>
    <cellStyle name="표준 9 2 10" xfId="9491"/>
    <cellStyle name="표준 9 2 10 2" xfId="18490"/>
    <cellStyle name="표준 9 2 10 2 2" xfId="39366"/>
    <cellStyle name="표준 9 2 10 3" xfId="30628"/>
    <cellStyle name="표준 9 2 11" xfId="10152"/>
    <cellStyle name="표준 9 2 12" xfId="10547"/>
    <cellStyle name="표준 9 2 12 2" xfId="19318"/>
    <cellStyle name="표준 9 2 12 2 2" xfId="40194"/>
    <cellStyle name="표준 9 2 12 3" xfId="31458"/>
    <cellStyle name="표준 9 2 13" xfId="11413"/>
    <cellStyle name="표준 9 2 13 2" xfId="20179"/>
    <cellStyle name="표준 9 2 13 2 2" xfId="41055"/>
    <cellStyle name="표준 9 2 13 3" xfId="32319"/>
    <cellStyle name="표준 9 2 14" xfId="12562"/>
    <cellStyle name="표준 9 2 14 2" xfId="33439"/>
    <cellStyle name="표준 9 2 15" xfId="24689"/>
    <cellStyle name="표준 9 2 2" xfId="3312"/>
    <cellStyle name="표준 9 2 2 10" xfId="10764"/>
    <cellStyle name="표준 9 2 2 10 2" xfId="19535"/>
    <cellStyle name="표준 9 2 2 10 2 2" xfId="40411"/>
    <cellStyle name="표준 9 2 2 10 3" xfId="31675"/>
    <cellStyle name="표준 9 2 2 11" xfId="11630"/>
    <cellStyle name="표준 9 2 2 11 2" xfId="20396"/>
    <cellStyle name="표준 9 2 2 11 2 2" xfId="41272"/>
    <cellStyle name="표준 9 2 2 11 3" xfId="32536"/>
    <cellStyle name="표준 9 2 2 12" xfId="12779"/>
    <cellStyle name="표준 9 2 2 12 2" xfId="33656"/>
    <cellStyle name="표준 9 2 2 13" xfId="24906"/>
    <cellStyle name="표준 9 2 2 2" xfId="3753"/>
    <cellStyle name="표준 9 2 2 2 2" xfId="6026"/>
    <cellStyle name="표준 9 2 2 2 2 2" xfId="15035"/>
    <cellStyle name="표준 9 2 2 2 2 2 2" xfId="35911"/>
    <cellStyle name="표준 9 2 2 2 2 3" xfId="27173"/>
    <cellStyle name="표준 9 2 2 2 3" xfId="13216"/>
    <cellStyle name="표준 9 2 2 2 3 2" xfId="34093"/>
    <cellStyle name="표준 9 2 2 2 4" xfId="25343"/>
    <cellStyle name="표준 9 2 2 3" xfId="4915"/>
    <cellStyle name="표준 9 2 2 3 2" xfId="6746"/>
    <cellStyle name="표준 9 2 2 3 2 2" xfId="15755"/>
    <cellStyle name="표준 9 2 2 3 2 2 2" xfId="36631"/>
    <cellStyle name="표준 9 2 2 3 2 3" xfId="27893"/>
    <cellStyle name="표준 9 2 2 3 3" xfId="13937"/>
    <cellStyle name="표준 9 2 2 3 3 2" xfId="34813"/>
    <cellStyle name="표준 9 2 2 3 4" xfId="26075"/>
    <cellStyle name="표준 9 2 2 4" xfId="5589"/>
    <cellStyle name="표준 9 2 2 4 2" xfId="14598"/>
    <cellStyle name="표준 9 2 2 4 2 2" xfId="35474"/>
    <cellStyle name="표준 9 2 2 4 3" xfId="26736"/>
    <cellStyle name="표준 9 2 2 5" xfId="7392"/>
    <cellStyle name="표준 9 2 2 5 2" xfId="16399"/>
    <cellStyle name="표준 9 2 2 5 2 2" xfId="37275"/>
    <cellStyle name="표준 9 2 2 5 3" xfId="28537"/>
    <cellStyle name="표준 9 2 2 6" xfId="8036"/>
    <cellStyle name="표준 9 2 2 6 2" xfId="17042"/>
    <cellStyle name="표준 9 2 2 6 2 2" xfId="37918"/>
    <cellStyle name="표준 9 2 2 6 3" xfId="29180"/>
    <cellStyle name="표준 9 2 2 7" xfId="8884"/>
    <cellStyle name="표준 9 2 2 7 2" xfId="17889"/>
    <cellStyle name="표준 9 2 2 7 2 2" xfId="38765"/>
    <cellStyle name="표준 9 2 2 7 3" xfId="30027"/>
    <cellStyle name="표준 9 2 2 8" xfId="9709"/>
    <cellStyle name="표준 9 2 2 8 2" xfId="18707"/>
    <cellStyle name="표준 9 2 2 8 2 2" xfId="39583"/>
    <cellStyle name="표준 9 2 2 8 3" xfId="30845"/>
    <cellStyle name="표준 9 2 2 9" xfId="10153"/>
    <cellStyle name="표준 9 2 3" xfId="3536"/>
    <cellStyle name="표준 9 2 3 10" xfId="12999"/>
    <cellStyle name="표준 9 2 3 10 2" xfId="33876"/>
    <cellStyle name="표준 9 2 3 11" xfId="25126"/>
    <cellStyle name="표준 9 2 3 2" xfId="5138"/>
    <cellStyle name="표준 9 2 3 2 2" xfId="6963"/>
    <cellStyle name="표준 9 2 3 2 2 2" xfId="15972"/>
    <cellStyle name="표준 9 2 3 2 2 2 2" xfId="36848"/>
    <cellStyle name="표준 9 2 3 2 2 3" xfId="28110"/>
    <cellStyle name="표준 9 2 3 2 3" xfId="14154"/>
    <cellStyle name="표준 9 2 3 2 3 2" xfId="35030"/>
    <cellStyle name="표준 9 2 3 2 4" xfId="26292"/>
    <cellStyle name="표준 9 2 3 3" xfId="5809"/>
    <cellStyle name="표준 9 2 3 3 2" xfId="14818"/>
    <cellStyle name="표준 9 2 3 3 2 2" xfId="35694"/>
    <cellStyle name="표준 9 2 3 3 3" xfId="26956"/>
    <cellStyle name="표준 9 2 3 4" xfId="7609"/>
    <cellStyle name="표준 9 2 3 4 2" xfId="16616"/>
    <cellStyle name="표준 9 2 3 4 2 2" xfId="37492"/>
    <cellStyle name="표준 9 2 3 4 3" xfId="28754"/>
    <cellStyle name="표준 9 2 3 5" xfId="8253"/>
    <cellStyle name="표준 9 2 3 5 2" xfId="17259"/>
    <cellStyle name="표준 9 2 3 5 2 2" xfId="38135"/>
    <cellStyle name="표준 9 2 3 5 3" xfId="29397"/>
    <cellStyle name="표준 9 2 3 6" xfId="9101"/>
    <cellStyle name="표준 9 2 3 6 2" xfId="18106"/>
    <cellStyle name="표준 9 2 3 6 2 2" xfId="38982"/>
    <cellStyle name="표준 9 2 3 6 3" xfId="30244"/>
    <cellStyle name="표준 9 2 3 7" xfId="9926"/>
    <cellStyle name="표준 9 2 3 7 2" xfId="18924"/>
    <cellStyle name="표준 9 2 3 7 2 2" xfId="39800"/>
    <cellStyle name="표준 9 2 3 7 3" xfId="31062"/>
    <cellStyle name="표준 9 2 3 8" xfId="10981"/>
    <cellStyle name="표준 9 2 3 8 2" xfId="19752"/>
    <cellStyle name="표준 9 2 3 8 2 2" xfId="40628"/>
    <cellStyle name="표준 9 2 3 8 3" xfId="31892"/>
    <cellStyle name="표준 9 2 3 9" xfId="11847"/>
    <cellStyle name="표준 9 2 3 9 2" xfId="20613"/>
    <cellStyle name="표준 9 2 3 9 2 2" xfId="41489"/>
    <cellStyle name="표준 9 2 3 9 3" xfId="32753"/>
    <cellStyle name="표준 9 2 4" xfId="4695"/>
    <cellStyle name="표준 9 2 4 2" xfId="6529"/>
    <cellStyle name="표준 9 2 4 2 2" xfId="15538"/>
    <cellStyle name="표준 9 2 4 2 2 2" xfId="36414"/>
    <cellStyle name="표준 9 2 4 2 3" xfId="27676"/>
    <cellStyle name="표준 9 2 4 3" xfId="11202"/>
    <cellStyle name="표준 9 2 4 3 2" xfId="19971"/>
    <cellStyle name="표준 9 2 4 3 2 2" xfId="40847"/>
    <cellStyle name="표준 9 2 4 3 3" xfId="32111"/>
    <cellStyle name="표준 9 2 4 4" xfId="12066"/>
    <cellStyle name="표준 9 2 4 4 2" xfId="20832"/>
    <cellStyle name="표준 9 2 4 4 2 2" xfId="41708"/>
    <cellStyle name="표준 9 2 4 4 3" xfId="32972"/>
    <cellStyle name="표준 9 2 4 5" xfId="13720"/>
    <cellStyle name="표준 9 2 4 5 2" xfId="34596"/>
    <cellStyle name="표준 9 2 4 6" xfId="25858"/>
    <cellStyle name="표준 9 2 5" xfId="5372"/>
    <cellStyle name="표준 9 2 5 2" xfId="14381"/>
    <cellStyle name="표준 9 2 5 2 2" xfId="35257"/>
    <cellStyle name="표준 9 2 5 3" xfId="26519"/>
    <cellStyle name="표준 9 2 6" xfId="7174"/>
    <cellStyle name="표준 9 2 6 2" xfId="16182"/>
    <cellStyle name="표준 9 2 6 2 2" xfId="37058"/>
    <cellStyle name="표준 9 2 6 3" xfId="28320"/>
    <cellStyle name="표준 9 2 7" xfId="7819"/>
    <cellStyle name="표준 9 2 7 2" xfId="16825"/>
    <cellStyle name="표준 9 2 7 2 2" xfId="37701"/>
    <cellStyle name="표준 9 2 7 3" xfId="28963"/>
    <cellStyle name="표준 9 2 8" xfId="8667"/>
    <cellStyle name="표준 9 2 8 2" xfId="17672"/>
    <cellStyle name="표준 9 2 8 2 2" xfId="38548"/>
    <cellStyle name="표준 9 2 8 3" xfId="29810"/>
    <cellStyle name="표준 9 2 9" xfId="9199"/>
    <cellStyle name="표준 9 2 9 2" xfId="18203"/>
    <cellStyle name="표준 9 2 9 2 2" xfId="39079"/>
    <cellStyle name="표준 9 2 9 3" xfId="30341"/>
    <cellStyle name="표준 9 20" xfId="12561"/>
    <cellStyle name="표준 9 20 2" xfId="33438"/>
    <cellStyle name="표준 9 21" xfId="24688"/>
    <cellStyle name="표준 9 3" xfId="3093"/>
    <cellStyle name="표준 9 3 10" xfId="9492"/>
    <cellStyle name="표준 9 3 10 2" xfId="18491"/>
    <cellStyle name="표준 9 3 10 2 2" xfId="39367"/>
    <cellStyle name="표준 9 3 10 3" xfId="30629"/>
    <cellStyle name="표준 9 3 11" xfId="10154"/>
    <cellStyle name="표준 9 3 12" xfId="10548"/>
    <cellStyle name="표준 9 3 12 2" xfId="19319"/>
    <cellStyle name="표준 9 3 12 2 2" xfId="40195"/>
    <cellStyle name="표준 9 3 12 3" xfId="31459"/>
    <cellStyle name="표준 9 3 13" xfId="11414"/>
    <cellStyle name="표준 9 3 13 2" xfId="20180"/>
    <cellStyle name="표준 9 3 13 2 2" xfId="41056"/>
    <cellStyle name="표준 9 3 13 3" xfId="32320"/>
    <cellStyle name="표준 9 3 14" xfId="12563"/>
    <cellStyle name="표준 9 3 14 2" xfId="33440"/>
    <cellStyle name="표준 9 3 15" xfId="24690"/>
    <cellStyle name="표준 9 3 2" xfId="3313"/>
    <cellStyle name="표준 9 3 2 10" xfId="10765"/>
    <cellStyle name="표준 9 3 2 10 2" xfId="19536"/>
    <cellStyle name="표준 9 3 2 10 2 2" xfId="40412"/>
    <cellStyle name="표준 9 3 2 10 3" xfId="31676"/>
    <cellStyle name="표준 9 3 2 11" xfId="11631"/>
    <cellStyle name="표준 9 3 2 11 2" xfId="20397"/>
    <cellStyle name="표준 9 3 2 11 2 2" xfId="41273"/>
    <cellStyle name="표준 9 3 2 11 3" xfId="32537"/>
    <cellStyle name="표준 9 3 2 12" xfId="12780"/>
    <cellStyle name="표준 9 3 2 12 2" xfId="33657"/>
    <cellStyle name="표준 9 3 2 13" xfId="24907"/>
    <cellStyle name="표준 9 3 2 2" xfId="3754"/>
    <cellStyle name="표준 9 3 2 2 2" xfId="6027"/>
    <cellStyle name="표준 9 3 2 2 2 2" xfId="15036"/>
    <cellStyle name="표준 9 3 2 2 2 2 2" xfId="35912"/>
    <cellStyle name="표준 9 3 2 2 2 3" xfId="27174"/>
    <cellStyle name="표준 9 3 2 2 3" xfId="13217"/>
    <cellStyle name="표준 9 3 2 2 3 2" xfId="34094"/>
    <cellStyle name="표준 9 3 2 2 4" xfId="25344"/>
    <cellStyle name="표준 9 3 2 3" xfId="4916"/>
    <cellStyle name="표준 9 3 2 3 2" xfId="6747"/>
    <cellStyle name="표준 9 3 2 3 2 2" xfId="15756"/>
    <cellStyle name="표준 9 3 2 3 2 2 2" xfId="36632"/>
    <cellStyle name="표준 9 3 2 3 2 3" xfId="27894"/>
    <cellStyle name="표준 9 3 2 3 3" xfId="13938"/>
    <cellStyle name="표준 9 3 2 3 3 2" xfId="34814"/>
    <cellStyle name="표준 9 3 2 3 4" xfId="26076"/>
    <cellStyle name="표준 9 3 2 4" xfId="5590"/>
    <cellStyle name="표준 9 3 2 4 2" xfId="14599"/>
    <cellStyle name="표준 9 3 2 4 2 2" xfId="35475"/>
    <cellStyle name="표준 9 3 2 4 3" xfId="26737"/>
    <cellStyle name="표준 9 3 2 5" xfId="7393"/>
    <cellStyle name="표준 9 3 2 5 2" xfId="16400"/>
    <cellStyle name="표준 9 3 2 5 2 2" xfId="37276"/>
    <cellStyle name="표준 9 3 2 5 3" xfId="28538"/>
    <cellStyle name="표준 9 3 2 6" xfId="8037"/>
    <cellStyle name="표준 9 3 2 6 2" xfId="17043"/>
    <cellStyle name="표준 9 3 2 6 2 2" xfId="37919"/>
    <cellStyle name="표준 9 3 2 6 3" xfId="29181"/>
    <cellStyle name="표준 9 3 2 7" xfId="8885"/>
    <cellStyle name="표준 9 3 2 7 2" xfId="17890"/>
    <cellStyle name="표준 9 3 2 7 2 2" xfId="38766"/>
    <cellStyle name="표준 9 3 2 7 3" xfId="30028"/>
    <cellStyle name="표준 9 3 2 8" xfId="9710"/>
    <cellStyle name="표준 9 3 2 8 2" xfId="18708"/>
    <cellStyle name="표준 9 3 2 8 2 2" xfId="39584"/>
    <cellStyle name="표준 9 3 2 8 3" xfId="30846"/>
    <cellStyle name="표준 9 3 2 9" xfId="10155"/>
    <cellStyle name="표준 9 3 3" xfId="3537"/>
    <cellStyle name="표준 9 3 3 10" xfId="13000"/>
    <cellStyle name="표준 9 3 3 10 2" xfId="33877"/>
    <cellStyle name="표준 9 3 3 11" xfId="25127"/>
    <cellStyle name="표준 9 3 3 2" xfId="5139"/>
    <cellStyle name="표준 9 3 3 2 2" xfId="6964"/>
    <cellStyle name="표준 9 3 3 2 2 2" xfId="15973"/>
    <cellStyle name="표준 9 3 3 2 2 2 2" xfId="36849"/>
    <cellStyle name="표준 9 3 3 2 2 3" xfId="28111"/>
    <cellStyle name="표준 9 3 3 2 3" xfId="14155"/>
    <cellStyle name="표준 9 3 3 2 3 2" xfId="35031"/>
    <cellStyle name="표준 9 3 3 2 4" xfId="26293"/>
    <cellStyle name="표준 9 3 3 3" xfId="5810"/>
    <cellStyle name="표준 9 3 3 3 2" xfId="14819"/>
    <cellStyle name="표준 9 3 3 3 2 2" xfId="35695"/>
    <cellStyle name="표준 9 3 3 3 3" xfId="26957"/>
    <cellStyle name="표준 9 3 3 4" xfId="7610"/>
    <cellStyle name="표준 9 3 3 4 2" xfId="16617"/>
    <cellStyle name="표준 9 3 3 4 2 2" xfId="37493"/>
    <cellStyle name="표준 9 3 3 4 3" xfId="28755"/>
    <cellStyle name="표준 9 3 3 5" xfId="8254"/>
    <cellStyle name="표준 9 3 3 5 2" xfId="17260"/>
    <cellStyle name="표준 9 3 3 5 2 2" xfId="38136"/>
    <cellStyle name="표준 9 3 3 5 3" xfId="29398"/>
    <cellStyle name="표준 9 3 3 6" xfId="9102"/>
    <cellStyle name="표준 9 3 3 6 2" xfId="18107"/>
    <cellStyle name="표준 9 3 3 6 2 2" xfId="38983"/>
    <cellStyle name="표준 9 3 3 6 3" xfId="30245"/>
    <cellStyle name="표준 9 3 3 7" xfId="9927"/>
    <cellStyle name="표준 9 3 3 7 2" xfId="18925"/>
    <cellStyle name="표준 9 3 3 7 2 2" xfId="39801"/>
    <cellStyle name="표준 9 3 3 7 3" xfId="31063"/>
    <cellStyle name="표준 9 3 3 8" xfId="10982"/>
    <cellStyle name="표준 9 3 3 8 2" xfId="19753"/>
    <cellStyle name="표준 9 3 3 8 2 2" xfId="40629"/>
    <cellStyle name="표준 9 3 3 8 3" xfId="31893"/>
    <cellStyle name="표준 9 3 3 9" xfId="11848"/>
    <cellStyle name="표준 9 3 3 9 2" xfId="20614"/>
    <cellStyle name="표준 9 3 3 9 2 2" xfId="41490"/>
    <cellStyle name="표준 9 3 3 9 3" xfId="32754"/>
    <cellStyle name="표준 9 3 4" xfId="4696"/>
    <cellStyle name="표준 9 3 4 2" xfId="6530"/>
    <cellStyle name="표준 9 3 4 2 2" xfId="15539"/>
    <cellStyle name="표준 9 3 4 2 2 2" xfId="36415"/>
    <cellStyle name="표준 9 3 4 2 3" xfId="27677"/>
    <cellStyle name="표준 9 3 4 3" xfId="11203"/>
    <cellStyle name="표준 9 3 4 3 2" xfId="19972"/>
    <cellStyle name="표준 9 3 4 3 2 2" xfId="40848"/>
    <cellStyle name="표준 9 3 4 3 3" xfId="32112"/>
    <cellStyle name="표준 9 3 4 4" xfId="12067"/>
    <cellStyle name="표준 9 3 4 4 2" xfId="20833"/>
    <cellStyle name="표준 9 3 4 4 2 2" xfId="41709"/>
    <cellStyle name="표준 9 3 4 4 3" xfId="32973"/>
    <cellStyle name="표준 9 3 4 5" xfId="13721"/>
    <cellStyle name="표준 9 3 4 5 2" xfId="34597"/>
    <cellStyle name="표준 9 3 4 6" xfId="25859"/>
    <cellStyle name="표준 9 3 5" xfId="5373"/>
    <cellStyle name="표준 9 3 5 2" xfId="14382"/>
    <cellStyle name="표준 9 3 5 2 2" xfId="35258"/>
    <cellStyle name="표준 9 3 5 3" xfId="26520"/>
    <cellStyle name="표준 9 3 6" xfId="7175"/>
    <cellStyle name="표준 9 3 6 2" xfId="16183"/>
    <cellStyle name="표준 9 3 6 2 2" xfId="37059"/>
    <cellStyle name="표준 9 3 6 3" xfId="28321"/>
    <cellStyle name="표준 9 3 7" xfId="7820"/>
    <cellStyle name="표준 9 3 7 2" xfId="16826"/>
    <cellStyle name="표준 9 3 7 2 2" xfId="37702"/>
    <cellStyle name="표준 9 3 7 3" xfId="28964"/>
    <cellStyle name="표준 9 3 8" xfId="8668"/>
    <cellStyle name="표준 9 3 8 2" xfId="17673"/>
    <cellStyle name="표준 9 3 8 2 2" xfId="38549"/>
    <cellStyle name="표준 9 3 8 3" xfId="29811"/>
    <cellStyle name="표준 9 3 9" xfId="9200"/>
    <cellStyle name="표준 9 3 9 2" xfId="18204"/>
    <cellStyle name="표준 9 3 9 2 2" xfId="39080"/>
    <cellStyle name="표준 9 3 9 3" xfId="30342"/>
    <cellStyle name="표준 9 4" xfId="3094"/>
    <cellStyle name="표준 9 4 10" xfId="9493"/>
    <cellStyle name="표준 9 4 10 2" xfId="18492"/>
    <cellStyle name="표준 9 4 10 2 2" xfId="39368"/>
    <cellStyle name="표준 9 4 10 3" xfId="30630"/>
    <cellStyle name="표준 9 4 11" xfId="10156"/>
    <cellStyle name="표준 9 4 12" xfId="10549"/>
    <cellStyle name="표준 9 4 12 2" xfId="19320"/>
    <cellStyle name="표준 9 4 12 2 2" xfId="40196"/>
    <cellStyle name="표준 9 4 12 3" xfId="31460"/>
    <cellStyle name="표준 9 4 13" xfId="11415"/>
    <cellStyle name="표준 9 4 13 2" xfId="20181"/>
    <cellStyle name="표준 9 4 13 2 2" xfId="41057"/>
    <cellStyle name="표준 9 4 13 3" xfId="32321"/>
    <cellStyle name="표준 9 4 14" xfId="12564"/>
    <cellStyle name="표준 9 4 14 2" xfId="33441"/>
    <cellStyle name="표준 9 4 15" xfId="24691"/>
    <cellStyle name="표준 9 4 2" xfId="3314"/>
    <cellStyle name="표준 9 4 2 10" xfId="10766"/>
    <cellStyle name="표준 9 4 2 10 2" xfId="19537"/>
    <cellStyle name="표준 9 4 2 10 2 2" xfId="40413"/>
    <cellStyle name="표준 9 4 2 10 3" xfId="31677"/>
    <cellStyle name="표준 9 4 2 11" xfId="11632"/>
    <cellStyle name="표준 9 4 2 11 2" xfId="20398"/>
    <cellStyle name="표준 9 4 2 11 2 2" xfId="41274"/>
    <cellStyle name="표준 9 4 2 11 3" xfId="32538"/>
    <cellStyle name="표준 9 4 2 12" xfId="12781"/>
    <cellStyle name="표준 9 4 2 12 2" xfId="33658"/>
    <cellStyle name="표준 9 4 2 13" xfId="24908"/>
    <cellStyle name="표준 9 4 2 2" xfId="3755"/>
    <cellStyle name="표준 9 4 2 2 2" xfId="6028"/>
    <cellStyle name="표준 9 4 2 2 2 2" xfId="15037"/>
    <cellStyle name="표준 9 4 2 2 2 2 2" xfId="35913"/>
    <cellStyle name="표준 9 4 2 2 2 3" xfId="27175"/>
    <cellStyle name="표준 9 4 2 2 3" xfId="13218"/>
    <cellStyle name="표준 9 4 2 2 3 2" xfId="34095"/>
    <cellStyle name="표준 9 4 2 2 4" xfId="25345"/>
    <cellStyle name="표준 9 4 2 3" xfId="4917"/>
    <cellStyle name="표준 9 4 2 3 2" xfId="6748"/>
    <cellStyle name="표준 9 4 2 3 2 2" xfId="15757"/>
    <cellStyle name="표준 9 4 2 3 2 2 2" xfId="36633"/>
    <cellStyle name="표준 9 4 2 3 2 3" xfId="27895"/>
    <cellStyle name="표준 9 4 2 3 3" xfId="13939"/>
    <cellStyle name="표준 9 4 2 3 3 2" xfId="34815"/>
    <cellStyle name="표준 9 4 2 3 4" xfId="26077"/>
    <cellStyle name="표준 9 4 2 4" xfId="5591"/>
    <cellStyle name="표준 9 4 2 4 2" xfId="14600"/>
    <cellStyle name="표준 9 4 2 4 2 2" xfId="35476"/>
    <cellStyle name="표준 9 4 2 4 3" xfId="26738"/>
    <cellStyle name="표준 9 4 2 5" xfId="7394"/>
    <cellStyle name="표준 9 4 2 5 2" xfId="16401"/>
    <cellStyle name="표준 9 4 2 5 2 2" xfId="37277"/>
    <cellStyle name="표준 9 4 2 5 3" xfId="28539"/>
    <cellStyle name="표준 9 4 2 6" xfId="8038"/>
    <cellStyle name="표준 9 4 2 6 2" xfId="17044"/>
    <cellStyle name="표준 9 4 2 6 2 2" xfId="37920"/>
    <cellStyle name="표준 9 4 2 6 3" xfId="29182"/>
    <cellStyle name="표준 9 4 2 7" xfId="8886"/>
    <cellStyle name="표준 9 4 2 7 2" xfId="17891"/>
    <cellStyle name="표준 9 4 2 7 2 2" xfId="38767"/>
    <cellStyle name="표준 9 4 2 7 3" xfId="30029"/>
    <cellStyle name="표준 9 4 2 8" xfId="9711"/>
    <cellStyle name="표준 9 4 2 8 2" xfId="18709"/>
    <cellStyle name="표준 9 4 2 8 2 2" xfId="39585"/>
    <cellStyle name="표준 9 4 2 8 3" xfId="30847"/>
    <cellStyle name="표준 9 4 2 9" xfId="10157"/>
    <cellStyle name="표준 9 4 3" xfId="3538"/>
    <cellStyle name="표준 9 4 3 10" xfId="13001"/>
    <cellStyle name="표준 9 4 3 10 2" xfId="33878"/>
    <cellStyle name="표준 9 4 3 11" xfId="25128"/>
    <cellStyle name="표준 9 4 3 2" xfId="5140"/>
    <cellStyle name="표준 9 4 3 2 2" xfId="6965"/>
    <cellStyle name="표준 9 4 3 2 2 2" xfId="15974"/>
    <cellStyle name="표준 9 4 3 2 2 2 2" xfId="36850"/>
    <cellStyle name="표준 9 4 3 2 2 3" xfId="28112"/>
    <cellStyle name="표준 9 4 3 2 3" xfId="14156"/>
    <cellStyle name="표준 9 4 3 2 3 2" xfId="35032"/>
    <cellStyle name="표준 9 4 3 2 4" xfId="26294"/>
    <cellStyle name="표준 9 4 3 3" xfId="5811"/>
    <cellStyle name="표준 9 4 3 3 2" xfId="14820"/>
    <cellStyle name="표준 9 4 3 3 2 2" xfId="35696"/>
    <cellStyle name="표준 9 4 3 3 3" xfId="26958"/>
    <cellStyle name="표준 9 4 3 4" xfId="7611"/>
    <cellStyle name="표준 9 4 3 4 2" xfId="16618"/>
    <cellStyle name="표준 9 4 3 4 2 2" xfId="37494"/>
    <cellStyle name="표준 9 4 3 4 3" xfId="28756"/>
    <cellStyle name="표준 9 4 3 5" xfId="8255"/>
    <cellStyle name="표준 9 4 3 5 2" xfId="17261"/>
    <cellStyle name="표준 9 4 3 5 2 2" xfId="38137"/>
    <cellStyle name="표준 9 4 3 5 3" xfId="29399"/>
    <cellStyle name="표준 9 4 3 6" xfId="9103"/>
    <cellStyle name="표준 9 4 3 6 2" xfId="18108"/>
    <cellStyle name="표준 9 4 3 6 2 2" xfId="38984"/>
    <cellStyle name="표준 9 4 3 6 3" xfId="30246"/>
    <cellStyle name="표준 9 4 3 7" xfId="9928"/>
    <cellStyle name="표준 9 4 3 7 2" xfId="18926"/>
    <cellStyle name="표준 9 4 3 7 2 2" xfId="39802"/>
    <cellStyle name="표준 9 4 3 7 3" xfId="31064"/>
    <cellStyle name="표준 9 4 3 8" xfId="10983"/>
    <cellStyle name="표준 9 4 3 8 2" xfId="19754"/>
    <cellStyle name="표준 9 4 3 8 2 2" xfId="40630"/>
    <cellStyle name="표준 9 4 3 8 3" xfId="31894"/>
    <cellStyle name="표준 9 4 3 9" xfId="11849"/>
    <cellStyle name="표준 9 4 3 9 2" xfId="20615"/>
    <cellStyle name="표준 9 4 3 9 2 2" xfId="41491"/>
    <cellStyle name="표준 9 4 3 9 3" xfId="32755"/>
    <cellStyle name="표준 9 4 4" xfId="4697"/>
    <cellStyle name="표준 9 4 4 2" xfId="6531"/>
    <cellStyle name="표준 9 4 4 2 2" xfId="15540"/>
    <cellStyle name="표준 9 4 4 2 2 2" xfId="36416"/>
    <cellStyle name="표준 9 4 4 2 3" xfId="27678"/>
    <cellStyle name="표준 9 4 4 3" xfId="11204"/>
    <cellStyle name="표준 9 4 4 3 2" xfId="19973"/>
    <cellStyle name="표준 9 4 4 3 2 2" xfId="40849"/>
    <cellStyle name="표준 9 4 4 3 3" xfId="32113"/>
    <cellStyle name="표준 9 4 4 4" xfId="12068"/>
    <cellStyle name="표준 9 4 4 4 2" xfId="20834"/>
    <cellStyle name="표준 9 4 4 4 2 2" xfId="41710"/>
    <cellStyle name="표준 9 4 4 4 3" xfId="32974"/>
    <cellStyle name="표준 9 4 4 5" xfId="13722"/>
    <cellStyle name="표준 9 4 4 5 2" xfId="34598"/>
    <cellStyle name="표준 9 4 4 6" xfId="25860"/>
    <cellStyle name="표준 9 4 5" xfId="5374"/>
    <cellStyle name="표준 9 4 5 2" xfId="14383"/>
    <cellStyle name="표준 9 4 5 2 2" xfId="35259"/>
    <cellStyle name="표준 9 4 5 3" xfId="26521"/>
    <cellStyle name="표준 9 4 6" xfId="7176"/>
    <cellStyle name="표준 9 4 6 2" xfId="16184"/>
    <cellStyle name="표준 9 4 6 2 2" xfId="37060"/>
    <cellStyle name="표준 9 4 6 3" xfId="28322"/>
    <cellStyle name="표준 9 4 7" xfId="7821"/>
    <cellStyle name="표준 9 4 7 2" xfId="16827"/>
    <cellStyle name="표준 9 4 7 2 2" xfId="37703"/>
    <cellStyle name="표준 9 4 7 3" xfId="28965"/>
    <cellStyle name="표준 9 4 8" xfId="8669"/>
    <cellStyle name="표준 9 4 8 2" xfId="17674"/>
    <cellStyle name="표준 9 4 8 2 2" xfId="38550"/>
    <cellStyle name="표준 9 4 8 3" xfId="29812"/>
    <cellStyle name="표준 9 4 9" xfId="9201"/>
    <cellStyle name="표준 9 4 9 2" xfId="18205"/>
    <cellStyle name="표준 9 4 9 2 2" xfId="39081"/>
    <cellStyle name="표준 9 4 9 3" xfId="30343"/>
    <cellStyle name="표준 9 5" xfId="3095"/>
    <cellStyle name="표준 9 5 10" xfId="10158"/>
    <cellStyle name="표준 9 5 11" xfId="10550"/>
    <cellStyle name="표준 9 5 11 2" xfId="19321"/>
    <cellStyle name="표준 9 5 11 2 2" xfId="40197"/>
    <cellStyle name="표준 9 5 11 3" xfId="31461"/>
    <cellStyle name="표준 9 5 12" xfId="11416"/>
    <cellStyle name="표준 9 5 12 2" xfId="20182"/>
    <cellStyle name="표준 9 5 12 2 2" xfId="41058"/>
    <cellStyle name="표준 9 5 12 3" xfId="32322"/>
    <cellStyle name="표준 9 5 13" xfId="12565"/>
    <cellStyle name="표준 9 5 13 2" xfId="33442"/>
    <cellStyle name="표준 9 5 14" xfId="24692"/>
    <cellStyle name="표준 9 5 2" xfId="3315"/>
    <cellStyle name="표준 9 5 2 10" xfId="11633"/>
    <cellStyle name="표준 9 5 2 10 2" xfId="20399"/>
    <cellStyle name="표준 9 5 2 10 2 2" xfId="41275"/>
    <cellStyle name="표준 9 5 2 10 3" xfId="32539"/>
    <cellStyle name="표준 9 5 2 11" xfId="12782"/>
    <cellStyle name="표준 9 5 2 11 2" xfId="33659"/>
    <cellStyle name="표준 9 5 2 12" xfId="24909"/>
    <cellStyle name="표준 9 5 2 2" xfId="3756"/>
    <cellStyle name="표준 9 5 2 2 2" xfId="6029"/>
    <cellStyle name="표준 9 5 2 2 2 2" xfId="15038"/>
    <cellStyle name="표준 9 5 2 2 2 2 2" xfId="35914"/>
    <cellStyle name="표준 9 5 2 2 2 3" xfId="27176"/>
    <cellStyle name="표준 9 5 2 2 3" xfId="13219"/>
    <cellStyle name="표준 9 5 2 2 3 2" xfId="34096"/>
    <cellStyle name="표준 9 5 2 2 4" xfId="25346"/>
    <cellStyle name="표준 9 5 2 3" xfId="4918"/>
    <cellStyle name="표준 9 5 2 3 2" xfId="6749"/>
    <cellStyle name="표준 9 5 2 3 2 2" xfId="15758"/>
    <cellStyle name="표준 9 5 2 3 2 2 2" xfId="36634"/>
    <cellStyle name="표준 9 5 2 3 2 3" xfId="27896"/>
    <cellStyle name="표준 9 5 2 3 3" xfId="13940"/>
    <cellStyle name="표준 9 5 2 3 3 2" xfId="34816"/>
    <cellStyle name="표준 9 5 2 3 4" xfId="26078"/>
    <cellStyle name="표준 9 5 2 4" xfId="5592"/>
    <cellStyle name="표준 9 5 2 4 2" xfId="14601"/>
    <cellStyle name="표준 9 5 2 4 2 2" xfId="35477"/>
    <cellStyle name="표준 9 5 2 4 3" xfId="26739"/>
    <cellStyle name="표준 9 5 2 5" xfId="7395"/>
    <cellStyle name="표준 9 5 2 5 2" xfId="16402"/>
    <cellStyle name="표준 9 5 2 5 2 2" xfId="37278"/>
    <cellStyle name="표준 9 5 2 5 3" xfId="28540"/>
    <cellStyle name="표준 9 5 2 6" xfId="8039"/>
    <cellStyle name="표준 9 5 2 6 2" xfId="17045"/>
    <cellStyle name="표준 9 5 2 6 2 2" xfId="37921"/>
    <cellStyle name="표준 9 5 2 6 3" xfId="29183"/>
    <cellStyle name="표준 9 5 2 7" xfId="8887"/>
    <cellStyle name="표준 9 5 2 7 2" xfId="17892"/>
    <cellStyle name="표준 9 5 2 7 2 2" xfId="38768"/>
    <cellStyle name="표준 9 5 2 7 3" xfId="30030"/>
    <cellStyle name="표준 9 5 2 8" xfId="9712"/>
    <cellStyle name="표준 9 5 2 8 2" xfId="18710"/>
    <cellStyle name="표준 9 5 2 8 2 2" xfId="39586"/>
    <cellStyle name="표준 9 5 2 8 3" xfId="30848"/>
    <cellStyle name="표준 9 5 2 9" xfId="10767"/>
    <cellStyle name="표준 9 5 2 9 2" xfId="19538"/>
    <cellStyle name="표준 9 5 2 9 2 2" xfId="40414"/>
    <cellStyle name="표준 9 5 2 9 3" xfId="31678"/>
    <cellStyle name="표준 9 5 3" xfId="3539"/>
    <cellStyle name="표준 9 5 3 10" xfId="13002"/>
    <cellStyle name="표준 9 5 3 10 2" xfId="33879"/>
    <cellStyle name="표준 9 5 3 11" xfId="25129"/>
    <cellStyle name="표준 9 5 3 2" xfId="5141"/>
    <cellStyle name="표준 9 5 3 2 2" xfId="6966"/>
    <cellStyle name="표준 9 5 3 2 2 2" xfId="15975"/>
    <cellStyle name="표준 9 5 3 2 2 2 2" xfId="36851"/>
    <cellStyle name="표준 9 5 3 2 2 3" xfId="28113"/>
    <cellStyle name="표준 9 5 3 2 3" xfId="14157"/>
    <cellStyle name="표준 9 5 3 2 3 2" xfId="35033"/>
    <cellStyle name="표준 9 5 3 2 4" xfId="26295"/>
    <cellStyle name="표준 9 5 3 3" xfId="5812"/>
    <cellStyle name="표준 9 5 3 3 2" xfId="14821"/>
    <cellStyle name="표준 9 5 3 3 2 2" xfId="35697"/>
    <cellStyle name="표준 9 5 3 3 3" xfId="26959"/>
    <cellStyle name="표준 9 5 3 4" xfId="7612"/>
    <cellStyle name="표준 9 5 3 4 2" xfId="16619"/>
    <cellStyle name="표준 9 5 3 4 2 2" xfId="37495"/>
    <cellStyle name="표준 9 5 3 4 3" xfId="28757"/>
    <cellStyle name="표준 9 5 3 5" xfId="8256"/>
    <cellStyle name="표준 9 5 3 5 2" xfId="17262"/>
    <cellStyle name="표준 9 5 3 5 2 2" xfId="38138"/>
    <cellStyle name="표준 9 5 3 5 3" xfId="29400"/>
    <cellStyle name="표준 9 5 3 6" xfId="9104"/>
    <cellStyle name="표준 9 5 3 6 2" xfId="18109"/>
    <cellStyle name="표준 9 5 3 6 2 2" xfId="38985"/>
    <cellStyle name="표준 9 5 3 6 3" xfId="30247"/>
    <cellStyle name="표준 9 5 3 7" xfId="9929"/>
    <cellStyle name="표준 9 5 3 7 2" xfId="18927"/>
    <cellStyle name="표준 9 5 3 7 2 2" xfId="39803"/>
    <cellStyle name="표준 9 5 3 7 3" xfId="31065"/>
    <cellStyle name="표준 9 5 3 8" xfId="10984"/>
    <cellStyle name="표준 9 5 3 8 2" xfId="19755"/>
    <cellStyle name="표준 9 5 3 8 2 2" xfId="40631"/>
    <cellStyle name="표준 9 5 3 8 3" xfId="31895"/>
    <cellStyle name="표준 9 5 3 9" xfId="11850"/>
    <cellStyle name="표준 9 5 3 9 2" xfId="20616"/>
    <cellStyle name="표준 9 5 3 9 2 2" xfId="41492"/>
    <cellStyle name="표준 9 5 3 9 3" xfId="32756"/>
    <cellStyle name="표준 9 5 4" xfId="4698"/>
    <cellStyle name="표준 9 5 4 2" xfId="6532"/>
    <cellStyle name="표준 9 5 4 2 2" xfId="15541"/>
    <cellStyle name="표준 9 5 4 2 2 2" xfId="36417"/>
    <cellStyle name="표준 9 5 4 2 3" xfId="27679"/>
    <cellStyle name="표준 9 5 4 3" xfId="11205"/>
    <cellStyle name="표준 9 5 4 3 2" xfId="19974"/>
    <cellStyle name="표준 9 5 4 3 2 2" xfId="40850"/>
    <cellStyle name="표준 9 5 4 3 3" xfId="32114"/>
    <cellStyle name="표준 9 5 4 4" xfId="12069"/>
    <cellStyle name="표준 9 5 4 4 2" xfId="20835"/>
    <cellStyle name="표준 9 5 4 4 2 2" xfId="41711"/>
    <cellStyle name="표준 9 5 4 4 3" xfId="32975"/>
    <cellStyle name="표준 9 5 4 5" xfId="13723"/>
    <cellStyle name="표준 9 5 4 5 2" xfId="34599"/>
    <cellStyle name="표준 9 5 4 6" xfId="25861"/>
    <cellStyle name="표준 9 5 5" xfId="5375"/>
    <cellStyle name="표준 9 5 5 2" xfId="14384"/>
    <cellStyle name="표준 9 5 5 2 2" xfId="35260"/>
    <cellStyle name="표준 9 5 5 3" xfId="26522"/>
    <cellStyle name="표준 9 5 6" xfId="7177"/>
    <cellStyle name="표준 9 5 6 2" xfId="16185"/>
    <cellStyle name="표준 9 5 6 2 2" xfId="37061"/>
    <cellStyle name="표준 9 5 6 3" xfId="28323"/>
    <cellStyle name="표준 9 5 7" xfId="7822"/>
    <cellStyle name="표준 9 5 7 2" xfId="16828"/>
    <cellStyle name="표준 9 5 7 2 2" xfId="37704"/>
    <cellStyle name="표준 9 5 7 3" xfId="28966"/>
    <cellStyle name="표준 9 5 8" xfId="8670"/>
    <cellStyle name="표준 9 5 8 2" xfId="17675"/>
    <cellStyle name="표준 9 5 8 2 2" xfId="38551"/>
    <cellStyle name="표준 9 5 8 3" xfId="29813"/>
    <cellStyle name="표준 9 5 9" xfId="9494"/>
    <cellStyle name="표준 9 5 9 2" xfId="18493"/>
    <cellStyle name="표준 9 5 9 2 2" xfId="39369"/>
    <cellStyle name="표준 9 5 9 3" xfId="30631"/>
    <cellStyle name="표준 9 6" xfId="3096"/>
    <cellStyle name="표준 9 6 10" xfId="10551"/>
    <cellStyle name="표준 9 6 10 2" xfId="19322"/>
    <cellStyle name="표준 9 6 10 2 2" xfId="40198"/>
    <cellStyle name="표준 9 6 10 3" xfId="31462"/>
    <cellStyle name="표준 9 6 11" xfId="11417"/>
    <cellStyle name="표준 9 6 11 2" xfId="20183"/>
    <cellStyle name="표준 9 6 11 2 2" xfId="41059"/>
    <cellStyle name="표준 9 6 11 3" xfId="32323"/>
    <cellStyle name="표준 9 6 12" xfId="12566"/>
    <cellStyle name="표준 9 6 12 2" xfId="33443"/>
    <cellStyle name="표준 9 6 13" xfId="24693"/>
    <cellStyle name="표준 9 6 2" xfId="3316"/>
    <cellStyle name="표준 9 6 2 10" xfId="11634"/>
    <cellStyle name="표준 9 6 2 10 2" xfId="20400"/>
    <cellStyle name="표준 9 6 2 10 2 2" xfId="41276"/>
    <cellStyle name="표준 9 6 2 10 3" xfId="32540"/>
    <cellStyle name="표준 9 6 2 11" xfId="12783"/>
    <cellStyle name="표준 9 6 2 11 2" xfId="33660"/>
    <cellStyle name="표준 9 6 2 12" xfId="24910"/>
    <cellStyle name="표준 9 6 2 2" xfId="3757"/>
    <cellStyle name="표준 9 6 2 2 2" xfId="6030"/>
    <cellStyle name="표준 9 6 2 2 2 2" xfId="15039"/>
    <cellStyle name="표준 9 6 2 2 2 2 2" xfId="35915"/>
    <cellStyle name="표준 9 6 2 2 2 3" xfId="27177"/>
    <cellStyle name="표준 9 6 2 2 3" xfId="13220"/>
    <cellStyle name="표준 9 6 2 2 3 2" xfId="34097"/>
    <cellStyle name="표준 9 6 2 2 4" xfId="25347"/>
    <cellStyle name="표준 9 6 2 3" xfId="4919"/>
    <cellStyle name="표준 9 6 2 3 2" xfId="6750"/>
    <cellStyle name="표준 9 6 2 3 2 2" xfId="15759"/>
    <cellStyle name="표준 9 6 2 3 2 2 2" xfId="36635"/>
    <cellStyle name="표준 9 6 2 3 2 3" xfId="27897"/>
    <cellStyle name="표준 9 6 2 3 3" xfId="13941"/>
    <cellStyle name="표준 9 6 2 3 3 2" xfId="34817"/>
    <cellStyle name="표준 9 6 2 3 4" xfId="26079"/>
    <cellStyle name="표준 9 6 2 4" xfId="5593"/>
    <cellStyle name="표준 9 6 2 4 2" xfId="14602"/>
    <cellStyle name="표준 9 6 2 4 2 2" xfId="35478"/>
    <cellStyle name="표준 9 6 2 4 3" xfId="26740"/>
    <cellStyle name="표준 9 6 2 5" xfId="7396"/>
    <cellStyle name="표준 9 6 2 5 2" xfId="16403"/>
    <cellStyle name="표준 9 6 2 5 2 2" xfId="37279"/>
    <cellStyle name="표준 9 6 2 5 3" xfId="28541"/>
    <cellStyle name="표준 9 6 2 6" xfId="8040"/>
    <cellStyle name="표준 9 6 2 6 2" xfId="17046"/>
    <cellStyle name="표준 9 6 2 6 2 2" xfId="37922"/>
    <cellStyle name="표준 9 6 2 6 3" xfId="29184"/>
    <cellStyle name="표준 9 6 2 7" xfId="8888"/>
    <cellStyle name="표준 9 6 2 7 2" xfId="17893"/>
    <cellStyle name="표준 9 6 2 7 2 2" xfId="38769"/>
    <cellStyle name="표준 9 6 2 7 3" xfId="30031"/>
    <cellStyle name="표준 9 6 2 8" xfId="9713"/>
    <cellStyle name="표준 9 6 2 8 2" xfId="18711"/>
    <cellStyle name="표준 9 6 2 8 2 2" xfId="39587"/>
    <cellStyle name="표준 9 6 2 8 3" xfId="30849"/>
    <cellStyle name="표준 9 6 2 9" xfId="10768"/>
    <cellStyle name="표준 9 6 2 9 2" xfId="19539"/>
    <cellStyle name="표준 9 6 2 9 2 2" xfId="40415"/>
    <cellStyle name="표준 9 6 2 9 3" xfId="31679"/>
    <cellStyle name="표준 9 6 3" xfId="3540"/>
    <cellStyle name="표준 9 6 3 10" xfId="13003"/>
    <cellStyle name="표준 9 6 3 10 2" xfId="33880"/>
    <cellStyle name="표준 9 6 3 11" xfId="25130"/>
    <cellStyle name="표준 9 6 3 2" xfId="5142"/>
    <cellStyle name="표준 9 6 3 2 2" xfId="6967"/>
    <cellStyle name="표준 9 6 3 2 2 2" xfId="15976"/>
    <cellStyle name="표준 9 6 3 2 2 2 2" xfId="36852"/>
    <cellStyle name="표준 9 6 3 2 2 3" xfId="28114"/>
    <cellStyle name="표준 9 6 3 2 3" xfId="14158"/>
    <cellStyle name="표준 9 6 3 2 3 2" xfId="35034"/>
    <cellStyle name="표준 9 6 3 2 4" xfId="26296"/>
    <cellStyle name="표준 9 6 3 3" xfId="5813"/>
    <cellStyle name="표준 9 6 3 3 2" xfId="14822"/>
    <cellStyle name="표준 9 6 3 3 2 2" xfId="35698"/>
    <cellStyle name="표준 9 6 3 3 3" xfId="26960"/>
    <cellStyle name="표준 9 6 3 4" xfId="7613"/>
    <cellStyle name="표준 9 6 3 4 2" xfId="16620"/>
    <cellStyle name="표준 9 6 3 4 2 2" xfId="37496"/>
    <cellStyle name="표준 9 6 3 4 3" xfId="28758"/>
    <cellStyle name="표준 9 6 3 5" xfId="8257"/>
    <cellStyle name="표준 9 6 3 5 2" xfId="17263"/>
    <cellStyle name="표준 9 6 3 5 2 2" xfId="38139"/>
    <cellStyle name="표준 9 6 3 5 3" xfId="29401"/>
    <cellStyle name="표준 9 6 3 6" xfId="9105"/>
    <cellStyle name="표준 9 6 3 6 2" xfId="18110"/>
    <cellStyle name="표준 9 6 3 6 2 2" xfId="38986"/>
    <cellStyle name="표준 9 6 3 6 3" xfId="30248"/>
    <cellStyle name="표준 9 6 3 7" xfId="9930"/>
    <cellStyle name="표준 9 6 3 7 2" xfId="18928"/>
    <cellStyle name="표준 9 6 3 7 2 2" xfId="39804"/>
    <cellStyle name="표준 9 6 3 7 3" xfId="31066"/>
    <cellStyle name="표준 9 6 3 8" xfId="10985"/>
    <cellStyle name="표준 9 6 3 8 2" xfId="19756"/>
    <cellStyle name="표준 9 6 3 8 2 2" xfId="40632"/>
    <cellStyle name="표준 9 6 3 8 3" xfId="31896"/>
    <cellStyle name="표준 9 6 3 9" xfId="11851"/>
    <cellStyle name="표준 9 6 3 9 2" xfId="20617"/>
    <cellStyle name="표준 9 6 3 9 2 2" xfId="41493"/>
    <cellStyle name="표준 9 6 3 9 3" xfId="32757"/>
    <cellStyle name="표준 9 6 4" xfId="4699"/>
    <cellStyle name="표준 9 6 4 2" xfId="6533"/>
    <cellStyle name="표준 9 6 4 2 2" xfId="15542"/>
    <cellStyle name="표준 9 6 4 2 2 2" xfId="36418"/>
    <cellStyle name="표준 9 6 4 2 3" xfId="27680"/>
    <cellStyle name="표준 9 6 4 3" xfId="11206"/>
    <cellStyle name="표준 9 6 4 3 2" xfId="19975"/>
    <cellStyle name="표준 9 6 4 3 2 2" xfId="40851"/>
    <cellStyle name="표준 9 6 4 3 3" xfId="32115"/>
    <cellStyle name="표준 9 6 4 4" xfId="12070"/>
    <cellStyle name="표준 9 6 4 4 2" xfId="20836"/>
    <cellStyle name="표준 9 6 4 4 2 2" xfId="41712"/>
    <cellStyle name="표준 9 6 4 4 3" xfId="32976"/>
    <cellStyle name="표준 9 6 4 5" xfId="13724"/>
    <cellStyle name="표준 9 6 4 5 2" xfId="34600"/>
    <cellStyle name="표준 9 6 4 6" xfId="25862"/>
    <cellStyle name="표준 9 6 5" xfId="5376"/>
    <cellStyle name="표준 9 6 5 2" xfId="14385"/>
    <cellStyle name="표준 9 6 5 2 2" xfId="35261"/>
    <cellStyle name="표준 9 6 5 3" xfId="26523"/>
    <cellStyle name="표준 9 6 6" xfId="7178"/>
    <cellStyle name="표준 9 6 6 2" xfId="16186"/>
    <cellStyle name="표준 9 6 6 2 2" xfId="37062"/>
    <cellStyle name="표준 9 6 6 3" xfId="28324"/>
    <cellStyle name="표준 9 6 7" xfId="7823"/>
    <cellStyle name="표준 9 6 7 2" xfId="16829"/>
    <cellStyle name="표준 9 6 7 2 2" xfId="37705"/>
    <cellStyle name="표준 9 6 7 3" xfId="28967"/>
    <cellStyle name="표준 9 6 8" xfId="8671"/>
    <cellStyle name="표준 9 6 8 2" xfId="17676"/>
    <cellStyle name="표준 9 6 8 2 2" xfId="38552"/>
    <cellStyle name="표준 9 6 8 3" xfId="29814"/>
    <cellStyle name="표준 9 6 9" xfId="9495"/>
    <cellStyle name="표준 9 6 9 2" xfId="18494"/>
    <cellStyle name="표준 9 6 9 2 2" xfId="39370"/>
    <cellStyle name="표준 9 6 9 3" xfId="30632"/>
    <cellStyle name="표준 9 7" xfId="3097"/>
    <cellStyle name="표준 9 7 10" xfId="10552"/>
    <cellStyle name="표준 9 7 10 2" xfId="19323"/>
    <cellStyle name="표준 9 7 10 2 2" xfId="40199"/>
    <cellStyle name="표준 9 7 10 3" xfId="31463"/>
    <cellStyle name="표준 9 7 11" xfId="11418"/>
    <cellStyle name="표준 9 7 11 2" xfId="20184"/>
    <cellStyle name="표준 9 7 11 2 2" xfId="41060"/>
    <cellStyle name="표준 9 7 11 3" xfId="32324"/>
    <cellStyle name="표준 9 7 12" xfId="12567"/>
    <cellStyle name="표준 9 7 12 2" xfId="33444"/>
    <cellStyle name="표준 9 7 13" xfId="24694"/>
    <cellStyle name="표준 9 7 2" xfId="3317"/>
    <cellStyle name="표준 9 7 2 10" xfId="11635"/>
    <cellStyle name="표준 9 7 2 10 2" xfId="20401"/>
    <cellStyle name="표준 9 7 2 10 2 2" xfId="41277"/>
    <cellStyle name="표준 9 7 2 10 3" xfId="32541"/>
    <cellStyle name="표준 9 7 2 11" xfId="12784"/>
    <cellStyle name="표준 9 7 2 11 2" xfId="33661"/>
    <cellStyle name="표준 9 7 2 12" xfId="24911"/>
    <cellStyle name="표준 9 7 2 2" xfId="3758"/>
    <cellStyle name="표준 9 7 2 2 2" xfId="6031"/>
    <cellStyle name="표준 9 7 2 2 2 2" xfId="15040"/>
    <cellStyle name="표준 9 7 2 2 2 2 2" xfId="35916"/>
    <cellStyle name="표준 9 7 2 2 2 3" xfId="27178"/>
    <cellStyle name="표준 9 7 2 2 3" xfId="13221"/>
    <cellStyle name="표준 9 7 2 2 3 2" xfId="34098"/>
    <cellStyle name="표준 9 7 2 2 4" xfId="25348"/>
    <cellStyle name="표준 9 7 2 3" xfId="4920"/>
    <cellStyle name="표준 9 7 2 3 2" xfId="6751"/>
    <cellStyle name="표준 9 7 2 3 2 2" xfId="15760"/>
    <cellStyle name="표준 9 7 2 3 2 2 2" xfId="36636"/>
    <cellStyle name="표준 9 7 2 3 2 3" xfId="27898"/>
    <cellStyle name="표준 9 7 2 3 3" xfId="13942"/>
    <cellStyle name="표준 9 7 2 3 3 2" xfId="34818"/>
    <cellStyle name="표준 9 7 2 3 4" xfId="26080"/>
    <cellStyle name="표준 9 7 2 4" xfId="5594"/>
    <cellStyle name="표준 9 7 2 4 2" xfId="14603"/>
    <cellStyle name="표준 9 7 2 4 2 2" xfId="35479"/>
    <cellStyle name="표준 9 7 2 4 3" xfId="26741"/>
    <cellStyle name="표준 9 7 2 5" xfId="7397"/>
    <cellStyle name="표준 9 7 2 5 2" xfId="16404"/>
    <cellStyle name="표준 9 7 2 5 2 2" xfId="37280"/>
    <cellStyle name="표준 9 7 2 5 3" xfId="28542"/>
    <cellStyle name="표준 9 7 2 6" xfId="8041"/>
    <cellStyle name="표준 9 7 2 6 2" xfId="17047"/>
    <cellStyle name="표준 9 7 2 6 2 2" xfId="37923"/>
    <cellStyle name="표준 9 7 2 6 3" xfId="29185"/>
    <cellStyle name="표준 9 7 2 7" xfId="8889"/>
    <cellStyle name="표준 9 7 2 7 2" xfId="17894"/>
    <cellStyle name="표준 9 7 2 7 2 2" xfId="38770"/>
    <cellStyle name="표준 9 7 2 7 3" xfId="30032"/>
    <cellStyle name="표준 9 7 2 8" xfId="9714"/>
    <cellStyle name="표준 9 7 2 8 2" xfId="18712"/>
    <cellStyle name="표준 9 7 2 8 2 2" xfId="39588"/>
    <cellStyle name="표준 9 7 2 8 3" xfId="30850"/>
    <cellStyle name="표준 9 7 2 9" xfId="10769"/>
    <cellStyle name="표준 9 7 2 9 2" xfId="19540"/>
    <cellStyle name="표준 9 7 2 9 2 2" xfId="40416"/>
    <cellStyle name="표준 9 7 2 9 3" xfId="31680"/>
    <cellStyle name="표준 9 7 3" xfId="3541"/>
    <cellStyle name="표준 9 7 3 10" xfId="13004"/>
    <cellStyle name="표준 9 7 3 10 2" xfId="33881"/>
    <cellStyle name="표준 9 7 3 11" xfId="25131"/>
    <cellStyle name="표준 9 7 3 2" xfId="5143"/>
    <cellStyle name="표준 9 7 3 2 2" xfId="6968"/>
    <cellStyle name="표준 9 7 3 2 2 2" xfId="15977"/>
    <cellStyle name="표준 9 7 3 2 2 2 2" xfId="36853"/>
    <cellStyle name="표준 9 7 3 2 2 3" xfId="28115"/>
    <cellStyle name="표준 9 7 3 2 3" xfId="14159"/>
    <cellStyle name="표준 9 7 3 2 3 2" xfId="35035"/>
    <cellStyle name="표준 9 7 3 2 4" xfId="26297"/>
    <cellStyle name="표준 9 7 3 3" xfId="5814"/>
    <cellStyle name="표준 9 7 3 3 2" xfId="14823"/>
    <cellStyle name="표준 9 7 3 3 2 2" xfId="35699"/>
    <cellStyle name="표준 9 7 3 3 3" xfId="26961"/>
    <cellStyle name="표준 9 7 3 4" xfId="7614"/>
    <cellStyle name="표준 9 7 3 4 2" xfId="16621"/>
    <cellStyle name="표준 9 7 3 4 2 2" xfId="37497"/>
    <cellStyle name="표준 9 7 3 4 3" xfId="28759"/>
    <cellStyle name="표준 9 7 3 5" xfId="8258"/>
    <cellStyle name="표준 9 7 3 5 2" xfId="17264"/>
    <cellStyle name="표준 9 7 3 5 2 2" xfId="38140"/>
    <cellStyle name="표준 9 7 3 5 3" xfId="29402"/>
    <cellStyle name="표준 9 7 3 6" xfId="9106"/>
    <cellStyle name="표준 9 7 3 6 2" xfId="18111"/>
    <cellStyle name="표준 9 7 3 6 2 2" xfId="38987"/>
    <cellStyle name="표준 9 7 3 6 3" xfId="30249"/>
    <cellStyle name="표준 9 7 3 7" xfId="9931"/>
    <cellStyle name="표준 9 7 3 7 2" xfId="18929"/>
    <cellStyle name="표준 9 7 3 7 2 2" xfId="39805"/>
    <cellStyle name="표준 9 7 3 7 3" xfId="31067"/>
    <cellStyle name="표준 9 7 3 8" xfId="10986"/>
    <cellStyle name="표준 9 7 3 8 2" xfId="19757"/>
    <cellStyle name="표준 9 7 3 8 2 2" xfId="40633"/>
    <cellStyle name="표준 9 7 3 8 3" xfId="31897"/>
    <cellStyle name="표준 9 7 3 9" xfId="11852"/>
    <cellStyle name="표준 9 7 3 9 2" xfId="20618"/>
    <cellStyle name="표준 9 7 3 9 2 2" xfId="41494"/>
    <cellStyle name="표준 9 7 3 9 3" xfId="32758"/>
    <cellStyle name="표준 9 7 4" xfId="4700"/>
    <cellStyle name="표준 9 7 4 2" xfId="6534"/>
    <cellStyle name="표준 9 7 4 2 2" xfId="15543"/>
    <cellStyle name="표준 9 7 4 2 2 2" xfId="36419"/>
    <cellStyle name="표준 9 7 4 2 3" xfId="27681"/>
    <cellStyle name="표준 9 7 4 3" xfId="11207"/>
    <cellStyle name="표준 9 7 4 3 2" xfId="19976"/>
    <cellStyle name="표준 9 7 4 3 2 2" xfId="40852"/>
    <cellStyle name="표준 9 7 4 3 3" xfId="32116"/>
    <cellStyle name="표준 9 7 4 4" xfId="12071"/>
    <cellStyle name="표준 9 7 4 4 2" xfId="20837"/>
    <cellStyle name="표준 9 7 4 4 2 2" xfId="41713"/>
    <cellStyle name="표준 9 7 4 4 3" xfId="32977"/>
    <cellStyle name="표준 9 7 4 5" xfId="13725"/>
    <cellStyle name="표준 9 7 4 5 2" xfId="34601"/>
    <cellStyle name="표준 9 7 4 6" xfId="25863"/>
    <cellStyle name="표준 9 7 5" xfId="5377"/>
    <cellStyle name="표준 9 7 5 2" xfId="14386"/>
    <cellStyle name="표준 9 7 5 2 2" xfId="35262"/>
    <cellStyle name="표준 9 7 5 3" xfId="26524"/>
    <cellStyle name="표준 9 7 6" xfId="7179"/>
    <cellStyle name="표준 9 7 6 2" xfId="16187"/>
    <cellStyle name="표준 9 7 6 2 2" xfId="37063"/>
    <cellStyle name="표준 9 7 6 3" xfId="28325"/>
    <cellStyle name="표준 9 7 7" xfId="7824"/>
    <cellStyle name="표준 9 7 7 2" xfId="16830"/>
    <cellStyle name="표준 9 7 7 2 2" xfId="37706"/>
    <cellStyle name="표준 9 7 7 3" xfId="28968"/>
    <cellStyle name="표준 9 7 8" xfId="8672"/>
    <cellStyle name="표준 9 7 8 2" xfId="17677"/>
    <cellStyle name="표준 9 7 8 2 2" xfId="38553"/>
    <cellStyle name="표준 9 7 8 3" xfId="29815"/>
    <cellStyle name="표준 9 7 9" xfId="9496"/>
    <cellStyle name="표준 9 7 9 2" xfId="18495"/>
    <cellStyle name="표준 9 7 9 2 2" xfId="39371"/>
    <cellStyle name="표준 9 7 9 3" xfId="30633"/>
    <cellStyle name="표준 9 8" xfId="3311"/>
    <cellStyle name="표준 9 8 10" xfId="11629"/>
    <cellStyle name="표준 9 8 10 2" xfId="20395"/>
    <cellStyle name="표준 9 8 10 2 2" xfId="41271"/>
    <cellStyle name="표준 9 8 10 3" xfId="32535"/>
    <cellStyle name="표준 9 8 11" xfId="12778"/>
    <cellStyle name="표준 9 8 11 2" xfId="33655"/>
    <cellStyle name="표준 9 8 12" xfId="24905"/>
    <cellStyle name="표준 9 8 2" xfId="3752"/>
    <cellStyle name="표준 9 8 2 2" xfId="6025"/>
    <cellStyle name="표준 9 8 2 2 2" xfId="15034"/>
    <cellStyle name="표준 9 8 2 2 2 2" xfId="35910"/>
    <cellStyle name="표준 9 8 2 2 3" xfId="27172"/>
    <cellStyle name="표준 9 8 2 3" xfId="13215"/>
    <cellStyle name="표준 9 8 2 3 2" xfId="34092"/>
    <cellStyle name="표준 9 8 2 4" xfId="25342"/>
    <cellStyle name="표준 9 8 3" xfId="4914"/>
    <cellStyle name="표준 9 8 3 2" xfId="6745"/>
    <cellStyle name="표준 9 8 3 2 2" xfId="15754"/>
    <cellStyle name="표준 9 8 3 2 2 2" xfId="36630"/>
    <cellStyle name="표준 9 8 3 2 3" xfId="27892"/>
    <cellStyle name="표준 9 8 3 3" xfId="13936"/>
    <cellStyle name="표준 9 8 3 3 2" xfId="34812"/>
    <cellStyle name="표준 9 8 3 4" xfId="26074"/>
    <cellStyle name="표준 9 8 4" xfId="5588"/>
    <cellStyle name="표준 9 8 4 2" xfId="14597"/>
    <cellStyle name="표준 9 8 4 2 2" xfId="35473"/>
    <cellStyle name="표준 9 8 4 3" xfId="26735"/>
    <cellStyle name="표준 9 8 5" xfId="7391"/>
    <cellStyle name="표준 9 8 5 2" xfId="16398"/>
    <cellStyle name="표준 9 8 5 2 2" xfId="37274"/>
    <cellStyle name="표준 9 8 5 3" xfId="28536"/>
    <cellStyle name="표준 9 8 6" xfId="8035"/>
    <cellStyle name="표준 9 8 6 2" xfId="17041"/>
    <cellStyle name="표준 9 8 6 2 2" xfId="37917"/>
    <cellStyle name="표준 9 8 6 3" xfId="29179"/>
    <cellStyle name="표준 9 8 7" xfId="8883"/>
    <cellStyle name="표준 9 8 7 2" xfId="17888"/>
    <cellStyle name="표준 9 8 7 2 2" xfId="38764"/>
    <cellStyle name="표준 9 8 7 3" xfId="30026"/>
    <cellStyle name="표준 9 8 8" xfId="9708"/>
    <cellStyle name="표준 9 8 8 2" xfId="18706"/>
    <cellStyle name="표준 9 8 8 2 2" xfId="39582"/>
    <cellStyle name="표준 9 8 8 3" xfId="30844"/>
    <cellStyle name="표준 9 8 9" xfId="10763"/>
    <cellStyle name="표준 9 8 9 2" xfId="19534"/>
    <cellStyle name="표준 9 8 9 2 2" xfId="40410"/>
    <cellStyle name="표준 9 8 9 3" xfId="31674"/>
    <cellStyle name="표준 9 9" xfId="3535"/>
    <cellStyle name="표준 9 9 10" xfId="12998"/>
    <cellStyle name="표준 9 9 10 2" xfId="33875"/>
    <cellStyle name="표준 9 9 11" xfId="25125"/>
    <cellStyle name="표준 9 9 2" xfId="5137"/>
    <cellStyle name="표준 9 9 2 2" xfId="6962"/>
    <cellStyle name="표준 9 9 2 2 2" xfId="15971"/>
    <cellStyle name="표준 9 9 2 2 2 2" xfId="36847"/>
    <cellStyle name="표준 9 9 2 2 3" xfId="28109"/>
    <cellStyle name="표준 9 9 2 3" xfId="14153"/>
    <cellStyle name="표준 9 9 2 3 2" xfId="35029"/>
    <cellStyle name="표준 9 9 2 4" xfId="26291"/>
    <cellStyle name="표준 9 9 3" xfId="5808"/>
    <cellStyle name="표준 9 9 3 2" xfId="14817"/>
    <cellStyle name="표준 9 9 3 2 2" xfId="35693"/>
    <cellStyle name="표준 9 9 3 3" xfId="26955"/>
    <cellStyle name="표준 9 9 4" xfId="7608"/>
    <cellStyle name="표준 9 9 4 2" xfId="16615"/>
    <cellStyle name="표준 9 9 4 2 2" xfId="37491"/>
    <cellStyle name="표준 9 9 4 3" xfId="28753"/>
    <cellStyle name="표준 9 9 5" xfId="8252"/>
    <cellStyle name="표준 9 9 5 2" xfId="17258"/>
    <cellStyle name="표준 9 9 5 2 2" xfId="38134"/>
    <cellStyle name="표준 9 9 5 3" xfId="29396"/>
    <cellStyle name="표준 9 9 6" xfId="9100"/>
    <cellStyle name="표준 9 9 6 2" xfId="18105"/>
    <cellStyle name="표준 9 9 6 2 2" xfId="38981"/>
    <cellStyle name="표준 9 9 6 3" xfId="30243"/>
    <cellStyle name="표준 9 9 7" xfId="9925"/>
    <cellStyle name="표준 9 9 7 2" xfId="18923"/>
    <cellStyle name="표준 9 9 7 2 2" xfId="39799"/>
    <cellStyle name="표준 9 9 7 3" xfId="31061"/>
    <cellStyle name="표준 9 9 8" xfId="10980"/>
    <cellStyle name="표준 9 9 8 2" xfId="19751"/>
    <cellStyle name="표준 9 9 8 2 2" xfId="40627"/>
    <cellStyle name="표준 9 9 8 3" xfId="31891"/>
    <cellStyle name="표준 9 9 9" xfId="11846"/>
    <cellStyle name="표준 9 9 9 2" xfId="20612"/>
    <cellStyle name="표준 9 9 9 2 2" xfId="41488"/>
    <cellStyle name="표준 9 9 9 3" xfId="32752"/>
    <cellStyle name="표준_2007유틸리티사용량_2007년 원단위_1" xfId="24242"/>
    <cellStyle name="標準_Akia(F）-8" xfId="1029"/>
    <cellStyle name="표준_기초자료" xfId="4"/>
    <cellStyle name="합산" xfId="1030"/>
    <cellStyle name="화폐기호" xfId="1031"/>
    <cellStyle name="화폐기호0" xfId="1032"/>
  </cellStyles>
  <dxfs count="0"/>
  <tableStyles count="0" defaultTableStyle="TableStyleMedium9" defaultPivotStyle="PivotStyleLight16"/>
  <colors>
    <mruColors>
      <color rgb="FF0000FF"/>
      <color rgb="FFFFFF99"/>
      <color rgb="FF00FF00"/>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33.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비가동</a:t>
            </a:r>
            <a:r>
              <a:rPr lang="en-US" altLang="ko-KR" sz="1400"/>
              <a:t>(</a:t>
            </a:r>
            <a:r>
              <a:rPr lang="ko-KR" altLang="en-US" sz="1400"/>
              <a:t>조업</a:t>
            </a:r>
            <a:r>
              <a:rPr lang="en-US" altLang="ko-KR" sz="1400"/>
              <a:t>)</a:t>
            </a:r>
            <a:endParaRPr lang="ko-KR" altLang="en-US" sz="1400"/>
          </a:p>
        </c:rich>
      </c:tx>
      <c:layout>
        <c:manualLayout>
          <c:xMode val="edge"/>
          <c:yMode val="edge"/>
          <c:x val="0.3872082239720035"/>
          <c:y val="0"/>
        </c:manualLayout>
      </c:layout>
      <c:overlay val="1"/>
      <c:spPr>
        <a:solidFill>
          <a:schemeClr val="accent6">
            <a:lumMod val="20000"/>
            <a:lumOff val="80000"/>
          </a:schemeClr>
        </a:solidFill>
      </c:spPr>
    </c:title>
    <c:autoTitleDeleted val="0"/>
    <c:plotArea>
      <c:layout>
        <c:manualLayout>
          <c:layoutTarget val="inner"/>
          <c:xMode val="edge"/>
          <c:yMode val="edge"/>
          <c:x val="8.9377296587926522E-2"/>
          <c:y val="0.14862277631962673"/>
          <c:w val="0.82680096237970269"/>
          <c:h val="0.60036089238845158"/>
        </c:manualLayout>
      </c:layout>
      <c:barChart>
        <c:barDir val="col"/>
        <c:grouping val="clustered"/>
        <c:varyColors val="0"/>
        <c:ser>
          <c:idx val="0"/>
          <c:order val="0"/>
          <c:tx>
            <c:strRef>
              <c:f>'성과개선 요약'!$Q$18</c:f>
              <c:strCache>
                <c:ptCount val="1"/>
                <c:pt idx="0">
                  <c:v>CPL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요약'!$S$27:$V$27</c:f>
              <c:numCache>
                <c:formatCode>0.0_);[Red]\(0.0\)</c:formatCode>
                <c:ptCount val="4"/>
                <c:pt idx="0">
                  <c:v>2.9166666666666665</c:v>
                </c:pt>
                <c:pt idx="1">
                  <c:v>1.4166666666666667</c:v>
                </c:pt>
                <c:pt idx="2">
                  <c:v>1.1666666666666667</c:v>
                </c:pt>
                <c:pt idx="3">
                  <c:v>0</c:v>
                </c:pt>
              </c:numCache>
            </c:numRef>
          </c:val>
        </c:ser>
        <c:ser>
          <c:idx val="1"/>
          <c:order val="1"/>
          <c:tx>
            <c:strRef>
              <c:f>'성과개선 요약'!$Q$19</c:f>
              <c:strCache>
                <c:ptCount val="1"/>
                <c:pt idx="0">
                  <c:v>CRM</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요약'!$S$33:$V$33</c:f>
              <c:numCache>
                <c:formatCode>0.0_);[Red]\(0.0\)</c:formatCode>
                <c:ptCount val="4"/>
                <c:pt idx="0">
                  <c:v>20.833333333333332</c:v>
                </c:pt>
                <c:pt idx="1">
                  <c:v>16.083333333333332</c:v>
                </c:pt>
                <c:pt idx="2">
                  <c:v>10.666666666666666</c:v>
                </c:pt>
                <c:pt idx="3">
                  <c:v>0.33333333333333331</c:v>
                </c:pt>
              </c:numCache>
            </c:numRef>
          </c:val>
        </c:ser>
        <c:ser>
          <c:idx val="2"/>
          <c:order val="2"/>
          <c:tx>
            <c:strRef>
              <c:f>'성과개선 요약'!$Q$20</c:f>
              <c:strCache>
                <c:ptCount val="1"/>
                <c:pt idx="0">
                  <c:v>CGL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요약'!$S$39:$V$39</c:f>
              <c:numCache>
                <c:formatCode>0.0_);[Red]\(0.0\)</c:formatCode>
                <c:ptCount val="4"/>
                <c:pt idx="0">
                  <c:v>4.416666666666667</c:v>
                </c:pt>
                <c:pt idx="1">
                  <c:v>1.8333333333333333</c:v>
                </c:pt>
                <c:pt idx="2">
                  <c:v>1.25</c:v>
                </c:pt>
                <c:pt idx="3">
                  <c:v>0.41666666666666669</c:v>
                </c:pt>
              </c:numCache>
            </c:numRef>
          </c:val>
        </c:ser>
        <c:ser>
          <c:idx val="3"/>
          <c:order val="3"/>
          <c:tx>
            <c:strRef>
              <c:f>'성과개선 요약'!$Q$21</c:f>
              <c:strCache>
                <c:ptCount val="1"/>
                <c:pt idx="0">
                  <c:v>1CCL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요약'!$S$45:$V$45</c:f>
              <c:numCache>
                <c:formatCode>0.0_);[Red]\(0.0\)</c:formatCode>
                <c:ptCount val="4"/>
                <c:pt idx="0">
                  <c:v>11.583333333333334</c:v>
                </c:pt>
                <c:pt idx="1">
                  <c:v>9.3333333333333339</c:v>
                </c:pt>
                <c:pt idx="2">
                  <c:v>3.8333333333333335</c:v>
                </c:pt>
                <c:pt idx="3">
                  <c:v>2.5833333333333335</c:v>
                </c:pt>
              </c:numCache>
            </c:numRef>
          </c:val>
        </c:ser>
        <c:ser>
          <c:idx val="4"/>
          <c:order val="4"/>
          <c:tx>
            <c:strRef>
              <c:f>'성과개선 요약'!$Q$22</c:f>
              <c:strCache>
                <c:ptCount val="1"/>
                <c:pt idx="0">
                  <c:v>2CCL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요약'!$S$51:$V$51</c:f>
              <c:numCache>
                <c:formatCode>0.0_);[Red]\(0.0\)</c:formatCode>
                <c:ptCount val="4"/>
                <c:pt idx="0">
                  <c:v>21.583333333333332</c:v>
                </c:pt>
                <c:pt idx="1">
                  <c:v>15.25</c:v>
                </c:pt>
                <c:pt idx="2">
                  <c:v>16.583333333333332</c:v>
                </c:pt>
                <c:pt idx="3">
                  <c:v>1.4166666666666667</c:v>
                </c:pt>
              </c:numCache>
            </c:numRef>
          </c:val>
        </c:ser>
        <c:dLbls>
          <c:showLegendKey val="0"/>
          <c:showVal val="0"/>
          <c:showCatName val="0"/>
          <c:showSerName val="0"/>
          <c:showPercent val="0"/>
          <c:showBubbleSize val="0"/>
        </c:dLbls>
        <c:gapWidth val="50"/>
        <c:overlap val="-20"/>
        <c:axId val="457623424"/>
        <c:axId val="457624960"/>
      </c:barChart>
      <c:lineChart>
        <c:grouping val="standard"/>
        <c:varyColors val="0"/>
        <c:ser>
          <c:idx val="5"/>
          <c:order val="5"/>
          <c:tx>
            <c:strRef>
              <c:f>'성과개선 요약'!$Q$23</c:f>
              <c:strCache>
                <c:ptCount val="1"/>
                <c:pt idx="0">
                  <c:v>합계</c:v>
                </c:pt>
              </c:strCache>
            </c:strRef>
          </c:tx>
          <c:spPr>
            <a:ln>
              <a:solidFill>
                <a:srgbClr val="FF0000"/>
              </a:solidFill>
            </a:ln>
          </c:spPr>
          <c:marker>
            <c:spPr>
              <a:solidFill>
                <a:srgbClr val="FF0000"/>
              </a:solidFill>
              <a:ln>
                <a:solidFill>
                  <a:srgbClr val="FF0000"/>
                </a:solidFill>
              </a:ln>
            </c:spPr>
          </c:marker>
          <c:dLbls>
            <c:txPr>
              <a:bodyPr/>
              <a:lstStyle/>
              <a:p>
                <a:pPr>
                  <a:defRPr b="1"/>
                </a:pPr>
                <a:endParaRPr lang="ko-KR"/>
              </a:p>
            </c:txPr>
            <c:dLblPos val="t"/>
            <c:showLegendKey val="0"/>
            <c:showVal val="1"/>
            <c:showCatName val="0"/>
            <c:showSerName val="0"/>
            <c:showPercent val="0"/>
            <c:showBubbleSize val="0"/>
            <c:showLeaderLines val="0"/>
          </c:dLbls>
          <c:val>
            <c:numRef>
              <c:f>'성과개선 요약'!$S$57:$V$57</c:f>
              <c:numCache>
                <c:formatCode>0.0_);[Red]\(0.0\)</c:formatCode>
                <c:ptCount val="4"/>
                <c:pt idx="0">
                  <c:v>61.333333333333329</c:v>
                </c:pt>
                <c:pt idx="1">
                  <c:v>43.916666666666664</c:v>
                </c:pt>
                <c:pt idx="2">
                  <c:v>33.5</c:v>
                </c:pt>
                <c:pt idx="3">
                  <c:v>4.75</c:v>
                </c:pt>
              </c:numCache>
            </c:numRef>
          </c:val>
          <c:smooth val="0"/>
        </c:ser>
        <c:dLbls>
          <c:showLegendKey val="0"/>
          <c:showVal val="0"/>
          <c:showCatName val="0"/>
          <c:showSerName val="0"/>
          <c:showPercent val="0"/>
          <c:showBubbleSize val="0"/>
        </c:dLbls>
        <c:marker val="1"/>
        <c:smooth val="0"/>
        <c:axId val="447220352"/>
        <c:axId val="447218816"/>
      </c:lineChart>
      <c:catAx>
        <c:axId val="457623424"/>
        <c:scaling>
          <c:orientation val="minMax"/>
        </c:scaling>
        <c:delete val="0"/>
        <c:axPos val="b"/>
        <c:majorGridlines>
          <c:spPr>
            <a:ln w="19050">
              <a:solidFill>
                <a:sysClr val="windowText" lastClr="000000"/>
              </a:solidFill>
            </a:ln>
          </c:spPr>
        </c:majorGridlines>
        <c:minorGridlines>
          <c:spPr>
            <a:ln>
              <a:noFill/>
            </a:ln>
          </c:spPr>
        </c:minorGridlines>
        <c:majorTickMark val="out"/>
        <c:minorTickMark val="none"/>
        <c:tickLblPos val="nextTo"/>
        <c:crossAx val="457624960"/>
        <c:crosses val="autoZero"/>
        <c:auto val="1"/>
        <c:lblAlgn val="ctr"/>
        <c:lblOffset val="100"/>
        <c:noMultiLvlLbl val="0"/>
      </c:catAx>
      <c:valAx>
        <c:axId val="457624960"/>
        <c:scaling>
          <c:orientation val="minMax"/>
          <c:max val="30"/>
        </c:scaling>
        <c:delete val="0"/>
        <c:axPos val="l"/>
        <c:numFmt formatCode="#,##0_);[Red]\(#,##0\)" sourceLinked="0"/>
        <c:majorTickMark val="out"/>
        <c:minorTickMark val="none"/>
        <c:tickLblPos val="nextTo"/>
        <c:crossAx val="457623424"/>
        <c:crosses val="autoZero"/>
        <c:crossBetween val="between"/>
      </c:valAx>
      <c:valAx>
        <c:axId val="447218816"/>
        <c:scaling>
          <c:orientation val="minMax"/>
          <c:max val="62"/>
          <c:min val="0"/>
        </c:scaling>
        <c:delete val="0"/>
        <c:axPos val="r"/>
        <c:numFmt formatCode="#,##0_);[Red]\(#,##0\)" sourceLinked="0"/>
        <c:majorTickMark val="out"/>
        <c:minorTickMark val="none"/>
        <c:tickLblPos val="nextTo"/>
        <c:crossAx val="447220352"/>
        <c:crosses val="max"/>
        <c:crossBetween val="between"/>
        <c:majorUnit val="10"/>
      </c:valAx>
      <c:catAx>
        <c:axId val="447220352"/>
        <c:scaling>
          <c:orientation val="minMax"/>
        </c:scaling>
        <c:delete val="1"/>
        <c:axPos val="b"/>
        <c:majorTickMark val="out"/>
        <c:minorTickMark val="none"/>
        <c:tickLblPos val="nextTo"/>
        <c:crossAx val="447218816"/>
        <c:crosses val="autoZero"/>
        <c:auto val="1"/>
        <c:lblAlgn val="ctr"/>
        <c:lblOffset val="100"/>
        <c:noMultiLvlLbl val="0"/>
      </c:catAx>
    </c:plotArea>
    <c:legend>
      <c:legendPos val="b"/>
      <c:overlay val="0"/>
    </c:legend>
    <c:plotVisOnly val="1"/>
    <c:dispBlanksAs val="gap"/>
    <c:showDLblsOverMax val="0"/>
  </c:chart>
  <c:spPr>
    <a:ln>
      <a:solidFill>
        <a:schemeClr val="tx1"/>
      </a:solid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비가동</a:t>
            </a:r>
            <a:r>
              <a:rPr lang="en-US" altLang="ko-KR" sz="1400"/>
              <a:t>(</a:t>
            </a:r>
            <a:r>
              <a:rPr lang="ko-KR" altLang="en-US" sz="1400"/>
              <a:t>기계</a:t>
            </a:r>
            <a:r>
              <a:rPr lang="en-US" altLang="ko-KR" sz="1400"/>
              <a:t>)</a:t>
            </a:r>
            <a:endParaRPr lang="ko-KR" altLang="en-US" sz="1400"/>
          </a:p>
        </c:rich>
      </c:tx>
      <c:layout>
        <c:manualLayout>
          <c:xMode val="edge"/>
          <c:yMode val="edge"/>
          <c:x val="0.39276377952755903"/>
          <c:y val="0"/>
        </c:manualLayout>
      </c:layout>
      <c:overlay val="1"/>
      <c:spPr>
        <a:solidFill>
          <a:schemeClr val="accent6">
            <a:lumMod val="20000"/>
            <a:lumOff val="80000"/>
          </a:schemeClr>
        </a:solidFill>
      </c:spPr>
    </c:title>
    <c:autoTitleDeleted val="0"/>
    <c:plotArea>
      <c:layout>
        <c:manualLayout>
          <c:layoutTarget val="inner"/>
          <c:xMode val="edge"/>
          <c:yMode val="edge"/>
          <c:x val="8.9182852143482053E-2"/>
          <c:y val="0.14862277631962673"/>
          <c:w val="0.82534251968503924"/>
          <c:h val="0.60036089238845158"/>
        </c:manualLayout>
      </c:layout>
      <c:barChart>
        <c:barDir val="col"/>
        <c:grouping val="clustered"/>
        <c:varyColors val="0"/>
        <c:ser>
          <c:idx val="0"/>
          <c:order val="0"/>
          <c:tx>
            <c:strRef>
              <c:f>'성과개선 요약'!$Q$18</c:f>
              <c:strCache>
                <c:ptCount val="1"/>
                <c:pt idx="0">
                  <c:v>CPL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요약'!$S$29:$V$29</c:f>
              <c:numCache>
                <c:formatCode>0.0_);[Red]\(0.0\)</c:formatCode>
                <c:ptCount val="4"/>
                <c:pt idx="0">
                  <c:v>4.25</c:v>
                </c:pt>
                <c:pt idx="1">
                  <c:v>1.9166666666666667</c:v>
                </c:pt>
                <c:pt idx="2">
                  <c:v>0.83333333333333337</c:v>
                </c:pt>
                <c:pt idx="3">
                  <c:v>8.3333333333333329E-2</c:v>
                </c:pt>
              </c:numCache>
            </c:numRef>
          </c:val>
        </c:ser>
        <c:ser>
          <c:idx val="1"/>
          <c:order val="1"/>
          <c:tx>
            <c:strRef>
              <c:f>'성과개선 요약'!$Q$19</c:f>
              <c:strCache>
                <c:ptCount val="1"/>
                <c:pt idx="0">
                  <c:v>CRM</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요약'!$S$35:$V$35</c:f>
              <c:numCache>
                <c:formatCode>0.0_);[Red]\(0.0\)</c:formatCode>
                <c:ptCount val="4"/>
                <c:pt idx="0">
                  <c:v>6.083333333333333</c:v>
                </c:pt>
                <c:pt idx="1">
                  <c:v>2.5</c:v>
                </c:pt>
                <c:pt idx="2">
                  <c:v>1.8333333333333333</c:v>
                </c:pt>
                <c:pt idx="3">
                  <c:v>0</c:v>
                </c:pt>
              </c:numCache>
            </c:numRef>
          </c:val>
        </c:ser>
        <c:ser>
          <c:idx val="2"/>
          <c:order val="2"/>
          <c:tx>
            <c:strRef>
              <c:f>'성과개선 요약'!$Q$20</c:f>
              <c:strCache>
                <c:ptCount val="1"/>
                <c:pt idx="0">
                  <c:v>CGL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요약'!$S$41:$V$41</c:f>
              <c:numCache>
                <c:formatCode>0.0_);[Red]\(0.0\)</c:formatCode>
                <c:ptCount val="4"/>
                <c:pt idx="0">
                  <c:v>2.25</c:v>
                </c:pt>
                <c:pt idx="1">
                  <c:v>1.5</c:v>
                </c:pt>
                <c:pt idx="2">
                  <c:v>1.0833333333333333</c:v>
                </c:pt>
                <c:pt idx="3">
                  <c:v>8.3333333333333329E-2</c:v>
                </c:pt>
              </c:numCache>
            </c:numRef>
          </c:val>
        </c:ser>
        <c:ser>
          <c:idx val="3"/>
          <c:order val="3"/>
          <c:tx>
            <c:strRef>
              <c:f>'성과개선 요약'!$Q$21</c:f>
              <c:strCache>
                <c:ptCount val="1"/>
                <c:pt idx="0">
                  <c:v>1CCL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요약'!$S$47:$V$47</c:f>
              <c:numCache>
                <c:formatCode>0.0_);[Red]\(0.0\)</c:formatCode>
                <c:ptCount val="4"/>
                <c:pt idx="0">
                  <c:v>2.5</c:v>
                </c:pt>
                <c:pt idx="1">
                  <c:v>1.25</c:v>
                </c:pt>
                <c:pt idx="2">
                  <c:v>0.33333333333333331</c:v>
                </c:pt>
                <c:pt idx="3">
                  <c:v>0.16666666666666666</c:v>
                </c:pt>
              </c:numCache>
            </c:numRef>
          </c:val>
        </c:ser>
        <c:ser>
          <c:idx val="4"/>
          <c:order val="4"/>
          <c:tx>
            <c:strRef>
              <c:f>'성과개선 요약'!$Q$22</c:f>
              <c:strCache>
                <c:ptCount val="1"/>
                <c:pt idx="0">
                  <c:v>2CCL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요약'!$S$53:$V$53</c:f>
              <c:numCache>
                <c:formatCode>0.0_);[Red]\(0.0\)</c:formatCode>
                <c:ptCount val="4"/>
                <c:pt idx="0">
                  <c:v>0.41666666666666669</c:v>
                </c:pt>
                <c:pt idx="1">
                  <c:v>1.25</c:v>
                </c:pt>
                <c:pt idx="2">
                  <c:v>0.25</c:v>
                </c:pt>
                <c:pt idx="3">
                  <c:v>0</c:v>
                </c:pt>
              </c:numCache>
            </c:numRef>
          </c:val>
        </c:ser>
        <c:dLbls>
          <c:showLegendKey val="0"/>
          <c:showVal val="0"/>
          <c:showCatName val="0"/>
          <c:showSerName val="0"/>
          <c:showPercent val="0"/>
          <c:showBubbleSize val="0"/>
        </c:dLbls>
        <c:gapWidth val="50"/>
        <c:overlap val="-20"/>
        <c:axId val="447253504"/>
        <c:axId val="447263488"/>
      </c:barChart>
      <c:lineChart>
        <c:grouping val="standard"/>
        <c:varyColors val="0"/>
        <c:ser>
          <c:idx val="5"/>
          <c:order val="5"/>
          <c:tx>
            <c:strRef>
              <c:f>'성과개선 요약'!$Q$23</c:f>
              <c:strCache>
                <c:ptCount val="1"/>
                <c:pt idx="0">
                  <c:v>합계</c:v>
                </c:pt>
              </c:strCache>
            </c:strRef>
          </c:tx>
          <c:spPr>
            <a:ln>
              <a:solidFill>
                <a:srgbClr val="FF0000"/>
              </a:solidFill>
            </a:ln>
          </c:spPr>
          <c:marker>
            <c:spPr>
              <a:solidFill>
                <a:srgbClr val="FF0000"/>
              </a:solidFill>
              <a:ln>
                <a:solidFill>
                  <a:srgbClr val="FF0000"/>
                </a:solidFill>
              </a:ln>
            </c:spPr>
          </c:marker>
          <c:dLbls>
            <c:txPr>
              <a:bodyPr/>
              <a:lstStyle/>
              <a:p>
                <a:pPr>
                  <a:defRPr b="1"/>
                </a:pPr>
                <a:endParaRPr lang="ko-KR"/>
              </a:p>
            </c:txPr>
            <c:dLblPos val="t"/>
            <c:showLegendKey val="0"/>
            <c:showVal val="1"/>
            <c:showCatName val="0"/>
            <c:showSerName val="0"/>
            <c:showPercent val="0"/>
            <c:showBubbleSize val="0"/>
            <c:showLeaderLines val="0"/>
          </c:dLbls>
          <c:val>
            <c:numRef>
              <c:f>'성과개선 요약'!$S$59:$V$59</c:f>
              <c:numCache>
                <c:formatCode>0.0_);[Red]\(0.0\)</c:formatCode>
                <c:ptCount val="4"/>
                <c:pt idx="0">
                  <c:v>15.499999999999998</c:v>
                </c:pt>
                <c:pt idx="1">
                  <c:v>8.4166666666666679</c:v>
                </c:pt>
                <c:pt idx="2">
                  <c:v>4.333333333333333</c:v>
                </c:pt>
                <c:pt idx="3">
                  <c:v>0.33333333333333331</c:v>
                </c:pt>
              </c:numCache>
            </c:numRef>
          </c:val>
          <c:smooth val="0"/>
        </c:ser>
        <c:dLbls>
          <c:showLegendKey val="0"/>
          <c:showVal val="0"/>
          <c:showCatName val="0"/>
          <c:showSerName val="0"/>
          <c:showPercent val="0"/>
          <c:showBubbleSize val="0"/>
        </c:dLbls>
        <c:marker val="1"/>
        <c:smooth val="0"/>
        <c:axId val="447270912"/>
        <c:axId val="447265024"/>
      </c:lineChart>
      <c:catAx>
        <c:axId val="447253504"/>
        <c:scaling>
          <c:orientation val="minMax"/>
        </c:scaling>
        <c:delete val="0"/>
        <c:axPos val="b"/>
        <c:majorGridlines>
          <c:spPr>
            <a:ln w="19050">
              <a:solidFill>
                <a:sysClr val="windowText" lastClr="000000"/>
              </a:solidFill>
            </a:ln>
          </c:spPr>
        </c:majorGridlines>
        <c:minorGridlines>
          <c:spPr>
            <a:ln>
              <a:noFill/>
            </a:ln>
          </c:spPr>
        </c:minorGridlines>
        <c:majorTickMark val="out"/>
        <c:minorTickMark val="none"/>
        <c:tickLblPos val="nextTo"/>
        <c:crossAx val="447263488"/>
        <c:crosses val="autoZero"/>
        <c:auto val="1"/>
        <c:lblAlgn val="ctr"/>
        <c:lblOffset val="100"/>
        <c:noMultiLvlLbl val="0"/>
      </c:catAx>
      <c:valAx>
        <c:axId val="447263488"/>
        <c:scaling>
          <c:orientation val="minMax"/>
        </c:scaling>
        <c:delete val="0"/>
        <c:axPos val="l"/>
        <c:numFmt formatCode="#,##0_);[Red]\(#,##0\)" sourceLinked="0"/>
        <c:majorTickMark val="out"/>
        <c:minorTickMark val="none"/>
        <c:tickLblPos val="nextTo"/>
        <c:crossAx val="447253504"/>
        <c:crosses val="autoZero"/>
        <c:crossBetween val="between"/>
      </c:valAx>
      <c:valAx>
        <c:axId val="447265024"/>
        <c:scaling>
          <c:orientation val="minMax"/>
          <c:max val="16"/>
          <c:min val="-4"/>
        </c:scaling>
        <c:delete val="0"/>
        <c:axPos val="r"/>
        <c:numFmt formatCode="#,##0_ ;[Red]\-#,##0\ " sourceLinked="0"/>
        <c:majorTickMark val="out"/>
        <c:minorTickMark val="none"/>
        <c:tickLblPos val="nextTo"/>
        <c:crossAx val="447270912"/>
        <c:crosses val="max"/>
        <c:crossBetween val="between"/>
        <c:majorUnit val="4"/>
      </c:valAx>
      <c:catAx>
        <c:axId val="447270912"/>
        <c:scaling>
          <c:orientation val="minMax"/>
        </c:scaling>
        <c:delete val="1"/>
        <c:axPos val="b"/>
        <c:majorTickMark val="out"/>
        <c:minorTickMark val="none"/>
        <c:tickLblPos val="nextTo"/>
        <c:crossAx val="447265024"/>
        <c:crosses val="autoZero"/>
        <c:auto val="1"/>
        <c:lblAlgn val="ctr"/>
        <c:lblOffset val="100"/>
        <c:noMultiLvlLbl val="0"/>
      </c:catAx>
    </c:plotArea>
    <c:legend>
      <c:legendPos val="b"/>
      <c:overlay val="0"/>
    </c:legend>
    <c:plotVisOnly val="1"/>
    <c:dispBlanksAs val="gap"/>
    <c:showDLblsOverMax val="0"/>
  </c:chart>
  <c:spPr>
    <a:ln>
      <a:solidFill>
        <a:schemeClr val="tx1"/>
      </a:solid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불량</a:t>
            </a:r>
          </a:p>
        </c:rich>
      </c:tx>
      <c:layout>
        <c:manualLayout>
          <c:xMode val="edge"/>
          <c:yMode val="edge"/>
          <c:x val="0.45833333333333331"/>
          <c:y val="0"/>
        </c:manualLayout>
      </c:layout>
      <c:overlay val="1"/>
      <c:spPr>
        <a:solidFill>
          <a:schemeClr val="accent6">
            <a:lumMod val="20000"/>
            <a:lumOff val="80000"/>
          </a:schemeClr>
        </a:solidFill>
      </c:spPr>
    </c:title>
    <c:autoTitleDeleted val="0"/>
    <c:plotArea>
      <c:layout>
        <c:manualLayout>
          <c:layoutTarget val="inner"/>
          <c:xMode val="edge"/>
          <c:yMode val="edge"/>
          <c:x val="0.10068285214348205"/>
          <c:y val="0.13010425780110821"/>
          <c:w val="0.80974540682414686"/>
          <c:h val="0.61887941090697007"/>
        </c:manualLayout>
      </c:layout>
      <c:barChart>
        <c:barDir val="col"/>
        <c:grouping val="clustered"/>
        <c:varyColors val="0"/>
        <c:ser>
          <c:idx val="0"/>
          <c:order val="0"/>
          <c:tx>
            <c:strRef>
              <c:f>'성과개선 요약'!$Q$18</c:f>
              <c:strCache>
                <c:ptCount val="1"/>
                <c:pt idx="0">
                  <c:v>CPL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요약'!$S$18:$V$18</c:f>
              <c:numCache>
                <c:formatCode>0.0_);[Red]\(0.0\)</c:formatCode>
                <c:ptCount val="4"/>
                <c:pt idx="0">
                  <c:v>4.9383333333333335</c:v>
                </c:pt>
                <c:pt idx="1">
                  <c:v>2.6666666666666665</c:v>
                </c:pt>
                <c:pt idx="2">
                  <c:v>2.0741666666666663</c:v>
                </c:pt>
                <c:pt idx="3">
                  <c:v>0</c:v>
                </c:pt>
              </c:numCache>
            </c:numRef>
          </c:val>
        </c:ser>
        <c:ser>
          <c:idx val="1"/>
          <c:order val="1"/>
          <c:tx>
            <c:strRef>
              <c:f>'성과개선 요약'!$Q$19</c:f>
              <c:strCache>
                <c:ptCount val="1"/>
                <c:pt idx="0">
                  <c:v>CRM</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요약'!$S$19:$V$19</c:f>
              <c:numCache>
                <c:formatCode>0.0_);[Red]\(0.0\)</c:formatCode>
                <c:ptCount val="4"/>
                <c:pt idx="0">
                  <c:v>6.6741666666666672</c:v>
                </c:pt>
                <c:pt idx="1">
                  <c:v>2.6666666666666665</c:v>
                </c:pt>
                <c:pt idx="2">
                  <c:v>2.6125000000000003</c:v>
                </c:pt>
                <c:pt idx="3">
                  <c:v>0</c:v>
                </c:pt>
              </c:numCache>
            </c:numRef>
          </c:val>
        </c:ser>
        <c:ser>
          <c:idx val="2"/>
          <c:order val="2"/>
          <c:tx>
            <c:strRef>
              <c:f>'성과개선 요약'!$Q$20</c:f>
              <c:strCache>
                <c:ptCount val="1"/>
                <c:pt idx="0">
                  <c:v>CGL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요약'!$S$20:$V$20</c:f>
              <c:numCache>
                <c:formatCode>0.0_);[Red]\(0.0\)</c:formatCode>
                <c:ptCount val="4"/>
                <c:pt idx="0">
                  <c:v>68.384999999999977</c:v>
                </c:pt>
                <c:pt idx="1">
                  <c:v>26.666666666666668</c:v>
                </c:pt>
                <c:pt idx="2">
                  <c:v>30.270000000000007</c:v>
                </c:pt>
                <c:pt idx="3">
                  <c:v>0</c:v>
                </c:pt>
              </c:numCache>
            </c:numRef>
          </c:val>
        </c:ser>
        <c:ser>
          <c:idx val="3"/>
          <c:order val="3"/>
          <c:tx>
            <c:strRef>
              <c:f>'성과개선 요약'!$Q$21</c:f>
              <c:strCache>
                <c:ptCount val="1"/>
                <c:pt idx="0">
                  <c:v>1CCL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요약'!$S$21:$V$21</c:f>
              <c:numCache>
                <c:formatCode>0.0_);[Red]\(0.0\)</c:formatCode>
                <c:ptCount val="4"/>
                <c:pt idx="0">
                  <c:v>11.648333333333333</c:v>
                </c:pt>
                <c:pt idx="1">
                  <c:v>10.4925</c:v>
                </c:pt>
                <c:pt idx="2">
                  <c:v>6.9916666666666671</c:v>
                </c:pt>
                <c:pt idx="3">
                  <c:v>2.081</c:v>
                </c:pt>
              </c:numCache>
            </c:numRef>
          </c:val>
        </c:ser>
        <c:ser>
          <c:idx val="4"/>
          <c:order val="4"/>
          <c:tx>
            <c:strRef>
              <c:f>'성과개선 요약'!$Q$22</c:f>
              <c:strCache>
                <c:ptCount val="1"/>
                <c:pt idx="0">
                  <c:v>2CCL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요약'!$S$22:$V$22</c:f>
              <c:numCache>
                <c:formatCode>0.0_);[Red]\(0.0\)</c:formatCode>
                <c:ptCount val="4"/>
                <c:pt idx="0">
                  <c:v>4.4183333333333339</c:v>
                </c:pt>
                <c:pt idx="1">
                  <c:v>7.916666666666667</c:v>
                </c:pt>
                <c:pt idx="2">
                  <c:v>6.125</c:v>
                </c:pt>
                <c:pt idx="3">
                  <c:v>1.0029999999999999</c:v>
                </c:pt>
              </c:numCache>
            </c:numRef>
          </c:val>
        </c:ser>
        <c:dLbls>
          <c:showLegendKey val="0"/>
          <c:showVal val="0"/>
          <c:showCatName val="0"/>
          <c:showSerName val="0"/>
          <c:showPercent val="0"/>
          <c:showBubbleSize val="0"/>
        </c:dLbls>
        <c:gapWidth val="50"/>
        <c:overlap val="-20"/>
        <c:axId val="447385984"/>
        <c:axId val="447387520"/>
      </c:barChart>
      <c:lineChart>
        <c:grouping val="standard"/>
        <c:varyColors val="0"/>
        <c:ser>
          <c:idx val="5"/>
          <c:order val="5"/>
          <c:tx>
            <c:strRef>
              <c:f>'성과개선 요약'!$Q$23</c:f>
              <c:strCache>
                <c:ptCount val="1"/>
                <c:pt idx="0">
                  <c:v>합계</c:v>
                </c:pt>
              </c:strCache>
            </c:strRef>
          </c:tx>
          <c:spPr>
            <a:ln>
              <a:solidFill>
                <a:srgbClr val="FF0000"/>
              </a:solidFill>
            </a:ln>
          </c:spPr>
          <c:marker>
            <c:spPr>
              <a:solidFill>
                <a:srgbClr val="FF0000"/>
              </a:solidFill>
              <a:ln>
                <a:solidFill>
                  <a:srgbClr val="FF0000"/>
                </a:solidFill>
              </a:ln>
            </c:spPr>
          </c:marker>
          <c:dLbls>
            <c:txPr>
              <a:bodyPr/>
              <a:lstStyle/>
              <a:p>
                <a:pPr>
                  <a:defRPr b="1"/>
                </a:pPr>
                <a:endParaRPr lang="ko-KR"/>
              </a:p>
            </c:txPr>
            <c:dLblPos val="t"/>
            <c:showLegendKey val="0"/>
            <c:showVal val="1"/>
            <c:showCatName val="0"/>
            <c:showSerName val="0"/>
            <c:showPercent val="0"/>
            <c:showBubbleSize val="0"/>
            <c:showLeaderLines val="0"/>
          </c:dLbls>
          <c:val>
            <c:numRef>
              <c:f>'성과개선 요약'!$S$24:$V$24</c:f>
              <c:numCache>
                <c:formatCode>#,##0_ </c:formatCode>
                <c:ptCount val="4"/>
                <c:pt idx="0">
                  <c:v>96.083333333333329</c:v>
                </c:pt>
                <c:pt idx="1">
                  <c:v>50.416666666666664</c:v>
                </c:pt>
                <c:pt idx="2">
                  <c:v>41</c:v>
                </c:pt>
                <c:pt idx="3">
                  <c:v>52.262000000000015</c:v>
                </c:pt>
              </c:numCache>
            </c:numRef>
          </c:val>
          <c:smooth val="0"/>
        </c:ser>
        <c:dLbls>
          <c:showLegendKey val="0"/>
          <c:showVal val="0"/>
          <c:showCatName val="0"/>
          <c:showSerName val="0"/>
          <c:showPercent val="0"/>
          <c:showBubbleSize val="0"/>
        </c:dLbls>
        <c:marker val="1"/>
        <c:smooth val="0"/>
        <c:axId val="447394944"/>
        <c:axId val="447389056"/>
      </c:lineChart>
      <c:catAx>
        <c:axId val="447385984"/>
        <c:scaling>
          <c:orientation val="minMax"/>
        </c:scaling>
        <c:delete val="0"/>
        <c:axPos val="b"/>
        <c:majorGridlines>
          <c:spPr>
            <a:ln w="19050">
              <a:solidFill>
                <a:sysClr val="windowText" lastClr="000000"/>
              </a:solidFill>
            </a:ln>
          </c:spPr>
        </c:majorGridlines>
        <c:minorGridlines>
          <c:spPr>
            <a:ln>
              <a:noFill/>
            </a:ln>
          </c:spPr>
        </c:minorGridlines>
        <c:majorTickMark val="out"/>
        <c:minorTickMark val="none"/>
        <c:tickLblPos val="nextTo"/>
        <c:crossAx val="447387520"/>
        <c:crosses val="autoZero"/>
        <c:auto val="1"/>
        <c:lblAlgn val="ctr"/>
        <c:lblOffset val="100"/>
        <c:noMultiLvlLbl val="0"/>
      </c:catAx>
      <c:valAx>
        <c:axId val="447387520"/>
        <c:scaling>
          <c:orientation val="minMax"/>
          <c:max val="100"/>
        </c:scaling>
        <c:delete val="0"/>
        <c:axPos val="l"/>
        <c:numFmt formatCode="#,##0_);[Red]\(#,##0\)" sourceLinked="0"/>
        <c:majorTickMark val="out"/>
        <c:minorTickMark val="none"/>
        <c:tickLblPos val="nextTo"/>
        <c:crossAx val="447385984"/>
        <c:crosses val="autoZero"/>
        <c:crossBetween val="between"/>
        <c:majorUnit val="20"/>
      </c:valAx>
      <c:valAx>
        <c:axId val="447389056"/>
        <c:scaling>
          <c:orientation val="minMax"/>
          <c:max val="100"/>
        </c:scaling>
        <c:delete val="0"/>
        <c:axPos val="r"/>
        <c:numFmt formatCode="#,##0_ " sourceLinked="1"/>
        <c:majorTickMark val="out"/>
        <c:minorTickMark val="none"/>
        <c:tickLblPos val="nextTo"/>
        <c:crossAx val="447394944"/>
        <c:crosses val="max"/>
        <c:crossBetween val="between"/>
        <c:majorUnit val="20"/>
      </c:valAx>
      <c:catAx>
        <c:axId val="447394944"/>
        <c:scaling>
          <c:orientation val="minMax"/>
        </c:scaling>
        <c:delete val="1"/>
        <c:axPos val="b"/>
        <c:majorTickMark val="out"/>
        <c:minorTickMark val="none"/>
        <c:tickLblPos val="nextTo"/>
        <c:crossAx val="447389056"/>
        <c:crosses val="autoZero"/>
        <c:auto val="1"/>
        <c:lblAlgn val="ctr"/>
        <c:lblOffset val="100"/>
        <c:noMultiLvlLbl val="0"/>
      </c:catAx>
    </c:plotArea>
    <c:legend>
      <c:legendPos val="b"/>
      <c:overlay val="0"/>
    </c:legend>
    <c:plotVisOnly val="1"/>
    <c:dispBlanksAs val="gap"/>
    <c:showDLblsOverMax val="0"/>
  </c:chart>
  <c:spPr>
    <a:ln>
      <a:solidFill>
        <a:schemeClr val="tx1"/>
      </a:solid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비가동</a:t>
            </a:r>
            <a:r>
              <a:rPr lang="en-US" altLang="ko-KR" sz="1400"/>
              <a:t>(</a:t>
            </a:r>
            <a:r>
              <a:rPr lang="ko-KR" altLang="en-US" sz="1400"/>
              <a:t>전기</a:t>
            </a:r>
            <a:r>
              <a:rPr lang="en-US" altLang="ko-KR" sz="1400"/>
              <a:t>)</a:t>
            </a:r>
            <a:endParaRPr lang="ko-KR" altLang="en-US" sz="1400"/>
          </a:p>
        </c:rich>
      </c:tx>
      <c:layout>
        <c:manualLayout>
          <c:xMode val="edge"/>
          <c:yMode val="edge"/>
          <c:x val="0.3872082239720035"/>
          <c:y val="0"/>
        </c:manualLayout>
      </c:layout>
      <c:overlay val="1"/>
      <c:spPr>
        <a:solidFill>
          <a:schemeClr val="accent6">
            <a:lumMod val="20000"/>
            <a:lumOff val="80000"/>
          </a:schemeClr>
        </a:solidFill>
      </c:spPr>
    </c:title>
    <c:autoTitleDeleted val="0"/>
    <c:plotArea>
      <c:layout>
        <c:manualLayout>
          <c:layoutTarget val="inner"/>
          <c:xMode val="edge"/>
          <c:yMode val="edge"/>
          <c:x val="8.6405074365704285E-2"/>
          <c:y val="0.14862277631962673"/>
          <c:w val="0.83923140857392819"/>
          <c:h val="0.60036089238845158"/>
        </c:manualLayout>
      </c:layout>
      <c:barChart>
        <c:barDir val="col"/>
        <c:grouping val="clustered"/>
        <c:varyColors val="0"/>
        <c:ser>
          <c:idx val="0"/>
          <c:order val="0"/>
          <c:tx>
            <c:strRef>
              <c:f>'성과개선 요약'!$Q$18</c:f>
              <c:strCache>
                <c:ptCount val="1"/>
                <c:pt idx="0">
                  <c:v>CPL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요약'!$S$31:$V$31</c:f>
              <c:numCache>
                <c:formatCode>0.0_);[Red]\(0.0\)</c:formatCode>
                <c:ptCount val="4"/>
                <c:pt idx="0">
                  <c:v>1.5833333333333333</c:v>
                </c:pt>
                <c:pt idx="1">
                  <c:v>0.5</c:v>
                </c:pt>
                <c:pt idx="2">
                  <c:v>0.33333333333333331</c:v>
                </c:pt>
                <c:pt idx="3">
                  <c:v>0</c:v>
                </c:pt>
              </c:numCache>
            </c:numRef>
          </c:val>
        </c:ser>
        <c:ser>
          <c:idx val="1"/>
          <c:order val="1"/>
          <c:tx>
            <c:strRef>
              <c:f>'성과개선 요약'!$Q$19</c:f>
              <c:strCache>
                <c:ptCount val="1"/>
                <c:pt idx="0">
                  <c:v>CRM</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요약'!$S$37:$V$37</c:f>
              <c:numCache>
                <c:formatCode>0.0_);[Red]\(0.0\)</c:formatCode>
                <c:ptCount val="4"/>
                <c:pt idx="0">
                  <c:v>2</c:v>
                </c:pt>
                <c:pt idx="1">
                  <c:v>1.5833333333333333</c:v>
                </c:pt>
                <c:pt idx="2">
                  <c:v>2.0833333333333335</c:v>
                </c:pt>
                <c:pt idx="3">
                  <c:v>0.25</c:v>
                </c:pt>
              </c:numCache>
            </c:numRef>
          </c:val>
        </c:ser>
        <c:ser>
          <c:idx val="2"/>
          <c:order val="2"/>
          <c:tx>
            <c:strRef>
              <c:f>'성과개선 요약'!$Q$20</c:f>
              <c:strCache>
                <c:ptCount val="1"/>
                <c:pt idx="0">
                  <c:v>CGL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요약'!$S$43:$V$43</c:f>
              <c:numCache>
                <c:formatCode>0.0_);[Red]\(0.0\)</c:formatCode>
                <c:ptCount val="4"/>
                <c:pt idx="0">
                  <c:v>1.75</c:v>
                </c:pt>
                <c:pt idx="1">
                  <c:v>1.3333333333333333</c:v>
                </c:pt>
                <c:pt idx="2">
                  <c:v>1.75</c:v>
                </c:pt>
                <c:pt idx="3">
                  <c:v>0.16666666666666666</c:v>
                </c:pt>
              </c:numCache>
            </c:numRef>
          </c:val>
        </c:ser>
        <c:ser>
          <c:idx val="3"/>
          <c:order val="3"/>
          <c:tx>
            <c:strRef>
              <c:f>'성과개선 요약'!$Q$21</c:f>
              <c:strCache>
                <c:ptCount val="1"/>
                <c:pt idx="0">
                  <c:v>1CCL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요약'!$S$49:$V$49</c:f>
              <c:numCache>
                <c:formatCode>0.0_);[Red]\(0.0\)</c:formatCode>
                <c:ptCount val="4"/>
                <c:pt idx="0">
                  <c:v>1.1666666666666667</c:v>
                </c:pt>
                <c:pt idx="1">
                  <c:v>1.5</c:v>
                </c:pt>
                <c:pt idx="2">
                  <c:v>0.5</c:v>
                </c:pt>
                <c:pt idx="3">
                  <c:v>0.16666666666666666</c:v>
                </c:pt>
              </c:numCache>
            </c:numRef>
          </c:val>
        </c:ser>
        <c:ser>
          <c:idx val="4"/>
          <c:order val="4"/>
          <c:tx>
            <c:strRef>
              <c:f>'성과개선 요약'!$Q$22</c:f>
              <c:strCache>
                <c:ptCount val="1"/>
                <c:pt idx="0">
                  <c:v>2CCL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요약'!$S$55:$V$55</c:f>
              <c:numCache>
                <c:formatCode>0.0_);[Red]\(0.0\)</c:formatCode>
                <c:ptCount val="4"/>
                <c:pt idx="0">
                  <c:v>0.91666666666666663</c:v>
                </c:pt>
                <c:pt idx="1">
                  <c:v>1.25</c:v>
                </c:pt>
                <c:pt idx="2">
                  <c:v>0.16666666666666666</c:v>
                </c:pt>
                <c:pt idx="3">
                  <c:v>0.16666666666666666</c:v>
                </c:pt>
              </c:numCache>
            </c:numRef>
          </c:val>
        </c:ser>
        <c:dLbls>
          <c:showLegendKey val="0"/>
          <c:showVal val="0"/>
          <c:showCatName val="0"/>
          <c:showSerName val="0"/>
          <c:showPercent val="0"/>
          <c:showBubbleSize val="0"/>
        </c:dLbls>
        <c:gapWidth val="50"/>
        <c:overlap val="-20"/>
        <c:axId val="447456768"/>
        <c:axId val="447458304"/>
      </c:barChart>
      <c:lineChart>
        <c:grouping val="standard"/>
        <c:varyColors val="0"/>
        <c:ser>
          <c:idx val="5"/>
          <c:order val="5"/>
          <c:tx>
            <c:strRef>
              <c:f>'성과개선 요약'!$Q$23</c:f>
              <c:strCache>
                <c:ptCount val="1"/>
                <c:pt idx="0">
                  <c:v>합계</c:v>
                </c:pt>
              </c:strCache>
            </c:strRef>
          </c:tx>
          <c:spPr>
            <a:ln>
              <a:solidFill>
                <a:srgbClr val="FF0000"/>
              </a:solidFill>
            </a:ln>
          </c:spPr>
          <c:marker>
            <c:spPr>
              <a:solidFill>
                <a:srgbClr val="FF0000"/>
              </a:solidFill>
              <a:ln>
                <a:solidFill>
                  <a:srgbClr val="FF0000"/>
                </a:solidFill>
              </a:ln>
            </c:spPr>
          </c:marker>
          <c:dLbls>
            <c:txPr>
              <a:bodyPr/>
              <a:lstStyle/>
              <a:p>
                <a:pPr>
                  <a:defRPr b="1"/>
                </a:pPr>
                <a:endParaRPr lang="ko-KR"/>
              </a:p>
            </c:txPr>
            <c:dLblPos val="t"/>
            <c:showLegendKey val="0"/>
            <c:showVal val="1"/>
            <c:showCatName val="0"/>
            <c:showSerName val="0"/>
            <c:showPercent val="0"/>
            <c:showBubbleSize val="0"/>
            <c:showLeaderLines val="0"/>
          </c:dLbls>
          <c:val>
            <c:numRef>
              <c:f>'성과개선 요약'!$S$61:$V$61</c:f>
              <c:numCache>
                <c:formatCode>0.0_);[Red]\(0.0\)</c:formatCode>
                <c:ptCount val="4"/>
                <c:pt idx="0">
                  <c:v>7.416666666666667</c:v>
                </c:pt>
                <c:pt idx="1">
                  <c:v>6.1666666666666661</c:v>
                </c:pt>
                <c:pt idx="2">
                  <c:v>4.8333333333333339</c:v>
                </c:pt>
                <c:pt idx="3">
                  <c:v>0.74999999999999989</c:v>
                </c:pt>
              </c:numCache>
            </c:numRef>
          </c:val>
          <c:smooth val="0"/>
        </c:ser>
        <c:dLbls>
          <c:showLegendKey val="0"/>
          <c:showVal val="0"/>
          <c:showCatName val="0"/>
          <c:showSerName val="0"/>
          <c:showPercent val="0"/>
          <c:showBubbleSize val="0"/>
        </c:dLbls>
        <c:marker val="1"/>
        <c:smooth val="0"/>
        <c:axId val="447469824"/>
        <c:axId val="447468288"/>
      </c:lineChart>
      <c:catAx>
        <c:axId val="447456768"/>
        <c:scaling>
          <c:orientation val="minMax"/>
        </c:scaling>
        <c:delete val="0"/>
        <c:axPos val="b"/>
        <c:majorGridlines>
          <c:spPr>
            <a:ln w="19050">
              <a:solidFill>
                <a:sysClr val="windowText" lastClr="000000"/>
              </a:solidFill>
            </a:ln>
          </c:spPr>
        </c:majorGridlines>
        <c:minorGridlines>
          <c:spPr>
            <a:ln>
              <a:noFill/>
            </a:ln>
          </c:spPr>
        </c:minorGridlines>
        <c:majorTickMark val="out"/>
        <c:minorTickMark val="none"/>
        <c:tickLblPos val="nextTo"/>
        <c:crossAx val="447458304"/>
        <c:crosses val="autoZero"/>
        <c:auto val="1"/>
        <c:lblAlgn val="ctr"/>
        <c:lblOffset val="100"/>
        <c:noMultiLvlLbl val="0"/>
      </c:catAx>
      <c:valAx>
        <c:axId val="447458304"/>
        <c:scaling>
          <c:orientation val="minMax"/>
          <c:max val="4"/>
        </c:scaling>
        <c:delete val="0"/>
        <c:axPos val="l"/>
        <c:numFmt formatCode="#,##0_);[Red]\(#,##0\)" sourceLinked="0"/>
        <c:majorTickMark val="out"/>
        <c:minorTickMark val="none"/>
        <c:tickLblPos val="nextTo"/>
        <c:crossAx val="447456768"/>
        <c:crosses val="autoZero"/>
        <c:crossBetween val="between"/>
        <c:majorUnit val="1"/>
      </c:valAx>
      <c:valAx>
        <c:axId val="447468288"/>
        <c:scaling>
          <c:orientation val="minMax"/>
          <c:max val="8"/>
          <c:min val="-4"/>
        </c:scaling>
        <c:delete val="0"/>
        <c:axPos val="r"/>
        <c:numFmt formatCode="#,##0_ ;[Red]\-#,##0\ " sourceLinked="0"/>
        <c:majorTickMark val="out"/>
        <c:minorTickMark val="none"/>
        <c:tickLblPos val="nextTo"/>
        <c:crossAx val="447469824"/>
        <c:crosses val="max"/>
        <c:crossBetween val="between"/>
        <c:majorUnit val="4"/>
      </c:valAx>
      <c:catAx>
        <c:axId val="447469824"/>
        <c:scaling>
          <c:orientation val="minMax"/>
        </c:scaling>
        <c:delete val="1"/>
        <c:axPos val="b"/>
        <c:majorTickMark val="out"/>
        <c:minorTickMark val="none"/>
        <c:tickLblPos val="nextTo"/>
        <c:crossAx val="447468288"/>
        <c:crosses val="autoZero"/>
        <c:auto val="1"/>
        <c:lblAlgn val="ctr"/>
        <c:lblOffset val="100"/>
        <c:noMultiLvlLbl val="0"/>
      </c:cat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스크랩</a:t>
            </a:r>
            <a:r>
              <a:rPr lang="en-US" altLang="ko-KR" sz="1400"/>
              <a:t>(COIL)</a:t>
            </a:r>
            <a:endParaRPr lang="ko-KR" altLang="en-US" sz="1400"/>
          </a:p>
        </c:rich>
      </c:tx>
      <c:layout>
        <c:manualLayout>
          <c:xMode val="edge"/>
          <c:yMode val="edge"/>
          <c:x val="0.37887489063867019"/>
          <c:y val="0"/>
        </c:manualLayout>
      </c:layout>
      <c:overlay val="1"/>
      <c:spPr>
        <a:solidFill>
          <a:schemeClr val="accent6">
            <a:lumMod val="20000"/>
            <a:lumOff val="80000"/>
          </a:schemeClr>
        </a:solidFill>
      </c:spPr>
    </c:title>
    <c:autoTitleDeleted val="0"/>
    <c:plotArea>
      <c:layout>
        <c:manualLayout>
          <c:layoutTarget val="inner"/>
          <c:xMode val="edge"/>
          <c:yMode val="edge"/>
          <c:x val="8.3627296587926503E-2"/>
          <c:y val="0.14862277631962673"/>
          <c:w val="0.84200918635170596"/>
          <c:h val="0.60036089238845158"/>
        </c:manualLayout>
      </c:layout>
      <c:barChart>
        <c:barDir val="col"/>
        <c:grouping val="clustered"/>
        <c:varyColors val="0"/>
        <c:ser>
          <c:idx val="0"/>
          <c:order val="0"/>
          <c:tx>
            <c:strRef>
              <c:f>'성과개선 요약'!$Q$18</c:f>
              <c:strCache>
                <c:ptCount val="1"/>
                <c:pt idx="0">
                  <c:v>CPL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요약'!$K$71:$N$71</c:f>
              <c:numCache>
                <c:formatCode>0.0_);[Red]\(0.0\)</c:formatCode>
                <c:ptCount val="4"/>
                <c:pt idx="0">
                  <c:v>37.181666666666665</c:v>
                </c:pt>
                <c:pt idx="1">
                  <c:v>13.728333333333337</c:v>
                </c:pt>
                <c:pt idx="2">
                  <c:v>8.0133333333333336</c:v>
                </c:pt>
                <c:pt idx="3">
                  <c:v>6.9239999999999995</c:v>
                </c:pt>
              </c:numCache>
            </c:numRef>
          </c:val>
        </c:ser>
        <c:ser>
          <c:idx val="1"/>
          <c:order val="1"/>
          <c:tx>
            <c:strRef>
              <c:f>'성과개선 요약'!$Q$19</c:f>
              <c:strCache>
                <c:ptCount val="1"/>
                <c:pt idx="0">
                  <c:v>CRM</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요약'!$K$72:$N$72</c:f>
              <c:numCache>
                <c:formatCode>0.0_);[Red]\(0.0\)</c:formatCode>
                <c:ptCount val="4"/>
                <c:pt idx="0">
                  <c:v>26.090833333333336</c:v>
                </c:pt>
                <c:pt idx="1">
                  <c:v>13.745833333333335</c:v>
                </c:pt>
                <c:pt idx="2">
                  <c:v>14.199166666666665</c:v>
                </c:pt>
                <c:pt idx="3">
                  <c:v>4.716499999999999</c:v>
                </c:pt>
              </c:numCache>
            </c:numRef>
          </c:val>
        </c:ser>
        <c:ser>
          <c:idx val="2"/>
          <c:order val="2"/>
          <c:tx>
            <c:strRef>
              <c:f>'성과개선 요약'!$Q$20</c:f>
              <c:strCache>
                <c:ptCount val="1"/>
                <c:pt idx="0">
                  <c:v>CGL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요약'!$K$73:$N$73</c:f>
              <c:numCache>
                <c:formatCode>0.0_);[Red]\(0.0\)</c:formatCode>
                <c:ptCount val="4"/>
                <c:pt idx="0">
                  <c:v>154.16666666666666</c:v>
                </c:pt>
                <c:pt idx="1">
                  <c:v>66.992499999999993</c:v>
                </c:pt>
                <c:pt idx="2">
                  <c:v>68.932666666666663</c:v>
                </c:pt>
                <c:pt idx="3">
                  <c:v>54.066299999999998</c:v>
                </c:pt>
              </c:numCache>
            </c:numRef>
          </c:val>
        </c:ser>
        <c:ser>
          <c:idx val="3"/>
          <c:order val="3"/>
          <c:tx>
            <c:strRef>
              <c:f>'성과개선 요약'!$Q$21</c:f>
              <c:strCache>
                <c:ptCount val="1"/>
                <c:pt idx="0">
                  <c:v>1CCL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요약'!$K$74:$N$74</c:f>
              <c:numCache>
                <c:formatCode>0.0_);[Red]\(0.0\)</c:formatCode>
                <c:ptCount val="4"/>
                <c:pt idx="0">
                  <c:v>48.916666666666664</c:v>
                </c:pt>
                <c:pt idx="1">
                  <c:v>16.965833333333332</c:v>
                </c:pt>
                <c:pt idx="2">
                  <c:v>4.8433333333333337</c:v>
                </c:pt>
                <c:pt idx="3">
                  <c:v>16.299700000000001</c:v>
                </c:pt>
              </c:numCache>
            </c:numRef>
          </c:val>
        </c:ser>
        <c:ser>
          <c:idx val="4"/>
          <c:order val="4"/>
          <c:tx>
            <c:strRef>
              <c:f>'성과개선 요약'!$Q$22</c:f>
              <c:strCache>
                <c:ptCount val="1"/>
                <c:pt idx="0">
                  <c:v>2CCL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요약'!$K$75:$N$75</c:f>
              <c:numCache>
                <c:formatCode>0.0_);[Red]\(0.0\)</c:formatCode>
                <c:ptCount val="4"/>
                <c:pt idx="0">
                  <c:v>39.637250000000002</c:v>
                </c:pt>
                <c:pt idx="1">
                  <c:v>15.643333333333333</c:v>
                </c:pt>
                <c:pt idx="2">
                  <c:v>10.91925</c:v>
                </c:pt>
                <c:pt idx="3">
                  <c:v>10.705499999999997</c:v>
                </c:pt>
              </c:numCache>
            </c:numRef>
          </c:val>
        </c:ser>
        <c:dLbls>
          <c:showLegendKey val="0"/>
          <c:showVal val="0"/>
          <c:showCatName val="0"/>
          <c:showSerName val="0"/>
          <c:showPercent val="0"/>
          <c:showBubbleSize val="0"/>
        </c:dLbls>
        <c:gapWidth val="50"/>
        <c:overlap val="-20"/>
        <c:axId val="458222592"/>
        <c:axId val="457965952"/>
      </c:barChart>
      <c:lineChart>
        <c:grouping val="standard"/>
        <c:varyColors val="0"/>
        <c:ser>
          <c:idx val="5"/>
          <c:order val="5"/>
          <c:tx>
            <c:strRef>
              <c:f>'성과개선 요약'!$Q$23</c:f>
              <c:strCache>
                <c:ptCount val="1"/>
                <c:pt idx="0">
                  <c:v>합계</c:v>
                </c:pt>
              </c:strCache>
            </c:strRef>
          </c:tx>
          <c:spPr>
            <a:ln>
              <a:solidFill>
                <a:srgbClr val="FF0000"/>
              </a:solidFill>
            </a:ln>
          </c:spPr>
          <c:marker>
            <c:spPr>
              <a:solidFill>
                <a:srgbClr val="FF0000"/>
              </a:solidFill>
              <a:ln>
                <a:solidFill>
                  <a:srgbClr val="FF0000"/>
                </a:solidFill>
              </a:ln>
            </c:spPr>
          </c:marker>
          <c:dLbls>
            <c:txPr>
              <a:bodyPr/>
              <a:lstStyle/>
              <a:p>
                <a:pPr>
                  <a:defRPr b="1"/>
                </a:pPr>
                <a:endParaRPr lang="ko-KR"/>
              </a:p>
            </c:txPr>
            <c:dLblPos val="t"/>
            <c:showLegendKey val="0"/>
            <c:showVal val="1"/>
            <c:showCatName val="0"/>
            <c:showSerName val="0"/>
            <c:showPercent val="0"/>
            <c:showBubbleSize val="0"/>
            <c:showLeaderLines val="0"/>
          </c:dLbls>
          <c:val>
            <c:numRef>
              <c:f>'성과개선 요약'!$K$76:$N$76</c:f>
              <c:numCache>
                <c:formatCode>#,##0</c:formatCode>
                <c:ptCount val="4"/>
                <c:pt idx="0">
                  <c:v>305.99308333333335</c:v>
                </c:pt>
                <c:pt idx="1">
                  <c:v>127.07583333333334</c:v>
                </c:pt>
                <c:pt idx="2">
                  <c:v>106.90774999999999</c:v>
                </c:pt>
                <c:pt idx="3">
                  <c:v>92.712000000000003</c:v>
                </c:pt>
              </c:numCache>
            </c:numRef>
          </c:val>
          <c:smooth val="0"/>
        </c:ser>
        <c:dLbls>
          <c:showLegendKey val="0"/>
          <c:showVal val="0"/>
          <c:showCatName val="0"/>
          <c:showSerName val="0"/>
          <c:showPercent val="0"/>
          <c:showBubbleSize val="0"/>
        </c:dLbls>
        <c:marker val="1"/>
        <c:smooth val="0"/>
        <c:axId val="457969024"/>
        <c:axId val="457967488"/>
      </c:lineChart>
      <c:catAx>
        <c:axId val="458222592"/>
        <c:scaling>
          <c:orientation val="minMax"/>
        </c:scaling>
        <c:delete val="0"/>
        <c:axPos val="b"/>
        <c:majorGridlines>
          <c:spPr>
            <a:ln w="19050">
              <a:solidFill>
                <a:sysClr val="windowText" lastClr="000000"/>
              </a:solidFill>
            </a:ln>
          </c:spPr>
        </c:majorGridlines>
        <c:minorGridlines>
          <c:spPr>
            <a:ln>
              <a:noFill/>
            </a:ln>
          </c:spPr>
        </c:minorGridlines>
        <c:majorTickMark val="out"/>
        <c:minorTickMark val="none"/>
        <c:tickLblPos val="nextTo"/>
        <c:crossAx val="457965952"/>
        <c:crosses val="autoZero"/>
        <c:auto val="1"/>
        <c:lblAlgn val="ctr"/>
        <c:lblOffset val="100"/>
        <c:noMultiLvlLbl val="0"/>
      </c:catAx>
      <c:valAx>
        <c:axId val="457965952"/>
        <c:scaling>
          <c:orientation val="minMax"/>
          <c:max val="200"/>
        </c:scaling>
        <c:delete val="0"/>
        <c:axPos val="l"/>
        <c:numFmt formatCode="#,##0_);[Red]\(#,##0\)" sourceLinked="0"/>
        <c:majorTickMark val="out"/>
        <c:minorTickMark val="none"/>
        <c:tickLblPos val="nextTo"/>
        <c:crossAx val="458222592"/>
        <c:crosses val="autoZero"/>
        <c:crossBetween val="between"/>
        <c:majorUnit val="40"/>
      </c:valAx>
      <c:valAx>
        <c:axId val="457967488"/>
        <c:scaling>
          <c:orientation val="minMax"/>
          <c:max val="310"/>
          <c:min val="-50"/>
        </c:scaling>
        <c:delete val="0"/>
        <c:axPos val="r"/>
        <c:numFmt formatCode="#,##0_ ;[Red]\-#,##0\ " sourceLinked="0"/>
        <c:majorTickMark val="out"/>
        <c:minorTickMark val="none"/>
        <c:tickLblPos val="nextTo"/>
        <c:crossAx val="457969024"/>
        <c:crosses val="max"/>
        <c:crossBetween val="between"/>
        <c:majorUnit val="50"/>
      </c:valAx>
      <c:catAx>
        <c:axId val="457969024"/>
        <c:scaling>
          <c:orientation val="minMax"/>
        </c:scaling>
        <c:delete val="1"/>
        <c:axPos val="b"/>
        <c:majorTickMark val="out"/>
        <c:minorTickMark val="none"/>
        <c:tickLblPos val="nextTo"/>
        <c:crossAx val="457967488"/>
        <c:crosses val="autoZero"/>
        <c:auto val="1"/>
        <c:lblAlgn val="ctr"/>
        <c:lblOffset val="100"/>
        <c:noMultiLvlLbl val="0"/>
      </c:cat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스크랩</a:t>
            </a:r>
            <a:r>
              <a:rPr lang="en-US" altLang="ko-KR" sz="1400"/>
              <a:t>(SHEET)</a:t>
            </a:r>
            <a:endParaRPr lang="ko-KR" altLang="en-US" sz="1400"/>
          </a:p>
        </c:rich>
      </c:tx>
      <c:layout>
        <c:manualLayout>
          <c:xMode val="edge"/>
          <c:yMode val="edge"/>
          <c:x val="0.3733193350831146"/>
          <c:y val="0"/>
        </c:manualLayout>
      </c:layout>
      <c:overlay val="1"/>
      <c:spPr>
        <a:solidFill>
          <a:schemeClr val="accent6">
            <a:lumMod val="20000"/>
            <a:lumOff val="80000"/>
          </a:schemeClr>
        </a:solidFill>
      </c:spPr>
    </c:title>
    <c:autoTitleDeleted val="0"/>
    <c:plotArea>
      <c:layout>
        <c:manualLayout>
          <c:layoutTarget val="inner"/>
          <c:xMode val="edge"/>
          <c:yMode val="edge"/>
          <c:x val="8.3627296587926503E-2"/>
          <c:y val="0.14862277631962673"/>
          <c:w val="0.84200918635170596"/>
          <c:h val="0.60036089238845158"/>
        </c:manualLayout>
      </c:layout>
      <c:barChart>
        <c:barDir val="col"/>
        <c:grouping val="clustered"/>
        <c:varyColors val="0"/>
        <c:ser>
          <c:idx val="0"/>
          <c:order val="0"/>
          <c:tx>
            <c:strRef>
              <c:f>'성과개선 요약'!$Q$18</c:f>
              <c:strCache>
                <c:ptCount val="1"/>
                <c:pt idx="0">
                  <c:v>CPL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요약'!$K$71:$N$71</c:f>
              <c:numCache>
                <c:formatCode>0.0_);[Red]\(0.0\)</c:formatCode>
                <c:ptCount val="4"/>
                <c:pt idx="0">
                  <c:v>37.181666666666665</c:v>
                </c:pt>
                <c:pt idx="1">
                  <c:v>13.728333333333337</c:v>
                </c:pt>
                <c:pt idx="2">
                  <c:v>8.0133333333333336</c:v>
                </c:pt>
                <c:pt idx="3">
                  <c:v>6.9239999999999995</c:v>
                </c:pt>
              </c:numCache>
            </c:numRef>
          </c:val>
        </c:ser>
        <c:ser>
          <c:idx val="1"/>
          <c:order val="1"/>
          <c:tx>
            <c:strRef>
              <c:f>'성과개선 요약'!$Q$19</c:f>
              <c:strCache>
                <c:ptCount val="1"/>
                <c:pt idx="0">
                  <c:v>CRM</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요약'!$K$72:$N$72</c:f>
              <c:numCache>
                <c:formatCode>0.0_);[Red]\(0.0\)</c:formatCode>
                <c:ptCount val="4"/>
                <c:pt idx="0">
                  <c:v>26.090833333333336</c:v>
                </c:pt>
                <c:pt idx="1">
                  <c:v>13.745833333333335</c:v>
                </c:pt>
                <c:pt idx="2">
                  <c:v>14.199166666666665</c:v>
                </c:pt>
                <c:pt idx="3">
                  <c:v>4.716499999999999</c:v>
                </c:pt>
              </c:numCache>
            </c:numRef>
          </c:val>
        </c:ser>
        <c:ser>
          <c:idx val="2"/>
          <c:order val="2"/>
          <c:tx>
            <c:strRef>
              <c:f>'성과개선 요약'!$Q$20</c:f>
              <c:strCache>
                <c:ptCount val="1"/>
                <c:pt idx="0">
                  <c:v>CGL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요약'!$K$73:$N$73</c:f>
              <c:numCache>
                <c:formatCode>0.0_);[Red]\(0.0\)</c:formatCode>
                <c:ptCount val="4"/>
                <c:pt idx="0">
                  <c:v>154.16666666666666</c:v>
                </c:pt>
                <c:pt idx="1">
                  <c:v>66.992499999999993</c:v>
                </c:pt>
                <c:pt idx="2">
                  <c:v>68.932666666666663</c:v>
                </c:pt>
                <c:pt idx="3">
                  <c:v>54.066299999999998</c:v>
                </c:pt>
              </c:numCache>
            </c:numRef>
          </c:val>
        </c:ser>
        <c:ser>
          <c:idx val="3"/>
          <c:order val="3"/>
          <c:tx>
            <c:strRef>
              <c:f>'성과개선 요약'!$Q$21</c:f>
              <c:strCache>
                <c:ptCount val="1"/>
                <c:pt idx="0">
                  <c:v>1CCL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요약'!$K$74:$N$74</c:f>
              <c:numCache>
                <c:formatCode>0.0_);[Red]\(0.0\)</c:formatCode>
                <c:ptCount val="4"/>
                <c:pt idx="0">
                  <c:v>48.916666666666664</c:v>
                </c:pt>
                <c:pt idx="1">
                  <c:v>16.965833333333332</c:v>
                </c:pt>
                <c:pt idx="2">
                  <c:v>4.8433333333333337</c:v>
                </c:pt>
                <c:pt idx="3">
                  <c:v>16.299700000000001</c:v>
                </c:pt>
              </c:numCache>
            </c:numRef>
          </c:val>
        </c:ser>
        <c:ser>
          <c:idx val="4"/>
          <c:order val="4"/>
          <c:tx>
            <c:strRef>
              <c:f>'성과개선 요약'!$Q$22</c:f>
              <c:strCache>
                <c:ptCount val="1"/>
                <c:pt idx="0">
                  <c:v>2CCL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요약'!$K$75:$N$75</c:f>
              <c:numCache>
                <c:formatCode>0.0_);[Red]\(0.0\)</c:formatCode>
                <c:ptCount val="4"/>
                <c:pt idx="0">
                  <c:v>39.637250000000002</c:v>
                </c:pt>
                <c:pt idx="1">
                  <c:v>15.643333333333333</c:v>
                </c:pt>
                <c:pt idx="2">
                  <c:v>10.91925</c:v>
                </c:pt>
                <c:pt idx="3">
                  <c:v>10.705499999999997</c:v>
                </c:pt>
              </c:numCache>
            </c:numRef>
          </c:val>
        </c:ser>
        <c:dLbls>
          <c:showLegendKey val="0"/>
          <c:showVal val="0"/>
          <c:showCatName val="0"/>
          <c:showSerName val="0"/>
          <c:showPercent val="0"/>
          <c:showBubbleSize val="0"/>
        </c:dLbls>
        <c:gapWidth val="50"/>
        <c:overlap val="-20"/>
        <c:axId val="458026368"/>
        <c:axId val="458048640"/>
      </c:barChart>
      <c:lineChart>
        <c:grouping val="standard"/>
        <c:varyColors val="0"/>
        <c:ser>
          <c:idx val="5"/>
          <c:order val="5"/>
          <c:tx>
            <c:strRef>
              <c:f>'성과개선 요약'!$Q$23</c:f>
              <c:strCache>
                <c:ptCount val="1"/>
                <c:pt idx="0">
                  <c:v>합계</c:v>
                </c:pt>
              </c:strCache>
            </c:strRef>
          </c:tx>
          <c:spPr>
            <a:ln>
              <a:solidFill>
                <a:srgbClr val="FF0000"/>
              </a:solidFill>
            </a:ln>
          </c:spPr>
          <c:marker>
            <c:spPr>
              <a:solidFill>
                <a:srgbClr val="FF0000"/>
              </a:solidFill>
              <a:ln>
                <a:solidFill>
                  <a:srgbClr val="FF0000"/>
                </a:solidFill>
              </a:ln>
            </c:spPr>
          </c:marker>
          <c:dLbls>
            <c:txPr>
              <a:bodyPr/>
              <a:lstStyle/>
              <a:p>
                <a:pPr>
                  <a:defRPr b="1"/>
                </a:pPr>
                <a:endParaRPr lang="ko-KR"/>
              </a:p>
            </c:txPr>
            <c:dLblPos val="t"/>
            <c:showLegendKey val="0"/>
            <c:showVal val="1"/>
            <c:showCatName val="0"/>
            <c:showSerName val="0"/>
            <c:showPercent val="0"/>
            <c:showBubbleSize val="0"/>
            <c:showLeaderLines val="0"/>
          </c:dLbls>
          <c:val>
            <c:numRef>
              <c:f>'성과개선 요약'!$K$76:$N$76</c:f>
              <c:numCache>
                <c:formatCode>#,##0</c:formatCode>
                <c:ptCount val="4"/>
                <c:pt idx="0">
                  <c:v>305.99308333333335</c:v>
                </c:pt>
                <c:pt idx="1">
                  <c:v>127.07583333333334</c:v>
                </c:pt>
                <c:pt idx="2">
                  <c:v>106.90774999999999</c:v>
                </c:pt>
                <c:pt idx="3">
                  <c:v>92.712000000000003</c:v>
                </c:pt>
              </c:numCache>
            </c:numRef>
          </c:val>
          <c:smooth val="0"/>
        </c:ser>
        <c:dLbls>
          <c:showLegendKey val="0"/>
          <c:showVal val="0"/>
          <c:showCatName val="0"/>
          <c:showSerName val="0"/>
          <c:showPercent val="0"/>
          <c:showBubbleSize val="0"/>
        </c:dLbls>
        <c:marker val="1"/>
        <c:smooth val="0"/>
        <c:axId val="458056064"/>
        <c:axId val="458050176"/>
      </c:lineChart>
      <c:catAx>
        <c:axId val="458026368"/>
        <c:scaling>
          <c:orientation val="minMax"/>
        </c:scaling>
        <c:delete val="0"/>
        <c:axPos val="b"/>
        <c:majorGridlines>
          <c:spPr>
            <a:ln w="19050">
              <a:solidFill>
                <a:sysClr val="windowText" lastClr="000000"/>
              </a:solidFill>
            </a:ln>
          </c:spPr>
        </c:majorGridlines>
        <c:minorGridlines>
          <c:spPr>
            <a:ln>
              <a:noFill/>
            </a:ln>
          </c:spPr>
        </c:minorGridlines>
        <c:majorTickMark val="out"/>
        <c:minorTickMark val="none"/>
        <c:tickLblPos val="nextTo"/>
        <c:crossAx val="458048640"/>
        <c:crosses val="autoZero"/>
        <c:auto val="1"/>
        <c:lblAlgn val="ctr"/>
        <c:lblOffset val="100"/>
        <c:noMultiLvlLbl val="0"/>
      </c:catAx>
      <c:valAx>
        <c:axId val="458048640"/>
        <c:scaling>
          <c:orientation val="minMax"/>
          <c:max val="200"/>
        </c:scaling>
        <c:delete val="0"/>
        <c:axPos val="l"/>
        <c:numFmt formatCode="#,##0_);[Red]\(#,##0\)" sourceLinked="0"/>
        <c:majorTickMark val="out"/>
        <c:minorTickMark val="none"/>
        <c:tickLblPos val="nextTo"/>
        <c:crossAx val="458026368"/>
        <c:crosses val="autoZero"/>
        <c:crossBetween val="between"/>
        <c:majorUnit val="40"/>
      </c:valAx>
      <c:valAx>
        <c:axId val="458050176"/>
        <c:scaling>
          <c:orientation val="minMax"/>
          <c:max val="310"/>
          <c:min val="-50"/>
        </c:scaling>
        <c:delete val="0"/>
        <c:axPos val="r"/>
        <c:numFmt formatCode="#,##0_ ;[Red]\-#,##0\ " sourceLinked="0"/>
        <c:majorTickMark val="out"/>
        <c:minorTickMark val="none"/>
        <c:tickLblPos val="nextTo"/>
        <c:crossAx val="458056064"/>
        <c:crosses val="max"/>
        <c:crossBetween val="between"/>
        <c:majorUnit val="50"/>
      </c:valAx>
      <c:catAx>
        <c:axId val="458056064"/>
        <c:scaling>
          <c:orientation val="minMax"/>
        </c:scaling>
        <c:delete val="1"/>
        <c:axPos val="b"/>
        <c:majorTickMark val="out"/>
        <c:minorTickMark val="none"/>
        <c:tickLblPos val="nextTo"/>
        <c:crossAx val="458050176"/>
        <c:crosses val="autoZero"/>
        <c:auto val="1"/>
        <c:lblAlgn val="ctr"/>
        <c:lblOffset val="100"/>
        <c:noMultiLvlLbl val="0"/>
      </c:cat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고객불만</a:t>
            </a:r>
          </a:p>
        </c:rich>
      </c:tx>
      <c:layout>
        <c:manualLayout>
          <c:xMode val="edge"/>
          <c:yMode val="edge"/>
          <c:x val="0.41498600174978129"/>
          <c:y val="0"/>
        </c:manualLayout>
      </c:layout>
      <c:overlay val="1"/>
      <c:spPr>
        <a:solidFill>
          <a:schemeClr val="accent6">
            <a:lumMod val="20000"/>
            <a:lumOff val="80000"/>
          </a:schemeClr>
        </a:solidFill>
      </c:spPr>
    </c:title>
    <c:autoTitleDeleted val="0"/>
    <c:plotArea>
      <c:layout>
        <c:manualLayout>
          <c:layoutTarget val="inner"/>
          <c:xMode val="edge"/>
          <c:yMode val="edge"/>
          <c:x val="9.1960629921259834E-2"/>
          <c:y val="0.14862277631962673"/>
          <c:w val="0.82534251968503924"/>
          <c:h val="0.60036089238845158"/>
        </c:manualLayout>
      </c:layout>
      <c:barChart>
        <c:barDir val="col"/>
        <c:grouping val="clustered"/>
        <c:varyColors val="0"/>
        <c:ser>
          <c:idx val="0"/>
          <c:order val="0"/>
          <c:tx>
            <c:strRef>
              <c:f>'성과개선 요약'!$Q$87</c:f>
              <c:strCache>
                <c:ptCount val="1"/>
                <c:pt idx="0">
                  <c:v>PO</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요약'!$S$87:$V$87</c:f>
              <c:numCache>
                <c:formatCode>0.0_ </c:formatCode>
                <c:ptCount val="4"/>
                <c:pt idx="0">
                  <c:v>0.41666666666666669</c:v>
                </c:pt>
                <c:pt idx="1">
                  <c:v>0.25</c:v>
                </c:pt>
                <c:pt idx="2">
                  <c:v>0</c:v>
                </c:pt>
                <c:pt idx="3">
                  <c:v>0.2</c:v>
                </c:pt>
              </c:numCache>
            </c:numRef>
          </c:val>
        </c:ser>
        <c:ser>
          <c:idx val="1"/>
          <c:order val="1"/>
          <c:tx>
            <c:strRef>
              <c:f>'성과개선 요약'!$Q$88</c:f>
              <c:strCache>
                <c:ptCount val="1"/>
                <c:pt idx="0">
                  <c:v>GI</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요약'!$S$88:$V$88</c:f>
              <c:numCache>
                <c:formatCode>0.0_ </c:formatCode>
                <c:ptCount val="4"/>
                <c:pt idx="0">
                  <c:v>1.3333333333333333</c:v>
                </c:pt>
                <c:pt idx="1">
                  <c:v>0.66666666666666663</c:v>
                </c:pt>
                <c:pt idx="2">
                  <c:v>0.41666666666666669</c:v>
                </c:pt>
                <c:pt idx="3">
                  <c:v>0.6</c:v>
                </c:pt>
              </c:numCache>
            </c:numRef>
          </c:val>
        </c:ser>
        <c:ser>
          <c:idx val="2"/>
          <c:order val="2"/>
          <c:tx>
            <c:strRef>
              <c:f>'성과개선 요약'!$Q$89</c:f>
              <c:strCache>
                <c:ptCount val="1"/>
                <c:pt idx="0">
                  <c:v>PPGI</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요약'!$S$89:$V$89</c:f>
              <c:numCache>
                <c:formatCode>0.0_ </c:formatCode>
                <c:ptCount val="4"/>
                <c:pt idx="0">
                  <c:v>3.6666666666666665</c:v>
                </c:pt>
                <c:pt idx="1">
                  <c:v>1.75</c:v>
                </c:pt>
                <c:pt idx="2">
                  <c:v>1.5</c:v>
                </c:pt>
                <c:pt idx="3">
                  <c:v>2.6</c:v>
                </c:pt>
              </c:numCache>
            </c:numRef>
          </c:val>
        </c:ser>
        <c:ser>
          <c:idx val="3"/>
          <c:order val="3"/>
          <c:tx>
            <c:strRef>
              <c:f>'성과개선 요약'!$Q$90</c:f>
              <c:strCache>
                <c:ptCount val="1"/>
                <c:pt idx="0">
                  <c:v>PPAL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요약'!$S$90:$V$90</c:f>
              <c:numCache>
                <c:formatCode>0.0_ </c:formatCode>
                <c:ptCount val="4"/>
                <c:pt idx="0">
                  <c:v>1.6666666666666667</c:v>
                </c:pt>
                <c:pt idx="1">
                  <c:v>0.25</c:v>
                </c:pt>
                <c:pt idx="2">
                  <c:v>0.58333333333333337</c:v>
                </c:pt>
                <c:pt idx="3">
                  <c:v>1.5</c:v>
                </c:pt>
              </c:numCache>
            </c:numRef>
          </c:val>
        </c:ser>
        <c:dLbls>
          <c:showLegendKey val="0"/>
          <c:showVal val="0"/>
          <c:showCatName val="0"/>
          <c:showSerName val="0"/>
          <c:showPercent val="0"/>
          <c:showBubbleSize val="0"/>
        </c:dLbls>
        <c:gapWidth val="50"/>
        <c:overlap val="-20"/>
        <c:axId val="458108288"/>
        <c:axId val="458114176"/>
      </c:barChart>
      <c:lineChart>
        <c:grouping val="standard"/>
        <c:varyColors val="0"/>
        <c:ser>
          <c:idx val="5"/>
          <c:order val="4"/>
          <c:tx>
            <c:strRef>
              <c:f>'성과개선 요약'!$Q$91</c:f>
              <c:strCache>
                <c:ptCount val="1"/>
                <c:pt idx="0">
                  <c:v>합계</c:v>
                </c:pt>
              </c:strCache>
            </c:strRef>
          </c:tx>
          <c:spPr>
            <a:ln>
              <a:solidFill>
                <a:srgbClr val="FF0000"/>
              </a:solidFill>
            </a:ln>
          </c:spPr>
          <c:marker>
            <c:spPr>
              <a:solidFill>
                <a:srgbClr val="FF0000"/>
              </a:solidFill>
              <a:ln>
                <a:solidFill>
                  <a:srgbClr val="FF0000"/>
                </a:solidFill>
              </a:ln>
            </c:spPr>
          </c:marker>
          <c:dLbls>
            <c:txPr>
              <a:bodyPr/>
              <a:lstStyle/>
              <a:p>
                <a:pPr>
                  <a:defRPr b="1"/>
                </a:pPr>
                <a:endParaRPr lang="ko-KR"/>
              </a:p>
            </c:txPr>
            <c:dLblPos val="t"/>
            <c:showLegendKey val="0"/>
            <c:showVal val="1"/>
            <c:showCatName val="0"/>
            <c:showSerName val="0"/>
            <c:showPercent val="0"/>
            <c:showBubbleSize val="0"/>
            <c:showLeaderLines val="0"/>
          </c:dLbls>
          <c:val>
            <c:numRef>
              <c:f>'성과개선 요약'!$S$91:$V$91</c:f>
              <c:numCache>
                <c:formatCode>0.0_ </c:formatCode>
                <c:ptCount val="4"/>
                <c:pt idx="0">
                  <c:v>7.083333333333333</c:v>
                </c:pt>
                <c:pt idx="1">
                  <c:v>2.9166666666666665</c:v>
                </c:pt>
                <c:pt idx="2">
                  <c:v>2.5</c:v>
                </c:pt>
                <c:pt idx="3">
                  <c:v>4.9000000000000004</c:v>
                </c:pt>
              </c:numCache>
            </c:numRef>
          </c:val>
          <c:smooth val="0"/>
        </c:ser>
        <c:dLbls>
          <c:showLegendKey val="0"/>
          <c:showVal val="0"/>
          <c:showCatName val="0"/>
          <c:showSerName val="0"/>
          <c:showPercent val="0"/>
          <c:showBubbleSize val="0"/>
        </c:dLbls>
        <c:marker val="1"/>
        <c:smooth val="0"/>
        <c:axId val="458121600"/>
        <c:axId val="458115712"/>
      </c:lineChart>
      <c:catAx>
        <c:axId val="458108288"/>
        <c:scaling>
          <c:orientation val="minMax"/>
        </c:scaling>
        <c:delete val="0"/>
        <c:axPos val="b"/>
        <c:majorGridlines>
          <c:spPr>
            <a:ln w="19050">
              <a:solidFill>
                <a:sysClr val="windowText" lastClr="000000"/>
              </a:solidFill>
            </a:ln>
          </c:spPr>
        </c:majorGridlines>
        <c:minorGridlines>
          <c:spPr>
            <a:ln>
              <a:noFill/>
            </a:ln>
          </c:spPr>
        </c:minorGridlines>
        <c:majorTickMark val="out"/>
        <c:minorTickMark val="none"/>
        <c:tickLblPos val="nextTo"/>
        <c:crossAx val="458114176"/>
        <c:crosses val="autoZero"/>
        <c:auto val="1"/>
        <c:lblAlgn val="ctr"/>
        <c:lblOffset val="100"/>
        <c:noMultiLvlLbl val="0"/>
      </c:catAx>
      <c:valAx>
        <c:axId val="458114176"/>
        <c:scaling>
          <c:orientation val="minMax"/>
          <c:max val="5"/>
        </c:scaling>
        <c:delete val="0"/>
        <c:axPos val="l"/>
        <c:numFmt formatCode="#,##0_);[Red]\(#,##0\)" sourceLinked="0"/>
        <c:majorTickMark val="out"/>
        <c:minorTickMark val="none"/>
        <c:tickLblPos val="nextTo"/>
        <c:crossAx val="458108288"/>
        <c:crosses val="autoZero"/>
        <c:crossBetween val="between"/>
        <c:majorUnit val="1"/>
      </c:valAx>
      <c:valAx>
        <c:axId val="458115712"/>
        <c:scaling>
          <c:orientation val="minMax"/>
          <c:max val="10"/>
          <c:min val="-10"/>
        </c:scaling>
        <c:delete val="0"/>
        <c:axPos val="r"/>
        <c:numFmt formatCode="#,##0_ ;[Red]\-#,##0\ " sourceLinked="0"/>
        <c:majorTickMark val="out"/>
        <c:minorTickMark val="none"/>
        <c:tickLblPos val="nextTo"/>
        <c:crossAx val="458121600"/>
        <c:crosses val="max"/>
        <c:crossBetween val="between"/>
        <c:majorUnit val="4"/>
      </c:valAx>
      <c:catAx>
        <c:axId val="458121600"/>
        <c:scaling>
          <c:orientation val="minMax"/>
        </c:scaling>
        <c:delete val="1"/>
        <c:axPos val="b"/>
        <c:majorTickMark val="out"/>
        <c:minorTickMark val="none"/>
        <c:tickLblPos val="nextTo"/>
        <c:crossAx val="458115712"/>
        <c:crosses val="autoZero"/>
        <c:auto val="1"/>
        <c:lblAlgn val="ctr"/>
        <c:lblOffset val="100"/>
        <c:noMultiLvlLbl val="0"/>
      </c:cat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반품</a:t>
            </a:r>
          </a:p>
        </c:rich>
      </c:tx>
      <c:layout>
        <c:manualLayout>
          <c:xMode val="edge"/>
          <c:yMode val="edge"/>
          <c:x val="0.45665266841644797"/>
          <c:y val="0"/>
        </c:manualLayout>
      </c:layout>
      <c:overlay val="1"/>
      <c:spPr>
        <a:solidFill>
          <a:schemeClr val="accent6">
            <a:lumMod val="20000"/>
            <a:lumOff val="80000"/>
          </a:schemeClr>
        </a:solidFill>
      </c:spPr>
    </c:title>
    <c:autoTitleDeleted val="0"/>
    <c:plotArea>
      <c:layout>
        <c:manualLayout>
          <c:layoutTarget val="inner"/>
          <c:xMode val="edge"/>
          <c:yMode val="edge"/>
          <c:x val="9.1960629921259834E-2"/>
          <c:y val="0.14862277631962673"/>
          <c:w val="0.82534251968503924"/>
          <c:h val="0.60036089238845158"/>
        </c:manualLayout>
      </c:layout>
      <c:barChart>
        <c:barDir val="col"/>
        <c:grouping val="clustered"/>
        <c:varyColors val="0"/>
        <c:ser>
          <c:idx val="0"/>
          <c:order val="0"/>
          <c:tx>
            <c:strRef>
              <c:f>'성과개선 요약'!$Q$87</c:f>
              <c:strCache>
                <c:ptCount val="1"/>
                <c:pt idx="0">
                  <c:v>PO</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요약'!$S$92:$V$92</c:f>
              <c:numCache>
                <c:formatCode>0.0_);[Red]\(0.0\)</c:formatCode>
                <c:ptCount val="4"/>
                <c:pt idx="0">
                  <c:v>17</c:v>
                </c:pt>
                <c:pt idx="1">
                  <c:v>4.333333333333333</c:v>
                </c:pt>
                <c:pt idx="2">
                  <c:v>0</c:v>
                </c:pt>
                <c:pt idx="3">
                  <c:v>0</c:v>
                </c:pt>
              </c:numCache>
            </c:numRef>
          </c:val>
        </c:ser>
        <c:ser>
          <c:idx val="1"/>
          <c:order val="1"/>
          <c:tx>
            <c:strRef>
              <c:f>'성과개선 요약'!$Q$88</c:f>
              <c:strCache>
                <c:ptCount val="1"/>
                <c:pt idx="0">
                  <c:v>GI</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요약'!$S$93:$V$93</c:f>
              <c:numCache>
                <c:formatCode>0.0_);[Red]\(0.0\)</c:formatCode>
                <c:ptCount val="4"/>
                <c:pt idx="0">
                  <c:v>35.916666666666664</c:v>
                </c:pt>
                <c:pt idx="1">
                  <c:v>8.6666666666666661</c:v>
                </c:pt>
                <c:pt idx="2">
                  <c:v>10.166666666666666</c:v>
                </c:pt>
                <c:pt idx="3">
                  <c:v>4.5</c:v>
                </c:pt>
              </c:numCache>
            </c:numRef>
          </c:val>
        </c:ser>
        <c:ser>
          <c:idx val="2"/>
          <c:order val="2"/>
          <c:tx>
            <c:strRef>
              <c:f>'성과개선 요약'!$Q$89</c:f>
              <c:strCache>
                <c:ptCount val="1"/>
                <c:pt idx="0">
                  <c:v>PPGI</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요약'!$S$94:$V$94</c:f>
              <c:numCache>
                <c:formatCode>0.0_);[Red]\(0.0\)</c:formatCode>
                <c:ptCount val="4"/>
                <c:pt idx="0">
                  <c:v>27.666666666666668</c:v>
                </c:pt>
                <c:pt idx="1">
                  <c:v>4.333333333333333</c:v>
                </c:pt>
                <c:pt idx="2">
                  <c:v>6.5</c:v>
                </c:pt>
                <c:pt idx="3">
                  <c:v>29.8</c:v>
                </c:pt>
              </c:numCache>
            </c:numRef>
          </c:val>
        </c:ser>
        <c:ser>
          <c:idx val="3"/>
          <c:order val="3"/>
          <c:tx>
            <c:strRef>
              <c:f>'성과개선 요약'!$Q$90</c:f>
              <c:strCache>
                <c:ptCount val="1"/>
                <c:pt idx="0">
                  <c:v>PPAL</c:v>
                </c:pt>
              </c:strCache>
            </c:strRef>
          </c:tx>
          <c:spPr>
            <a:scene3d>
              <a:camera prst="orthographicFront"/>
              <a:lightRig rig="threePt" dir="t"/>
            </a:scene3d>
            <a:sp3d prstMaterial="dkEdge">
              <a:bevelT/>
            </a:sp3d>
          </c:spPr>
          <c:invertIfNegative val="0"/>
          <c:dLbls>
            <c:showLegendKey val="0"/>
            <c:showVal val="1"/>
            <c:showCatName val="0"/>
            <c:showSerName val="0"/>
            <c:showPercent val="0"/>
            <c:showBubbleSize val="0"/>
            <c:showLeaderLines val="0"/>
          </c:dLbls>
          <c:cat>
            <c:strRef>
              <c:f>'성과개선 요약'!$S$16:$V$17</c:f>
              <c:strCache>
                <c:ptCount val="4"/>
                <c:pt idx="0">
                  <c:v>16년</c:v>
                </c:pt>
                <c:pt idx="1">
                  <c:v>17년</c:v>
                </c:pt>
                <c:pt idx="2">
                  <c:v>18년</c:v>
                </c:pt>
                <c:pt idx="3">
                  <c:v>19년</c:v>
                </c:pt>
              </c:strCache>
            </c:strRef>
          </c:cat>
          <c:val>
            <c:numRef>
              <c:f>'성과개선 요약'!$S$95:$V$95</c:f>
              <c:numCache>
                <c:formatCode>0.0_);[Red]\(0.0\)</c:formatCode>
                <c:ptCount val="4"/>
                <c:pt idx="0">
                  <c:v>0</c:v>
                </c:pt>
                <c:pt idx="1">
                  <c:v>2.8333333333333335</c:v>
                </c:pt>
                <c:pt idx="2">
                  <c:v>1.9166666666666667</c:v>
                </c:pt>
                <c:pt idx="3">
                  <c:v>7.6400000000000006</c:v>
                </c:pt>
              </c:numCache>
            </c:numRef>
          </c:val>
        </c:ser>
        <c:dLbls>
          <c:showLegendKey val="0"/>
          <c:showVal val="0"/>
          <c:showCatName val="0"/>
          <c:showSerName val="0"/>
          <c:showPercent val="0"/>
          <c:showBubbleSize val="0"/>
        </c:dLbls>
        <c:gapWidth val="50"/>
        <c:overlap val="-20"/>
        <c:axId val="458243456"/>
        <c:axId val="458257536"/>
      </c:barChart>
      <c:lineChart>
        <c:grouping val="standard"/>
        <c:varyColors val="0"/>
        <c:ser>
          <c:idx val="5"/>
          <c:order val="4"/>
          <c:tx>
            <c:strRef>
              <c:f>'성과개선 요약'!$Q$91</c:f>
              <c:strCache>
                <c:ptCount val="1"/>
                <c:pt idx="0">
                  <c:v>합계</c:v>
                </c:pt>
              </c:strCache>
            </c:strRef>
          </c:tx>
          <c:spPr>
            <a:ln>
              <a:solidFill>
                <a:srgbClr val="FF0000"/>
              </a:solidFill>
            </a:ln>
          </c:spPr>
          <c:marker>
            <c:spPr>
              <a:solidFill>
                <a:srgbClr val="FF0000"/>
              </a:solidFill>
              <a:ln>
                <a:solidFill>
                  <a:srgbClr val="FF0000"/>
                </a:solidFill>
              </a:ln>
            </c:spPr>
          </c:marker>
          <c:dLbls>
            <c:txPr>
              <a:bodyPr/>
              <a:lstStyle/>
              <a:p>
                <a:pPr>
                  <a:defRPr b="1"/>
                </a:pPr>
                <a:endParaRPr lang="ko-KR"/>
              </a:p>
            </c:txPr>
            <c:dLblPos val="t"/>
            <c:showLegendKey val="0"/>
            <c:showVal val="1"/>
            <c:showCatName val="0"/>
            <c:showSerName val="0"/>
            <c:showPercent val="0"/>
            <c:showBubbleSize val="0"/>
            <c:showLeaderLines val="0"/>
          </c:dLbls>
          <c:val>
            <c:numRef>
              <c:f>'성과개선 요약'!$S$96:$V$96</c:f>
              <c:numCache>
                <c:formatCode>0.0_);[Red]\(0.0\)</c:formatCode>
                <c:ptCount val="4"/>
                <c:pt idx="0">
                  <c:v>80.583333333333329</c:v>
                </c:pt>
                <c:pt idx="1">
                  <c:v>20.166666666666664</c:v>
                </c:pt>
                <c:pt idx="2">
                  <c:v>18.583333333333332</c:v>
                </c:pt>
                <c:pt idx="3">
                  <c:v>41.94</c:v>
                </c:pt>
              </c:numCache>
            </c:numRef>
          </c:val>
          <c:smooth val="0"/>
        </c:ser>
        <c:dLbls>
          <c:showLegendKey val="0"/>
          <c:showVal val="0"/>
          <c:showCatName val="0"/>
          <c:showSerName val="0"/>
          <c:showPercent val="0"/>
          <c:showBubbleSize val="0"/>
        </c:dLbls>
        <c:marker val="1"/>
        <c:smooth val="0"/>
        <c:axId val="458264960"/>
        <c:axId val="458259072"/>
      </c:lineChart>
      <c:catAx>
        <c:axId val="458243456"/>
        <c:scaling>
          <c:orientation val="minMax"/>
        </c:scaling>
        <c:delete val="0"/>
        <c:axPos val="b"/>
        <c:majorGridlines>
          <c:spPr>
            <a:ln w="19050">
              <a:solidFill>
                <a:sysClr val="windowText" lastClr="000000"/>
              </a:solidFill>
            </a:ln>
          </c:spPr>
        </c:majorGridlines>
        <c:minorGridlines>
          <c:spPr>
            <a:ln>
              <a:noFill/>
            </a:ln>
          </c:spPr>
        </c:minorGridlines>
        <c:majorTickMark val="out"/>
        <c:minorTickMark val="none"/>
        <c:tickLblPos val="nextTo"/>
        <c:crossAx val="458257536"/>
        <c:crosses val="autoZero"/>
        <c:auto val="1"/>
        <c:lblAlgn val="ctr"/>
        <c:lblOffset val="100"/>
        <c:noMultiLvlLbl val="0"/>
      </c:catAx>
      <c:valAx>
        <c:axId val="458257536"/>
        <c:scaling>
          <c:orientation val="minMax"/>
          <c:max val="60"/>
        </c:scaling>
        <c:delete val="0"/>
        <c:axPos val="l"/>
        <c:numFmt formatCode="#,##0_);[Red]\(#,##0\)" sourceLinked="0"/>
        <c:majorTickMark val="out"/>
        <c:minorTickMark val="none"/>
        <c:tickLblPos val="nextTo"/>
        <c:crossAx val="458243456"/>
        <c:crosses val="autoZero"/>
        <c:crossBetween val="between"/>
        <c:majorUnit val="10"/>
      </c:valAx>
      <c:valAx>
        <c:axId val="458259072"/>
        <c:scaling>
          <c:orientation val="minMax"/>
          <c:max val="90"/>
          <c:min val="-30"/>
        </c:scaling>
        <c:delete val="0"/>
        <c:axPos val="r"/>
        <c:numFmt formatCode="#,##0_ ;[Red]\-#,##0\ " sourceLinked="0"/>
        <c:majorTickMark val="out"/>
        <c:minorTickMark val="none"/>
        <c:tickLblPos val="nextTo"/>
        <c:crossAx val="458264960"/>
        <c:crosses val="max"/>
        <c:crossBetween val="between"/>
        <c:majorUnit val="30"/>
      </c:valAx>
      <c:catAx>
        <c:axId val="458264960"/>
        <c:scaling>
          <c:orientation val="minMax"/>
        </c:scaling>
        <c:delete val="1"/>
        <c:axPos val="b"/>
        <c:majorTickMark val="out"/>
        <c:minorTickMark val="none"/>
        <c:tickLblPos val="nextTo"/>
        <c:crossAx val="458259072"/>
        <c:crosses val="autoZero"/>
        <c:auto val="1"/>
        <c:lblAlgn val="ctr"/>
        <c:lblOffset val="100"/>
        <c:noMultiLvlLbl val="0"/>
      </c:cat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ko-KR" altLang="en-US"/>
              <a:t>불량 발생현황</a:t>
            </a:r>
            <a:r>
              <a:rPr lang="en-US" altLang="ko-KR"/>
              <a:t>(</a:t>
            </a:r>
            <a:r>
              <a:rPr lang="ko-KR" altLang="en-US"/>
              <a:t>월평균</a:t>
            </a:r>
            <a:r>
              <a:rPr lang="en-US" altLang="ko-KR"/>
              <a:t>)</a:t>
            </a:r>
            <a:endParaRPr lang="ko-KR" altLang="en-US"/>
          </a:p>
        </c:rich>
      </c:tx>
      <c:overlay val="0"/>
    </c:title>
    <c:autoTitleDeleted val="0"/>
    <c:plotArea>
      <c:layout>
        <c:manualLayout>
          <c:layoutTarget val="inner"/>
          <c:xMode val="edge"/>
          <c:yMode val="edge"/>
          <c:x val="7.7752799310938842E-2"/>
          <c:y val="0.19214161681110398"/>
          <c:w val="0.89714319552110244"/>
          <c:h val="0.61873650194273677"/>
        </c:manualLayout>
      </c:layout>
      <c:lineChart>
        <c:grouping val="standard"/>
        <c:varyColors val="0"/>
        <c:ser>
          <c:idx val="0"/>
          <c:order val="0"/>
          <c:tx>
            <c:strRef>
              <c:f>게시판!$A$3</c:f>
              <c:strCache>
                <c:ptCount val="1"/>
                <c:pt idx="0">
                  <c:v>불량 발생현황</c:v>
                </c:pt>
              </c:strCache>
            </c:strRef>
          </c:tx>
          <c:dLbls>
            <c:dLblPos val="t"/>
            <c:showLegendKey val="0"/>
            <c:showVal val="1"/>
            <c:showCatName val="0"/>
            <c:showSerName val="0"/>
            <c:showPercent val="0"/>
            <c:showBubbleSize val="0"/>
            <c:showLeaderLines val="0"/>
          </c:dLbls>
          <c:cat>
            <c:strRef>
              <c:f>게시판!$H$2:$L$2</c:f>
              <c:strCache>
                <c:ptCount val="5"/>
                <c:pt idx="0">
                  <c:v>17~19년</c:v>
                </c:pt>
                <c:pt idx="1">
                  <c:v>20년
상반기</c:v>
                </c:pt>
                <c:pt idx="2">
                  <c:v>20년
하반기</c:v>
                </c:pt>
                <c:pt idx="3">
                  <c:v>1월</c:v>
                </c:pt>
                <c:pt idx="4">
                  <c:v>2월</c:v>
                </c:pt>
              </c:strCache>
            </c:strRef>
          </c:cat>
          <c:val>
            <c:numRef>
              <c:f>게시판!$H$3:$L$3</c:f>
              <c:numCache>
                <c:formatCode>0</c:formatCode>
                <c:ptCount val="5"/>
                <c:pt idx="0">
                  <c:v>46.855222222222231</c:v>
                </c:pt>
                <c:pt idx="1">
                  <c:v>28.49666666666667</c:v>
                </c:pt>
                <c:pt idx="2">
                  <c:v>21.746666666666666</c:v>
                </c:pt>
                <c:pt idx="3" formatCode="0_);[Red]\(0\)">
                  <c:v>15.01</c:v>
                </c:pt>
                <c:pt idx="4" formatCode="0_);[Red]\(0\)">
                  <c:v>0.96</c:v>
                </c:pt>
              </c:numCache>
            </c:numRef>
          </c:val>
          <c:smooth val="0"/>
        </c:ser>
        <c:dLbls>
          <c:showLegendKey val="0"/>
          <c:showVal val="0"/>
          <c:showCatName val="0"/>
          <c:showSerName val="0"/>
          <c:showPercent val="0"/>
          <c:showBubbleSize val="0"/>
        </c:dLbls>
        <c:marker val="1"/>
        <c:smooth val="0"/>
        <c:axId val="476581888"/>
        <c:axId val="476583424"/>
      </c:lineChart>
      <c:catAx>
        <c:axId val="476581888"/>
        <c:scaling>
          <c:orientation val="minMax"/>
        </c:scaling>
        <c:delete val="0"/>
        <c:axPos val="b"/>
        <c:majorTickMark val="out"/>
        <c:minorTickMark val="none"/>
        <c:tickLblPos val="nextTo"/>
        <c:txPr>
          <a:bodyPr/>
          <a:lstStyle/>
          <a:p>
            <a:pPr>
              <a:defRPr sz="1000" b="1"/>
            </a:pPr>
            <a:endParaRPr lang="ko-KR"/>
          </a:p>
        </c:txPr>
        <c:crossAx val="476583424"/>
        <c:crosses val="autoZero"/>
        <c:auto val="1"/>
        <c:lblAlgn val="ctr"/>
        <c:lblOffset val="100"/>
        <c:noMultiLvlLbl val="0"/>
      </c:catAx>
      <c:valAx>
        <c:axId val="476583424"/>
        <c:scaling>
          <c:orientation val="minMax"/>
          <c:max val="120"/>
        </c:scaling>
        <c:delete val="0"/>
        <c:axPos val="l"/>
        <c:numFmt formatCode="0" sourceLinked="1"/>
        <c:majorTickMark val="out"/>
        <c:minorTickMark val="none"/>
        <c:tickLblPos val="nextTo"/>
        <c:crossAx val="476581888"/>
        <c:crosses val="autoZero"/>
        <c:crossBetween val="between"/>
      </c:valAx>
    </c:plotArea>
    <c:plotVisOnly val="1"/>
    <c:dispBlanksAs val="gap"/>
    <c:showDLblsOverMax val="0"/>
  </c:chart>
  <c:spPr>
    <a:ln>
      <a:solidFill>
        <a:sysClr val="windowText" lastClr="000000"/>
      </a:solidFill>
    </a:ln>
  </c:spPr>
  <c:txPr>
    <a:bodyPr/>
    <a:lstStyle/>
    <a:p>
      <a:pPr>
        <a:defRPr sz="1100"/>
      </a:pPr>
      <a:endParaRPr lang="ko-K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96482939632546E-2"/>
          <c:y val="0.22785315717224916"/>
          <c:w val="0.86979615048118986"/>
          <c:h val="0.60818573818470578"/>
        </c:manualLayout>
      </c:layout>
      <c:lineChart>
        <c:grouping val="standard"/>
        <c:varyColors val="0"/>
        <c:ser>
          <c:idx val="0"/>
          <c:order val="0"/>
          <c:tx>
            <c:strRef>
              <c:f>게시판!$A$13</c:f>
              <c:strCache>
                <c:ptCount val="1"/>
                <c:pt idx="0">
                  <c:v>생산량기준 스크랩율(kg/ton)</c:v>
                </c:pt>
              </c:strCache>
            </c:strRef>
          </c:tx>
          <c:dLbls>
            <c:dLblPos val="t"/>
            <c:showLegendKey val="0"/>
            <c:showVal val="1"/>
            <c:showCatName val="0"/>
            <c:showSerName val="0"/>
            <c:showPercent val="0"/>
            <c:showBubbleSize val="0"/>
            <c:showLeaderLines val="0"/>
          </c:dLbls>
          <c:cat>
            <c:strRef>
              <c:f>게시판!$H$2:$L$2</c:f>
              <c:strCache>
                <c:ptCount val="5"/>
                <c:pt idx="0">
                  <c:v>17~19년</c:v>
                </c:pt>
                <c:pt idx="1">
                  <c:v>20년
상반기</c:v>
                </c:pt>
                <c:pt idx="2">
                  <c:v>20년
하반기</c:v>
                </c:pt>
                <c:pt idx="3">
                  <c:v>1월</c:v>
                </c:pt>
                <c:pt idx="4">
                  <c:v>2월</c:v>
                </c:pt>
              </c:strCache>
            </c:strRef>
          </c:cat>
          <c:val>
            <c:numRef>
              <c:f>게시판!$H$13:$L$13</c:f>
              <c:numCache>
                <c:formatCode>0.00_ </c:formatCode>
                <c:ptCount val="5"/>
                <c:pt idx="0" formatCode="0">
                  <c:v>12.949836113071479</c:v>
                </c:pt>
                <c:pt idx="1">
                  <c:v>11.153294880542903</c:v>
                </c:pt>
                <c:pt idx="2">
                  <c:v>10.405929742899234</c:v>
                </c:pt>
                <c:pt idx="3" formatCode="0.00_);[Red]\(0.00\)">
                  <c:v>10.774990238582314</c:v>
                </c:pt>
                <c:pt idx="4" formatCode="0.00_);[Red]\(0.00\)">
                  <c:v>13.519475615726289</c:v>
                </c:pt>
              </c:numCache>
            </c:numRef>
          </c:val>
          <c:smooth val="0"/>
        </c:ser>
        <c:dLbls>
          <c:showLegendKey val="0"/>
          <c:showVal val="0"/>
          <c:showCatName val="0"/>
          <c:showSerName val="0"/>
          <c:showPercent val="0"/>
          <c:showBubbleSize val="0"/>
        </c:dLbls>
        <c:marker val="1"/>
        <c:smooth val="0"/>
        <c:axId val="476608000"/>
        <c:axId val="476609536"/>
      </c:lineChart>
      <c:catAx>
        <c:axId val="476608000"/>
        <c:scaling>
          <c:orientation val="minMax"/>
        </c:scaling>
        <c:delete val="0"/>
        <c:axPos val="b"/>
        <c:majorTickMark val="out"/>
        <c:minorTickMark val="none"/>
        <c:tickLblPos val="nextTo"/>
        <c:txPr>
          <a:bodyPr/>
          <a:lstStyle/>
          <a:p>
            <a:pPr>
              <a:defRPr sz="900" b="1"/>
            </a:pPr>
            <a:endParaRPr lang="ko-KR"/>
          </a:p>
        </c:txPr>
        <c:crossAx val="476609536"/>
        <c:crosses val="autoZero"/>
        <c:auto val="1"/>
        <c:lblAlgn val="ctr"/>
        <c:lblOffset val="100"/>
        <c:noMultiLvlLbl val="0"/>
      </c:catAx>
      <c:valAx>
        <c:axId val="476609536"/>
        <c:scaling>
          <c:orientation val="minMax"/>
          <c:max val="18"/>
          <c:min val="8"/>
        </c:scaling>
        <c:delete val="0"/>
        <c:axPos val="l"/>
        <c:numFmt formatCode="#,##0_);[Red]\(#,##0\)" sourceLinked="0"/>
        <c:majorTickMark val="out"/>
        <c:minorTickMark val="none"/>
        <c:tickLblPos val="nextTo"/>
        <c:crossAx val="476608000"/>
        <c:crosses val="autoZero"/>
        <c:crossBetween val="between"/>
        <c:majorUnit val="2"/>
      </c:valAx>
    </c:plotArea>
    <c:plotVisOnly val="1"/>
    <c:dispBlanksAs val="gap"/>
    <c:showDLblsOverMax val="0"/>
  </c:chart>
  <c:spPr>
    <a:ln>
      <a:solidFill>
        <a:sysClr val="windowText" lastClr="000000"/>
      </a:solidFill>
    </a:ln>
  </c:spPr>
  <c:txPr>
    <a:bodyPr/>
    <a:lstStyle/>
    <a:p>
      <a:pPr>
        <a:defRPr sz="1200"/>
      </a:pPr>
      <a:endParaRPr lang="ko-K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2787044444444445"/>
          <c:y val="0.20189669594312004"/>
          <c:w val="0.86979615048118986"/>
          <c:h val="0.62750139875956812"/>
        </c:manualLayout>
      </c:layout>
      <c:lineChart>
        <c:grouping val="standard"/>
        <c:varyColors val="0"/>
        <c:ser>
          <c:idx val="0"/>
          <c:order val="0"/>
          <c:tx>
            <c:strRef>
              <c:f>게시판!$A$7</c:f>
              <c:strCache>
                <c:ptCount val="1"/>
                <c:pt idx="0">
                  <c:v>Coil형 Scrap 총 발생량</c:v>
                </c:pt>
              </c:strCache>
            </c:strRef>
          </c:tx>
          <c:dLbls>
            <c:dLblPos val="t"/>
            <c:showLegendKey val="0"/>
            <c:showVal val="1"/>
            <c:showCatName val="0"/>
            <c:showSerName val="0"/>
            <c:showPercent val="0"/>
            <c:showBubbleSize val="0"/>
            <c:showLeaderLines val="0"/>
          </c:dLbls>
          <c:cat>
            <c:strRef>
              <c:f>게시판!$H$2:$L$2</c:f>
              <c:strCache>
                <c:ptCount val="5"/>
                <c:pt idx="0">
                  <c:v>17~19년</c:v>
                </c:pt>
                <c:pt idx="1">
                  <c:v>20년
상반기</c:v>
                </c:pt>
                <c:pt idx="2">
                  <c:v>20년
하반기</c:v>
                </c:pt>
                <c:pt idx="3">
                  <c:v>1월</c:v>
                </c:pt>
                <c:pt idx="4">
                  <c:v>2월</c:v>
                </c:pt>
              </c:strCache>
            </c:strRef>
          </c:cat>
          <c:val>
            <c:numRef>
              <c:f>게시판!$H$7:$L$7</c:f>
              <c:numCache>
                <c:formatCode>0_);[Red]\(0\)</c:formatCode>
                <c:ptCount val="5"/>
                <c:pt idx="0" formatCode="0">
                  <c:v>190.78344444444443</c:v>
                </c:pt>
                <c:pt idx="1">
                  <c:v>129.56816666666666</c:v>
                </c:pt>
                <c:pt idx="2">
                  <c:v>181.73383333333334</c:v>
                </c:pt>
                <c:pt idx="3">
                  <c:v>110.024</c:v>
                </c:pt>
                <c:pt idx="4">
                  <c:v>68.804999999999993</c:v>
                </c:pt>
              </c:numCache>
            </c:numRef>
          </c:val>
          <c:smooth val="0"/>
        </c:ser>
        <c:dLbls>
          <c:showLegendKey val="0"/>
          <c:showVal val="0"/>
          <c:showCatName val="0"/>
          <c:showSerName val="0"/>
          <c:showPercent val="0"/>
          <c:showBubbleSize val="0"/>
        </c:dLbls>
        <c:marker val="1"/>
        <c:smooth val="0"/>
        <c:axId val="476630016"/>
        <c:axId val="476635904"/>
      </c:lineChart>
      <c:catAx>
        <c:axId val="476630016"/>
        <c:scaling>
          <c:orientation val="minMax"/>
        </c:scaling>
        <c:delete val="0"/>
        <c:axPos val="b"/>
        <c:majorTickMark val="out"/>
        <c:minorTickMark val="none"/>
        <c:tickLblPos val="nextTo"/>
        <c:txPr>
          <a:bodyPr/>
          <a:lstStyle/>
          <a:p>
            <a:pPr>
              <a:defRPr sz="900" b="1"/>
            </a:pPr>
            <a:endParaRPr lang="ko-KR"/>
          </a:p>
        </c:txPr>
        <c:crossAx val="476635904"/>
        <c:crosses val="autoZero"/>
        <c:auto val="1"/>
        <c:lblAlgn val="ctr"/>
        <c:lblOffset val="100"/>
        <c:noMultiLvlLbl val="0"/>
      </c:catAx>
      <c:valAx>
        <c:axId val="476635904"/>
        <c:scaling>
          <c:orientation val="minMax"/>
          <c:max val="350"/>
          <c:min val="50"/>
        </c:scaling>
        <c:delete val="0"/>
        <c:axPos val="l"/>
        <c:numFmt formatCode="0" sourceLinked="1"/>
        <c:majorTickMark val="out"/>
        <c:minorTickMark val="none"/>
        <c:tickLblPos val="nextTo"/>
        <c:crossAx val="476630016"/>
        <c:crosses val="autoZero"/>
        <c:crossBetween val="between"/>
        <c:majorUnit val="50"/>
      </c:valAx>
    </c:plotArea>
    <c:plotVisOnly val="1"/>
    <c:dispBlanksAs val="gap"/>
    <c:showDLblsOverMax val="0"/>
  </c:chart>
  <c:spPr>
    <a:ln>
      <a:solidFill>
        <a:sysClr val="windowText" lastClr="000000"/>
      </a:solidFill>
    </a:ln>
  </c:spPr>
  <c:txPr>
    <a:bodyPr/>
    <a:lstStyle/>
    <a:p>
      <a:pPr>
        <a:defRPr sz="1200"/>
      </a:pPr>
      <a:endParaRPr lang="ko-K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96482939632546E-2"/>
          <c:y val="0.19304422145837016"/>
          <c:w val="0.86979615048118986"/>
          <c:h val="0.61869078905445241"/>
        </c:manualLayout>
      </c:layout>
      <c:lineChart>
        <c:grouping val="standard"/>
        <c:varyColors val="0"/>
        <c:ser>
          <c:idx val="0"/>
          <c:order val="0"/>
          <c:tx>
            <c:strRef>
              <c:f>게시판!$A$8</c:f>
              <c:strCache>
                <c:ptCount val="1"/>
                <c:pt idx="0">
                  <c:v>Scrap(Sheet 형) 발생현황</c:v>
                </c:pt>
              </c:strCache>
            </c:strRef>
          </c:tx>
          <c:dLbls>
            <c:dLblPos val="b"/>
            <c:showLegendKey val="0"/>
            <c:showVal val="1"/>
            <c:showCatName val="0"/>
            <c:showSerName val="0"/>
            <c:showPercent val="0"/>
            <c:showBubbleSize val="0"/>
            <c:showLeaderLines val="0"/>
          </c:dLbls>
          <c:cat>
            <c:strRef>
              <c:f>게시판!$H$2:$L$2</c:f>
              <c:strCache>
                <c:ptCount val="5"/>
                <c:pt idx="0">
                  <c:v>17~19년</c:v>
                </c:pt>
                <c:pt idx="1">
                  <c:v>20년
상반기</c:v>
                </c:pt>
                <c:pt idx="2">
                  <c:v>20년
하반기</c:v>
                </c:pt>
                <c:pt idx="3">
                  <c:v>1월</c:v>
                </c:pt>
                <c:pt idx="4">
                  <c:v>2월</c:v>
                </c:pt>
              </c:strCache>
            </c:strRef>
          </c:cat>
          <c:val>
            <c:numRef>
              <c:f>게시판!$H$8:$L$8</c:f>
              <c:numCache>
                <c:formatCode>0_);[Red]\(0\)</c:formatCode>
                <c:ptCount val="5"/>
                <c:pt idx="0" formatCode="0">
                  <c:v>611.81652777777765</c:v>
                </c:pt>
                <c:pt idx="1">
                  <c:v>566.81666666666672</c:v>
                </c:pt>
                <c:pt idx="2">
                  <c:v>451.13166666666672</c:v>
                </c:pt>
                <c:pt idx="3">
                  <c:v>68.300000000000011</c:v>
                </c:pt>
                <c:pt idx="4">
                  <c:v>69.61</c:v>
                </c:pt>
              </c:numCache>
            </c:numRef>
          </c:val>
          <c:smooth val="0"/>
        </c:ser>
        <c:dLbls>
          <c:showLegendKey val="0"/>
          <c:showVal val="0"/>
          <c:showCatName val="0"/>
          <c:showSerName val="0"/>
          <c:showPercent val="0"/>
          <c:showBubbleSize val="0"/>
        </c:dLbls>
        <c:marker val="1"/>
        <c:smooth val="0"/>
        <c:axId val="457659136"/>
        <c:axId val="457660672"/>
      </c:lineChart>
      <c:catAx>
        <c:axId val="457659136"/>
        <c:scaling>
          <c:orientation val="minMax"/>
        </c:scaling>
        <c:delete val="0"/>
        <c:axPos val="b"/>
        <c:majorTickMark val="out"/>
        <c:minorTickMark val="none"/>
        <c:tickLblPos val="nextTo"/>
        <c:txPr>
          <a:bodyPr/>
          <a:lstStyle/>
          <a:p>
            <a:pPr>
              <a:defRPr sz="900" b="1"/>
            </a:pPr>
            <a:endParaRPr lang="ko-KR"/>
          </a:p>
        </c:txPr>
        <c:crossAx val="457660672"/>
        <c:crosses val="autoZero"/>
        <c:auto val="1"/>
        <c:lblAlgn val="ctr"/>
        <c:lblOffset val="100"/>
        <c:noMultiLvlLbl val="0"/>
      </c:catAx>
      <c:valAx>
        <c:axId val="457660672"/>
        <c:scaling>
          <c:orientation val="minMax"/>
          <c:max val="700"/>
          <c:min val="0"/>
        </c:scaling>
        <c:delete val="0"/>
        <c:axPos val="l"/>
        <c:numFmt formatCode="0" sourceLinked="1"/>
        <c:majorTickMark val="out"/>
        <c:minorTickMark val="none"/>
        <c:tickLblPos val="nextTo"/>
        <c:crossAx val="457659136"/>
        <c:crosses val="autoZero"/>
        <c:crossBetween val="between"/>
        <c:majorUnit val="100"/>
      </c:valAx>
    </c:plotArea>
    <c:plotVisOnly val="1"/>
    <c:dispBlanksAs val="gap"/>
    <c:showDLblsOverMax val="0"/>
  </c:chart>
  <c:spPr>
    <a:ln>
      <a:solidFill>
        <a:sysClr val="windowText" lastClr="000000"/>
      </a:solidFill>
    </a:ln>
  </c:spPr>
  <c:txPr>
    <a:bodyPr/>
    <a:lstStyle/>
    <a:p>
      <a:pPr>
        <a:defRPr sz="1200"/>
      </a:pPr>
      <a:endParaRPr lang="ko-K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9648237573871826E-2"/>
          <c:y val="0.18531308275841196"/>
          <c:w val="0.86979615048118986"/>
          <c:h val="0.6493445927122885"/>
        </c:manualLayout>
      </c:layout>
      <c:lineChart>
        <c:grouping val="standard"/>
        <c:varyColors val="0"/>
        <c:ser>
          <c:idx val="0"/>
          <c:order val="0"/>
          <c:tx>
            <c:strRef>
              <c:f>게시판!$A$12</c:f>
              <c:strCache>
                <c:ptCount val="1"/>
                <c:pt idx="0">
                  <c:v>반품 현황</c:v>
                </c:pt>
              </c:strCache>
            </c:strRef>
          </c:tx>
          <c:dLbls>
            <c:dLblPos val="t"/>
            <c:showLegendKey val="0"/>
            <c:showVal val="1"/>
            <c:showCatName val="0"/>
            <c:showSerName val="0"/>
            <c:showPercent val="0"/>
            <c:showBubbleSize val="0"/>
            <c:showLeaderLines val="0"/>
          </c:dLbls>
          <c:cat>
            <c:strRef>
              <c:f>게시판!$H$2:$L$2</c:f>
              <c:strCache>
                <c:ptCount val="5"/>
                <c:pt idx="0">
                  <c:v>17~19년</c:v>
                </c:pt>
                <c:pt idx="1">
                  <c:v>20년
상반기</c:v>
                </c:pt>
                <c:pt idx="2">
                  <c:v>20년
하반기</c:v>
                </c:pt>
                <c:pt idx="3">
                  <c:v>1월</c:v>
                </c:pt>
                <c:pt idx="4">
                  <c:v>2월</c:v>
                </c:pt>
              </c:strCache>
            </c:strRef>
          </c:cat>
          <c:val>
            <c:numRef>
              <c:f>게시판!$H$12:$L$12</c:f>
              <c:numCache>
                <c:formatCode>0.0_ </c:formatCode>
                <c:ptCount val="5"/>
                <c:pt idx="0" formatCode="0">
                  <c:v>29.746583333333334</c:v>
                </c:pt>
                <c:pt idx="1">
                  <c:v>18.976333333333333</c:v>
                </c:pt>
                <c:pt idx="2">
                  <c:v>11.558833333333334</c:v>
                </c:pt>
                <c:pt idx="3" formatCode="0_);[Red]\(0\)">
                  <c:v>0</c:v>
                </c:pt>
                <c:pt idx="4" formatCode="0_);[Red]\(0\)">
                  <c:v>1.66</c:v>
                </c:pt>
              </c:numCache>
            </c:numRef>
          </c:val>
          <c:smooth val="0"/>
        </c:ser>
        <c:dLbls>
          <c:showLegendKey val="0"/>
          <c:showVal val="0"/>
          <c:showCatName val="0"/>
          <c:showSerName val="0"/>
          <c:showPercent val="0"/>
          <c:showBubbleSize val="0"/>
        </c:dLbls>
        <c:marker val="1"/>
        <c:smooth val="0"/>
        <c:axId val="457681152"/>
        <c:axId val="457785344"/>
      </c:lineChart>
      <c:catAx>
        <c:axId val="457681152"/>
        <c:scaling>
          <c:orientation val="minMax"/>
        </c:scaling>
        <c:delete val="0"/>
        <c:axPos val="b"/>
        <c:majorTickMark val="out"/>
        <c:minorTickMark val="none"/>
        <c:tickLblPos val="nextTo"/>
        <c:txPr>
          <a:bodyPr/>
          <a:lstStyle/>
          <a:p>
            <a:pPr>
              <a:defRPr sz="800" b="1"/>
            </a:pPr>
            <a:endParaRPr lang="ko-KR"/>
          </a:p>
        </c:txPr>
        <c:crossAx val="457785344"/>
        <c:crosses val="autoZero"/>
        <c:auto val="1"/>
        <c:lblAlgn val="ctr"/>
        <c:lblOffset val="100"/>
        <c:noMultiLvlLbl val="0"/>
      </c:catAx>
      <c:valAx>
        <c:axId val="457785344"/>
        <c:scaling>
          <c:orientation val="minMax"/>
          <c:max val="80"/>
        </c:scaling>
        <c:delete val="0"/>
        <c:axPos val="l"/>
        <c:numFmt formatCode="0" sourceLinked="1"/>
        <c:majorTickMark val="out"/>
        <c:minorTickMark val="none"/>
        <c:tickLblPos val="nextTo"/>
        <c:crossAx val="457681152"/>
        <c:crosses val="autoZero"/>
        <c:crossBetween val="between"/>
        <c:majorUnit val="20"/>
      </c:valAx>
    </c:plotArea>
    <c:plotVisOnly val="1"/>
    <c:dispBlanksAs val="gap"/>
    <c:showDLblsOverMax val="0"/>
  </c:chart>
  <c:spPr>
    <a:ln>
      <a:solidFill>
        <a:sysClr val="windowText" lastClr="000000"/>
      </a:solidFill>
    </a:ln>
  </c:spPr>
  <c:txPr>
    <a:bodyPr/>
    <a:lstStyle/>
    <a:p>
      <a:pPr>
        <a:defRPr sz="1200"/>
      </a:pPr>
      <a:endParaRPr lang="ko-K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ko-KR" altLang="en-US"/>
              <a:t>고장건수</a:t>
            </a:r>
            <a:r>
              <a:rPr lang="en-US" altLang="ko-KR" sz="1440" b="1" i="0" u="none" strike="noStrike" baseline="0">
                <a:effectLst/>
              </a:rPr>
              <a:t>(</a:t>
            </a:r>
            <a:r>
              <a:rPr lang="ko-KR" altLang="ko-KR" sz="1440" b="1" i="0" u="none" strike="noStrike" baseline="0">
                <a:effectLst/>
              </a:rPr>
              <a:t>건</a:t>
            </a:r>
            <a:r>
              <a:rPr lang="en-US" altLang="ko-KR" sz="1440" b="1" i="0" u="none" strike="noStrike" baseline="0">
                <a:effectLst/>
              </a:rPr>
              <a:t>)</a:t>
            </a:r>
            <a:endParaRPr lang="ko-KR" altLang="en-US"/>
          </a:p>
        </c:rich>
      </c:tx>
      <c:overlay val="0"/>
    </c:title>
    <c:autoTitleDeleted val="0"/>
    <c:plotArea>
      <c:layout>
        <c:manualLayout>
          <c:layoutTarget val="inner"/>
          <c:xMode val="edge"/>
          <c:yMode val="edge"/>
          <c:x val="9.9648319053810483E-2"/>
          <c:y val="0.20705675335426568"/>
          <c:w val="0.86979615048118986"/>
          <c:h val="0.60951921890745187"/>
        </c:manualLayout>
      </c:layout>
      <c:lineChart>
        <c:grouping val="standard"/>
        <c:varyColors val="0"/>
        <c:ser>
          <c:idx val="0"/>
          <c:order val="0"/>
          <c:tx>
            <c:strRef>
              <c:f>게시판!$A$10</c:f>
              <c:strCache>
                <c:ptCount val="1"/>
                <c:pt idx="0">
                  <c:v>고장건수</c:v>
                </c:pt>
              </c:strCache>
            </c:strRef>
          </c:tx>
          <c:dLbls>
            <c:dLblPos val="t"/>
            <c:showLegendKey val="0"/>
            <c:showVal val="1"/>
            <c:showCatName val="0"/>
            <c:showSerName val="0"/>
            <c:showPercent val="0"/>
            <c:showBubbleSize val="0"/>
            <c:showLeaderLines val="0"/>
          </c:dLbls>
          <c:cat>
            <c:strRef>
              <c:f>게시판!$H$2:$L$2</c:f>
              <c:strCache>
                <c:ptCount val="5"/>
                <c:pt idx="0">
                  <c:v>17~19년</c:v>
                </c:pt>
                <c:pt idx="1">
                  <c:v>20년
상반기</c:v>
                </c:pt>
                <c:pt idx="2">
                  <c:v>20년
하반기</c:v>
                </c:pt>
                <c:pt idx="3">
                  <c:v>1월</c:v>
                </c:pt>
                <c:pt idx="4">
                  <c:v>2월</c:v>
                </c:pt>
              </c:strCache>
            </c:strRef>
          </c:cat>
          <c:val>
            <c:numRef>
              <c:f>게시판!$H$10:$L$10</c:f>
              <c:numCache>
                <c:formatCode>0</c:formatCode>
                <c:ptCount val="5"/>
                <c:pt idx="0">
                  <c:v>9.4444444444444446</c:v>
                </c:pt>
                <c:pt idx="1">
                  <c:v>5.666666666666667</c:v>
                </c:pt>
                <c:pt idx="2">
                  <c:v>6.333333333333333</c:v>
                </c:pt>
                <c:pt idx="3" formatCode="0_);[Red]\(0\)">
                  <c:v>1</c:v>
                </c:pt>
                <c:pt idx="4" formatCode="0_);[Red]\(0\)">
                  <c:v>1</c:v>
                </c:pt>
              </c:numCache>
            </c:numRef>
          </c:val>
          <c:smooth val="0"/>
        </c:ser>
        <c:dLbls>
          <c:showLegendKey val="0"/>
          <c:showVal val="0"/>
          <c:showCatName val="0"/>
          <c:showSerName val="0"/>
          <c:showPercent val="0"/>
          <c:showBubbleSize val="0"/>
        </c:dLbls>
        <c:marker val="1"/>
        <c:smooth val="0"/>
        <c:axId val="476385280"/>
        <c:axId val="476386816"/>
      </c:lineChart>
      <c:catAx>
        <c:axId val="476385280"/>
        <c:scaling>
          <c:orientation val="minMax"/>
        </c:scaling>
        <c:delete val="0"/>
        <c:axPos val="b"/>
        <c:majorTickMark val="out"/>
        <c:minorTickMark val="none"/>
        <c:tickLblPos val="nextTo"/>
        <c:txPr>
          <a:bodyPr/>
          <a:lstStyle/>
          <a:p>
            <a:pPr>
              <a:defRPr sz="900" b="1"/>
            </a:pPr>
            <a:endParaRPr lang="ko-KR"/>
          </a:p>
        </c:txPr>
        <c:crossAx val="476386816"/>
        <c:crosses val="autoZero"/>
        <c:auto val="1"/>
        <c:lblAlgn val="ctr"/>
        <c:lblOffset val="100"/>
        <c:noMultiLvlLbl val="0"/>
      </c:catAx>
      <c:valAx>
        <c:axId val="476386816"/>
        <c:scaling>
          <c:orientation val="minMax"/>
          <c:max val="15"/>
          <c:min val="0"/>
        </c:scaling>
        <c:delete val="0"/>
        <c:axPos val="l"/>
        <c:numFmt formatCode="0" sourceLinked="1"/>
        <c:majorTickMark val="out"/>
        <c:minorTickMark val="none"/>
        <c:tickLblPos val="nextTo"/>
        <c:crossAx val="476385280"/>
        <c:crosses val="autoZero"/>
        <c:crossBetween val="between"/>
        <c:majorUnit val="3"/>
      </c:valAx>
    </c:plotArea>
    <c:plotVisOnly val="1"/>
    <c:dispBlanksAs val="gap"/>
    <c:showDLblsOverMax val="0"/>
  </c:chart>
  <c:spPr>
    <a:ln>
      <a:solidFill>
        <a:sysClr val="windowText" lastClr="000000"/>
      </a:solidFill>
    </a:ln>
  </c:spPr>
  <c:txPr>
    <a:bodyPr/>
    <a:lstStyle/>
    <a:p>
      <a:pPr>
        <a:defRPr sz="1200"/>
      </a:pPr>
      <a:endParaRPr lang="ko-K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pPr>
            <a:r>
              <a:rPr lang="ko-KR" altLang="en-US" sz="1400" b="1"/>
              <a:t>월 불량 발생량</a:t>
            </a:r>
            <a:r>
              <a:rPr lang="en-US" altLang="ko-KR" sz="1400" b="1"/>
              <a:t>(ton)</a:t>
            </a:r>
            <a:endParaRPr lang="ko-KR" altLang="en-US" sz="1400" b="1"/>
          </a:p>
        </c:rich>
      </c:tx>
      <c:overlay val="0"/>
    </c:title>
    <c:autoTitleDeleted val="0"/>
    <c:plotArea>
      <c:layout/>
      <c:barChart>
        <c:barDir val="col"/>
        <c:grouping val="clustered"/>
        <c:varyColors val="0"/>
        <c:ser>
          <c:idx val="17"/>
          <c:order val="0"/>
          <c:tx>
            <c:v>2월 불량 발생량</c:v>
          </c:tx>
          <c:spPr>
            <a:scene3d>
              <a:camera prst="orthographicFront"/>
              <a:lightRig rig="threePt" dir="t"/>
            </a:scene3d>
            <a:sp3d>
              <a:bevelT/>
            </a:sp3d>
          </c:spPr>
          <c:invertIfNegative val="0"/>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showLegendKey val="0"/>
            <c:showVal val="1"/>
            <c:showCatName val="0"/>
            <c:showSerName val="0"/>
            <c:showPercent val="0"/>
            <c:showBubbleSize val="0"/>
            <c:showLeaderLines val="0"/>
          </c:dLbls>
          <c:cat>
            <c:strRef>
              <c:f>종합!$B$17:$B$21</c:f>
              <c:strCache>
                <c:ptCount val="5"/>
                <c:pt idx="0">
                  <c:v>CPL</c:v>
                </c:pt>
                <c:pt idx="1">
                  <c:v>CRM</c:v>
                </c:pt>
                <c:pt idx="2">
                  <c:v>CGL</c:v>
                </c:pt>
                <c:pt idx="3">
                  <c:v>1CCL</c:v>
                </c:pt>
                <c:pt idx="4">
                  <c:v>2CCL</c:v>
                </c:pt>
              </c:strCache>
            </c:strRef>
          </c:cat>
          <c:val>
            <c:numRef>
              <c:f>종합!$N$17:$N$21</c:f>
              <c:numCache>
                <c:formatCode>#,##0.00</c:formatCode>
                <c:ptCount val="5"/>
                <c:pt idx="3" formatCode="0.00_);[Red]\(0.00\)">
                  <c:v>0</c:v>
                </c:pt>
                <c:pt idx="4" formatCode="0.00_);[Red]\(0.00\)">
                  <c:v>0.96</c:v>
                </c:pt>
              </c:numCache>
            </c:numRef>
          </c:val>
        </c:ser>
        <c:dLbls>
          <c:showLegendKey val="0"/>
          <c:showVal val="0"/>
          <c:showCatName val="0"/>
          <c:showSerName val="0"/>
          <c:showPercent val="0"/>
          <c:showBubbleSize val="0"/>
        </c:dLbls>
        <c:gapWidth val="150"/>
        <c:axId val="457849856"/>
        <c:axId val="457872128"/>
      </c:barChart>
      <c:catAx>
        <c:axId val="457849856"/>
        <c:scaling>
          <c:orientation val="minMax"/>
        </c:scaling>
        <c:delete val="0"/>
        <c:axPos val="b"/>
        <c:majorTickMark val="out"/>
        <c:minorTickMark val="none"/>
        <c:tickLblPos val="nextTo"/>
        <c:txPr>
          <a:bodyPr/>
          <a:lstStyle/>
          <a:p>
            <a:pPr>
              <a:defRPr b="1"/>
            </a:pPr>
            <a:endParaRPr lang="ko-KR"/>
          </a:p>
        </c:txPr>
        <c:crossAx val="457872128"/>
        <c:crosses val="autoZero"/>
        <c:auto val="1"/>
        <c:lblAlgn val="ctr"/>
        <c:lblOffset val="100"/>
        <c:noMultiLvlLbl val="0"/>
      </c:catAx>
      <c:valAx>
        <c:axId val="457872128"/>
        <c:scaling>
          <c:orientation val="minMax"/>
          <c:max val="5"/>
        </c:scaling>
        <c:delete val="0"/>
        <c:axPos val="l"/>
        <c:numFmt formatCode="#,##0" sourceLinked="0"/>
        <c:majorTickMark val="out"/>
        <c:minorTickMark val="none"/>
        <c:tickLblPos val="nextTo"/>
        <c:crossAx val="457849856"/>
        <c:crosses val="autoZero"/>
        <c:crossBetween val="between"/>
        <c:majorUnit val="1"/>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altLang="en-US" sz="1400"/>
              <a:t>Scrap(Coil</a:t>
            </a:r>
            <a:r>
              <a:rPr lang="ko-KR" altLang="en-US" sz="1400"/>
              <a:t>형</a:t>
            </a:r>
            <a:r>
              <a:rPr lang="en-US" altLang="ko-KR" sz="1400"/>
              <a:t>) </a:t>
            </a:r>
            <a:r>
              <a:rPr lang="ko-KR" altLang="en-US" sz="1400"/>
              <a:t>발생량</a:t>
            </a:r>
            <a:r>
              <a:rPr lang="en-US" altLang="ko-KR" sz="1400"/>
              <a:t>(96.40ton)</a:t>
            </a:r>
            <a:endParaRPr lang="ko-KR" altLang="en-US" sz="1400"/>
          </a:p>
        </c:rich>
      </c:tx>
      <c:overlay val="0"/>
    </c:title>
    <c:autoTitleDeleted val="0"/>
    <c:plotArea>
      <c:layout/>
      <c:barChart>
        <c:barDir val="col"/>
        <c:grouping val="stacked"/>
        <c:varyColors val="0"/>
        <c:ser>
          <c:idx val="17"/>
          <c:order val="0"/>
          <c:tx>
            <c:strRef>
              <c:f>게시판!$A$4</c:f>
              <c:strCache>
                <c:ptCount val="1"/>
                <c:pt idx="0">
                  <c:v>Coil형 Scrap 발생량</c:v>
                </c:pt>
              </c:strCache>
            </c:strRef>
          </c:tx>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dLbl>
              <c:idx val="0"/>
              <c:layout>
                <c:manualLayout>
                  <c:x val="0"/>
                  <c:y val="-3.4852920674752547E-7"/>
                </c:manualLayout>
              </c:layout>
              <c:showLegendKey val="0"/>
              <c:showVal val="1"/>
              <c:showCatName val="0"/>
              <c:showSerName val="0"/>
              <c:showPercent val="0"/>
              <c:showBubbleSize val="0"/>
            </c:dLbl>
            <c:dLbl>
              <c:idx val="1"/>
              <c:layout>
                <c:manualLayout>
                  <c:x val="5.6550835416140678E-3"/>
                  <c:y val="8.8526418513871462E-3"/>
                </c:manualLayout>
              </c:layout>
              <c:showLegendKey val="0"/>
              <c:showVal val="1"/>
              <c:showCatName val="0"/>
              <c:showSerName val="0"/>
              <c:showPercent val="0"/>
              <c:showBubbleSize val="0"/>
            </c:dLbl>
            <c:dLbl>
              <c:idx val="3"/>
              <c:layout>
                <c:manualLayout>
                  <c:x val="0"/>
                  <c:y val="-4.8689530182629302E-2"/>
                </c:manualLayout>
              </c:layout>
              <c:showLegendKey val="0"/>
              <c:showVal val="1"/>
              <c:showCatName val="0"/>
              <c:showSerName val="0"/>
              <c:showPercent val="0"/>
              <c:showBubbleSize val="0"/>
            </c:dLbl>
            <c:dLbl>
              <c:idx val="4"/>
              <c:layout>
                <c:manualLayout>
                  <c:x val="5.5270649181326471E-3"/>
                  <c:y val="-3.5410567405548585E-2"/>
                </c:manualLayout>
              </c:layout>
              <c:showLegendKey val="0"/>
              <c:showVal val="1"/>
              <c:showCatName val="0"/>
              <c:showSerName val="0"/>
              <c:showPercent val="0"/>
              <c:showBubbleSize val="0"/>
            </c:dLbl>
            <c:dLbl>
              <c:idx val="5"/>
              <c:layout>
                <c:manualLayout>
                  <c:x val="0"/>
                  <c:y val="-9.295273943956503E-2"/>
                </c:manualLayout>
              </c:layout>
              <c:showLegendKey val="0"/>
              <c:showVal val="1"/>
              <c:showCatName val="0"/>
              <c:showSerName val="0"/>
              <c:showPercent val="0"/>
              <c:showBubbleSize val="0"/>
            </c:dLbl>
            <c:showLegendKey val="0"/>
            <c:showVal val="1"/>
            <c:showCatName val="0"/>
            <c:showSerName val="0"/>
            <c:showPercent val="0"/>
            <c:showBubbleSize val="0"/>
            <c:showLeaderLines val="0"/>
          </c:dLbls>
          <c:cat>
            <c:strRef>
              <c:f>종합!$B$52:$B$56</c:f>
              <c:strCache>
                <c:ptCount val="5"/>
                <c:pt idx="0">
                  <c:v>CPL</c:v>
                </c:pt>
                <c:pt idx="1">
                  <c:v>CRM</c:v>
                </c:pt>
                <c:pt idx="2">
                  <c:v>CGL</c:v>
                </c:pt>
                <c:pt idx="3">
                  <c:v>1CCL</c:v>
                </c:pt>
                <c:pt idx="4">
                  <c:v>2CCL</c:v>
                </c:pt>
              </c:strCache>
            </c:strRef>
          </c:cat>
          <c:val>
            <c:numRef>
              <c:f>종합!$V$52:$V$56</c:f>
            </c:numRef>
          </c:val>
        </c:ser>
        <c:ser>
          <c:idx val="0"/>
          <c:order val="1"/>
          <c:tx>
            <c:v>인출 스크랩</c:v>
          </c:tx>
          <c:spPr>
            <a:scene3d>
              <a:camera prst="orthographicFront"/>
              <a:lightRig rig="threePt" dir="t"/>
            </a:scene3d>
            <a:sp3d>
              <a:bevelT/>
            </a:sp3d>
          </c:spPr>
          <c:invertIfNegative val="0"/>
          <c:dLbls>
            <c:dLbl>
              <c:idx val="0"/>
              <c:layout>
                <c:manualLayout>
                  <c:x val="2.8275417708070079E-3"/>
                  <c:y val="-4.4263209256935734E-2"/>
                </c:manualLayout>
              </c:layout>
              <c:showLegendKey val="0"/>
              <c:showVal val="1"/>
              <c:showCatName val="0"/>
              <c:showSerName val="0"/>
              <c:showPercent val="0"/>
              <c:showBubbleSize val="0"/>
            </c:dLbl>
            <c:dLbl>
              <c:idx val="1"/>
              <c:layout>
                <c:manualLayout>
                  <c:x val="2.8275417708070339E-3"/>
                  <c:y val="-7.0821134811097169E-2"/>
                </c:manualLayout>
              </c:layout>
              <c:dLblPos val="ctr"/>
              <c:showLegendKey val="0"/>
              <c:showVal val="1"/>
              <c:showCatName val="0"/>
              <c:showSerName val="0"/>
              <c:showPercent val="0"/>
              <c:showBubbleSize val="0"/>
            </c:dLbl>
            <c:dLbl>
              <c:idx val="2"/>
              <c:layout>
                <c:manualLayout>
                  <c:x val="0"/>
                  <c:y val="-0.15934755332496864"/>
                </c:manualLayout>
              </c:layout>
              <c:dLblPos val="ctr"/>
              <c:showLegendKey val="0"/>
              <c:showVal val="1"/>
              <c:showCatName val="0"/>
              <c:showSerName val="0"/>
              <c:showPercent val="0"/>
              <c:showBubbleSize val="0"/>
            </c:dLbl>
            <c:dLbl>
              <c:idx val="3"/>
              <c:layout>
                <c:manualLayout>
                  <c:x val="-5.3433860235723471E-6"/>
                  <c:y val="-8.8526418513871469E-2"/>
                </c:manualLayout>
              </c:layout>
              <c:dLblPos val="ctr"/>
              <c:showLegendKey val="0"/>
              <c:showVal val="1"/>
              <c:showCatName val="0"/>
              <c:showSerName val="0"/>
              <c:showPercent val="0"/>
              <c:showBubbleSize val="0"/>
            </c:dLbl>
            <c:dLbl>
              <c:idx val="4"/>
              <c:layout>
                <c:manualLayout>
                  <c:x val="2.827096488638403E-3"/>
                  <c:y val="-0.16820124076397602"/>
                </c:manualLayout>
              </c:layout>
              <c:dLblPos val="ctr"/>
              <c:showLegendKey val="0"/>
              <c:showVal val="1"/>
              <c:showCatName val="0"/>
              <c:showSerName val="0"/>
              <c:showPercent val="0"/>
              <c:showBubbleSize val="0"/>
            </c:dLbl>
            <c:dLblPos val="ctr"/>
            <c:showLegendKey val="0"/>
            <c:showVal val="1"/>
            <c:showCatName val="0"/>
            <c:showSerName val="0"/>
            <c:showPercent val="0"/>
            <c:showBubbleSize val="0"/>
            <c:showLeaderLines val="0"/>
          </c:dLbls>
          <c:cat>
            <c:strRef>
              <c:f>종합!$B$52:$B$56</c:f>
              <c:strCache>
                <c:ptCount val="5"/>
                <c:pt idx="0">
                  <c:v>CPL</c:v>
                </c:pt>
                <c:pt idx="1">
                  <c:v>CRM</c:v>
                </c:pt>
                <c:pt idx="2">
                  <c:v>CGL</c:v>
                </c:pt>
                <c:pt idx="3">
                  <c:v>1CCL</c:v>
                </c:pt>
                <c:pt idx="4">
                  <c:v>2CCL</c:v>
                </c:pt>
              </c:strCache>
            </c:strRef>
          </c:cat>
          <c:val>
            <c:numRef>
              <c:f>종합!$V$46:$V$50</c:f>
            </c:numRef>
          </c:val>
        </c:ser>
        <c:ser>
          <c:idx val="1"/>
          <c:order val="2"/>
          <c:tx>
            <c:strRef>
              <c:f>종합!$A$46</c:f>
              <c:strCache>
                <c:ptCount val="1"/>
                <c:pt idx="0">
                  <c:v>인출
Coil형
Scrap
(입측)</c:v>
                </c:pt>
              </c:strCache>
            </c:strRef>
          </c:tx>
          <c:spPr>
            <a:solidFill>
              <a:schemeClr val="accent1"/>
            </a:solidFill>
            <a:scene3d>
              <a:camera prst="orthographicFront"/>
              <a:lightRig rig="threePt" dir="t"/>
            </a:scene3d>
            <a:sp3d>
              <a:bevelT/>
            </a:sp3d>
          </c:spPr>
          <c:invertIfNegative val="0"/>
          <c:dLbls>
            <c:dLbl>
              <c:idx val="0"/>
              <c:delete val="1"/>
            </c:dLbl>
            <c:dLbl>
              <c:idx val="2"/>
              <c:delete val="1"/>
            </c:dLbl>
            <c:showLegendKey val="0"/>
            <c:showVal val="1"/>
            <c:showCatName val="0"/>
            <c:showSerName val="0"/>
            <c:showPercent val="0"/>
            <c:showBubbleSize val="0"/>
            <c:showLeaderLines val="0"/>
          </c:dLbls>
          <c:cat>
            <c:strRef>
              <c:f>종합!$B$52:$B$56</c:f>
              <c:strCache>
                <c:ptCount val="5"/>
                <c:pt idx="0">
                  <c:v>CPL</c:v>
                </c:pt>
                <c:pt idx="1">
                  <c:v>CRM</c:v>
                </c:pt>
                <c:pt idx="2">
                  <c:v>CGL</c:v>
                </c:pt>
                <c:pt idx="3">
                  <c:v>1CCL</c:v>
                </c:pt>
                <c:pt idx="4">
                  <c:v>2CCL</c:v>
                </c:pt>
              </c:strCache>
            </c:strRef>
          </c:cat>
          <c:val>
            <c:numRef>
              <c:f>종합!$N$46:$N$50</c:f>
              <c:numCache>
                <c:formatCode>#,##0.00</c:formatCode>
                <c:ptCount val="5"/>
                <c:pt idx="3" formatCode="#,##0.0">
                  <c:v>1.9</c:v>
                </c:pt>
                <c:pt idx="4" formatCode="#,##0.0">
                  <c:v>9.9049999999999994</c:v>
                </c:pt>
              </c:numCache>
            </c:numRef>
          </c:val>
        </c:ser>
        <c:ser>
          <c:idx val="2"/>
          <c:order val="3"/>
          <c:tx>
            <c:strRef>
              <c:f>종합!$A$52</c:f>
              <c:strCache>
                <c:ptCount val="1"/>
                <c:pt idx="0">
                  <c:v>Coil형
Scrap
(출측)</c:v>
                </c:pt>
              </c:strCache>
            </c:strRef>
          </c:tx>
          <c:spPr>
            <a:solidFill>
              <a:schemeClr val="accent6"/>
            </a:solidFill>
            <a:scene3d>
              <a:camera prst="orthographicFront"/>
              <a:lightRig rig="threePt" dir="t"/>
            </a:scene3d>
            <a:sp3d>
              <a:bevelT/>
            </a:sp3d>
          </c:spPr>
          <c:invertIfNegative val="0"/>
          <c:dLbls>
            <c:showLegendKey val="0"/>
            <c:showVal val="1"/>
            <c:showCatName val="0"/>
            <c:showSerName val="0"/>
            <c:showPercent val="0"/>
            <c:showBubbleSize val="0"/>
            <c:showLeaderLines val="0"/>
          </c:dLbls>
          <c:cat>
            <c:strRef>
              <c:f>종합!$B$52:$B$56</c:f>
              <c:strCache>
                <c:ptCount val="5"/>
                <c:pt idx="0">
                  <c:v>CPL</c:v>
                </c:pt>
                <c:pt idx="1">
                  <c:v>CRM</c:v>
                </c:pt>
                <c:pt idx="2">
                  <c:v>CGL</c:v>
                </c:pt>
                <c:pt idx="3">
                  <c:v>1CCL</c:v>
                </c:pt>
                <c:pt idx="4">
                  <c:v>2CCL</c:v>
                </c:pt>
              </c:strCache>
            </c:strRef>
          </c:cat>
          <c:val>
            <c:numRef>
              <c:f>종합!$N$52:$N$56</c:f>
              <c:numCache>
                <c:formatCode>0.00_);[Red]\(0.00\)</c:formatCode>
                <c:ptCount val="5"/>
                <c:pt idx="0">
                  <c:v>0</c:v>
                </c:pt>
                <c:pt idx="1">
                  <c:v>7.52</c:v>
                </c:pt>
                <c:pt idx="2">
                  <c:v>0</c:v>
                </c:pt>
                <c:pt idx="3">
                  <c:v>0</c:v>
                </c:pt>
                <c:pt idx="4">
                  <c:v>0</c:v>
                </c:pt>
              </c:numCache>
            </c:numRef>
          </c:val>
        </c:ser>
        <c:dLbls>
          <c:showLegendKey val="0"/>
          <c:showVal val="0"/>
          <c:showCatName val="0"/>
          <c:showSerName val="0"/>
          <c:showPercent val="0"/>
          <c:showBubbleSize val="0"/>
        </c:dLbls>
        <c:gapWidth val="150"/>
        <c:overlap val="100"/>
        <c:axId val="563775744"/>
        <c:axId val="563789824"/>
      </c:barChart>
      <c:catAx>
        <c:axId val="563775744"/>
        <c:scaling>
          <c:orientation val="minMax"/>
        </c:scaling>
        <c:delete val="0"/>
        <c:axPos val="b"/>
        <c:majorTickMark val="out"/>
        <c:minorTickMark val="none"/>
        <c:tickLblPos val="nextTo"/>
        <c:txPr>
          <a:bodyPr/>
          <a:lstStyle/>
          <a:p>
            <a:pPr>
              <a:defRPr b="1"/>
            </a:pPr>
            <a:endParaRPr lang="ko-KR"/>
          </a:p>
        </c:txPr>
        <c:crossAx val="563789824"/>
        <c:crosses val="autoZero"/>
        <c:auto val="1"/>
        <c:lblAlgn val="ctr"/>
        <c:lblOffset val="100"/>
        <c:noMultiLvlLbl val="0"/>
      </c:catAx>
      <c:valAx>
        <c:axId val="563789824"/>
        <c:scaling>
          <c:orientation val="minMax"/>
        </c:scaling>
        <c:delete val="0"/>
        <c:axPos val="l"/>
        <c:numFmt formatCode="#,##0.0" sourceLinked="1"/>
        <c:majorTickMark val="out"/>
        <c:minorTickMark val="none"/>
        <c:tickLblPos val="nextTo"/>
        <c:crossAx val="563775744"/>
        <c:crosses val="autoZero"/>
        <c:crossBetween val="between"/>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altLang="en-US" sz="1400"/>
              <a:t>Scrap(</a:t>
            </a:r>
            <a:r>
              <a:rPr lang="ko-KR" altLang="en-US" sz="1400"/>
              <a:t>통판</a:t>
            </a:r>
            <a:r>
              <a:rPr lang="en-US" altLang="ko-KR" sz="1400"/>
              <a:t>) </a:t>
            </a:r>
            <a:r>
              <a:rPr lang="ko-KR" altLang="en-US" sz="1400"/>
              <a:t>발생량</a:t>
            </a:r>
            <a:r>
              <a:rPr lang="en-US" altLang="ko-KR" sz="1400"/>
              <a:t>(ton)</a:t>
            </a:r>
            <a:endParaRPr lang="ko-KR" altLang="en-US" sz="1400"/>
          </a:p>
        </c:rich>
      </c:tx>
      <c:overlay val="0"/>
    </c:title>
    <c:autoTitleDeleted val="0"/>
    <c:plotArea>
      <c:layout/>
      <c:barChart>
        <c:barDir val="col"/>
        <c:grouping val="clustered"/>
        <c:varyColors val="0"/>
        <c:ser>
          <c:idx val="17"/>
          <c:order val="0"/>
          <c:tx>
            <c:strRef>
              <c:f>게시판!$A$4</c:f>
              <c:strCache>
                <c:ptCount val="1"/>
                <c:pt idx="0">
                  <c:v>Coil형 Scrap 발생량</c:v>
                </c:pt>
              </c:strCache>
            </c:strRef>
          </c:tx>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showLegendKey val="0"/>
            <c:showVal val="1"/>
            <c:showCatName val="0"/>
            <c:showSerName val="0"/>
            <c:showPercent val="0"/>
            <c:showBubbleSize val="0"/>
            <c:showLeaderLines val="0"/>
          </c:dLbls>
          <c:cat>
            <c:strRef>
              <c:f>종합!$B$66:$B$70</c:f>
              <c:strCache>
                <c:ptCount val="5"/>
                <c:pt idx="0">
                  <c:v>CPL</c:v>
                </c:pt>
                <c:pt idx="1">
                  <c:v>CRM</c:v>
                </c:pt>
                <c:pt idx="2">
                  <c:v>CGL</c:v>
                </c:pt>
                <c:pt idx="3">
                  <c:v>1CCL</c:v>
                </c:pt>
                <c:pt idx="4">
                  <c:v>2CCL</c:v>
                </c:pt>
              </c:strCache>
            </c:strRef>
          </c:cat>
          <c:val>
            <c:numRef>
              <c:f>종합!$V$66:$V$70</c:f>
            </c:numRef>
          </c:val>
        </c:ser>
        <c:ser>
          <c:idx val="0"/>
          <c:order val="1"/>
          <c:spPr>
            <a:solidFill>
              <a:srgbClr val="FFFF00"/>
            </a:solidFill>
            <a:scene3d>
              <a:camera prst="orthographicFront"/>
              <a:lightRig rig="threePt" dir="t"/>
            </a:scene3d>
            <a:sp3d>
              <a:bevelT/>
            </a:sp3d>
          </c:spPr>
          <c:invertIfNegative val="0"/>
          <c:dLbls>
            <c:showLegendKey val="0"/>
            <c:showVal val="1"/>
            <c:showCatName val="0"/>
            <c:showSerName val="0"/>
            <c:showPercent val="0"/>
            <c:showBubbleSize val="0"/>
            <c:showLeaderLines val="0"/>
          </c:dLbls>
          <c:cat>
            <c:strRef>
              <c:f>종합!$B$66:$B$70</c:f>
              <c:strCache>
                <c:ptCount val="5"/>
                <c:pt idx="0">
                  <c:v>CPL</c:v>
                </c:pt>
                <c:pt idx="1">
                  <c:v>CRM</c:v>
                </c:pt>
                <c:pt idx="2">
                  <c:v>CGL</c:v>
                </c:pt>
                <c:pt idx="3">
                  <c:v>1CCL</c:v>
                </c:pt>
                <c:pt idx="4">
                  <c:v>2CCL</c:v>
                </c:pt>
              </c:strCache>
            </c:strRef>
          </c:cat>
          <c:val>
            <c:numRef>
              <c:f>종합!$N$66:$N$70</c:f>
              <c:numCache>
                <c:formatCode>#,##0.00_ </c:formatCode>
                <c:ptCount val="5"/>
                <c:pt idx="0" formatCode="0.00_);[Red]\(0.00\)">
                  <c:v>0</c:v>
                </c:pt>
                <c:pt idx="1">
                  <c:v>0</c:v>
                </c:pt>
                <c:pt idx="2" formatCode="0.00_);[Red]\(0.00\)">
                  <c:v>16.46</c:v>
                </c:pt>
                <c:pt idx="3" formatCode="0.00_);[Red]\(0.00\)">
                  <c:v>0</c:v>
                </c:pt>
                <c:pt idx="4" formatCode="0.00_);[Red]\(0.00\)">
                  <c:v>0</c:v>
                </c:pt>
              </c:numCache>
            </c:numRef>
          </c:val>
        </c:ser>
        <c:dLbls>
          <c:showLegendKey val="0"/>
          <c:showVal val="0"/>
          <c:showCatName val="0"/>
          <c:showSerName val="0"/>
          <c:showPercent val="0"/>
          <c:showBubbleSize val="0"/>
        </c:dLbls>
        <c:gapWidth val="150"/>
        <c:axId val="565189632"/>
        <c:axId val="565211904"/>
      </c:barChart>
      <c:catAx>
        <c:axId val="565189632"/>
        <c:scaling>
          <c:orientation val="minMax"/>
        </c:scaling>
        <c:delete val="0"/>
        <c:axPos val="b"/>
        <c:majorTickMark val="out"/>
        <c:minorTickMark val="none"/>
        <c:tickLblPos val="nextTo"/>
        <c:txPr>
          <a:bodyPr/>
          <a:lstStyle/>
          <a:p>
            <a:pPr>
              <a:defRPr b="1"/>
            </a:pPr>
            <a:endParaRPr lang="ko-KR"/>
          </a:p>
        </c:txPr>
        <c:crossAx val="565211904"/>
        <c:crosses val="autoZero"/>
        <c:auto val="1"/>
        <c:lblAlgn val="ctr"/>
        <c:lblOffset val="100"/>
        <c:noMultiLvlLbl val="0"/>
      </c:catAx>
      <c:valAx>
        <c:axId val="565211904"/>
        <c:scaling>
          <c:orientation val="minMax"/>
        </c:scaling>
        <c:delete val="0"/>
        <c:axPos val="l"/>
        <c:numFmt formatCode="0.00_);[Red]\(0.00\)" sourceLinked="1"/>
        <c:majorTickMark val="out"/>
        <c:minorTickMark val="none"/>
        <c:tickLblPos val="nextTo"/>
        <c:crossAx val="565189632"/>
        <c:crosses val="autoZero"/>
        <c:crossBetween val="between"/>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40">
                <a:latin typeface="+mj-ea"/>
                <a:ea typeface="+mj-ea"/>
              </a:defRPr>
            </a:pPr>
            <a:r>
              <a:rPr lang="ko-KR" altLang="en-US" sz="1440">
                <a:latin typeface="+mj-ea"/>
                <a:ea typeface="+mj-ea"/>
              </a:rPr>
              <a:t>라인별 고장시간</a:t>
            </a:r>
            <a:r>
              <a:rPr lang="en-US" altLang="ko-KR" sz="1440">
                <a:latin typeface="+mj-ea"/>
                <a:ea typeface="+mj-ea"/>
              </a:rPr>
              <a:t>(Hr)</a:t>
            </a:r>
            <a:endParaRPr lang="ko-KR" altLang="en-US" sz="1440">
              <a:latin typeface="+mj-ea"/>
              <a:ea typeface="+mj-ea"/>
            </a:endParaRPr>
          </a:p>
        </c:rich>
      </c:tx>
      <c:overlay val="0"/>
    </c:title>
    <c:autoTitleDeleted val="0"/>
    <c:plotArea>
      <c:layout/>
      <c:barChart>
        <c:barDir val="col"/>
        <c:grouping val="clustered"/>
        <c:varyColors val="0"/>
        <c:ser>
          <c:idx val="17"/>
          <c:order val="0"/>
          <c:tx>
            <c:v>라인별 고장시간</c:v>
          </c:tx>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showLegendKey val="0"/>
            <c:showVal val="1"/>
            <c:showCatName val="0"/>
            <c:showSerName val="0"/>
            <c:showPercent val="0"/>
            <c:showBubbleSize val="0"/>
            <c:showLeaderLines val="0"/>
          </c:dLbls>
          <c:cat>
            <c:strRef>
              <c:f>(고장!$A$6,고장!$A$8,고장!$A$10,고장!$A$12,고장!$A$14)</c:f>
              <c:strCache>
                <c:ptCount val="5"/>
                <c:pt idx="0">
                  <c:v>CPL</c:v>
                </c:pt>
                <c:pt idx="1">
                  <c:v>CRM</c:v>
                </c:pt>
                <c:pt idx="2">
                  <c:v>CGL</c:v>
                </c:pt>
                <c:pt idx="3">
                  <c:v>#1CCL</c:v>
                </c:pt>
                <c:pt idx="4">
                  <c:v>#2CCL</c:v>
                </c:pt>
              </c:strCache>
            </c:strRef>
          </c:cat>
          <c:val>
            <c:numRef>
              <c:f>(고장!$X$7,고장!$X$9,고장!$X$11,고장!$X$13,고장!$X$15)</c:f>
            </c:numRef>
          </c:val>
        </c:ser>
        <c:ser>
          <c:idx val="0"/>
          <c:order val="1"/>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numFmt formatCode="#,##0.0_);[Red]\(#,##0.0\)" sourceLinked="0"/>
            <c:showLegendKey val="0"/>
            <c:showVal val="1"/>
            <c:showCatName val="0"/>
            <c:showSerName val="0"/>
            <c:showPercent val="0"/>
            <c:showBubbleSize val="0"/>
            <c:showLeaderLines val="0"/>
          </c:dLbls>
          <c:cat>
            <c:strRef>
              <c:f>(고장!$A$6,고장!$A$8,고장!$A$10,고장!$A$12,고장!$A$14)</c:f>
              <c:strCache>
                <c:ptCount val="5"/>
                <c:pt idx="0">
                  <c:v>CPL</c:v>
                </c:pt>
                <c:pt idx="1">
                  <c:v>CRM</c:v>
                </c:pt>
                <c:pt idx="2">
                  <c:v>CGL</c:v>
                </c:pt>
                <c:pt idx="3">
                  <c:v>#1CCL</c:v>
                </c:pt>
                <c:pt idx="4">
                  <c:v>#2CCL</c:v>
                </c:pt>
              </c:strCache>
            </c:strRef>
          </c:cat>
          <c:val>
            <c:numRef>
              <c:f>(고장!$P$7,고장!$P$9,고장!$P$11,고장!$P$13,고장!$P$15)</c:f>
              <c:numCache>
                <c:formatCode>0.00_);[Red]\(0.00\)</c:formatCode>
                <c:ptCount val="5"/>
                <c:pt idx="0">
                  <c:v>0</c:v>
                </c:pt>
                <c:pt idx="1">
                  <c:v>0</c:v>
                </c:pt>
                <c:pt idx="2">
                  <c:v>0</c:v>
                </c:pt>
                <c:pt idx="3">
                  <c:v>0.58333333333333337</c:v>
                </c:pt>
                <c:pt idx="4">
                  <c:v>0</c:v>
                </c:pt>
              </c:numCache>
            </c:numRef>
          </c:val>
        </c:ser>
        <c:dLbls>
          <c:showLegendKey val="0"/>
          <c:showVal val="0"/>
          <c:showCatName val="0"/>
          <c:showSerName val="0"/>
          <c:showPercent val="0"/>
          <c:showBubbleSize val="0"/>
        </c:dLbls>
        <c:gapWidth val="150"/>
        <c:axId val="565241728"/>
        <c:axId val="565243264"/>
      </c:barChart>
      <c:catAx>
        <c:axId val="565241728"/>
        <c:scaling>
          <c:orientation val="minMax"/>
        </c:scaling>
        <c:delete val="0"/>
        <c:axPos val="b"/>
        <c:majorTickMark val="out"/>
        <c:minorTickMark val="none"/>
        <c:tickLblPos val="nextTo"/>
        <c:txPr>
          <a:bodyPr/>
          <a:lstStyle/>
          <a:p>
            <a:pPr>
              <a:defRPr b="1"/>
            </a:pPr>
            <a:endParaRPr lang="ko-KR"/>
          </a:p>
        </c:txPr>
        <c:crossAx val="565243264"/>
        <c:crosses val="autoZero"/>
        <c:auto val="1"/>
        <c:lblAlgn val="ctr"/>
        <c:lblOffset val="100"/>
        <c:noMultiLvlLbl val="0"/>
      </c:catAx>
      <c:valAx>
        <c:axId val="565243264"/>
        <c:scaling>
          <c:orientation val="minMax"/>
        </c:scaling>
        <c:delete val="0"/>
        <c:axPos val="l"/>
        <c:numFmt formatCode="0.00_);[Red]\(0.00\)" sourceLinked="1"/>
        <c:majorTickMark val="out"/>
        <c:minorTickMark val="none"/>
        <c:tickLblPos val="nextTo"/>
        <c:crossAx val="565241728"/>
        <c:crosses val="autoZero"/>
        <c:crossBetween val="between"/>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40">
                <a:latin typeface="+mn-ea"/>
                <a:ea typeface="+mn-ea"/>
              </a:defRPr>
            </a:pPr>
            <a:r>
              <a:rPr lang="ko-KR" altLang="en-US" sz="1440">
                <a:latin typeface="+mn-ea"/>
                <a:ea typeface="+mn-ea"/>
              </a:rPr>
              <a:t>반품량</a:t>
            </a:r>
            <a:r>
              <a:rPr lang="en-US" altLang="ko-KR" sz="1440">
                <a:latin typeface="+mn-ea"/>
                <a:ea typeface="+mn-ea"/>
              </a:rPr>
              <a:t>(ton)</a:t>
            </a:r>
            <a:endParaRPr lang="ko-KR" altLang="en-US" sz="1440">
              <a:latin typeface="+mn-ea"/>
              <a:ea typeface="+mn-ea"/>
            </a:endParaRPr>
          </a:p>
        </c:rich>
      </c:tx>
      <c:overlay val="0"/>
    </c:title>
    <c:autoTitleDeleted val="0"/>
    <c:plotArea>
      <c:layout/>
      <c:barChart>
        <c:barDir val="col"/>
        <c:grouping val="clustered"/>
        <c:varyColors val="0"/>
        <c:ser>
          <c:idx val="17"/>
          <c:order val="0"/>
          <c:tx>
            <c:v>라인별 반품량</c:v>
          </c:tx>
          <c:spPr>
            <a:scene3d>
              <a:camera prst="orthographicFront"/>
              <a:lightRig rig="threePt" dir="t"/>
            </a:scene3d>
            <a:sp3d>
              <a:bevelT/>
            </a:sp3d>
          </c:spPr>
          <c:invertIfNegative val="0"/>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showLegendKey val="0"/>
            <c:showVal val="1"/>
            <c:showCatName val="0"/>
            <c:showSerName val="0"/>
            <c:showPercent val="0"/>
            <c:showBubbleSize val="0"/>
            <c:showLeaderLines val="0"/>
          </c:dLbls>
          <c:cat>
            <c:strRef>
              <c:f>종합!$AS$227:$AS$231</c:f>
              <c:strCache>
                <c:ptCount val="5"/>
                <c:pt idx="0">
                  <c:v>CPL</c:v>
                </c:pt>
                <c:pt idx="1">
                  <c:v>CRM</c:v>
                </c:pt>
                <c:pt idx="2">
                  <c:v>CGL</c:v>
                </c:pt>
                <c:pt idx="3">
                  <c:v>1CCL</c:v>
                </c:pt>
                <c:pt idx="4">
                  <c:v>2CCL</c:v>
                </c:pt>
              </c:strCache>
            </c:strRef>
          </c:cat>
          <c:val>
            <c:numRef>
              <c:f>종합!$AU$227:$AU$231</c:f>
              <c:numCache>
                <c:formatCode>General</c:formatCode>
                <c:ptCount val="5"/>
                <c:pt idx="0">
                  <c:v>0</c:v>
                </c:pt>
                <c:pt idx="1">
                  <c:v>0</c:v>
                </c:pt>
                <c:pt idx="2">
                  <c:v>0</c:v>
                </c:pt>
                <c:pt idx="3">
                  <c:v>0</c:v>
                </c:pt>
                <c:pt idx="4">
                  <c:v>1.66</c:v>
                </c:pt>
              </c:numCache>
            </c:numRef>
          </c:val>
        </c:ser>
        <c:dLbls>
          <c:showLegendKey val="0"/>
          <c:showVal val="0"/>
          <c:showCatName val="0"/>
          <c:showSerName val="0"/>
          <c:showPercent val="0"/>
          <c:showBubbleSize val="0"/>
        </c:dLbls>
        <c:gapWidth val="150"/>
        <c:axId val="566666368"/>
        <c:axId val="566667904"/>
      </c:barChart>
      <c:catAx>
        <c:axId val="566666368"/>
        <c:scaling>
          <c:orientation val="minMax"/>
        </c:scaling>
        <c:delete val="0"/>
        <c:axPos val="b"/>
        <c:majorTickMark val="out"/>
        <c:minorTickMark val="none"/>
        <c:tickLblPos val="nextTo"/>
        <c:txPr>
          <a:bodyPr/>
          <a:lstStyle/>
          <a:p>
            <a:pPr>
              <a:defRPr b="1"/>
            </a:pPr>
            <a:endParaRPr lang="ko-KR"/>
          </a:p>
        </c:txPr>
        <c:crossAx val="566667904"/>
        <c:crosses val="autoZero"/>
        <c:auto val="1"/>
        <c:lblAlgn val="ctr"/>
        <c:lblOffset val="100"/>
        <c:noMultiLvlLbl val="0"/>
      </c:catAx>
      <c:valAx>
        <c:axId val="566667904"/>
        <c:scaling>
          <c:orientation val="minMax"/>
          <c:max val="5"/>
          <c:min val="0"/>
        </c:scaling>
        <c:delete val="0"/>
        <c:axPos val="l"/>
        <c:numFmt formatCode="General" sourceLinked="1"/>
        <c:majorTickMark val="out"/>
        <c:minorTickMark val="none"/>
        <c:tickLblPos val="nextTo"/>
        <c:crossAx val="566666368"/>
        <c:crosses val="autoZero"/>
        <c:crossBetween val="between"/>
        <c:majorUnit val="1"/>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pPr>
            <a:r>
              <a:rPr lang="en-US" altLang="ko-KR"/>
              <a:t>Scrap(Sheet</a:t>
            </a:r>
            <a:r>
              <a:rPr lang="ko-KR" altLang="en-US"/>
              <a:t>형</a:t>
            </a:r>
            <a:r>
              <a:rPr lang="en-US" altLang="ko-KR"/>
              <a:t>)</a:t>
            </a:r>
            <a:r>
              <a:rPr lang="ko-KR" altLang="en-US"/>
              <a:t>발생량</a:t>
            </a:r>
            <a:r>
              <a:rPr lang="en-US" altLang="ko-KR"/>
              <a:t>(ton)</a:t>
            </a:r>
            <a:endParaRPr lang="en-US" altLang="en-US"/>
          </a:p>
        </c:rich>
      </c:tx>
      <c:overlay val="0"/>
    </c:title>
    <c:autoTitleDeleted val="0"/>
    <c:plotArea>
      <c:layout/>
      <c:barChart>
        <c:barDir val="col"/>
        <c:grouping val="clustered"/>
        <c:varyColors val="0"/>
        <c:ser>
          <c:idx val="17"/>
          <c:order val="0"/>
          <c:tx>
            <c:strRef>
              <c:f>종합!$A$72</c:f>
              <c:strCache>
                <c:ptCount val="1"/>
                <c:pt idx="0">
                  <c:v>Sheet형
Scrap</c:v>
                </c:pt>
              </c:strCache>
            </c:strRef>
          </c:tx>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showLegendKey val="0"/>
            <c:showVal val="1"/>
            <c:showCatName val="0"/>
            <c:showSerName val="0"/>
            <c:showPercent val="0"/>
            <c:showBubbleSize val="0"/>
            <c:showLeaderLines val="0"/>
          </c:dLbls>
          <c:cat>
            <c:strRef>
              <c:f>종합!$B$72:$B$76</c:f>
              <c:strCache>
                <c:ptCount val="5"/>
                <c:pt idx="0">
                  <c:v>CPL</c:v>
                </c:pt>
                <c:pt idx="1">
                  <c:v>CRM</c:v>
                </c:pt>
                <c:pt idx="2">
                  <c:v>CGL</c:v>
                </c:pt>
                <c:pt idx="3">
                  <c:v>1CCL</c:v>
                </c:pt>
                <c:pt idx="4">
                  <c:v>2CCL</c:v>
                </c:pt>
              </c:strCache>
            </c:strRef>
          </c:cat>
          <c:val>
            <c:numRef>
              <c:f>종합!$U$72:$U$76</c:f>
            </c:numRef>
          </c:val>
        </c:ser>
        <c:ser>
          <c:idx val="0"/>
          <c:order val="1"/>
          <c:spPr>
            <a:scene3d>
              <a:camera prst="orthographicFront"/>
              <a:lightRig rig="threePt" dir="t"/>
            </a:scene3d>
            <a:sp3d>
              <a:bevelT/>
            </a:sp3d>
          </c:spPr>
          <c:invertIfNegative val="0"/>
          <c:dPt>
            <c:idx val="1"/>
            <c:invertIfNegative val="0"/>
            <c:bubble3D val="0"/>
            <c:spPr>
              <a:solidFill>
                <a:schemeClr val="accent6"/>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showLegendKey val="0"/>
            <c:showVal val="1"/>
            <c:showCatName val="0"/>
            <c:showSerName val="0"/>
            <c:showPercent val="0"/>
            <c:showBubbleSize val="0"/>
            <c:showLeaderLines val="0"/>
          </c:dLbls>
          <c:cat>
            <c:strRef>
              <c:f>종합!$B$72:$B$76</c:f>
              <c:strCache>
                <c:ptCount val="5"/>
                <c:pt idx="0">
                  <c:v>CPL</c:v>
                </c:pt>
                <c:pt idx="1">
                  <c:v>CRM</c:v>
                </c:pt>
                <c:pt idx="2">
                  <c:v>CGL</c:v>
                </c:pt>
                <c:pt idx="3">
                  <c:v>1CCL</c:v>
                </c:pt>
                <c:pt idx="4">
                  <c:v>2CCL</c:v>
                </c:pt>
              </c:strCache>
            </c:strRef>
          </c:cat>
          <c:val>
            <c:numRef>
              <c:f>종합!$N$72:$N$76</c:f>
              <c:numCache>
                <c:formatCode>#,##0</c:formatCode>
                <c:ptCount val="5"/>
                <c:pt idx="0">
                  <c:v>0</c:v>
                </c:pt>
                <c:pt idx="1">
                  <c:v>3.85</c:v>
                </c:pt>
                <c:pt idx="2">
                  <c:v>0</c:v>
                </c:pt>
                <c:pt idx="3">
                  <c:v>45.2</c:v>
                </c:pt>
                <c:pt idx="4">
                  <c:v>20.56</c:v>
                </c:pt>
              </c:numCache>
            </c:numRef>
          </c:val>
        </c:ser>
        <c:dLbls>
          <c:showLegendKey val="0"/>
          <c:showVal val="0"/>
          <c:showCatName val="0"/>
          <c:showSerName val="0"/>
          <c:showPercent val="0"/>
          <c:showBubbleSize val="0"/>
        </c:dLbls>
        <c:gapWidth val="150"/>
        <c:axId val="569404416"/>
        <c:axId val="569410304"/>
      </c:barChart>
      <c:catAx>
        <c:axId val="569404416"/>
        <c:scaling>
          <c:orientation val="minMax"/>
        </c:scaling>
        <c:delete val="0"/>
        <c:axPos val="b"/>
        <c:majorTickMark val="out"/>
        <c:minorTickMark val="none"/>
        <c:tickLblPos val="nextTo"/>
        <c:txPr>
          <a:bodyPr/>
          <a:lstStyle/>
          <a:p>
            <a:pPr>
              <a:defRPr b="1"/>
            </a:pPr>
            <a:endParaRPr lang="ko-KR"/>
          </a:p>
        </c:txPr>
        <c:crossAx val="569410304"/>
        <c:crosses val="autoZero"/>
        <c:auto val="1"/>
        <c:lblAlgn val="ctr"/>
        <c:lblOffset val="100"/>
        <c:noMultiLvlLbl val="0"/>
      </c:catAx>
      <c:valAx>
        <c:axId val="569410304"/>
        <c:scaling>
          <c:orientation val="minMax"/>
        </c:scaling>
        <c:delete val="0"/>
        <c:axPos val="l"/>
        <c:numFmt formatCode="#,##0" sourceLinked="1"/>
        <c:majorTickMark val="out"/>
        <c:minorTickMark val="none"/>
        <c:tickLblPos val="nextTo"/>
        <c:crossAx val="569404416"/>
        <c:crosses val="autoZero"/>
        <c:crossBetween val="between"/>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pPr>
            <a:r>
              <a:rPr lang="en-US" altLang="ko-KR"/>
              <a:t>Scrap(</a:t>
            </a:r>
            <a:r>
              <a:rPr lang="ko-KR" altLang="en-US"/>
              <a:t>포장재</a:t>
            </a:r>
            <a:r>
              <a:rPr lang="en-US" altLang="ko-KR"/>
              <a:t>)</a:t>
            </a:r>
            <a:r>
              <a:rPr lang="ko-KR" altLang="en-US"/>
              <a:t>발생량</a:t>
            </a:r>
            <a:r>
              <a:rPr lang="en-US" altLang="ko-KR"/>
              <a:t>(ton)</a:t>
            </a:r>
            <a:endParaRPr lang="en-US" altLang="en-US"/>
          </a:p>
        </c:rich>
      </c:tx>
      <c:overlay val="0"/>
    </c:title>
    <c:autoTitleDeleted val="0"/>
    <c:plotArea>
      <c:layout/>
      <c:barChart>
        <c:barDir val="col"/>
        <c:grouping val="clustered"/>
        <c:varyColors val="0"/>
        <c:ser>
          <c:idx val="17"/>
          <c:order val="0"/>
          <c:tx>
            <c:v>2월 Scrap(포장재) 발생량(ton)</c:v>
          </c:tx>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showLegendKey val="0"/>
            <c:showVal val="1"/>
            <c:showCatName val="0"/>
            <c:showSerName val="0"/>
            <c:showPercent val="0"/>
            <c:showBubbleSize val="0"/>
            <c:showLeaderLines val="0"/>
          </c:dLbls>
          <c:cat>
            <c:strRef>
              <c:f>종합!$B$60:$B$64</c:f>
              <c:strCache>
                <c:ptCount val="5"/>
                <c:pt idx="0">
                  <c:v>CPL</c:v>
                </c:pt>
                <c:pt idx="1">
                  <c:v>CRM</c:v>
                </c:pt>
                <c:pt idx="2">
                  <c:v>CGL</c:v>
                </c:pt>
                <c:pt idx="3">
                  <c:v>1CCL</c:v>
                </c:pt>
                <c:pt idx="4">
                  <c:v>2CCL</c:v>
                </c:pt>
              </c:strCache>
            </c:strRef>
          </c:cat>
          <c:val>
            <c:numRef>
              <c:f>종합!$V$62:$V$64</c:f>
            </c:numRef>
          </c:val>
        </c:ser>
        <c:ser>
          <c:idx val="0"/>
          <c:order val="1"/>
          <c:spPr>
            <a:scene3d>
              <a:camera prst="orthographicFront"/>
              <a:lightRig rig="threePt" dir="t"/>
            </a:scene3d>
            <a:sp3d>
              <a:bevelT/>
            </a:sp3d>
          </c:spPr>
          <c:invertIfNegative val="0"/>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Lbls>
            <c:showLegendKey val="0"/>
            <c:showVal val="1"/>
            <c:showCatName val="0"/>
            <c:showSerName val="0"/>
            <c:showPercent val="0"/>
            <c:showBubbleSize val="0"/>
            <c:showLeaderLines val="0"/>
          </c:dLbls>
          <c:cat>
            <c:strRef>
              <c:f>종합!$B$60:$B$64</c:f>
              <c:strCache>
                <c:ptCount val="5"/>
                <c:pt idx="0">
                  <c:v>CPL</c:v>
                </c:pt>
                <c:pt idx="1">
                  <c:v>CRM</c:v>
                </c:pt>
                <c:pt idx="2">
                  <c:v>CGL</c:v>
                </c:pt>
                <c:pt idx="3">
                  <c:v>1CCL</c:v>
                </c:pt>
                <c:pt idx="4">
                  <c:v>2CCL</c:v>
                </c:pt>
              </c:strCache>
            </c:strRef>
          </c:cat>
          <c:val>
            <c:numRef>
              <c:f>종합!$N$60:$N$64</c:f>
              <c:numCache>
                <c:formatCode>#,##0.00_ </c:formatCode>
                <c:ptCount val="5"/>
                <c:pt idx="0">
                  <c:v>0</c:v>
                </c:pt>
                <c:pt idx="1">
                  <c:v>0</c:v>
                </c:pt>
                <c:pt idx="2" formatCode="0.00_);[Red]\(0.00\)">
                  <c:v>11.5</c:v>
                </c:pt>
                <c:pt idx="3" formatCode="0.00_);[Red]\(0.00\)">
                  <c:v>21.52</c:v>
                </c:pt>
                <c:pt idx="4" formatCode="0.00_);[Red]\(0.00\)">
                  <c:v>0</c:v>
                </c:pt>
              </c:numCache>
            </c:numRef>
          </c:val>
        </c:ser>
        <c:dLbls>
          <c:showLegendKey val="0"/>
          <c:showVal val="0"/>
          <c:showCatName val="0"/>
          <c:showSerName val="0"/>
          <c:showPercent val="0"/>
          <c:showBubbleSize val="0"/>
        </c:dLbls>
        <c:gapWidth val="150"/>
        <c:axId val="569459456"/>
        <c:axId val="569460992"/>
      </c:barChart>
      <c:catAx>
        <c:axId val="569459456"/>
        <c:scaling>
          <c:orientation val="minMax"/>
        </c:scaling>
        <c:delete val="0"/>
        <c:axPos val="b"/>
        <c:majorTickMark val="out"/>
        <c:minorTickMark val="none"/>
        <c:tickLblPos val="nextTo"/>
        <c:txPr>
          <a:bodyPr/>
          <a:lstStyle/>
          <a:p>
            <a:pPr>
              <a:defRPr b="1"/>
            </a:pPr>
            <a:endParaRPr lang="ko-KR"/>
          </a:p>
        </c:txPr>
        <c:crossAx val="569460992"/>
        <c:crosses val="autoZero"/>
        <c:auto val="1"/>
        <c:lblAlgn val="ctr"/>
        <c:lblOffset val="100"/>
        <c:noMultiLvlLbl val="0"/>
      </c:catAx>
      <c:valAx>
        <c:axId val="569460992"/>
        <c:scaling>
          <c:orientation val="minMax"/>
        </c:scaling>
        <c:delete val="0"/>
        <c:axPos val="l"/>
        <c:numFmt formatCode="#,##0.00_ " sourceLinked="1"/>
        <c:majorTickMark val="out"/>
        <c:minorTickMark val="none"/>
        <c:tickLblPos val="nextTo"/>
        <c:crossAx val="569459456"/>
        <c:crosses val="autoZero"/>
        <c:crossBetween val="between"/>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pPr>
            <a:r>
              <a:rPr lang="ko-KR" altLang="en-US"/>
              <a:t>라인별 고장건수</a:t>
            </a:r>
            <a:r>
              <a:rPr lang="en-US" altLang="ko-KR"/>
              <a:t>(</a:t>
            </a:r>
            <a:r>
              <a:rPr lang="ko-KR" altLang="en-US"/>
              <a:t>건</a:t>
            </a:r>
            <a:r>
              <a:rPr lang="en-US" altLang="ko-KR"/>
              <a:t>)</a:t>
            </a:r>
            <a:endParaRPr lang="en-US" altLang="en-US"/>
          </a:p>
        </c:rich>
      </c:tx>
      <c:overlay val="0"/>
    </c:title>
    <c:autoTitleDeleted val="0"/>
    <c:plotArea>
      <c:layout/>
      <c:barChart>
        <c:barDir val="col"/>
        <c:grouping val="clustered"/>
        <c:varyColors val="0"/>
        <c:ser>
          <c:idx val="17"/>
          <c:order val="0"/>
          <c:tx>
            <c:v>고장건수(건)</c:v>
          </c:tx>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showLegendKey val="0"/>
            <c:showVal val="1"/>
            <c:showCatName val="0"/>
            <c:showSerName val="0"/>
            <c:showPercent val="0"/>
            <c:showBubbleSize val="0"/>
            <c:showLeaderLines val="0"/>
          </c:dLbls>
          <c:cat>
            <c:strRef>
              <c:f>고장!$A$21:$B$25</c:f>
              <c:strCache>
                <c:ptCount val="5"/>
                <c:pt idx="0">
                  <c:v>CPL</c:v>
                </c:pt>
                <c:pt idx="1">
                  <c:v>CRM</c:v>
                </c:pt>
                <c:pt idx="2">
                  <c:v>CGL</c:v>
                </c:pt>
                <c:pt idx="3">
                  <c:v>#1CCL</c:v>
                </c:pt>
                <c:pt idx="4">
                  <c:v>#2CCL</c:v>
                </c:pt>
              </c:strCache>
            </c:strRef>
          </c:cat>
          <c:val>
            <c:numRef>
              <c:f>고장!$X$21:$X$25</c:f>
            </c:numRef>
          </c:val>
        </c:ser>
        <c:ser>
          <c:idx val="0"/>
          <c:order val="1"/>
          <c:spPr>
            <a:scene3d>
              <a:camera prst="orthographicFront"/>
              <a:lightRig rig="threePt" dir="t"/>
            </a:scene3d>
            <a:sp3d>
              <a:bevelT/>
            </a:sp3d>
          </c:spPr>
          <c:invertIfNegative val="0"/>
          <c:dPt>
            <c:idx val="3"/>
            <c:invertIfNegative val="0"/>
            <c:bubble3D val="0"/>
            <c:spPr>
              <a:solidFill>
                <a:srgbClr val="00B050"/>
              </a:solidFill>
              <a:scene3d>
                <a:camera prst="orthographicFront"/>
                <a:lightRig rig="threePt" dir="t"/>
              </a:scene3d>
              <a:sp3d>
                <a:bevelT/>
              </a:sp3d>
            </c:spPr>
          </c:dPt>
          <c:dLbls>
            <c:showLegendKey val="0"/>
            <c:showVal val="1"/>
            <c:showCatName val="0"/>
            <c:showSerName val="0"/>
            <c:showPercent val="0"/>
            <c:showBubbleSize val="0"/>
            <c:showLeaderLines val="0"/>
          </c:dLbls>
          <c:cat>
            <c:strRef>
              <c:f>고장!$A$21:$B$25</c:f>
              <c:strCache>
                <c:ptCount val="5"/>
                <c:pt idx="0">
                  <c:v>CPL</c:v>
                </c:pt>
                <c:pt idx="1">
                  <c:v>CRM</c:v>
                </c:pt>
                <c:pt idx="2">
                  <c:v>CGL</c:v>
                </c:pt>
                <c:pt idx="3">
                  <c:v>#1CCL</c:v>
                </c:pt>
                <c:pt idx="4">
                  <c:v>#2CCL</c:v>
                </c:pt>
              </c:strCache>
            </c:strRef>
          </c:cat>
          <c:val>
            <c:numRef>
              <c:f>고장!$P$21:$P$25</c:f>
              <c:numCache>
                <c:formatCode>General</c:formatCode>
                <c:ptCount val="5"/>
                <c:pt idx="0">
                  <c:v>0</c:v>
                </c:pt>
                <c:pt idx="1">
                  <c:v>0</c:v>
                </c:pt>
                <c:pt idx="2">
                  <c:v>0</c:v>
                </c:pt>
                <c:pt idx="3">
                  <c:v>1</c:v>
                </c:pt>
                <c:pt idx="4">
                  <c:v>0</c:v>
                </c:pt>
              </c:numCache>
            </c:numRef>
          </c:val>
        </c:ser>
        <c:dLbls>
          <c:showLegendKey val="0"/>
          <c:showVal val="0"/>
          <c:showCatName val="0"/>
          <c:showSerName val="0"/>
          <c:showPercent val="0"/>
          <c:showBubbleSize val="0"/>
        </c:dLbls>
        <c:gapWidth val="150"/>
        <c:axId val="569493376"/>
        <c:axId val="569494912"/>
      </c:barChart>
      <c:catAx>
        <c:axId val="569493376"/>
        <c:scaling>
          <c:orientation val="minMax"/>
        </c:scaling>
        <c:delete val="0"/>
        <c:axPos val="b"/>
        <c:majorTickMark val="out"/>
        <c:minorTickMark val="none"/>
        <c:tickLblPos val="nextTo"/>
        <c:txPr>
          <a:bodyPr/>
          <a:lstStyle/>
          <a:p>
            <a:pPr>
              <a:defRPr b="1"/>
            </a:pPr>
            <a:endParaRPr lang="ko-KR"/>
          </a:p>
        </c:txPr>
        <c:crossAx val="569494912"/>
        <c:crosses val="autoZero"/>
        <c:auto val="1"/>
        <c:lblAlgn val="ctr"/>
        <c:lblOffset val="100"/>
        <c:noMultiLvlLbl val="0"/>
      </c:catAx>
      <c:valAx>
        <c:axId val="569494912"/>
        <c:scaling>
          <c:orientation val="minMax"/>
          <c:max val="5"/>
          <c:min val="0"/>
        </c:scaling>
        <c:delete val="0"/>
        <c:axPos val="l"/>
        <c:numFmt formatCode="General" sourceLinked="1"/>
        <c:majorTickMark val="out"/>
        <c:minorTickMark val="none"/>
        <c:tickLblPos val="nextTo"/>
        <c:crossAx val="569493376"/>
        <c:crosses val="autoZero"/>
        <c:crossBetween val="between"/>
        <c:majorUnit val="1"/>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9648237573871826E-2"/>
          <c:y val="0.18531308275841196"/>
          <c:w val="0.86979615048118986"/>
          <c:h val="0.6493445927122885"/>
        </c:manualLayout>
      </c:layout>
      <c:lineChart>
        <c:grouping val="standard"/>
        <c:varyColors val="0"/>
        <c:ser>
          <c:idx val="0"/>
          <c:order val="0"/>
          <c:tx>
            <c:strRef>
              <c:f>게시판!$A$11</c:f>
              <c:strCache>
                <c:ptCount val="1"/>
                <c:pt idx="0">
                  <c:v>고객불만</c:v>
                </c:pt>
              </c:strCache>
            </c:strRef>
          </c:tx>
          <c:dLbls>
            <c:numFmt formatCode="#,##0_);[Red]\(#,##0\)" sourceLinked="0"/>
            <c:dLblPos val="t"/>
            <c:showLegendKey val="0"/>
            <c:showVal val="1"/>
            <c:showCatName val="0"/>
            <c:showSerName val="0"/>
            <c:showPercent val="0"/>
            <c:showBubbleSize val="0"/>
            <c:showLeaderLines val="0"/>
          </c:dLbls>
          <c:cat>
            <c:strRef>
              <c:f>게시판!$H$2:$L$2</c:f>
              <c:strCache>
                <c:ptCount val="5"/>
                <c:pt idx="0">
                  <c:v>17~19년</c:v>
                </c:pt>
                <c:pt idx="1">
                  <c:v>20년
상반기</c:v>
                </c:pt>
                <c:pt idx="2">
                  <c:v>20년
하반기</c:v>
                </c:pt>
                <c:pt idx="3">
                  <c:v>1월</c:v>
                </c:pt>
                <c:pt idx="4">
                  <c:v>2월</c:v>
                </c:pt>
              </c:strCache>
            </c:strRef>
          </c:cat>
          <c:val>
            <c:numRef>
              <c:f>게시판!$H$11:$L$11</c:f>
              <c:numCache>
                <c:formatCode>0.00_ </c:formatCode>
                <c:ptCount val="5"/>
                <c:pt idx="0" formatCode="0">
                  <c:v>3.2777777777777772</c:v>
                </c:pt>
                <c:pt idx="1">
                  <c:v>1.8333333333333333</c:v>
                </c:pt>
                <c:pt idx="2">
                  <c:v>2.3333333333333335</c:v>
                </c:pt>
                <c:pt idx="3" formatCode="0_);[Red]\(0\)">
                  <c:v>0</c:v>
                </c:pt>
                <c:pt idx="4" formatCode="0_);[Red]\(0\)">
                  <c:v>1</c:v>
                </c:pt>
              </c:numCache>
            </c:numRef>
          </c:val>
          <c:smooth val="0"/>
        </c:ser>
        <c:dLbls>
          <c:showLegendKey val="0"/>
          <c:showVal val="0"/>
          <c:showCatName val="0"/>
          <c:showSerName val="0"/>
          <c:showPercent val="0"/>
          <c:showBubbleSize val="0"/>
        </c:dLbls>
        <c:marker val="1"/>
        <c:smooth val="0"/>
        <c:axId val="569515392"/>
        <c:axId val="569533568"/>
      </c:lineChart>
      <c:catAx>
        <c:axId val="569515392"/>
        <c:scaling>
          <c:orientation val="minMax"/>
        </c:scaling>
        <c:delete val="0"/>
        <c:axPos val="b"/>
        <c:majorTickMark val="out"/>
        <c:minorTickMark val="none"/>
        <c:tickLblPos val="nextTo"/>
        <c:txPr>
          <a:bodyPr/>
          <a:lstStyle/>
          <a:p>
            <a:pPr>
              <a:defRPr sz="800" b="1"/>
            </a:pPr>
            <a:endParaRPr lang="ko-KR"/>
          </a:p>
        </c:txPr>
        <c:crossAx val="569533568"/>
        <c:crosses val="autoZero"/>
        <c:auto val="1"/>
        <c:lblAlgn val="ctr"/>
        <c:lblOffset val="100"/>
        <c:noMultiLvlLbl val="0"/>
      </c:catAx>
      <c:valAx>
        <c:axId val="569533568"/>
        <c:scaling>
          <c:orientation val="minMax"/>
          <c:max val="10"/>
        </c:scaling>
        <c:delete val="0"/>
        <c:axPos val="l"/>
        <c:numFmt formatCode="0" sourceLinked="1"/>
        <c:majorTickMark val="out"/>
        <c:minorTickMark val="none"/>
        <c:tickLblPos val="nextTo"/>
        <c:crossAx val="569515392"/>
        <c:crosses val="autoZero"/>
        <c:crossBetween val="between"/>
        <c:majorUnit val="2"/>
      </c:valAx>
    </c:plotArea>
    <c:plotVisOnly val="1"/>
    <c:dispBlanksAs val="gap"/>
    <c:showDLblsOverMax val="0"/>
  </c:chart>
  <c:spPr>
    <a:ln>
      <a:solidFill>
        <a:sysClr val="windowText" lastClr="000000"/>
      </a:solidFill>
    </a:ln>
  </c:spPr>
  <c:txPr>
    <a:bodyPr/>
    <a:lstStyle/>
    <a:p>
      <a:pPr>
        <a:defRPr sz="1200"/>
      </a:pPr>
      <a:endParaRPr lang="ko-K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고객불만</a:t>
            </a:r>
            <a:r>
              <a:rPr lang="en-US" altLang="ko-KR" sz="1400"/>
              <a:t>(</a:t>
            </a:r>
            <a:r>
              <a:rPr lang="ko-KR" altLang="en-US" sz="1400"/>
              <a:t>건</a:t>
            </a:r>
            <a:r>
              <a:rPr lang="en-US" altLang="ko-KR" sz="1400"/>
              <a:t>)</a:t>
            </a:r>
            <a:endParaRPr lang="ko-KR" altLang="en-US" sz="1400"/>
          </a:p>
        </c:rich>
      </c:tx>
      <c:overlay val="0"/>
    </c:title>
    <c:autoTitleDeleted val="0"/>
    <c:plotArea>
      <c:layout/>
      <c:barChart>
        <c:barDir val="col"/>
        <c:grouping val="clustered"/>
        <c:varyColors val="0"/>
        <c:ser>
          <c:idx val="17"/>
          <c:order val="0"/>
          <c:tx>
            <c:v>라인별 고객불만(건)</c:v>
          </c:tx>
          <c:spPr>
            <a:scene3d>
              <a:camera prst="orthographicFront"/>
              <a:lightRig rig="threePt" dir="t"/>
            </a:scene3d>
            <a:sp3d>
              <a:bevelT/>
            </a:sp3d>
          </c:spPr>
          <c:invertIfNegative val="0"/>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showLegendKey val="0"/>
            <c:showVal val="1"/>
            <c:showCatName val="0"/>
            <c:showSerName val="0"/>
            <c:showPercent val="0"/>
            <c:showBubbleSize val="0"/>
            <c:showLeaderLines val="0"/>
          </c:dLbls>
          <c:cat>
            <c:strRef>
              <c:f>종합!$AS$212:$AS$216</c:f>
              <c:strCache>
                <c:ptCount val="5"/>
                <c:pt idx="0">
                  <c:v>CPL</c:v>
                </c:pt>
                <c:pt idx="1">
                  <c:v>CRM</c:v>
                </c:pt>
                <c:pt idx="2">
                  <c:v>CGL</c:v>
                </c:pt>
                <c:pt idx="3">
                  <c:v>1CCL</c:v>
                </c:pt>
                <c:pt idx="4">
                  <c:v>2CCL</c:v>
                </c:pt>
              </c:strCache>
            </c:strRef>
          </c:cat>
          <c:val>
            <c:numRef>
              <c:f>종합!$AU$212:$AU$216</c:f>
              <c:numCache>
                <c:formatCode>General</c:formatCode>
                <c:ptCount val="5"/>
                <c:pt idx="0">
                  <c:v>0</c:v>
                </c:pt>
                <c:pt idx="1">
                  <c:v>0</c:v>
                </c:pt>
                <c:pt idx="2">
                  <c:v>0</c:v>
                </c:pt>
                <c:pt idx="3">
                  <c:v>0</c:v>
                </c:pt>
                <c:pt idx="4">
                  <c:v>1</c:v>
                </c:pt>
              </c:numCache>
            </c:numRef>
          </c:val>
        </c:ser>
        <c:dLbls>
          <c:showLegendKey val="0"/>
          <c:showVal val="0"/>
          <c:showCatName val="0"/>
          <c:showSerName val="0"/>
          <c:showPercent val="0"/>
          <c:showBubbleSize val="0"/>
        </c:dLbls>
        <c:gapWidth val="150"/>
        <c:axId val="569559680"/>
        <c:axId val="569561472"/>
      </c:barChart>
      <c:catAx>
        <c:axId val="569559680"/>
        <c:scaling>
          <c:orientation val="minMax"/>
        </c:scaling>
        <c:delete val="0"/>
        <c:axPos val="b"/>
        <c:majorTickMark val="out"/>
        <c:minorTickMark val="none"/>
        <c:tickLblPos val="nextTo"/>
        <c:txPr>
          <a:bodyPr/>
          <a:lstStyle/>
          <a:p>
            <a:pPr>
              <a:defRPr b="1"/>
            </a:pPr>
            <a:endParaRPr lang="ko-KR"/>
          </a:p>
        </c:txPr>
        <c:crossAx val="569561472"/>
        <c:crosses val="autoZero"/>
        <c:auto val="1"/>
        <c:lblAlgn val="ctr"/>
        <c:lblOffset val="100"/>
        <c:noMultiLvlLbl val="0"/>
      </c:catAx>
      <c:valAx>
        <c:axId val="569561472"/>
        <c:scaling>
          <c:orientation val="minMax"/>
          <c:max val="5"/>
          <c:min val="0"/>
        </c:scaling>
        <c:delete val="0"/>
        <c:axPos val="l"/>
        <c:numFmt formatCode="General" sourceLinked="1"/>
        <c:majorTickMark val="out"/>
        <c:minorTickMark val="none"/>
        <c:tickLblPos val="nextTo"/>
        <c:crossAx val="569559680"/>
        <c:crosses val="autoZero"/>
        <c:crossBetween val="between"/>
        <c:majorUnit val="1"/>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ko-KR" altLang="en-US"/>
              <a:t>제품생산량 기준 스크랩율</a:t>
            </a:r>
            <a:r>
              <a:rPr lang="en-US" altLang="ko-KR"/>
              <a:t>(</a:t>
            </a:r>
            <a:r>
              <a:rPr lang="en-US" altLang="en-US"/>
              <a:t>kg/ton)</a:t>
            </a:r>
          </a:p>
        </c:rich>
      </c:tx>
      <c:overlay val="0"/>
    </c:title>
    <c:autoTitleDeleted val="0"/>
    <c:plotArea>
      <c:layout>
        <c:manualLayout>
          <c:layoutTarget val="inner"/>
          <c:xMode val="edge"/>
          <c:yMode val="edge"/>
          <c:x val="9.96482939632546E-2"/>
          <c:y val="0.22785315717224916"/>
          <c:w val="0.86979615048118986"/>
          <c:h val="0.60818573818470578"/>
        </c:manualLayout>
      </c:layout>
      <c:lineChart>
        <c:grouping val="standard"/>
        <c:varyColors val="0"/>
        <c:ser>
          <c:idx val="0"/>
          <c:order val="0"/>
          <c:tx>
            <c:strRef>
              <c:f>게시판!$A$14</c:f>
              <c:strCache>
                <c:ptCount val="1"/>
                <c:pt idx="0">
                  <c:v>제품기준 스크랩율(kg/ton)</c:v>
                </c:pt>
              </c:strCache>
            </c:strRef>
          </c:tx>
          <c:dLbls>
            <c:dLblPos val="t"/>
            <c:showLegendKey val="0"/>
            <c:showVal val="1"/>
            <c:showCatName val="0"/>
            <c:showSerName val="0"/>
            <c:showPercent val="0"/>
            <c:showBubbleSize val="0"/>
            <c:showLeaderLines val="0"/>
          </c:dLbls>
          <c:cat>
            <c:strRef>
              <c:f>게시판!$H$2:$L$2</c:f>
              <c:strCache>
                <c:ptCount val="5"/>
                <c:pt idx="0">
                  <c:v>17~19년</c:v>
                </c:pt>
                <c:pt idx="1">
                  <c:v>20년
상반기</c:v>
                </c:pt>
                <c:pt idx="2">
                  <c:v>20년
하반기</c:v>
                </c:pt>
                <c:pt idx="3">
                  <c:v>1월</c:v>
                </c:pt>
                <c:pt idx="4">
                  <c:v>2월</c:v>
                </c:pt>
              </c:strCache>
            </c:strRef>
          </c:cat>
          <c:val>
            <c:numRef>
              <c:f>게시판!$H$14:$L$14</c:f>
              <c:numCache>
                <c:formatCode>0.00</c:formatCode>
                <c:ptCount val="5"/>
                <c:pt idx="0" formatCode="0">
                  <c:v>40.32527010463226</c:v>
                </c:pt>
                <c:pt idx="1">
                  <c:v>38.572962643821121</c:v>
                </c:pt>
                <c:pt idx="2">
                  <c:v>35.381540612003768</c:v>
                </c:pt>
                <c:pt idx="3">
                  <c:v>9.9131725560285275</c:v>
                </c:pt>
                <c:pt idx="4">
                  <c:v>9.0656325532346553</c:v>
                </c:pt>
              </c:numCache>
            </c:numRef>
          </c:val>
          <c:smooth val="0"/>
        </c:ser>
        <c:dLbls>
          <c:showLegendKey val="0"/>
          <c:showVal val="0"/>
          <c:showCatName val="0"/>
          <c:showSerName val="0"/>
          <c:showPercent val="0"/>
          <c:showBubbleSize val="0"/>
        </c:dLbls>
        <c:marker val="1"/>
        <c:smooth val="0"/>
        <c:axId val="569602432"/>
        <c:axId val="569603968"/>
      </c:lineChart>
      <c:catAx>
        <c:axId val="569602432"/>
        <c:scaling>
          <c:orientation val="minMax"/>
        </c:scaling>
        <c:delete val="0"/>
        <c:axPos val="b"/>
        <c:majorTickMark val="out"/>
        <c:minorTickMark val="none"/>
        <c:tickLblPos val="nextTo"/>
        <c:txPr>
          <a:bodyPr/>
          <a:lstStyle/>
          <a:p>
            <a:pPr>
              <a:defRPr sz="900" b="1"/>
            </a:pPr>
            <a:endParaRPr lang="ko-KR"/>
          </a:p>
        </c:txPr>
        <c:crossAx val="569603968"/>
        <c:crosses val="autoZero"/>
        <c:auto val="1"/>
        <c:lblAlgn val="ctr"/>
        <c:lblOffset val="100"/>
        <c:noMultiLvlLbl val="0"/>
      </c:catAx>
      <c:valAx>
        <c:axId val="569603968"/>
        <c:scaling>
          <c:orientation val="minMax"/>
          <c:max val="50"/>
          <c:min val="0"/>
        </c:scaling>
        <c:delete val="0"/>
        <c:axPos val="l"/>
        <c:numFmt formatCode="0" sourceLinked="1"/>
        <c:majorTickMark val="out"/>
        <c:minorTickMark val="none"/>
        <c:tickLblPos val="nextTo"/>
        <c:crossAx val="569602432"/>
        <c:crosses val="autoZero"/>
        <c:crossBetween val="between"/>
        <c:majorUnit val="10"/>
      </c:valAx>
    </c:plotArea>
    <c:plotVisOnly val="1"/>
    <c:dispBlanksAs val="gap"/>
    <c:showDLblsOverMax val="0"/>
  </c:chart>
  <c:spPr>
    <a:ln>
      <a:solidFill>
        <a:sysClr val="windowText" lastClr="000000"/>
      </a:solidFill>
    </a:ln>
  </c:spPr>
  <c:txPr>
    <a:bodyPr/>
    <a:lstStyle/>
    <a:p>
      <a:pPr>
        <a:defRPr sz="1200"/>
      </a:pPr>
      <a:endParaRPr lang="ko-K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ko-KR" altLang="en-US" sz="1400"/>
              <a:t>제품생산량 </a:t>
            </a:r>
            <a:r>
              <a:rPr lang="en-US" altLang="ko-KR" sz="1400"/>
              <a:t>&amp;</a:t>
            </a:r>
            <a:r>
              <a:rPr lang="ko-KR" altLang="en-US" sz="1400"/>
              <a:t> 스크랩량</a:t>
            </a:r>
            <a:r>
              <a:rPr lang="en-US" altLang="ko-KR" sz="1400"/>
              <a:t>(ton)</a:t>
            </a:r>
            <a:endParaRPr lang="ko-KR" altLang="en-US" sz="1400"/>
          </a:p>
        </c:rich>
      </c:tx>
      <c:overlay val="0"/>
    </c:title>
    <c:autoTitleDeleted val="0"/>
    <c:plotArea>
      <c:layout/>
      <c:barChart>
        <c:barDir val="col"/>
        <c:grouping val="clustered"/>
        <c:varyColors val="0"/>
        <c:ser>
          <c:idx val="17"/>
          <c:order val="0"/>
          <c:tx>
            <c:strRef>
              <c:f>게시판!$BE$8</c:f>
              <c:strCache>
                <c:ptCount val="1"/>
                <c:pt idx="0">
                  <c:v>스크랩량</c:v>
                </c:pt>
              </c:strCache>
            </c:strRef>
          </c:tx>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Pt>
            <c:idx val="5"/>
            <c:invertIfNegative val="0"/>
            <c:bubble3D val="0"/>
            <c:spPr>
              <a:solidFill>
                <a:srgbClr val="002060"/>
              </a:solidFill>
              <a:scene3d>
                <a:camera prst="orthographicFront"/>
                <a:lightRig rig="threePt" dir="t"/>
              </a:scene3d>
              <a:sp3d>
                <a:bevelT/>
              </a:sp3d>
            </c:spPr>
          </c:dPt>
          <c:dPt>
            <c:idx val="6"/>
            <c:invertIfNegative val="0"/>
            <c:bubble3D val="0"/>
            <c:spPr>
              <a:solidFill>
                <a:srgbClr val="7030A0"/>
              </a:solidFill>
              <a:scene3d>
                <a:camera prst="orthographicFront"/>
                <a:lightRig rig="threePt" dir="t"/>
              </a:scene3d>
              <a:sp3d>
                <a:bevelT/>
              </a:sp3d>
            </c:spPr>
          </c:dPt>
          <c:dPt>
            <c:idx val="8"/>
            <c:invertIfNegative val="0"/>
            <c:bubble3D val="0"/>
            <c:spPr>
              <a:solidFill>
                <a:schemeClr val="accent1"/>
              </a:solidFill>
              <a:scene3d>
                <a:camera prst="orthographicFront"/>
                <a:lightRig rig="threePt" dir="t"/>
              </a:scene3d>
              <a:sp3d>
                <a:bevelT/>
              </a:sp3d>
            </c:spPr>
          </c:dPt>
          <c:dLbls>
            <c:dLblPos val="outEnd"/>
            <c:showLegendKey val="0"/>
            <c:showVal val="1"/>
            <c:showCatName val="0"/>
            <c:showSerName val="0"/>
            <c:showPercent val="0"/>
            <c:showBubbleSize val="0"/>
            <c:showLeaderLines val="0"/>
          </c:dLbls>
          <c:cat>
            <c:strRef>
              <c:f>게시판!$BD$11:$BD$15</c:f>
              <c:strCache>
                <c:ptCount val="5"/>
                <c:pt idx="0">
                  <c:v>18년</c:v>
                </c:pt>
                <c:pt idx="1">
                  <c:v>19년</c:v>
                </c:pt>
                <c:pt idx="2">
                  <c:v>20년</c:v>
                </c:pt>
                <c:pt idx="3">
                  <c:v>1월</c:v>
                </c:pt>
                <c:pt idx="4">
                  <c:v>2월</c:v>
                </c:pt>
              </c:strCache>
            </c:strRef>
          </c:cat>
          <c:val>
            <c:numRef>
              <c:f>게시판!$BE$11:$BE$15</c:f>
              <c:numCache>
                <c:formatCode>#,##0_ </c:formatCode>
                <c:ptCount val="5"/>
                <c:pt idx="0" formatCode="#,##0_);[Red]\(#,##0\)">
                  <c:v>1283.9554166666667</c:v>
                </c:pt>
                <c:pt idx="1">
                  <c:v>1222.1416666666667</c:v>
                </c:pt>
                <c:pt idx="2">
                  <c:v>998.57999999999993</c:v>
                </c:pt>
                <c:pt idx="3" formatCode="General">
                  <c:v>175.10400000000001</c:v>
                </c:pt>
                <c:pt idx="4" formatCode="#,##0.000_);[Red]\(#,##0.000\)">
                  <c:v>155.32499999999999</c:v>
                </c:pt>
              </c:numCache>
            </c:numRef>
          </c:val>
        </c:ser>
        <c:dLbls>
          <c:showLegendKey val="0"/>
          <c:showVal val="0"/>
          <c:showCatName val="0"/>
          <c:showSerName val="0"/>
          <c:showPercent val="0"/>
          <c:showBubbleSize val="0"/>
        </c:dLbls>
        <c:gapWidth val="200"/>
        <c:overlap val="-25"/>
        <c:axId val="569638272"/>
        <c:axId val="569730176"/>
      </c:barChart>
      <c:lineChart>
        <c:grouping val="standard"/>
        <c:varyColors val="0"/>
        <c:ser>
          <c:idx val="0"/>
          <c:order val="1"/>
          <c:tx>
            <c:strRef>
              <c:f>게시판!$BF$8</c:f>
              <c:strCache>
                <c:ptCount val="1"/>
                <c:pt idx="0">
                  <c:v>제품생산량</c:v>
                </c:pt>
              </c:strCache>
            </c:strRef>
          </c:tx>
          <c:dLbls>
            <c:dLblPos val="t"/>
            <c:showLegendKey val="0"/>
            <c:showVal val="1"/>
            <c:showCatName val="0"/>
            <c:showSerName val="0"/>
            <c:showPercent val="0"/>
            <c:showBubbleSize val="0"/>
            <c:showLeaderLines val="0"/>
          </c:dLbls>
          <c:cat>
            <c:strRef>
              <c:f>게시판!$BD$12:$BD$26</c:f>
              <c:strCache>
                <c:ptCount val="15"/>
                <c:pt idx="0">
                  <c:v>19년</c:v>
                </c:pt>
                <c:pt idx="1">
                  <c:v>20년</c:v>
                </c:pt>
                <c:pt idx="2">
                  <c:v>1월</c:v>
                </c:pt>
                <c:pt idx="3">
                  <c:v>2월</c:v>
                </c:pt>
                <c:pt idx="4">
                  <c:v>3월</c:v>
                </c:pt>
                <c:pt idx="5">
                  <c:v>4월</c:v>
                </c:pt>
                <c:pt idx="6">
                  <c:v>5월</c:v>
                </c:pt>
                <c:pt idx="7">
                  <c:v>6월</c:v>
                </c:pt>
                <c:pt idx="8">
                  <c:v>20년 상반기</c:v>
                </c:pt>
                <c:pt idx="9">
                  <c:v>7월</c:v>
                </c:pt>
                <c:pt idx="10">
                  <c:v>8월</c:v>
                </c:pt>
                <c:pt idx="11">
                  <c:v>9월</c:v>
                </c:pt>
                <c:pt idx="12">
                  <c:v>10월</c:v>
                </c:pt>
                <c:pt idx="13">
                  <c:v>11월</c:v>
                </c:pt>
                <c:pt idx="14">
                  <c:v>12월</c:v>
                </c:pt>
              </c:strCache>
            </c:strRef>
          </c:cat>
          <c:val>
            <c:numRef>
              <c:f>게시판!$BF$11:$BF$15</c:f>
              <c:numCache>
                <c:formatCode>#,##0_ </c:formatCode>
                <c:ptCount val="5"/>
                <c:pt idx="0">
                  <c:v>30176.335583333333</c:v>
                </c:pt>
                <c:pt idx="1">
                  <c:v>29651.478416666665</c:v>
                </c:pt>
                <c:pt idx="2">
                  <c:v>32276.860499999999</c:v>
                </c:pt>
                <c:pt idx="3" formatCode="#,##0_);[Red]\(#,##0\)">
                  <c:v>17663.77</c:v>
                </c:pt>
                <c:pt idx="4" formatCode="#,##0_);[Red]\(#,##0\)">
                  <c:v>17133.387999999999</c:v>
                </c:pt>
              </c:numCache>
            </c:numRef>
          </c:val>
          <c:smooth val="0"/>
        </c:ser>
        <c:dLbls>
          <c:showLegendKey val="0"/>
          <c:showVal val="0"/>
          <c:showCatName val="0"/>
          <c:showSerName val="0"/>
          <c:showPercent val="0"/>
          <c:showBubbleSize val="0"/>
        </c:dLbls>
        <c:marker val="1"/>
        <c:smooth val="0"/>
        <c:axId val="569745792"/>
        <c:axId val="569731712"/>
      </c:lineChart>
      <c:catAx>
        <c:axId val="569638272"/>
        <c:scaling>
          <c:orientation val="minMax"/>
        </c:scaling>
        <c:delete val="0"/>
        <c:axPos val="b"/>
        <c:majorTickMark val="none"/>
        <c:minorTickMark val="none"/>
        <c:tickLblPos val="nextTo"/>
        <c:txPr>
          <a:bodyPr/>
          <a:lstStyle/>
          <a:p>
            <a:pPr>
              <a:defRPr sz="800" b="1"/>
            </a:pPr>
            <a:endParaRPr lang="ko-KR"/>
          </a:p>
        </c:txPr>
        <c:crossAx val="569730176"/>
        <c:crosses val="autoZero"/>
        <c:auto val="1"/>
        <c:lblAlgn val="ctr"/>
        <c:lblOffset val="100"/>
        <c:noMultiLvlLbl val="0"/>
      </c:catAx>
      <c:valAx>
        <c:axId val="569730176"/>
        <c:scaling>
          <c:orientation val="minMax"/>
          <c:max val="2500"/>
        </c:scaling>
        <c:delete val="0"/>
        <c:axPos val="l"/>
        <c:numFmt formatCode="#,##0_);[Red]\(#,##0\)" sourceLinked="1"/>
        <c:majorTickMark val="none"/>
        <c:minorTickMark val="none"/>
        <c:tickLblPos val="nextTo"/>
        <c:spPr>
          <a:ln w="9525">
            <a:solidFill>
              <a:sysClr val="windowText" lastClr="000000"/>
            </a:solidFill>
          </a:ln>
        </c:spPr>
        <c:crossAx val="569638272"/>
        <c:crosses val="autoZero"/>
        <c:crossBetween val="between"/>
        <c:majorUnit val="500"/>
      </c:valAx>
      <c:valAx>
        <c:axId val="569731712"/>
        <c:scaling>
          <c:orientation val="minMax"/>
          <c:max val="40000"/>
          <c:min val="0"/>
        </c:scaling>
        <c:delete val="0"/>
        <c:axPos val="r"/>
        <c:numFmt formatCode="#,##0_ " sourceLinked="1"/>
        <c:majorTickMark val="out"/>
        <c:minorTickMark val="none"/>
        <c:tickLblPos val="nextTo"/>
        <c:crossAx val="569745792"/>
        <c:crosses val="max"/>
        <c:crossBetween val="between"/>
        <c:majorUnit val="8000"/>
      </c:valAx>
      <c:catAx>
        <c:axId val="569745792"/>
        <c:scaling>
          <c:orientation val="minMax"/>
        </c:scaling>
        <c:delete val="1"/>
        <c:axPos val="b"/>
        <c:majorTickMark val="out"/>
        <c:minorTickMark val="none"/>
        <c:tickLblPos val="nextTo"/>
        <c:crossAx val="569731712"/>
        <c:crosses val="autoZero"/>
        <c:auto val="1"/>
        <c:lblAlgn val="ctr"/>
        <c:lblOffset val="100"/>
        <c:noMultiLvlLbl val="0"/>
      </c:cat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chemeClr val="bg1"/>
                </a:solidFill>
              </a:defRPr>
            </a:pPr>
            <a:r>
              <a:rPr lang="ko-KR" altLang="en-US"/>
              <a:t>불량</a:t>
            </a:r>
          </a:p>
        </c:rich>
      </c:tx>
      <c:overlay val="0"/>
      <c:spPr>
        <a:solidFill>
          <a:srgbClr val="00B0F0"/>
        </a:solidFill>
      </c:spPr>
    </c:title>
    <c:autoTitleDeleted val="0"/>
    <c:plotArea>
      <c:layout/>
      <c:barChart>
        <c:barDir val="col"/>
        <c:grouping val="clustered"/>
        <c:varyColors val="0"/>
        <c:ser>
          <c:idx val="0"/>
          <c:order val="0"/>
          <c:tx>
            <c:strRef>
              <c:f>게시판!$A$3</c:f>
              <c:strCache>
                <c:ptCount val="1"/>
                <c:pt idx="0">
                  <c:v>불량 발생현황</c:v>
                </c:pt>
              </c:strCache>
            </c:strRef>
          </c:tx>
          <c:spPr>
            <a:solidFill>
              <a:srgbClr val="92D050"/>
            </a:solidFill>
          </c:spPr>
          <c:invertIfNegative val="0"/>
          <c:dPt>
            <c:idx val="0"/>
            <c:invertIfNegative val="0"/>
            <c:bubble3D val="0"/>
            <c:spPr>
              <a:solidFill>
                <a:srgbClr val="FFC000"/>
              </a:solidFill>
            </c:spPr>
          </c:dPt>
          <c:dPt>
            <c:idx val="1"/>
            <c:invertIfNegative val="0"/>
            <c:bubble3D val="0"/>
            <c:spPr>
              <a:solidFill>
                <a:schemeClr val="accent2">
                  <a:lumMod val="75000"/>
                </a:schemeClr>
              </a:solidFill>
            </c:spPr>
          </c:dPt>
          <c:dPt>
            <c:idx val="2"/>
            <c:invertIfNegative val="0"/>
            <c:bubble3D val="0"/>
            <c:spPr>
              <a:solidFill>
                <a:srgbClr val="C00000"/>
              </a:solidFill>
            </c:spPr>
          </c:dPt>
          <c:dPt>
            <c:idx val="3"/>
            <c:invertIfNegative val="0"/>
            <c:bubble3D val="0"/>
            <c:spPr>
              <a:solidFill>
                <a:srgbClr val="C00000"/>
              </a:solidFill>
            </c:spPr>
          </c:dPt>
          <c:dLbls>
            <c:dLbl>
              <c:idx val="0"/>
              <c:showLegendKey val="0"/>
              <c:showVal val="1"/>
              <c:showCatName val="0"/>
              <c:showSerName val="0"/>
              <c:showPercent val="0"/>
              <c:showBubbleSize val="0"/>
            </c:dLbl>
            <c:dLbl>
              <c:idx val="1"/>
              <c:showLegendKey val="0"/>
              <c:showVal val="1"/>
              <c:showCatName val="0"/>
              <c:showSerName val="0"/>
              <c:showPercent val="0"/>
              <c:showBubbleSize val="0"/>
            </c:dLbl>
            <c:dLbl>
              <c:idx val="2"/>
              <c:showLegendKey val="0"/>
              <c:showVal val="1"/>
              <c:showCatName val="0"/>
              <c:showSerName val="0"/>
              <c:showPercent val="0"/>
              <c:showBubbleSize val="0"/>
            </c:dLbl>
            <c:showLegendKey val="0"/>
            <c:showVal val="0"/>
            <c:showCatName val="0"/>
            <c:showSerName val="0"/>
            <c:showPercent val="0"/>
            <c:showBubbleSize val="0"/>
          </c:dLbls>
          <c:cat>
            <c:strRef>
              <c:f>(게시판!$H$2:$P$2,게시판!$R$2:$W$2)</c:f>
              <c:strCache>
                <c:ptCount val="15"/>
                <c:pt idx="0">
                  <c:v>17~19년</c:v>
                </c:pt>
                <c:pt idx="1">
                  <c:v>20년
상반기</c:v>
                </c:pt>
                <c:pt idx="2">
                  <c:v>20년
하반기</c:v>
                </c:pt>
                <c:pt idx="3">
                  <c:v>1월</c:v>
                </c:pt>
                <c:pt idx="4">
                  <c:v>2월</c:v>
                </c:pt>
                <c:pt idx="5">
                  <c:v>3월</c:v>
                </c:pt>
                <c:pt idx="6">
                  <c:v>4월</c:v>
                </c:pt>
                <c:pt idx="7">
                  <c:v>5월</c:v>
                </c:pt>
                <c:pt idx="8">
                  <c:v>6월</c:v>
                </c:pt>
                <c:pt idx="9">
                  <c:v>7월</c:v>
                </c:pt>
                <c:pt idx="10">
                  <c:v>8월</c:v>
                </c:pt>
                <c:pt idx="11">
                  <c:v>9월</c:v>
                </c:pt>
                <c:pt idx="12">
                  <c:v>10월</c:v>
                </c:pt>
                <c:pt idx="13">
                  <c:v>11월</c:v>
                </c:pt>
                <c:pt idx="14">
                  <c:v>12월</c:v>
                </c:pt>
              </c:strCache>
            </c:strRef>
          </c:cat>
          <c:val>
            <c:numRef>
              <c:f>(게시판!$H$3:$P$3,게시판!$R$3:$W$3)</c:f>
              <c:numCache>
                <c:formatCode>0</c:formatCode>
                <c:ptCount val="15"/>
                <c:pt idx="0">
                  <c:v>46.855222222222231</c:v>
                </c:pt>
                <c:pt idx="1">
                  <c:v>28.49666666666667</c:v>
                </c:pt>
                <c:pt idx="2">
                  <c:v>21.746666666666666</c:v>
                </c:pt>
                <c:pt idx="3" formatCode="0_);[Red]\(0\)">
                  <c:v>15.01</c:v>
                </c:pt>
                <c:pt idx="4" formatCode="0_);[Red]\(0\)">
                  <c:v>0.96</c:v>
                </c:pt>
                <c:pt idx="5" formatCode="0_);[Red]\(0\)">
                  <c:v>14.87</c:v>
                </c:pt>
                <c:pt idx="6" formatCode="0_);[Red]\(0\)">
                  <c:v>0</c:v>
                </c:pt>
                <c:pt idx="7" formatCode="0_);[Red]\(0\)">
                  <c:v>0</c:v>
                </c:pt>
                <c:pt idx="8" formatCode="0_);[Red]\(0\)">
                  <c:v>0</c:v>
                </c:pt>
                <c:pt idx="9" formatCode="0_);[Red]\(0\)">
                  <c:v>0</c:v>
                </c:pt>
                <c:pt idx="10" formatCode="0_);[Red]\(0\)">
                  <c:v>0</c:v>
                </c:pt>
                <c:pt idx="11" formatCode="0_);[Red]\(0\)">
                  <c:v>0</c:v>
                </c:pt>
                <c:pt idx="12" formatCode="0_);[Red]\(0\)">
                  <c:v>0</c:v>
                </c:pt>
                <c:pt idx="13" formatCode="0_);[Red]\(0\)">
                  <c:v>0</c:v>
                </c:pt>
                <c:pt idx="14" formatCode="0_);[Red]\(0\)">
                  <c:v>0</c:v>
                </c:pt>
              </c:numCache>
            </c:numRef>
          </c:val>
        </c:ser>
        <c:dLbls>
          <c:showLegendKey val="0"/>
          <c:showVal val="0"/>
          <c:showCatName val="0"/>
          <c:showSerName val="0"/>
          <c:showPercent val="0"/>
          <c:showBubbleSize val="0"/>
        </c:dLbls>
        <c:gapWidth val="150"/>
        <c:axId val="569760384"/>
        <c:axId val="569774464"/>
      </c:barChart>
      <c:catAx>
        <c:axId val="569760384"/>
        <c:scaling>
          <c:orientation val="minMax"/>
        </c:scaling>
        <c:delete val="0"/>
        <c:axPos val="b"/>
        <c:majorTickMark val="out"/>
        <c:minorTickMark val="none"/>
        <c:tickLblPos val="nextTo"/>
        <c:crossAx val="569774464"/>
        <c:crosses val="autoZero"/>
        <c:auto val="1"/>
        <c:lblAlgn val="ctr"/>
        <c:lblOffset val="100"/>
        <c:noMultiLvlLbl val="0"/>
      </c:catAx>
      <c:valAx>
        <c:axId val="569774464"/>
        <c:scaling>
          <c:orientation val="minMax"/>
          <c:max val="80"/>
        </c:scaling>
        <c:delete val="0"/>
        <c:axPos val="l"/>
        <c:majorGridlines/>
        <c:numFmt formatCode="0" sourceLinked="1"/>
        <c:majorTickMark val="out"/>
        <c:minorTickMark val="none"/>
        <c:tickLblPos val="nextTo"/>
        <c:crossAx val="569760384"/>
        <c:crosses val="autoZero"/>
        <c:crossBetween val="between"/>
        <c:majorUnit val="16"/>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chemeClr val="bg1"/>
                </a:solidFill>
              </a:defRPr>
            </a:pPr>
            <a:r>
              <a:rPr lang="ko-KR" altLang="en-US">
                <a:solidFill>
                  <a:schemeClr val="bg1"/>
                </a:solidFill>
              </a:rPr>
              <a:t>코일형 스크랩</a:t>
            </a:r>
          </a:p>
        </c:rich>
      </c:tx>
      <c:overlay val="0"/>
      <c:spPr>
        <a:solidFill>
          <a:srgbClr val="00B0F0"/>
        </a:solidFill>
      </c:spPr>
    </c:title>
    <c:autoTitleDeleted val="0"/>
    <c:plotArea>
      <c:layout>
        <c:manualLayout>
          <c:layoutTarget val="inner"/>
          <c:xMode val="edge"/>
          <c:yMode val="edge"/>
          <c:x val="7.477937456055618E-2"/>
          <c:y val="0.11809724091520861"/>
          <c:w val="0.87917744953887711"/>
          <c:h val="0.76498130701360856"/>
        </c:manualLayout>
      </c:layout>
      <c:barChart>
        <c:barDir val="col"/>
        <c:grouping val="clustered"/>
        <c:varyColors val="0"/>
        <c:ser>
          <c:idx val="0"/>
          <c:order val="0"/>
          <c:tx>
            <c:strRef>
              <c:f>게시판!$A$4</c:f>
              <c:strCache>
                <c:ptCount val="1"/>
                <c:pt idx="0">
                  <c:v>Coil형 Scrap 발생량</c:v>
                </c:pt>
              </c:strCache>
            </c:strRef>
          </c:tx>
          <c:spPr>
            <a:solidFill>
              <a:srgbClr val="92D050"/>
            </a:solidFill>
          </c:spPr>
          <c:invertIfNegative val="0"/>
          <c:dPt>
            <c:idx val="0"/>
            <c:invertIfNegative val="0"/>
            <c:bubble3D val="0"/>
            <c:spPr>
              <a:solidFill>
                <a:srgbClr val="FFC000"/>
              </a:solidFill>
            </c:spPr>
          </c:dPt>
          <c:dPt>
            <c:idx val="1"/>
            <c:invertIfNegative val="0"/>
            <c:bubble3D val="0"/>
            <c:spPr>
              <a:solidFill>
                <a:schemeClr val="accent2">
                  <a:lumMod val="75000"/>
                </a:schemeClr>
              </a:solidFill>
            </c:spPr>
          </c:dPt>
          <c:dPt>
            <c:idx val="2"/>
            <c:invertIfNegative val="0"/>
            <c:bubble3D val="0"/>
            <c:spPr>
              <a:solidFill>
                <a:srgbClr val="C00000"/>
              </a:solidFill>
            </c:spPr>
          </c:dPt>
          <c:dPt>
            <c:idx val="3"/>
            <c:invertIfNegative val="0"/>
            <c:bubble3D val="0"/>
            <c:spPr>
              <a:solidFill>
                <a:srgbClr val="C00000"/>
              </a:solidFill>
            </c:spPr>
          </c:dPt>
          <c:dLbls>
            <c:dLbl>
              <c:idx val="0"/>
              <c:showLegendKey val="0"/>
              <c:showVal val="1"/>
              <c:showCatName val="0"/>
              <c:showSerName val="0"/>
              <c:showPercent val="0"/>
              <c:showBubbleSize val="0"/>
            </c:dLbl>
            <c:dLbl>
              <c:idx val="1"/>
              <c:showLegendKey val="0"/>
              <c:showVal val="1"/>
              <c:showCatName val="0"/>
              <c:showSerName val="0"/>
              <c:showPercent val="0"/>
              <c:showBubbleSize val="0"/>
            </c:dLbl>
            <c:dLbl>
              <c:idx val="2"/>
              <c:showLegendKey val="0"/>
              <c:showVal val="1"/>
              <c:showCatName val="0"/>
              <c:showSerName val="0"/>
              <c:showPercent val="0"/>
              <c:showBubbleSize val="0"/>
            </c:dLbl>
            <c:showLegendKey val="0"/>
            <c:showVal val="0"/>
            <c:showCatName val="0"/>
            <c:showSerName val="0"/>
            <c:showPercent val="0"/>
            <c:showBubbleSize val="0"/>
          </c:dLbls>
          <c:cat>
            <c:strRef>
              <c:f>(게시판!$H$2:$P$2,게시판!$R$2:$W$2)</c:f>
              <c:strCache>
                <c:ptCount val="15"/>
                <c:pt idx="0">
                  <c:v>17~19년</c:v>
                </c:pt>
                <c:pt idx="1">
                  <c:v>20년
상반기</c:v>
                </c:pt>
                <c:pt idx="2">
                  <c:v>20년
하반기</c:v>
                </c:pt>
                <c:pt idx="3">
                  <c:v>1월</c:v>
                </c:pt>
                <c:pt idx="4">
                  <c:v>2월</c:v>
                </c:pt>
                <c:pt idx="5">
                  <c:v>3월</c:v>
                </c:pt>
                <c:pt idx="6">
                  <c:v>4월</c:v>
                </c:pt>
                <c:pt idx="7">
                  <c:v>5월</c:v>
                </c:pt>
                <c:pt idx="8">
                  <c:v>6월</c:v>
                </c:pt>
                <c:pt idx="9">
                  <c:v>7월</c:v>
                </c:pt>
                <c:pt idx="10">
                  <c:v>8월</c:v>
                </c:pt>
                <c:pt idx="11">
                  <c:v>9월</c:v>
                </c:pt>
                <c:pt idx="12">
                  <c:v>10월</c:v>
                </c:pt>
                <c:pt idx="13">
                  <c:v>11월</c:v>
                </c:pt>
                <c:pt idx="14">
                  <c:v>12월</c:v>
                </c:pt>
              </c:strCache>
            </c:strRef>
          </c:cat>
          <c:val>
            <c:numRef>
              <c:f>(게시판!$H$4:$P$4,게시판!$R$4:$W$4)</c:f>
              <c:numCache>
                <c:formatCode>0</c:formatCode>
                <c:ptCount val="15"/>
                <c:pt idx="0">
                  <c:v>150.64891666666668</c:v>
                </c:pt>
                <c:pt idx="1">
                  <c:v>79.964833333333331</c:v>
                </c:pt>
                <c:pt idx="2">
                  <c:v>77.182000000000002</c:v>
                </c:pt>
                <c:pt idx="3" formatCode="0_);[Red]\(0\)">
                  <c:v>22.184000000000001</c:v>
                </c:pt>
                <c:pt idx="4" formatCode="0_);[Red]\(0\)">
                  <c:v>19.324999999999999</c:v>
                </c:pt>
                <c:pt idx="5" formatCode="0_);[Red]\(0\)">
                  <c:v>199.33200000000002</c:v>
                </c:pt>
                <c:pt idx="6" formatCode="0_);[Red]\(0\)">
                  <c:v>0</c:v>
                </c:pt>
                <c:pt idx="7" formatCode="0_);[Red]\(0\)">
                  <c:v>0</c:v>
                </c:pt>
                <c:pt idx="8" formatCode="0_);[Red]\(0\)">
                  <c:v>0</c:v>
                </c:pt>
                <c:pt idx="9" formatCode="0_);[Red]\(0\)">
                  <c:v>0</c:v>
                </c:pt>
                <c:pt idx="10" formatCode="0_);[Red]\(0\)">
                  <c:v>0</c:v>
                </c:pt>
                <c:pt idx="11" formatCode="0_);[Red]\(0\)">
                  <c:v>0</c:v>
                </c:pt>
                <c:pt idx="12" formatCode="0_);[Red]\(0\)">
                  <c:v>0</c:v>
                </c:pt>
                <c:pt idx="13" formatCode="0_);[Red]\(0\)">
                  <c:v>0</c:v>
                </c:pt>
                <c:pt idx="14" formatCode="0_);[Red]\(0\)">
                  <c:v>0</c:v>
                </c:pt>
              </c:numCache>
            </c:numRef>
          </c:val>
        </c:ser>
        <c:dLbls>
          <c:showLegendKey val="0"/>
          <c:showVal val="0"/>
          <c:showCatName val="0"/>
          <c:showSerName val="0"/>
          <c:showPercent val="0"/>
          <c:showBubbleSize val="0"/>
        </c:dLbls>
        <c:gapWidth val="150"/>
        <c:axId val="569792768"/>
        <c:axId val="569802752"/>
      </c:barChart>
      <c:catAx>
        <c:axId val="569792768"/>
        <c:scaling>
          <c:orientation val="minMax"/>
        </c:scaling>
        <c:delete val="0"/>
        <c:axPos val="b"/>
        <c:majorTickMark val="out"/>
        <c:minorTickMark val="none"/>
        <c:tickLblPos val="nextTo"/>
        <c:crossAx val="569802752"/>
        <c:crosses val="autoZero"/>
        <c:auto val="1"/>
        <c:lblAlgn val="ctr"/>
        <c:lblOffset val="100"/>
        <c:noMultiLvlLbl val="0"/>
      </c:catAx>
      <c:valAx>
        <c:axId val="569802752"/>
        <c:scaling>
          <c:orientation val="minMax"/>
          <c:max val="200"/>
        </c:scaling>
        <c:delete val="0"/>
        <c:axPos val="l"/>
        <c:majorGridlines/>
        <c:numFmt formatCode="0" sourceLinked="1"/>
        <c:majorTickMark val="out"/>
        <c:minorTickMark val="none"/>
        <c:tickLblPos val="nextTo"/>
        <c:crossAx val="569792768"/>
        <c:crosses val="autoZero"/>
        <c:crossBetween val="between"/>
        <c:majorUnit val="50"/>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pPr>
            <a:r>
              <a:rPr lang="ko-KR" altLang="en-US"/>
              <a:t>스크랩 발생율</a:t>
            </a:r>
            <a:r>
              <a:rPr lang="en-US" altLang="ko-KR"/>
              <a:t>(kg/ton)</a:t>
            </a:r>
            <a:endParaRPr lang="en-US" altLang="en-US"/>
          </a:p>
        </c:rich>
      </c:tx>
      <c:layout>
        <c:manualLayout>
          <c:xMode val="edge"/>
          <c:yMode val="edge"/>
          <c:x val="0.30005955555555558"/>
          <c:y val="2.663652986839387E-2"/>
        </c:manualLayout>
      </c:layout>
      <c:overlay val="0"/>
    </c:title>
    <c:autoTitleDeleted val="0"/>
    <c:plotArea>
      <c:layout/>
      <c:barChart>
        <c:barDir val="col"/>
        <c:grouping val="clustered"/>
        <c:varyColors val="0"/>
        <c:ser>
          <c:idx val="17"/>
          <c:order val="0"/>
          <c:tx>
            <c:v>스크랩 발생율(kg/ton)</c:v>
          </c:tx>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1"/>
            <c:invertIfNegative val="0"/>
            <c:bubble3D val="0"/>
            <c:spPr>
              <a:solidFill>
                <a:schemeClr val="accent6"/>
              </a:solidFill>
              <a:scene3d>
                <a:camera prst="orthographicFront"/>
                <a:lightRig rig="threePt" dir="t"/>
              </a:scene3d>
              <a:sp3d>
                <a:bevelT/>
              </a:sp3d>
            </c:spPr>
          </c:dPt>
          <c:dPt>
            <c:idx val="2"/>
            <c:invertIfNegative val="0"/>
            <c:bubble3D val="0"/>
            <c:spPr>
              <a:solidFill>
                <a:srgbClr val="FFFF00"/>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0000FF"/>
              </a:solidFill>
              <a:scene3d>
                <a:camera prst="orthographicFront"/>
                <a:lightRig rig="threePt" dir="t"/>
              </a:scene3d>
              <a:sp3d>
                <a:bevelT/>
              </a:sp3d>
            </c:spPr>
          </c:dPt>
          <c:dLbls>
            <c:dLbl>
              <c:idx val="0"/>
              <c:layout>
                <c:manualLayout>
                  <c:x val="2.8222222222222221E-3"/>
                  <c:y val="8.8788432894646233E-2"/>
                </c:manualLayout>
              </c:layout>
              <c:showLegendKey val="0"/>
              <c:showVal val="1"/>
              <c:showCatName val="0"/>
              <c:showSerName val="0"/>
              <c:showPercent val="0"/>
              <c:showBubbleSize val="0"/>
            </c:dLbl>
            <c:dLbl>
              <c:idx val="1"/>
              <c:layout>
                <c:manualLayout>
                  <c:x val="2.8222222222222221E-3"/>
                  <c:y val="9.3227504978619119E-2"/>
                </c:manualLayout>
              </c:layout>
              <c:showLegendKey val="0"/>
              <c:showVal val="1"/>
              <c:showCatName val="0"/>
              <c:showSerName val="0"/>
              <c:showPercent val="0"/>
              <c:showBubbleSize val="0"/>
            </c:dLbl>
            <c:dLbl>
              <c:idx val="2"/>
              <c:layout>
                <c:manualLayout>
                  <c:x val="2.8222222222222221E-3"/>
                  <c:y val="7.1030746315716986E-2"/>
                </c:manualLayout>
              </c:layout>
              <c:showLegendKey val="0"/>
              <c:showVal val="1"/>
              <c:showCatName val="0"/>
              <c:showSerName val="0"/>
              <c:showPercent val="0"/>
              <c:showBubbleSize val="0"/>
            </c:dLbl>
            <c:dLbl>
              <c:idx val="3"/>
              <c:layout>
                <c:manualLayout>
                  <c:x val="-2.8222228493828554E-3"/>
                  <c:y val="0"/>
                </c:manualLayout>
              </c:layout>
              <c:showLegendKey val="0"/>
              <c:showVal val="1"/>
              <c:showCatName val="0"/>
              <c:showSerName val="0"/>
              <c:showPercent val="0"/>
              <c:showBubbleSize val="0"/>
            </c:dLbl>
            <c:dLbl>
              <c:idx val="4"/>
              <c:layout>
                <c:manualLayout>
                  <c:x val="2.8222222222222221E-3"/>
                  <c:y val="1.7757686578929247E-2"/>
                </c:manualLayout>
              </c:layout>
              <c:showLegendKey val="0"/>
              <c:showVal val="1"/>
              <c:showCatName val="0"/>
              <c:showSerName val="0"/>
              <c:showPercent val="0"/>
              <c:showBubbleSize val="0"/>
            </c:dLbl>
            <c:showLegendKey val="0"/>
            <c:showVal val="1"/>
            <c:showCatName val="0"/>
            <c:showSerName val="0"/>
            <c:showPercent val="0"/>
            <c:showBubbleSize val="0"/>
            <c:showLeaderLines val="0"/>
          </c:dLbls>
          <c:cat>
            <c:strRef>
              <c:f>종합!$B$40:$B$44</c:f>
              <c:strCache>
                <c:ptCount val="5"/>
                <c:pt idx="0">
                  <c:v>CPL</c:v>
                </c:pt>
                <c:pt idx="1">
                  <c:v>CRM</c:v>
                </c:pt>
                <c:pt idx="2">
                  <c:v>CGL</c:v>
                </c:pt>
                <c:pt idx="3">
                  <c:v>1CCL</c:v>
                </c:pt>
                <c:pt idx="4">
                  <c:v>2CCL</c:v>
                </c:pt>
              </c:strCache>
            </c:strRef>
          </c:cat>
          <c:val>
            <c:numRef>
              <c:f>종합!$V$40:$V$44</c:f>
            </c:numRef>
          </c:val>
        </c:ser>
        <c:ser>
          <c:idx val="0"/>
          <c:order val="1"/>
          <c:tx>
            <c:v>스크랩 발생율(kg/ton)</c:v>
          </c:tx>
          <c:spPr>
            <a:scene3d>
              <a:camera prst="orthographicFront"/>
              <a:lightRig rig="threePt" dir="t"/>
            </a:scene3d>
            <a:sp3d>
              <a:bevelT/>
            </a:sp3d>
          </c:spPr>
          <c:invertIfNegative val="0"/>
          <c:dPt>
            <c:idx val="0"/>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chemeClr val="tx2">
                  <a:lumMod val="60000"/>
                  <a:lumOff val="40000"/>
                </a:schemeClr>
              </a:solidFill>
              <a:scene3d>
                <a:camera prst="orthographicFront"/>
                <a:lightRig rig="threePt" dir="t"/>
              </a:scene3d>
              <a:sp3d>
                <a:bevelT/>
              </a:sp3d>
            </c:spPr>
          </c:dPt>
          <c:dLbls>
            <c:showLegendKey val="0"/>
            <c:showVal val="1"/>
            <c:showCatName val="0"/>
            <c:showSerName val="0"/>
            <c:showPercent val="0"/>
            <c:showBubbleSize val="0"/>
            <c:showLeaderLines val="0"/>
          </c:dLbls>
          <c:cat>
            <c:strRef>
              <c:f>종합!$B$40:$B$44</c:f>
              <c:strCache>
                <c:ptCount val="5"/>
                <c:pt idx="0">
                  <c:v>CPL</c:v>
                </c:pt>
                <c:pt idx="1">
                  <c:v>CRM</c:v>
                </c:pt>
                <c:pt idx="2">
                  <c:v>CGL</c:v>
                </c:pt>
                <c:pt idx="3">
                  <c:v>1CCL</c:v>
                </c:pt>
                <c:pt idx="4">
                  <c:v>2CCL</c:v>
                </c:pt>
              </c:strCache>
            </c:strRef>
          </c:cat>
          <c:val>
            <c:numRef>
              <c:f>종합!$N$40:$N$44</c:f>
              <c:numCache>
                <c:formatCode>#,##0.00</c:formatCode>
                <c:ptCount val="5"/>
                <c:pt idx="3">
                  <c:v>9.5069580043402819</c:v>
                </c:pt>
                <c:pt idx="4">
                  <c:v>17.743095749958655</c:v>
                </c:pt>
              </c:numCache>
            </c:numRef>
          </c:val>
        </c:ser>
        <c:dLbls>
          <c:showLegendKey val="0"/>
          <c:showVal val="0"/>
          <c:showCatName val="0"/>
          <c:showSerName val="0"/>
          <c:showPercent val="0"/>
          <c:showBubbleSize val="0"/>
        </c:dLbls>
        <c:gapWidth val="150"/>
        <c:axId val="569856384"/>
        <c:axId val="569857920"/>
      </c:barChart>
      <c:catAx>
        <c:axId val="569856384"/>
        <c:scaling>
          <c:orientation val="minMax"/>
        </c:scaling>
        <c:delete val="0"/>
        <c:axPos val="b"/>
        <c:majorTickMark val="out"/>
        <c:minorTickMark val="none"/>
        <c:tickLblPos val="nextTo"/>
        <c:txPr>
          <a:bodyPr/>
          <a:lstStyle/>
          <a:p>
            <a:pPr>
              <a:defRPr b="1"/>
            </a:pPr>
            <a:endParaRPr lang="ko-KR"/>
          </a:p>
        </c:txPr>
        <c:crossAx val="569857920"/>
        <c:crosses val="autoZero"/>
        <c:auto val="1"/>
        <c:lblAlgn val="ctr"/>
        <c:lblOffset val="100"/>
        <c:noMultiLvlLbl val="0"/>
      </c:catAx>
      <c:valAx>
        <c:axId val="569857920"/>
        <c:scaling>
          <c:orientation val="minMax"/>
        </c:scaling>
        <c:delete val="0"/>
        <c:axPos val="l"/>
        <c:numFmt formatCode="#,##0" sourceLinked="0"/>
        <c:majorTickMark val="out"/>
        <c:minorTickMark val="none"/>
        <c:tickLblPos val="nextTo"/>
        <c:crossAx val="569856384"/>
        <c:crosses val="autoZero"/>
        <c:crossBetween val="between"/>
      </c:valAx>
    </c:plotArea>
    <c:plotVisOnly val="1"/>
    <c:dispBlanksAs val="gap"/>
    <c:showDLblsOverMax val="0"/>
  </c:chart>
  <c:spPr>
    <a:ln>
      <a:solidFill>
        <a:sysClr val="windowText" lastClr="000000"/>
      </a:solidFill>
    </a:ln>
  </c:spPr>
  <c:printSettings>
    <c:headerFooter/>
    <c:pageMargins b="0.75" l="0.7" r="0.7" t="0.75" header="0.3" footer="0.3"/>
    <c:pageSetup/>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chemeClr val="bg1"/>
                </a:solidFill>
              </a:defRPr>
            </a:pPr>
            <a:r>
              <a:rPr lang="ko-KR" altLang="en-US">
                <a:solidFill>
                  <a:schemeClr val="bg1"/>
                </a:solidFill>
              </a:rPr>
              <a:t>쉬트형 스크랩</a:t>
            </a:r>
          </a:p>
        </c:rich>
      </c:tx>
      <c:overlay val="0"/>
      <c:spPr>
        <a:solidFill>
          <a:srgbClr val="00B0F0"/>
        </a:solidFill>
      </c:spPr>
    </c:title>
    <c:autoTitleDeleted val="0"/>
    <c:plotArea>
      <c:layout/>
      <c:barChart>
        <c:barDir val="col"/>
        <c:grouping val="clustered"/>
        <c:varyColors val="0"/>
        <c:ser>
          <c:idx val="0"/>
          <c:order val="0"/>
          <c:tx>
            <c:strRef>
              <c:f>게시판!$A$8</c:f>
              <c:strCache>
                <c:ptCount val="1"/>
                <c:pt idx="0">
                  <c:v>Scrap(Sheet 형) 발생현황</c:v>
                </c:pt>
              </c:strCache>
            </c:strRef>
          </c:tx>
          <c:spPr>
            <a:solidFill>
              <a:srgbClr val="92D050"/>
            </a:solidFill>
          </c:spPr>
          <c:invertIfNegative val="0"/>
          <c:dPt>
            <c:idx val="0"/>
            <c:invertIfNegative val="0"/>
            <c:bubble3D val="0"/>
            <c:spPr>
              <a:solidFill>
                <a:srgbClr val="FFC000"/>
              </a:solidFill>
            </c:spPr>
          </c:dPt>
          <c:dPt>
            <c:idx val="1"/>
            <c:invertIfNegative val="0"/>
            <c:bubble3D val="0"/>
            <c:spPr>
              <a:solidFill>
                <a:schemeClr val="accent2">
                  <a:lumMod val="75000"/>
                </a:schemeClr>
              </a:solidFill>
            </c:spPr>
          </c:dPt>
          <c:dPt>
            <c:idx val="2"/>
            <c:invertIfNegative val="0"/>
            <c:bubble3D val="0"/>
            <c:spPr>
              <a:solidFill>
                <a:srgbClr val="C00000"/>
              </a:solidFill>
            </c:spPr>
          </c:dPt>
          <c:dPt>
            <c:idx val="3"/>
            <c:invertIfNegative val="0"/>
            <c:bubble3D val="0"/>
            <c:spPr>
              <a:solidFill>
                <a:srgbClr val="C00000"/>
              </a:solidFill>
            </c:spPr>
          </c:dPt>
          <c:dLbls>
            <c:dLbl>
              <c:idx val="0"/>
              <c:showLegendKey val="0"/>
              <c:showVal val="1"/>
              <c:showCatName val="0"/>
              <c:showSerName val="0"/>
              <c:showPercent val="0"/>
              <c:showBubbleSize val="0"/>
            </c:dLbl>
            <c:dLbl>
              <c:idx val="1"/>
              <c:showLegendKey val="0"/>
              <c:showVal val="1"/>
              <c:showCatName val="0"/>
              <c:showSerName val="0"/>
              <c:showPercent val="0"/>
              <c:showBubbleSize val="0"/>
            </c:dLbl>
            <c:dLbl>
              <c:idx val="2"/>
              <c:showLegendKey val="0"/>
              <c:showVal val="1"/>
              <c:showCatName val="0"/>
              <c:showSerName val="0"/>
              <c:showPercent val="0"/>
              <c:showBubbleSize val="0"/>
            </c:dLbl>
            <c:showLegendKey val="0"/>
            <c:showVal val="0"/>
            <c:showCatName val="0"/>
            <c:showSerName val="0"/>
            <c:showPercent val="0"/>
            <c:showBubbleSize val="0"/>
          </c:dLbls>
          <c:cat>
            <c:strRef>
              <c:f>(게시판!$H$2:$P$2,게시판!$R$2:$W$2)</c:f>
              <c:strCache>
                <c:ptCount val="15"/>
                <c:pt idx="0">
                  <c:v>17~19년</c:v>
                </c:pt>
                <c:pt idx="1">
                  <c:v>20년
상반기</c:v>
                </c:pt>
                <c:pt idx="2">
                  <c:v>20년
하반기</c:v>
                </c:pt>
                <c:pt idx="3">
                  <c:v>1월</c:v>
                </c:pt>
                <c:pt idx="4">
                  <c:v>2월</c:v>
                </c:pt>
                <c:pt idx="5">
                  <c:v>3월</c:v>
                </c:pt>
                <c:pt idx="6">
                  <c:v>4월</c:v>
                </c:pt>
                <c:pt idx="7">
                  <c:v>5월</c:v>
                </c:pt>
                <c:pt idx="8">
                  <c:v>6월</c:v>
                </c:pt>
                <c:pt idx="9">
                  <c:v>7월</c:v>
                </c:pt>
                <c:pt idx="10">
                  <c:v>8월</c:v>
                </c:pt>
                <c:pt idx="11">
                  <c:v>9월</c:v>
                </c:pt>
                <c:pt idx="12">
                  <c:v>10월</c:v>
                </c:pt>
                <c:pt idx="13">
                  <c:v>11월</c:v>
                </c:pt>
                <c:pt idx="14">
                  <c:v>12월</c:v>
                </c:pt>
              </c:strCache>
            </c:strRef>
          </c:cat>
          <c:val>
            <c:numRef>
              <c:f>(게시판!$H$8:$P$8,게시판!$R$8:$W$8)</c:f>
              <c:numCache>
                <c:formatCode>0_);[Red]\(0\)</c:formatCode>
                <c:ptCount val="15"/>
                <c:pt idx="0" formatCode="0">
                  <c:v>611.81652777777765</c:v>
                </c:pt>
                <c:pt idx="1">
                  <c:v>566.81666666666672</c:v>
                </c:pt>
                <c:pt idx="2">
                  <c:v>451.13166666666672</c:v>
                </c:pt>
                <c:pt idx="3">
                  <c:v>68.300000000000011</c:v>
                </c:pt>
                <c:pt idx="4">
                  <c:v>69.61</c:v>
                </c:pt>
                <c:pt idx="5">
                  <c:v>437.96000000000004</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dLbls>
        <c:gapWidth val="150"/>
        <c:axId val="570330496"/>
        <c:axId val="570336384"/>
      </c:barChart>
      <c:catAx>
        <c:axId val="570330496"/>
        <c:scaling>
          <c:orientation val="minMax"/>
        </c:scaling>
        <c:delete val="0"/>
        <c:axPos val="b"/>
        <c:majorTickMark val="out"/>
        <c:minorTickMark val="none"/>
        <c:tickLblPos val="nextTo"/>
        <c:crossAx val="570336384"/>
        <c:crosses val="autoZero"/>
        <c:auto val="1"/>
        <c:lblAlgn val="ctr"/>
        <c:lblOffset val="100"/>
        <c:noMultiLvlLbl val="0"/>
      </c:catAx>
      <c:valAx>
        <c:axId val="570336384"/>
        <c:scaling>
          <c:orientation val="minMax"/>
          <c:max val="1000"/>
        </c:scaling>
        <c:delete val="0"/>
        <c:axPos val="l"/>
        <c:majorGridlines/>
        <c:numFmt formatCode="0" sourceLinked="1"/>
        <c:majorTickMark val="out"/>
        <c:minorTickMark val="none"/>
        <c:tickLblPos val="nextTo"/>
        <c:crossAx val="570330496"/>
        <c:crosses val="autoZero"/>
        <c:crossBetween val="between"/>
        <c:majorUnit val="200"/>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chemeClr val="bg1"/>
                </a:solidFill>
              </a:defRPr>
            </a:pPr>
            <a:r>
              <a:rPr lang="ko-KR" altLang="en-US"/>
              <a:t>반품</a:t>
            </a:r>
          </a:p>
        </c:rich>
      </c:tx>
      <c:overlay val="0"/>
      <c:spPr>
        <a:solidFill>
          <a:srgbClr val="00B0F0"/>
        </a:solidFill>
      </c:spPr>
    </c:title>
    <c:autoTitleDeleted val="0"/>
    <c:plotArea>
      <c:layout/>
      <c:barChart>
        <c:barDir val="col"/>
        <c:grouping val="clustered"/>
        <c:varyColors val="0"/>
        <c:ser>
          <c:idx val="0"/>
          <c:order val="0"/>
          <c:tx>
            <c:strRef>
              <c:f>게시판!$A$12</c:f>
              <c:strCache>
                <c:ptCount val="1"/>
                <c:pt idx="0">
                  <c:v>반품 현황</c:v>
                </c:pt>
              </c:strCache>
            </c:strRef>
          </c:tx>
          <c:spPr>
            <a:solidFill>
              <a:srgbClr val="92D050"/>
            </a:solidFill>
          </c:spPr>
          <c:invertIfNegative val="0"/>
          <c:dPt>
            <c:idx val="0"/>
            <c:invertIfNegative val="0"/>
            <c:bubble3D val="0"/>
            <c:spPr>
              <a:solidFill>
                <a:srgbClr val="FFC000"/>
              </a:solidFill>
            </c:spPr>
          </c:dPt>
          <c:dPt>
            <c:idx val="1"/>
            <c:invertIfNegative val="0"/>
            <c:bubble3D val="0"/>
            <c:spPr>
              <a:solidFill>
                <a:schemeClr val="accent2">
                  <a:lumMod val="75000"/>
                </a:schemeClr>
              </a:solidFill>
            </c:spPr>
          </c:dPt>
          <c:dPt>
            <c:idx val="2"/>
            <c:invertIfNegative val="0"/>
            <c:bubble3D val="0"/>
            <c:spPr>
              <a:solidFill>
                <a:srgbClr val="C00000"/>
              </a:solidFill>
            </c:spPr>
          </c:dPt>
          <c:dPt>
            <c:idx val="3"/>
            <c:invertIfNegative val="0"/>
            <c:bubble3D val="0"/>
            <c:spPr>
              <a:solidFill>
                <a:srgbClr val="C00000"/>
              </a:solidFill>
            </c:spPr>
          </c:dPt>
          <c:dLbls>
            <c:dLbl>
              <c:idx val="0"/>
              <c:showLegendKey val="0"/>
              <c:showVal val="1"/>
              <c:showCatName val="0"/>
              <c:showSerName val="0"/>
              <c:showPercent val="0"/>
              <c:showBubbleSize val="0"/>
            </c:dLbl>
            <c:dLbl>
              <c:idx val="1"/>
              <c:showLegendKey val="0"/>
              <c:showVal val="1"/>
              <c:showCatName val="0"/>
              <c:showSerName val="0"/>
              <c:showPercent val="0"/>
              <c:showBubbleSize val="0"/>
            </c:dLbl>
            <c:dLbl>
              <c:idx val="2"/>
              <c:showLegendKey val="0"/>
              <c:showVal val="1"/>
              <c:showCatName val="0"/>
              <c:showSerName val="0"/>
              <c:showPercent val="0"/>
              <c:showBubbleSize val="0"/>
            </c:dLbl>
            <c:showLegendKey val="0"/>
            <c:showVal val="0"/>
            <c:showCatName val="0"/>
            <c:showSerName val="0"/>
            <c:showPercent val="0"/>
            <c:showBubbleSize val="0"/>
          </c:dLbls>
          <c:cat>
            <c:strRef>
              <c:f>(게시판!$H$2:$P$2,게시판!$R$2:$W$2)</c:f>
              <c:strCache>
                <c:ptCount val="15"/>
                <c:pt idx="0">
                  <c:v>17~19년</c:v>
                </c:pt>
                <c:pt idx="1">
                  <c:v>20년
상반기</c:v>
                </c:pt>
                <c:pt idx="2">
                  <c:v>20년
하반기</c:v>
                </c:pt>
                <c:pt idx="3">
                  <c:v>1월</c:v>
                </c:pt>
                <c:pt idx="4">
                  <c:v>2월</c:v>
                </c:pt>
                <c:pt idx="5">
                  <c:v>3월</c:v>
                </c:pt>
                <c:pt idx="6">
                  <c:v>4월</c:v>
                </c:pt>
                <c:pt idx="7">
                  <c:v>5월</c:v>
                </c:pt>
                <c:pt idx="8">
                  <c:v>6월</c:v>
                </c:pt>
                <c:pt idx="9">
                  <c:v>7월</c:v>
                </c:pt>
                <c:pt idx="10">
                  <c:v>8월</c:v>
                </c:pt>
                <c:pt idx="11">
                  <c:v>9월</c:v>
                </c:pt>
                <c:pt idx="12">
                  <c:v>10월</c:v>
                </c:pt>
                <c:pt idx="13">
                  <c:v>11월</c:v>
                </c:pt>
                <c:pt idx="14">
                  <c:v>12월</c:v>
                </c:pt>
              </c:strCache>
            </c:strRef>
          </c:cat>
          <c:val>
            <c:numRef>
              <c:f>(게시판!$H$12:$P$12,게시판!$R$12:$W$12)</c:f>
              <c:numCache>
                <c:formatCode>0.0_ </c:formatCode>
                <c:ptCount val="15"/>
                <c:pt idx="0" formatCode="0">
                  <c:v>29.746583333333334</c:v>
                </c:pt>
                <c:pt idx="1">
                  <c:v>18.976333333333333</c:v>
                </c:pt>
                <c:pt idx="2">
                  <c:v>11.558833333333334</c:v>
                </c:pt>
                <c:pt idx="3" formatCode="0_);[Red]\(0\)">
                  <c:v>0</c:v>
                </c:pt>
                <c:pt idx="4" formatCode="0_);[Red]\(0\)">
                  <c:v>1.66</c:v>
                </c:pt>
                <c:pt idx="5" formatCode="0_);[Red]\(0\)">
                  <c:v>71.199999999999989</c:v>
                </c:pt>
                <c:pt idx="6" formatCode="0_);[Red]\(0\)">
                  <c:v>0</c:v>
                </c:pt>
                <c:pt idx="7" formatCode="0_);[Red]\(0\)">
                  <c:v>0</c:v>
                </c:pt>
                <c:pt idx="8" formatCode="0_);[Red]\(0\)">
                  <c:v>0</c:v>
                </c:pt>
                <c:pt idx="9" formatCode="0_);[Red]\(0\)">
                  <c:v>0</c:v>
                </c:pt>
                <c:pt idx="10" formatCode="0_);[Red]\(0\)">
                  <c:v>0</c:v>
                </c:pt>
                <c:pt idx="11" formatCode="0_);[Red]\(0\)">
                  <c:v>0</c:v>
                </c:pt>
                <c:pt idx="12" formatCode="0_);[Red]\(0\)">
                  <c:v>0</c:v>
                </c:pt>
                <c:pt idx="13" formatCode="0_);[Red]\(0\)">
                  <c:v>0</c:v>
                </c:pt>
                <c:pt idx="14" formatCode="0_);[Red]\(0\)">
                  <c:v>0</c:v>
                </c:pt>
              </c:numCache>
            </c:numRef>
          </c:val>
        </c:ser>
        <c:dLbls>
          <c:showLegendKey val="0"/>
          <c:showVal val="0"/>
          <c:showCatName val="0"/>
          <c:showSerName val="0"/>
          <c:showPercent val="0"/>
          <c:showBubbleSize val="0"/>
        </c:dLbls>
        <c:gapWidth val="150"/>
        <c:axId val="570358784"/>
        <c:axId val="569975552"/>
      </c:barChart>
      <c:catAx>
        <c:axId val="570358784"/>
        <c:scaling>
          <c:orientation val="minMax"/>
        </c:scaling>
        <c:delete val="0"/>
        <c:axPos val="b"/>
        <c:majorTickMark val="out"/>
        <c:minorTickMark val="none"/>
        <c:tickLblPos val="nextTo"/>
        <c:crossAx val="569975552"/>
        <c:crosses val="autoZero"/>
        <c:auto val="1"/>
        <c:lblAlgn val="ctr"/>
        <c:lblOffset val="100"/>
        <c:noMultiLvlLbl val="0"/>
      </c:catAx>
      <c:valAx>
        <c:axId val="569975552"/>
        <c:scaling>
          <c:orientation val="minMax"/>
          <c:max val="60"/>
        </c:scaling>
        <c:delete val="0"/>
        <c:axPos val="l"/>
        <c:majorGridlines/>
        <c:numFmt formatCode="0" sourceLinked="1"/>
        <c:majorTickMark val="out"/>
        <c:minorTickMark val="none"/>
        <c:tickLblPos val="nextTo"/>
        <c:crossAx val="570358784"/>
        <c:crosses val="autoZero"/>
        <c:crossBetween val="between"/>
        <c:majorUnit val="12"/>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chemeClr val="bg1"/>
                </a:solidFill>
              </a:defRPr>
            </a:pPr>
            <a:r>
              <a:rPr lang="ko-KR" altLang="en-US"/>
              <a:t>고장시간 및 건수</a:t>
            </a:r>
          </a:p>
        </c:rich>
      </c:tx>
      <c:overlay val="0"/>
      <c:spPr>
        <a:solidFill>
          <a:srgbClr val="00B0F0"/>
        </a:solidFill>
      </c:spPr>
    </c:title>
    <c:autoTitleDeleted val="0"/>
    <c:plotArea>
      <c:layout/>
      <c:barChart>
        <c:barDir val="col"/>
        <c:grouping val="clustered"/>
        <c:varyColors val="0"/>
        <c:ser>
          <c:idx val="1"/>
          <c:order val="0"/>
          <c:tx>
            <c:strRef>
              <c:f>게시판!$A$9</c:f>
              <c:strCache>
                <c:ptCount val="1"/>
                <c:pt idx="0">
                  <c:v>고장시간</c:v>
                </c:pt>
              </c:strCache>
            </c:strRef>
          </c:tx>
          <c:spPr>
            <a:solidFill>
              <a:schemeClr val="accent2"/>
            </a:solidFill>
          </c:spPr>
          <c:invertIfNegative val="0"/>
          <c:dLbls>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showLegendKey val="0"/>
            <c:showVal val="1"/>
            <c:showCatName val="0"/>
            <c:showSerName val="0"/>
            <c:showPercent val="0"/>
            <c:showBubbleSize val="0"/>
            <c:showLeaderLines val="0"/>
          </c:dLbls>
          <c:cat>
            <c:strRef>
              <c:f>(게시판!$H$2:$P$2,게시판!$R$2:$W$2)</c:f>
              <c:strCache>
                <c:ptCount val="15"/>
                <c:pt idx="0">
                  <c:v>17~19년</c:v>
                </c:pt>
                <c:pt idx="1">
                  <c:v>20년
상반기</c:v>
                </c:pt>
                <c:pt idx="2">
                  <c:v>20년
하반기</c:v>
                </c:pt>
                <c:pt idx="3">
                  <c:v>1월</c:v>
                </c:pt>
                <c:pt idx="4">
                  <c:v>2월</c:v>
                </c:pt>
                <c:pt idx="5">
                  <c:v>3월</c:v>
                </c:pt>
                <c:pt idx="6">
                  <c:v>4월</c:v>
                </c:pt>
                <c:pt idx="7">
                  <c:v>5월</c:v>
                </c:pt>
                <c:pt idx="8">
                  <c:v>6월</c:v>
                </c:pt>
                <c:pt idx="9">
                  <c:v>7월</c:v>
                </c:pt>
                <c:pt idx="10">
                  <c:v>8월</c:v>
                </c:pt>
                <c:pt idx="11">
                  <c:v>9월</c:v>
                </c:pt>
                <c:pt idx="12">
                  <c:v>10월</c:v>
                </c:pt>
                <c:pt idx="13">
                  <c:v>11월</c:v>
                </c:pt>
                <c:pt idx="14">
                  <c:v>12월</c:v>
                </c:pt>
              </c:strCache>
            </c:strRef>
          </c:cat>
          <c:val>
            <c:numRef>
              <c:f>(게시판!$H$9:$P$9,게시판!$R$9:$W$9)</c:f>
              <c:numCache>
                <c:formatCode>0</c:formatCode>
                <c:ptCount val="15"/>
                <c:pt idx="0">
                  <c:v>17.526388888888892</c:v>
                </c:pt>
                <c:pt idx="1">
                  <c:v>9.0111111111111111</c:v>
                </c:pt>
                <c:pt idx="2">
                  <c:v>15.208333333333336</c:v>
                </c:pt>
                <c:pt idx="3" formatCode="0_);[Red]\(0\)">
                  <c:v>1.1666666666666667</c:v>
                </c:pt>
                <c:pt idx="4" formatCode="0_);[Red]\(0\)">
                  <c:v>0.58333333333333337</c:v>
                </c:pt>
                <c:pt idx="5" formatCode="0_);[Red]\(0\)">
                  <c:v>11.4</c:v>
                </c:pt>
                <c:pt idx="6" formatCode="0_);[Red]\(0\)">
                  <c:v>0</c:v>
                </c:pt>
                <c:pt idx="7" formatCode="0_);[Red]\(0\)">
                  <c:v>0</c:v>
                </c:pt>
                <c:pt idx="8" formatCode="0_);[Red]\(0\)">
                  <c:v>0</c:v>
                </c:pt>
                <c:pt idx="9" formatCode="0_);[Red]\(0\)">
                  <c:v>0</c:v>
                </c:pt>
                <c:pt idx="10" formatCode="0_);[Red]\(0\)">
                  <c:v>0</c:v>
                </c:pt>
                <c:pt idx="11" formatCode="0_);[Red]\(0\)">
                  <c:v>0</c:v>
                </c:pt>
                <c:pt idx="12" formatCode="0_);[Red]\(0\)">
                  <c:v>0</c:v>
                </c:pt>
                <c:pt idx="13" formatCode="0_);[Red]\(0\)">
                  <c:v>0</c:v>
                </c:pt>
                <c:pt idx="14" formatCode="0_);[Red]\(0\)">
                  <c:v>0</c:v>
                </c:pt>
              </c:numCache>
            </c:numRef>
          </c:val>
        </c:ser>
        <c:ser>
          <c:idx val="2"/>
          <c:order val="1"/>
          <c:tx>
            <c:strRef>
              <c:f>게시판!$A$10</c:f>
              <c:strCache>
                <c:ptCount val="1"/>
                <c:pt idx="0">
                  <c:v>고장건수</c:v>
                </c:pt>
              </c:strCache>
            </c:strRef>
          </c:tx>
          <c:spPr>
            <a:solidFill>
              <a:srgbClr val="00B0F0"/>
            </a:solidFill>
          </c:spPr>
          <c:invertIfNegative val="0"/>
          <c:dLbls>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showLegendKey val="0"/>
            <c:showVal val="1"/>
            <c:showCatName val="0"/>
            <c:showSerName val="0"/>
            <c:showPercent val="0"/>
            <c:showBubbleSize val="0"/>
            <c:showLeaderLines val="0"/>
          </c:dLbls>
          <c:cat>
            <c:strRef>
              <c:f>(게시판!$H$2:$P$2,게시판!$R$2:$W$2)</c:f>
              <c:strCache>
                <c:ptCount val="15"/>
                <c:pt idx="0">
                  <c:v>17~19년</c:v>
                </c:pt>
                <c:pt idx="1">
                  <c:v>20년
상반기</c:v>
                </c:pt>
                <c:pt idx="2">
                  <c:v>20년
하반기</c:v>
                </c:pt>
                <c:pt idx="3">
                  <c:v>1월</c:v>
                </c:pt>
                <c:pt idx="4">
                  <c:v>2월</c:v>
                </c:pt>
                <c:pt idx="5">
                  <c:v>3월</c:v>
                </c:pt>
                <c:pt idx="6">
                  <c:v>4월</c:v>
                </c:pt>
                <c:pt idx="7">
                  <c:v>5월</c:v>
                </c:pt>
                <c:pt idx="8">
                  <c:v>6월</c:v>
                </c:pt>
                <c:pt idx="9">
                  <c:v>7월</c:v>
                </c:pt>
                <c:pt idx="10">
                  <c:v>8월</c:v>
                </c:pt>
                <c:pt idx="11">
                  <c:v>9월</c:v>
                </c:pt>
                <c:pt idx="12">
                  <c:v>10월</c:v>
                </c:pt>
                <c:pt idx="13">
                  <c:v>11월</c:v>
                </c:pt>
                <c:pt idx="14">
                  <c:v>12월</c:v>
                </c:pt>
              </c:strCache>
            </c:strRef>
          </c:cat>
          <c:val>
            <c:numRef>
              <c:f>(게시판!$H$10:$P$10,게시판!$R$10:$W$10)</c:f>
              <c:numCache>
                <c:formatCode>0</c:formatCode>
                <c:ptCount val="15"/>
                <c:pt idx="0">
                  <c:v>9.4444444444444446</c:v>
                </c:pt>
                <c:pt idx="1">
                  <c:v>5.666666666666667</c:v>
                </c:pt>
                <c:pt idx="2">
                  <c:v>6.333333333333333</c:v>
                </c:pt>
                <c:pt idx="3" formatCode="0_);[Red]\(0\)">
                  <c:v>1</c:v>
                </c:pt>
                <c:pt idx="4" formatCode="0_);[Red]\(0\)">
                  <c:v>1</c:v>
                </c:pt>
                <c:pt idx="5" formatCode="0_);[Red]\(0\)">
                  <c:v>11</c:v>
                </c:pt>
                <c:pt idx="6" formatCode="0_);[Red]\(0\)">
                  <c:v>0</c:v>
                </c:pt>
                <c:pt idx="7" formatCode="0_);[Red]\(0\)">
                  <c:v>0</c:v>
                </c:pt>
                <c:pt idx="8" formatCode="0_);[Red]\(0\)">
                  <c:v>0</c:v>
                </c:pt>
                <c:pt idx="9" formatCode="0_);[Red]\(0\)">
                  <c:v>0</c:v>
                </c:pt>
                <c:pt idx="10" formatCode="0_);[Red]\(0\)">
                  <c:v>0</c:v>
                </c:pt>
                <c:pt idx="11" formatCode="0_);[Red]\(0\)">
                  <c:v>0</c:v>
                </c:pt>
                <c:pt idx="12" formatCode="0_);[Red]\(0\)">
                  <c:v>0</c:v>
                </c:pt>
                <c:pt idx="13" formatCode="0_);[Red]\(0\)">
                  <c:v>0</c:v>
                </c:pt>
                <c:pt idx="14" formatCode="0_);[Red]\(0\)">
                  <c:v>0</c:v>
                </c:pt>
              </c:numCache>
            </c:numRef>
          </c:val>
        </c:ser>
        <c:dLbls>
          <c:showLegendKey val="0"/>
          <c:showVal val="0"/>
          <c:showCatName val="0"/>
          <c:showSerName val="0"/>
          <c:showPercent val="0"/>
          <c:showBubbleSize val="0"/>
        </c:dLbls>
        <c:gapWidth val="150"/>
        <c:axId val="570013568"/>
        <c:axId val="570015104"/>
      </c:barChart>
      <c:catAx>
        <c:axId val="570013568"/>
        <c:scaling>
          <c:orientation val="minMax"/>
        </c:scaling>
        <c:delete val="0"/>
        <c:axPos val="b"/>
        <c:majorTickMark val="out"/>
        <c:minorTickMark val="none"/>
        <c:tickLblPos val="nextTo"/>
        <c:crossAx val="570015104"/>
        <c:crosses val="autoZero"/>
        <c:auto val="1"/>
        <c:lblAlgn val="ctr"/>
        <c:lblOffset val="100"/>
        <c:noMultiLvlLbl val="0"/>
      </c:catAx>
      <c:valAx>
        <c:axId val="570015104"/>
        <c:scaling>
          <c:orientation val="minMax"/>
          <c:max val="40"/>
        </c:scaling>
        <c:delete val="0"/>
        <c:axPos val="l"/>
        <c:majorGridlines/>
        <c:numFmt formatCode="0" sourceLinked="1"/>
        <c:majorTickMark val="out"/>
        <c:minorTickMark val="none"/>
        <c:tickLblPos val="nextTo"/>
        <c:crossAx val="570013568"/>
        <c:crosses val="autoZero"/>
        <c:crossBetween val="between"/>
        <c:majorUnit val="8"/>
      </c:valAx>
    </c:plotArea>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solidFill>
                <a:latin typeface="+mn-lt"/>
                <a:ea typeface="+mn-ea"/>
                <a:cs typeface="+mn-cs"/>
              </a:defRPr>
            </a:pPr>
            <a:r>
              <a:rPr lang="ko-KR" altLang="en-US" sz="1400"/>
              <a:t>고장시간</a:t>
            </a:r>
            <a:r>
              <a:rPr lang="en-US" altLang="ko-KR" sz="1400" b="1" i="0" baseline="0">
                <a:effectLst/>
              </a:rPr>
              <a:t>(Hr) </a:t>
            </a:r>
            <a:endParaRPr lang="ko-KR" altLang="ko-KR" sz="1400">
              <a:effectLst/>
            </a:endParaRPr>
          </a:p>
        </c:rich>
      </c:tx>
      <c:overlay val="0"/>
    </c:title>
    <c:autoTitleDeleted val="0"/>
    <c:plotArea>
      <c:layout>
        <c:manualLayout>
          <c:layoutTarget val="inner"/>
          <c:xMode val="edge"/>
          <c:yMode val="edge"/>
          <c:x val="9.9648237573871826E-2"/>
          <c:y val="0.20705675335426568"/>
          <c:w val="0.86979615048118986"/>
          <c:h val="0.6051183656270489"/>
        </c:manualLayout>
      </c:layout>
      <c:lineChart>
        <c:grouping val="standard"/>
        <c:varyColors val="0"/>
        <c:ser>
          <c:idx val="0"/>
          <c:order val="0"/>
          <c:tx>
            <c:strRef>
              <c:f>게시판!$A$9</c:f>
              <c:strCache>
                <c:ptCount val="1"/>
                <c:pt idx="0">
                  <c:v>고장시간</c:v>
                </c:pt>
              </c:strCache>
            </c:strRef>
          </c:tx>
          <c:dLbls>
            <c:dLbl>
              <c:idx val="2"/>
              <c:numFmt formatCode="#,##0.0_);[Red]\(#,##0.0\)" sourceLinked="0"/>
              <c:spPr/>
              <c:txPr>
                <a:bodyPr/>
                <a:lstStyle/>
                <a:p>
                  <a:pPr>
                    <a:defRPr b="0">
                      <a:solidFill>
                        <a:sysClr val="windowText" lastClr="000000"/>
                      </a:solidFill>
                    </a:defRPr>
                  </a:pPr>
                  <a:endParaRPr lang="ko-KR"/>
                </a:p>
              </c:txPr>
              <c:dLblPos val="t"/>
              <c:showLegendKey val="0"/>
              <c:showVal val="1"/>
              <c:showCatName val="0"/>
              <c:showSerName val="0"/>
              <c:showPercent val="0"/>
              <c:showBubbleSize val="0"/>
            </c:dLbl>
            <c:numFmt formatCode="#,##0.0_);[Red]\(#,##0.0\)" sourceLinked="0"/>
            <c:dLblPos val="t"/>
            <c:showLegendKey val="0"/>
            <c:showVal val="1"/>
            <c:showCatName val="0"/>
            <c:showSerName val="0"/>
            <c:showPercent val="0"/>
            <c:showBubbleSize val="0"/>
            <c:showLeaderLines val="0"/>
          </c:dLbls>
          <c:cat>
            <c:strRef>
              <c:f>게시판!$H$2:$L$2</c:f>
              <c:strCache>
                <c:ptCount val="5"/>
                <c:pt idx="0">
                  <c:v>17~19년</c:v>
                </c:pt>
                <c:pt idx="1">
                  <c:v>20년
상반기</c:v>
                </c:pt>
                <c:pt idx="2">
                  <c:v>20년
하반기</c:v>
                </c:pt>
                <c:pt idx="3">
                  <c:v>1월</c:v>
                </c:pt>
                <c:pt idx="4">
                  <c:v>2월</c:v>
                </c:pt>
              </c:strCache>
            </c:strRef>
          </c:cat>
          <c:val>
            <c:numRef>
              <c:f>게시판!$H$9:$L$9</c:f>
              <c:numCache>
                <c:formatCode>0</c:formatCode>
                <c:ptCount val="5"/>
                <c:pt idx="0">
                  <c:v>17.526388888888892</c:v>
                </c:pt>
                <c:pt idx="1">
                  <c:v>9.0111111111111111</c:v>
                </c:pt>
                <c:pt idx="2">
                  <c:v>15.208333333333336</c:v>
                </c:pt>
                <c:pt idx="3" formatCode="0_);[Red]\(0\)">
                  <c:v>1.1666666666666667</c:v>
                </c:pt>
                <c:pt idx="4" formatCode="0_);[Red]\(0\)">
                  <c:v>0.58333333333333337</c:v>
                </c:pt>
              </c:numCache>
            </c:numRef>
          </c:val>
          <c:smooth val="0"/>
        </c:ser>
        <c:dLbls>
          <c:showLegendKey val="0"/>
          <c:showVal val="0"/>
          <c:showCatName val="0"/>
          <c:showSerName val="0"/>
          <c:showPercent val="0"/>
          <c:showBubbleSize val="0"/>
        </c:dLbls>
        <c:marker val="1"/>
        <c:smooth val="0"/>
        <c:axId val="570085376"/>
        <c:axId val="570086912"/>
      </c:lineChart>
      <c:catAx>
        <c:axId val="570085376"/>
        <c:scaling>
          <c:orientation val="minMax"/>
        </c:scaling>
        <c:delete val="0"/>
        <c:axPos val="b"/>
        <c:majorTickMark val="out"/>
        <c:minorTickMark val="none"/>
        <c:tickLblPos val="nextTo"/>
        <c:txPr>
          <a:bodyPr/>
          <a:lstStyle/>
          <a:p>
            <a:pPr>
              <a:defRPr sz="900" b="1"/>
            </a:pPr>
            <a:endParaRPr lang="ko-KR"/>
          </a:p>
        </c:txPr>
        <c:crossAx val="570086912"/>
        <c:crosses val="autoZero"/>
        <c:auto val="1"/>
        <c:lblAlgn val="ctr"/>
        <c:lblOffset val="100"/>
        <c:noMultiLvlLbl val="0"/>
      </c:catAx>
      <c:valAx>
        <c:axId val="570086912"/>
        <c:scaling>
          <c:orientation val="minMax"/>
          <c:max val="30"/>
          <c:min val="0"/>
        </c:scaling>
        <c:delete val="0"/>
        <c:axPos val="l"/>
        <c:numFmt formatCode="0" sourceLinked="1"/>
        <c:majorTickMark val="out"/>
        <c:minorTickMark val="none"/>
        <c:tickLblPos val="nextTo"/>
        <c:crossAx val="570085376"/>
        <c:crosses val="autoZero"/>
        <c:crossBetween val="between"/>
      </c:valAx>
    </c:plotArea>
    <c:plotVisOnly val="1"/>
    <c:dispBlanksAs val="gap"/>
    <c:showDLblsOverMax val="0"/>
  </c:chart>
  <c:spPr>
    <a:ln>
      <a:solidFill>
        <a:sysClr val="windowText" lastClr="000000"/>
      </a:solidFill>
    </a:ln>
  </c:spPr>
  <c:txPr>
    <a:bodyPr/>
    <a:lstStyle/>
    <a:p>
      <a:pPr>
        <a:defRPr sz="1200"/>
      </a:pPr>
      <a:endParaRPr lang="ko-K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종합!$BD$194</c:f>
              <c:strCache>
                <c:ptCount val="1"/>
                <c:pt idx="0">
                  <c:v>CPL 톤파워</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종합!$BJ$193:$BM$193</c:f>
              <c:strCache>
                <c:ptCount val="4"/>
                <c:pt idx="0">
                  <c:v>20년</c:v>
                </c:pt>
                <c:pt idx="1">
                  <c:v>1월</c:v>
                </c:pt>
                <c:pt idx="2">
                  <c:v>2월</c:v>
                </c:pt>
                <c:pt idx="3">
                  <c:v>3월</c:v>
                </c:pt>
              </c:strCache>
            </c:strRef>
          </c:cat>
          <c:val>
            <c:numRef>
              <c:f>종합!$BJ$194:$BM$194</c:f>
              <c:numCache>
                <c:formatCode>0.00_);[Red]\(0.00\)</c:formatCode>
                <c:ptCount val="4"/>
                <c:pt idx="0" formatCode="0.00_ ">
                  <c:v>60.293596370134942</c:v>
                </c:pt>
                <c:pt idx="1">
                  <c:v>0</c:v>
                </c:pt>
                <c:pt idx="2">
                  <c:v>0</c:v>
                </c:pt>
                <c:pt idx="3">
                  <c:v>59.686486096584552</c:v>
                </c:pt>
              </c:numCache>
            </c:numRef>
          </c:val>
        </c:ser>
        <c:dLbls>
          <c:showLegendKey val="0"/>
          <c:showVal val="0"/>
          <c:showCatName val="0"/>
          <c:showSerName val="0"/>
          <c:showPercent val="0"/>
          <c:showBubbleSize val="0"/>
        </c:dLbls>
        <c:gapWidth val="150"/>
        <c:axId val="577237760"/>
        <c:axId val="577239296"/>
      </c:barChart>
      <c:catAx>
        <c:axId val="577237760"/>
        <c:scaling>
          <c:orientation val="minMax"/>
        </c:scaling>
        <c:delete val="0"/>
        <c:axPos val="b"/>
        <c:majorTickMark val="out"/>
        <c:minorTickMark val="none"/>
        <c:tickLblPos val="nextTo"/>
        <c:crossAx val="577239296"/>
        <c:crosses val="autoZero"/>
        <c:auto val="1"/>
        <c:lblAlgn val="ctr"/>
        <c:lblOffset val="100"/>
        <c:noMultiLvlLbl val="0"/>
      </c:catAx>
      <c:valAx>
        <c:axId val="577239296"/>
        <c:scaling>
          <c:orientation val="minMax"/>
          <c:min val="0"/>
        </c:scaling>
        <c:delete val="0"/>
        <c:axPos val="l"/>
        <c:numFmt formatCode="0.00_ " sourceLinked="1"/>
        <c:majorTickMark val="out"/>
        <c:minorTickMark val="none"/>
        <c:tickLblPos val="nextTo"/>
        <c:crossAx val="577237760"/>
        <c:crosses val="autoZero"/>
        <c:crossBetween val="between"/>
        <c:majorUnit val="20"/>
      </c:valAx>
      <c:spPr>
        <a:solidFill>
          <a:schemeClr val="accent3">
            <a:lumMod val="40000"/>
            <a:lumOff val="60000"/>
          </a:schemeClr>
        </a:solidFill>
      </c:spPr>
    </c:plotArea>
    <c:plotVisOnly val="1"/>
    <c:dispBlanksAs val="gap"/>
    <c:showDLblsOverMax val="0"/>
  </c:chart>
  <c:spPr>
    <a:solidFill>
      <a:schemeClr val="accent3">
        <a:lumMod val="40000"/>
        <a:lumOff val="6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20436043360433603"/>
          <c:y val="0.25641321978913217"/>
          <c:w val="0.79563956639566391"/>
          <c:h val="0.57359543598716833"/>
        </c:manualLayout>
      </c:layout>
      <c:barChart>
        <c:barDir val="col"/>
        <c:grouping val="clustered"/>
        <c:varyColors val="0"/>
        <c:ser>
          <c:idx val="0"/>
          <c:order val="0"/>
          <c:tx>
            <c:strRef>
              <c:f>종합!$AY$83</c:f>
              <c:strCache>
                <c:ptCount val="1"/>
                <c:pt idx="0">
                  <c:v>CGL 불량 발생 현황</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종합!$BA$82:$BD$82</c:f>
              <c:strCache>
                <c:ptCount val="4"/>
                <c:pt idx="0">
                  <c:v>20년</c:v>
                </c:pt>
                <c:pt idx="1">
                  <c:v>1월</c:v>
                </c:pt>
                <c:pt idx="2">
                  <c:v>2월</c:v>
                </c:pt>
                <c:pt idx="3">
                  <c:v>3월</c:v>
                </c:pt>
              </c:strCache>
            </c:strRef>
          </c:cat>
          <c:val>
            <c:numRef>
              <c:f>종합!$BA$83:$BD$83</c:f>
              <c:numCache>
                <c:formatCode>#,##0.00</c:formatCode>
                <c:ptCount val="4"/>
                <c:pt idx="0" formatCode="0.00">
                  <c:v>17.127500000000001</c:v>
                </c:pt>
                <c:pt idx="1">
                  <c:v>0</c:v>
                </c:pt>
                <c:pt idx="2">
                  <c:v>0</c:v>
                </c:pt>
                <c:pt idx="3">
                  <c:v>0</c:v>
                </c:pt>
              </c:numCache>
            </c:numRef>
          </c:val>
        </c:ser>
        <c:dLbls>
          <c:showLegendKey val="0"/>
          <c:showVal val="0"/>
          <c:showCatName val="0"/>
          <c:showSerName val="0"/>
          <c:showPercent val="0"/>
          <c:showBubbleSize val="0"/>
        </c:dLbls>
        <c:gapWidth val="150"/>
        <c:axId val="457806208"/>
        <c:axId val="457807744"/>
      </c:barChart>
      <c:catAx>
        <c:axId val="457806208"/>
        <c:scaling>
          <c:orientation val="minMax"/>
        </c:scaling>
        <c:delete val="0"/>
        <c:axPos val="b"/>
        <c:majorTickMark val="out"/>
        <c:minorTickMark val="none"/>
        <c:tickLblPos val="nextTo"/>
        <c:crossAx val="457807744"/>
        <c:crosses val="autoZero"/>
        <c:auto val="1"/>
        <c:lblAlgn val="ctr"/>
        <c:lblOffset val="100"/>
        <c:noMultiLvlLbl val="0"/>
      </c:catAx>
      <c:valAx>
        <c:axId val="457807744"/>
        <c:scaling>
          <c:orientation val="minMax"/>
        </c:scaling>
        <c:delete val="0"/>
        <c:axPos val="l"/>
        <c:numFmt formatCode="0.00" sourceLinked="1"/>
        <c:majorTickMark val="out"/>
        <c:minorTickMark val="none"/>
        <c:tickLblPos val="nextTo"/>
        <c:crossAx val="457806208"/>
        <c:crosses val="autoZero"/>
        <c:crossBetween val="between"/>
      </c:valAx>
      <c:spPr>
        <a:solidFill>
          <a:schemeClr val="accent5">
            <a:lumMod val="20000"/>
            <a:lumOff val="80000"/>
          </a:schemeClr>
        </a:solidFill>
        <a:scene3d>
          <a:camera prst="orthographicFront"/>
          <a:lightRig rig="threePt" dir="t"/>
        </a:scene3d>
        <a:sp3d/>
      </c:spPr>
    </c:plotArea>
    <c:plotVisOnly val="1"/>
    <c:dispBlanksAs val="gap"/>
    <c:showDLblsOverMax val="0"/>
  </c:chart>
  <c:spPr>
    <a:solidFill>
      <a:schemeClr val="accent5">
        <a:lumMod val="20000"/>
        <a:lumOff val="80000"/>
      </a:schemeClr>
    </a:solidFill>
    <a:ln>
      <a:solidFill>
        <a:schemeClr val="tx1">
          <a:lumMod val="50000"/>
          <a:lumOff val="50000"/>
        </a:schemeClr>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9407825203252033"/>
          <c:y val="0.26671332750072907"/>
          <c:w val="0.80592174796747973"/>
          <c:h val="0.57359543598716833"/>
        </c:manualLayout>
      </c:layout>
      <c:barChart>
        <c:barDir val="col"/>
        <c:grouping val="clustered"/>
        <c:varyColors val="0"/>
        <c:ser>
          <c:idx val="0"/>
          <c:order val="0"/>
          <c:tx>
            <c:strRef>
              <c:f>종합!$AY$84</c:f>
              <c:strCache>
                <c:ptCount val="1"/>
                <c:pt idx="0">
                  <c:v>1CCL 불량 발생 현황</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종합!$BA$82:$BD$82</c:f>
              <c:strCache>
                <c:ptCount val="4"/>
                <c:pt idx="0">
                  <c:v>20년</c:v>
                </c:pt>
                <c:pt idx="1">
                  <c:v>1월</c:v>
                </c:pt>
                <c:pt idx="2">
                  <c:v>2월</c:v>
                </c:pt>
                <c:pt idx="3">
                  <c:v>3월</c:v>
                </c:pt>
              </c:strCache>
            </c:strRef>
          </c:cat>
          <c:val>
            <c:numRef>
              <c:f>종합!$BA$84:$BD$84</c:f>
              <c:numCache>
                <c:formatCode>#,##0.00</c:formatCode>
                <c:ptCount val="4"/>
                <c:pt idx="0" formatCode="0.00">
                  <c:v>4.1808333333333332</c:v>
                </c:pt>
                <c:pt idx="1">
                  <c:v>11.54</c:v>
                </c:pt>
                <c:pt idx="2">
                  <c:v>0</c:v>
                </c:pt>
                <c:pt idx="3">
                  <c:v>9.27</c:v>
                </c:pt>
              </c:numCache>
            </c:numRef>
          </c:val>
        </c:ser>
        <c:dLbls>
          <c:showLegendKey val="0"/>
          <c:showVal val="0"/>
          <c:showCatName val="0"/>
          <c:showSerName val="0"/>
          <c:showPercent val="0"/>
          <c:showBubbleSize val="0"/>
        </c:dLbls>
        <c:gapWidth val="150"/>
        <c:axId val="570605568"/>
        <c:axId val="570607104"/>
      </c:barChart>
      <c:catAx>
        <c:axId val="570605568"/>
        <c:scaling>
          <c:orientation val="minMax"/>
        </c:scaling>
        <c:delete val="0"/>
        <c:axPos val="b"/>
        <c:majorTickMark val="out"/>
        <c:minorTickMark val="none"/>
        <c:tickLblPos val="nextTo"/>
        <c:crossAx val="570607104"/>
        <c:crosses val="autoZero"/>
        <c:auto val="1"/>
        <c:lblAlgn val="ctr"/>
        <c:lblOffset val="100"/>
        <c:noMultiLvlLbl val="0"/>
      </c:catAx>
      <c:valAx>
        <c:axId val="570607104"/>
        <c:scaling>
          <c:orientation val="minMax"/>
        </c:scaling>
        <c:delete val="0"/>
        <c:axPos val="l"/>
        <c:numFmt formatCode="0.00" sourceLinked="1"/>
        <c:majorTickMark val="out"/>
        <c:minorTickMark val="none"/>
        <c:tickLblPos val="nextTo"/>
        <c:crossAx val="570605568"/>
        <c:crosses val="autoZero"/>
        <c:crossBetween val="between"/>
      </c:valAx>
      <c:spPr>
        <a:solidFill>
          <a:schemeClr val="accent5">
            <a:lumMod val="20000"/>
            <a:lumOff val="80000"/>
          </a:schemeClr>
        </a:solidFill>
        <a:scene3d>
          <a:camera prst="orthographicFront"/>
          <a:lightRig rig="threePt" dir="t"/>
        </a:scene3d>
        <a:sp3d/>
      </c:spPr>
    </c:plotArea>
    <c:plotVisOnly val="1"/>
    <c:dispBlanksAs val="gap"/>
    <c:showDLblsOverMax val="0"/>
  </c:chart>
  <c:spPr>
    <a:solidFill>
      <a:schemeClr val="accent5">
        <a:lumMod val="20000"/>
        <a:lumOff val="80000"/>
      </a:schemeClr>
    </a:solidFill>
    <a:ln>
      <a:solidFill>
        <a:schemeClr val="tx1">
          <a:lumMod val="50000"/>
          <a:lumOff val="50000"/>
        </a:schemeClr>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9407825203252033"/>
          <c:y val="0.26671332750072907"/>
          <c:w val="0.80592174796747973"/>
          <c:h val="0.57359543598716833"/>
        </c:manualLayout>
      </c:layout>
      <c:barChart>
        <c:barDir val="col"/>
        <c:grouping val="clustered"/>
        <c:varyColors val="0"/>
        <c:ser>
          <c:idx val="0"/>
          <c:order val="0"/>
          <c:tx>
            <c:strRef>
              <c:f>종합!$AY$85</c:f>
              <c:strCache>
                <c:ptCount val="1"/>
                <c:pt idx="0">
                  <c:v>2CCL 불량 발생 현황</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종합!$BA$82:$BD$82</c:f>
              <c:strCache>
                <c:ptCount val="4"/>
                <c:pt idx="0">
                  <c:v>20년</c:v>
                </c:pt>
                <c:pt idx="1">
                  <c:v>1월</c:v>
                </c:pt>
                <c:pt idx="2">
                  <c:v>2월</c:v>
                </c:pt>
                <c:pt idx="3">
                  <c:v>3월</c:v>
                </c:pt>
              </c:strCache>
            </c:strRef>
          </c:cat>
          <c:val>
            <c:numRef>
              <c:f>종합!$BA$85:$BD$85</c:f>
              <c:numCache>
                <c:formatCode>#,##0.00</c:formatCode>
                <c:ptCount val="4"/>
                <c:pt idx="0" formatCode="0.00">
                  <c:v>3.0975000000000001</c:v>
                </c:pt>
                <c:pt idx="1">
                  <c:v>3.47</c:v>
                </c:pt>
                <c:pt idx="2">
                  <c:v>0.96</c:v>
                </c:pt>
                <c:pt idx="3">
                  <c:v>5.6</c:v>
                </c:pt>
              </c:numCache>
            </c:numRef>
          </c:val>
        </c:ser>
        <c:dLbls>
          <c:showLegendKey val="0"/>
          <c:showVal val="0"/>
          <c:showCatName val="0"/>
          <c:showSerName val="0"/>
          <c:showPercent val="0"/>
          <c:showBubbleSize val="0"/>
        </c:dLbls>
        <c:gapWidth val="150"/>
        <c:axId val="577183104"/>
        <c:axId val="570627200"/>
      </c:barChart>
      <c:catAx>
        <c:axId val="577183104"/>
        <c:scaling>
          <c:orientation val="minMax"/>
        </c:scaling>
        <c:delete val="0"/>
        <c:axPos val="b"/>
        <c:majorTickMark val="out"/>
        <c:minorTickMark val="none"/>
        <c:tickLblPos val="nextTo"/>
        <c:crossAx val="570627200"/>
        <c:crosses val="autoZero"/>
        <c:auto val="1"/>
        <c:lblAlgn val="ctr"/>
        <c:lblOffset val="100"/>
        <c:noMultiLvlLbl val="0"/>
      </c:catAx>
      <c:valAx>
        <c:axId val="570627200"/>
        <c:scaling>
          <c:orientation val="minMax"/>
          <c:max val="10"/>
        </c:scaling>
        <c:delete val="0"/>
        <c:axPos val="l"/>
        <c:numFmt formatCode="0.00" sourceLinked="1"/>
        <c:majorTickMark val="out"/>
        <c:minorTickMark val="none"/>
        <c:tickLblPos val="nextTo"/>
        <c:crossAx val="577183104"/>
        <c:crosses val="autoZero"/>
        <c:crossBetween val="between"/>
        <c:majorUnit val="2"/>
      </c:valAx>
      <c:spPr>
        <a:solidFill>
          <a:schemeClr val="accent5">
            <a:lumMod val="20000"/>
            <a:lumOff val="80000"/>
          </a:schemeClr>
        </a:solidFill>
        <a:scene3d>
          <a:camera prst="orthographicFront"/>
          <a:lightRig rig="threePt" dir="t"/>
        </a:scene3d>
        <a:sp3d/>
      </c:spPr>
    </c:plotArea>
    <c:plotVisOnly val="1"/>
    <c:dispBlanksAs val="gap"/>
    <c:showDLblsOverMax val="0"/>
  </c:chart>
  <c:spPr>
    <a:solidFill>
      <a:schemeClr val="accent5">
        <a:lumMod val="20000"/>
        <a:lumOff val="80000"/>
      </a:schemeClr>
    </a:solidFill>
    <a:ln>
      <a:solidFill>
        <a:schemeClr val="tx1">
          <a:lumMod val="50000"/>
          <a:lumOff val="50000"/>
        </a:schemeClr>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ko-KR" altLang="en-US"/>
              <a:t>고객 불만</a:t>
            </a:r>
            <a:r>
              <a:rPr lang="en-US" altLang="ko-KR"/>
              <a:t>(</a:t>
            </a:r>
            <a:r>
              <a:rPr lang="ko-KR" altLang="en-US"/>
              <a:t>건</a:t>
            </a:r>
            <a:r>
              <a:rPr lang="en-US" altLang="ko-KR"/>
              <a:t>)</a:t>
            </a:r>
            <a:endParaRPr lang="ko-KR" altLang="en-US"/>
          </a:p>
        </c:rich>
      </c:tx>
      <c:overlay val="1"/>
    </c:title>
    <c:autoTitleDeleted val="0"/>
    <c:plotArea>
      <c:layout>
        <c:manualLayout>
          <c:layoutTarget val="inner"/>
          <c:xMode val="edge"/>
          <c:yMode val="edge"/>
          <c:x val="0.10995668509044676"/>
          <c:y val="0.1705229782873359"/>
          <c:w val="0.85632685608864456"/>
          <c:h val="0.67434156937279388"/>
        </c:manualLayout>
      </c:layout>
      <c:barChart>
        <c:barDir val="col"/>
        <c:grouping val="stacked"/>
        <c:varyColors val="0"/>
        <c:ser>
          <c:idx val="0"/>
          <c:order val="0"/>
          <c:tx>
            <c:strRef>
              <c:f>종합!$AS$192</c:f>
              <c:strCache>
                <c:ptCount val="1"/>
                <c:pt idx="0">
                  <c:v>생산원인</c:v>
                </c:pt>
              </c:strCache>
            </c:strRef>
          </c:tx>
          <c:spPr>
            <a:solidFill>
              <a:srgbClr val="FF0000"/>
            </a:solidFill>
            <a:scene3d>
              <a:camera prst="orthographicFront"/>
              <a:lightRig rig="threePt" dir="t"/>
            </a:scene3d>
            <a:sp3d>
              <a:bevelT/>
            </a:sp3d>
          </c:spPr>
          <c:invertIfNegative val="0"/>
          <c:dPt>
            <c:idx val="0"/>
            <c:invertIfNegative val="0"/>
            <c:bubble3D val="0"/>
            <c:spPr>
              <a:solidFill>
                <a:schemeClr val="accent1"/>
              </a:solidFill>
              <a:scene3d>
                <a:camera prst="orthographicFront"/>
                <a:lightRig rig="threePt" dir="t"/>
              </a:scene3d>
              <a:sp3d>
                <a:bevelT/>
              </a:sp3d>
            </c:spPr>
          </c:dPt>
          <c:dPt>
            <c:idx val="1"/>
            <c:invertIfNegative val="0"/>
            <c:bubble3D val="0"/>
            <c:spPr>
              <a:solidFill>
                <a:schemeClr val="accent2"/>
              </a:solidFill>
              <a:scene3d>
                <a:camera prst="orthographicFront"/>
                <a:lightRig rig="threePt" dir="t"/>
              </a:scene3d>
              <a:sp3d>
                <a:bevelT/>
              </a:sp3d>
            </c:spPr>
          </c:dPt>
          <c:dPt>
            <c:idx val="2"/>
            <c:invertIfNegative val="0"/>
            <c:bubble3D val="0"/>
            <c:spPr>
              <a:solidFill>
                <a:srgbClr val="00B050"/>
              </a:solidFill>
              <a:scene3d>
                <a:camera prst="orthographicFront"/>
                <a:lightRig rig="threePt" dir="t"/>
              </a:scene3d>
              <a:sp3d>
                <a:bevelT/>
              </a:sp3d>
            </c:spPr>
          </c:dPt>
          <c:dPt>
            <c:idx val="3"/>
            <c:invertIfNegative val="0"/>
            <c:bubble3D val="0"/>
          </c:dPt>
          <c:dLbls>
            <c:dLbl>
              <c:idx val="1"/>
              <c:layout>
                <c:manualLayout>
                  <c:x val="6.135264218535213E-3"/>
                  <c:y val="-4.9278472222222224E-2"/>
                </c:manualLayout>
              </c:layout>
              <c:dLblPos val="ctr"/>
              <c:showLegendKey val="0"/>
              <c:showVal val="1"/>
              <c:showCatName val="0"/>
              <c:showSerName val="0"/>
              <c:showPercent val="0"/>
              <c:showBubbleSize val="0"/>
            </c:dLbl>
            <c:txPr>
              <a:bodyPr/>
              <a:lstStyle/>
              <a:p>
                <a:pPr>
                  <a:defRPr b="1"/>
                </a:pPr>
                <a:endParaRPr lang="ko-KR"/>
              </a:p>
            </c:txPr>
            <c:dLblPos val="inEnd"/>
            <c:showLegendKey val="0"/>
            <c:showVal val="1"/>
            <c:showCatName val="0"/>
            <c:showSerName val="0"/>
            <c:showPercent val="0"/>
            <c:showBubbleSize val="0"/>
            <c:showLeaderLines val="0"/>
          </c:dLbls>
          <c:cat>
            <c:strRef>
              <c:f>종합!$AT$201:$AW$201</c:f>
              <c:strCache>
                <c:ptCount val="4"/>
                <c:pt idx="0">
                  <c:v>20년</c:v>
                </c:pt>
                <c:pt idx="1">
                  <c:v>1월</c:v>
                </c:pt>
                <c:pt idx="2">
                  <c:v>2월</c:v>
                </c:pt>
                <c:pt idx="3">
                  <c:v>3월</c:v>
                </c:pt>
              </c:strCache>
            </c:strRef>
          </c:cat>
          <c:val>
            <c:numRef>
              <c:f>(종합!$AT$208,종합!$AU$202:$AW$202)</c:f>
              <c:numCache>
                <c:formatCode>General</c:formatCode>
                <c:ptCount val="4"/>
                <c:pt idx="0" formatCode="0_ ">
                  <c:v>2</c:v>
                </c:pt>
                <c:pt idx="1">
                  <c:v>0</c:v>
                </c:pt>
                <c:pt idx="2">
                  <c:v>1</c:v>
                </c:pt>
                <c:pt idx="3">
                  <c:v>1</c:v>
                </c:pt>
              </c:numCache>
            </c:numRef>
          </c:val>
        </c:ser>
        <c:dLbls>
          <c:showLegendKey val="0"/>
          <c:showVal val="0"/>
          <c:showCatName val="0"/>
          <c:showSerName val="0"/>
          <c:showPercent val="0"/>
          <c:showBubbleSize val="0"/>
        </c:dLbls>
        <c:gapWidth val="150"/>
        <c:overlap val="100"/>
        <c:axId val="570689792"/>
        <c:axId val="570699776"/>
      </c:barChart>
      <c:catAx>
        <c:axId val="570689792"/>
        <c:scaling>
          <c:orientation val="minMax"/>
        </c:scaling>
        <c:delete val="0"/>
        <c:axPos val="b"/>
        <c:majorTickMark val="out"/>
        <c:minorTickMark val="none"/>
        <c:tickLblPos val="nextTo"/>
        <c:crossAx val="570699776"/>
        <c:crosses val="autoZero"/>
        <c:auto val="1"/>
        <c:lblAlgn val="ctr"/>
        <c:lblOffset val="100"/>
        <c:noMultiLvlLbl val="0"/>
      </c:catAx>
      <c:valAx>
        <c:axId val="570699776"/>
        <c:scaling>
          <c:orientation val="minMax"/>
        </c:scaling>
        <c:delete val="0"/>
        <c:axPos val="l"/>
        <c:numFmt formatCode="0_ " sourceLinked="1"/>
        <c:majorTickMark val="out"/>
        <c:minorTickMark val="none"/>
        <c:tickLblPos val="nextTo"/>
        <c:crossAx val="570689792"/>
        <c:crosses val="autoZero"/>
        <c:crossBetween val="between"/>
      </c:valAx>
      <c:spPr>
        <a:solidFill>
          <a:schemeClr val="accent6">
            <a:lumMod val="20000"/>
            <a:lumOff val="80000"/>
          </a:schemeClr>
        </a:solidFill>
      </c:spPr>
    </c:plotArea>
    <c:plotVisOnly val="1"/>
    <c:dispBlanksAs val="gap"/>
    <c:showDLblsOverMax val="0"/>
  </c:chart>
  <c:spPr>
    <a:solidFill>
      <a:schemeClr val="accent6">
        <a:lumMod val="20000"/>
        <a:lumOff val="80000"/>
      </a:schemeClr>
    </a:solidFill>
    <a:ln>
      <a:solidFill>
        <a:srgbClr val="002060"/>
      </a:solidFill>
    </a:ln>
  </c:spPr>
  <c:txPr>
    <a:bodyPr/>
    <a:lstStyle/>
    <a:p>
      <a:pPr>
        <a:defRPr sz="1200"/>
      </a:pPr>
      <a:endParaRPr lang="ko-K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ko-KR" altLang="en-US"/>
              <a:t>반품 중량</a:t>
            </a:r>
            <a:r>
              <a:rPr lang="en-US" altLang="ko-KR"/>
              <a:t>(</a:t>
            </a:r>
            <a:r>
              <a:rPr lang="ko-KR" altLang="en-US"/>
              <a:t>톤</a:t>
            </a:r>
            <a:r>
              <a:rPr lang="en-US" altLang="ko-KR"/>
              <a:t>)</a:t>
            </a:r>
            <a:endParaRPr lang="ko-KR" altLang="en-US"/>
          </a:p>
        </c:rich>
      </c:tx>
      <c:overlay val="0"/>
    </c:title>
    <c:autoTitleDeleted val="0"/>
    <c:plotArea>
      <c:layout/>
      <c:barChart>
        <c:barDir val="col"/>
        <c:grouping val="stacked"/>
        <c:varyColors val="0"/>
        <c:ser>
          <c:idx val="0"/>
          <c:order val="0"/>
          <c:tx>
            <c:strRef>
              <c:f>종합!$AS$185</c:f>
              <c:strCache>
                <c:ptCount val="1"/>
                <c:pt idx="0">
                  <c:v>반품 중량</c:v>
                </c:pt>
              </c:strCache>
            </c:strRef>
          </c:tx>
          <c:spPr>
            <a:solidFill>
              <a:srgbClr val="FF0000"/>
            </a:solidFill>
            <a:scene3d>
              <a:camera prst="orthographicFront"/>
              <a:lightRig rig="threePt" dir="t"/>
            </a:scene3d>
            <a:sp3d>
              <a:bevelT/>
            </a:sp3d>
          </c:spPr>
          <c:invertIfNegative val="0"/>
          <c:dPt>
            <c:idx val="0"/>
            <c:invertIfNegative val="0"/>
            <c:bubble3D val="0"/>
            <c:spPr>
              <a:solidFill>
                <a:schemeClr val="accent1"/>
              </a:solidFill>
              <a:scene3d>
                <a:camera prst="orthographicFront"/>
                <a:lightRig rig="threePt" dir="t"/>
              </a:scene3d>
              <a:sp3d>
                <a:bevelT/>
              </a:sp3d>
            </c:spPr>
          </c:dPt>
          <c:dPt>
            <c:idx val="1"/>
            <c:invertIfNegative val="0"/>
            <c:bubble3D val="0"/>
            <c:spPr>
              <a:solidFill>
                <a:schemeClr val="accent2"/>
              </a:solidFill>
              <a:scene3d>
                <a:camera prst="orthographicFront"/>
                <a:lightRig rig="threePt" dir="t"/>
              </a:scene3d>
              <a:sp3d>
                <a:bevelT/>
              </a:sp3d>
            </c:spPr>
          </c:dPt>
          <c:dPt>
            <c:idx val="2"/>
            <c:invertIfNegative val="0"/>
            <c:bubble3D val="0"/>
            <c:spPr>
              <a:solidFill>
                <a:srgbClr val="00B050"/>
              </a:solidFill>
              <a:scene3d>
                <a:camera prst="orthographicFront"/>
                <a:lightRig rig="threePt" dir="t"/>
              </a:scene3d>
              <a:sp3d>
                <a:bevelT/>
              </a:sp3d>
            </c:spPr>
          </c:dPt>
          <c:dPt>
            <c:idx val="3"/>
            <c:invertIfNegative val="0"/>
            <c:bubble3D val="0"/>
          </c:dPt>
          <c:dLbls>
            <c:dLbl>
              <c:idx val="1"/>
              <c:layout>
                <c:manualLayout>
                  <c:x val="0"/>
                  <c:y val="-5.8097936839561402E-2"/>
                </c:manualLayout>
              </c:layout>
              <c:dLblPos val="ctr"/>
              <c:showLegendKey val="0"/>
              <c:showVal val="1"/>
              <c:showCatName val="0"/>
              <c:showSerName val="0"/>
              <c:showPercent val="0"/>
              <c:showBubbleSize val="0"/>
            </c:dLbl>
            <c:dLbl>
              <c:idx val="2"/>
              <c:layout>
                <c:manualLayout>
                  <c:x val="0"/>
                  <c:y val="-6.0353145955953459E-2"/>
                </c:manualLayout>
              </c:layout>
              <c:dLblPos val="ctr"/>
              <c:showLegendKey val="0"/>
              <c:showVal val="1"/>
              <c:showCatName val="0"/>
              <c:showSerName val="0"/>
              <c:showPercent val="0"/>
              <c:showBubbleSize val="0"/>
            </c:dLbl>
            <c:numFmt formatCode="#,##0_);[Red]\(#,##0\)" sourceLinked="0"/>
            <c:txPr>
              <a:bodyPr/>
              <a:lstStyle/>
              <a:p>
                <a:pPr>
                  <a:defRPr b="1"/>
                </a:pPr>
                <a:endParaRPr lang="ko-KR"/>
              </a:p>
            </c:txPr>
            <c:dLblPos val="inEnd"/>
            <c:showLegendKey val="0"/>
            <c:showVal val="1"/>
            <c:showCatName val="0"/>
            <c:showSerName val="0"/>
            <c:showPercent val="0"/>
            <c:showBubbleSize val="0"/>
            <c:showLeaderLines val="0"/>
          </c:dLbls>
          <c:cat>
            <c:strRef>
              <c:f>종합!$AT$201:$AW$201</c:f>
              <c:strCache>
                <c:ptCount val="4"/>
                <c:pt idx="0">
                  <c:v>20년</c:v>
                </c:pt>
                <c:pt idx="1">
                  <c:v>1월</c:v>
                </c:pt>
                <c:pt idx="2">
                  <c:v>2월</c:v>
                </c:pt>
                <c:pt idx="3">
                  <c:v>3월</c:v>
                </c:pt>
              </c:strCache>
            </c:strRef>
          </c:cat>
          <c:val>
            <c:numRef>
              <c:f>(종합!$AT$209,종합!$AU$203:$AW$203)</c:f>
              <c:numCache>
                <c:formatCode>General</c:formatCode>
                <c:ptCount val="4"/>
                <c:pt idx="0" formatCode="0.0_ ">
                  <c:v>15.267583333333333</c:v>
                </c:pt>
                <c:pt idx="1">
                  <c:v>0</c:v>
                </c:pt>
                <c:pt idx="2">
                  <c:v>1.66</c:v>
                </c:pt>
                <c:pt idx="3">
                  <c:v>71.199999999999989</c:v>
                </c:pt>
              </c:numCache>
            </c:numRef>
          </c:val>
        </c:ser>
        <c:dLbls>
          <c:showLegendKey val="0"/>
          <c:showVal val="0"/>
          <c:showCatName val="0"/>
          <c:showSerName val="0"/>
          <c:showPercent val="0"/>
          <c:showBubbleSize val="0"/>
        </c:dLbls>
        <c:gapWidth val="150"/>
        <c:overlap val="100"/>
        <c:axId val="570713216"/>
        <c:axId val="570714752"/>
      </c:barChart>
      <c:catAx>
        <c:axId val="570713216"/>
        <c:scaling>
          <c:orientation val="minMax"/>
        </c:scaling>
        <c:delete val="0"/>
        <c:axPos val="b"/>
        <c:majorTickMark val="out"/>
        <c:minorTickMark val="none"/>
        <c:tickLblPos val="nextTo"/>
        <c:crossAx val="570714752"/>
        <c:crosses val="autoZero"/>
        <c:auto val="1"/>
        <c:lblAlgn val="ctr"/>
        <c:lblOffset val="100"/>
        <c:noMultiLvlLbl val="0"/>
      </c:catAx>
      <c:valAx>
        <c:axId val="570714752"/>
        <c:scaling>
          <c:orientation val="minMax"/>
        </c:scaling>
        <c:delete val="0"/>
        <c:axPos val="l"/>
        <c:numFmt formatCode="0.0_ " sourceLinked="1"/>
        <c:majorTickMark val="out"/>
        <c:minorTickMark val="none"/>
        <c:tickLblPos val="nextTo"/>
        <c:crossAx val="570713216"/>
        <c:crosses val="autoZero"/>
        <c:crossBetween val="between"/>
      </c:valAx>
      <c:spPr>
        <a:solidFill>
          <a:schemeClr val="accent6">
            <a:lumMod val="20000"/>
            <a:lumOff val="80000"/>
          </a:schemeClr>
        </a:solidFill>
      </c:spPr>
    </c:plotArea>
    <c:plotVisOnly val="1"/>
    <c:dispBlanksAs val="gap"/>
    <c:showDLblsOverMax val="0"/>
  </c:chart>
  <c:spPr>
    <a:solidFill>
      <a:schemeClr val="accent6">
        <a:lumMod val="20000"/>
        <a:lumOff val="80000"/>
      </a:schemeClr>
    </a:solidFill>
    <a:ln>
      <a:solidFill>
        <a:srgbClr val="002060"/>
      </a:solidFill>
    </a:ln>
  </c:spPr>
  <c:txPr>
    <a:bodyPr/>
    <a:lstStyle/>
    <a:p>
      <a:pPr>
        <a:defRPr sz="1200"/>
      </a:pPr>
      <a:endParaRPr lang="ko-K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905074365704287E-2"/>
          <c:y val="0.18103018372703411"/>
          <c:w val="0.92165179352580928"/>
          <c:h val="0.67944845435987178"/>
        </c:manualLayout>
      </c:layout>
      <c:barChart>
        <c:barDir val="col"/>
        <c:grouping val="stacked"/>
        <c:varyColors val="0"/>
        <c:ser>
          <c:idx val="0"/>
          <c:order val="0"/>
          <c:tx>
            <c:strRef>
              <c:f>종합!$AS$166</c:f>
              <c:strCache>
                <c:ptCount val="1"/>
                <c:pt idx="0">
                  <c:v>PO 고객 불만</c:v>
                </c:pt>
              </c:strCache>
            </c:strRef>
          </c:tx>
          <c:spPr>
            <a:solidFill>
              <a:srgbClr val="00B050"/>
            </a:solidFill>
          </c:spPr>
          <c:invertIfNegative val="0"/>
          <c:dLbls>
            <c:txPr>
              <a:bodyPr/>
              <a:lstStyle/>
              <a:p>
                <a:pPr>
                  <a:defRPr b="1"/>
                </a:pPr>
                <a:endParaRPr lang="ko-KR"/>
              </a:p>
            </c:txPr>
            <c:dLblPos val="inEnd"/>
            <c:showLegendKey val="0"/>
            <c:showVal val="1"/>
            <c:showCatName val="0"/>
            <c:showSerName val="0"/>
            <c:showPercent val="0"/>
            <c:showBubbleSize val="0"/>
            <c:showLeaderLines val="0"/>
          </c:dLbls>
          <c:cat>
            <c:strRef>
              <c:f>종합!$AT$165:$AU$165</c:f>
              <c:strCache>
                <c:ptCount val="2"/>
                <c:pt idx="0">
                  <c:v>16년 실적</c:v>
                </c:pt>
                <c:pt idx="1">
                  <c:v>17년 상반기</c:v>
                </c:pt>
              </c:strCache>
            </c:strRef>
          </c:cat>
          <c:val>
            <c:numRef>
              <c:f>종합!$AT$166:$AU$166</c:f>
              <c:numCache>
                <c:formatCode>General</c:formatCode>
                <c:ptCount val="2"/>
                <c:pt idx="0">
                  <c:v>5</c:v>
                </c:pt>
                <c:pt idx="1">
                  <c:v>2</c:v>
                </c:pt>
              </c:numCache>
            </c:numRef>
          </c:val>
        </c:ser>
        <c:ser>
          <c:idx val="1"/>
          <c:order val="1"/>
          <c:tx>
            <c:strRef>
              <c:f>종합!$AS$167</c:f>
              <c:strCache>
                <c:ptCount val="1"/>
                <c:pt idx="0">
                  <c:v>6월 ~7월 건수</c:v>
                </c:pt>
              </c:strCache>
            </c:strRef>
          </c:tx>
          <c:invertIfNegative val="0"/>
          <c:cat>
            <c:strRef>
              <c:f>종합!$AT$165:$AU$165</c:f>
              <c:strCache>
                <c:ptCount val="2"/>
                <c:pt idx="0">
                  <c:v>16년 실적</c:v>
                </c:pt>
                <c:pt idx="1">
                  <c:v>17년 상반기</c:v>
                </c:pt>
              </c:strCache>
            </c:strRef>
          </c:cat>
          <c:val>
            <c:numRef>
              <c:f>종합!$AT$167:$AU$167</c:f>
              <c:numCache>
                <c:formatCode>General</c:formatCode>
                <c:ptCount val="2"/>
                <c:pt idx="1">
                  <c:v>0</c:v>
                </c:pt>
              </c:numCache>
            </c:numRef>
          </c:val>
        </c:ser>
        <c:dLbls>
          <c:showLegendKey val="0"/>
          <c:showVal val="0"/>
          <c:showCatName val="0"/>
          <c:showSerName val="0"/>
          <c:showPercent val="0"/>
          <c:showBubbleSize val="0"/>
        </c:dLbls>
        <c:gapWidth val="150"/>
        <c:overlap val="100"/>
        <c:axId val="570752384"/>
        <c:axId val="570754176"/>
      </c:barChart>
      <c:catAx>
        <c:axId val="570752384"/>
        <c:scaling>
          <c:orientation val="minMax"/>
        </c:scaling>
        <c:delete val="0"/>
        <c:axPos val="b"/>
        <c:majorTickMark val="out"/>
        <c:minorTickMark val="none"/>
        <c:tickLblPos val="nextTo"/>
        <c:crossAx val="570754176"/>
        <c:crosses val="autoZero"/>
        <c:auto val="1"/>
        <c:lblAlgn val="ctr"/>
        <c:lblOffset val="100"/>
        <c:noMultiLvlLbl val="0"/>
      </c:catAx>
      <c:valAx>
        <c:axId val="570754176"/>
        <c:scaling>
          <c:orientation val="minMax"/>
        </c:scaling>
        <c:delete val="0"/>
        <c:axPos val="l"/>
        <c:numFmt formatCode="General" sourceLinked="1"/>
        <c:majorTickMark val="out"/>
        <c:minorTickMark val="none"/>
        <c:tickLblPos val="nextTo"/>
        <c:crossAx val="570752384"/>
        <c:crosses val="autoZero"/>
        <c:crossBetween val="between"/>
        <c:majorUnit val="2"/>
      </c:valAx>
    </c:plotArea>
    <c:plotVisOnly val="1"/>
    <c:dispBlanksAs val="gap"/>
    <c:showDLblsOverMax val="0"/>
  </c:chart>
  <c:txPr>
    <a:bodyPr/>
    <a:lstStyle/>
    <a:p>
      <a:pPr>
        <a:defRPr sz="1200"/>
      </a:pPr>
      <a:endParaRPr lang="ko-K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905074365704287E-2"/>
          <c:y val="0.18103018372703411"/>
          <c:w val="0.92165179352580928"/>
          <c:h val="0.67944845435987178"/>
        </c:manualLayout>
      </c:layout>
      <c:barChart>
        <c:barDir val="col"/>
        <c:grouping val="stacked"/>
        <c:varyColors val="0"/>
        <c:ser>
          <c:idx val="0"/>
          <c:order val="0"/>
          <c:tx>
            <c:strRef>
              <c:f>종합!$AS$171</c:f>
              <c:strCache>
                <c:ptCount val="1"/>
                <c:pt idx="0">
                  <c:v>PO 고객 불만</c:v>
                </c:pt>
              </c:strCache>
            </c:strRef>
          </c:tx>
          <c:spPr>
            <a:solidFill>
              <a:srgbClr val="00B050"/>
            </a:solidFill>
          </c:spPr>
          <c:invertIfNegative val="0"/>
          <c:dLbls>
            <c:txPr>
              <a:bodyPr/>
              <a:lstStyle/>
              <a:p>
                <a:pPr>
                  <a:defRPr b="1"/>
                </a:pPr>
                <a:endParaRPr lang="ko-KR"/>
              </a:p>
            </c:txPr>
            <c:dLblPos val="inEnd"/>
            <c:showLegendKey val="0"/>
            <c:showVal val="1"/>
            <c:showCatName val="0"/>
            <c:showSerName val="0"/>
            <c:showPercent val="0"/>
            <c:showBubbleSize val="0"/>
            <c:showLeaderLines val="0"/>
          </c:dLbls>
          <c:cat>
            <c:strRef>
              <c:f>종합!$AT$165:$AU$165</c:f>
              <c:strCache>
                <c:ptCount val="2"/>
                <c:pt idx="0">
                  <c:v>16년 실적</c:v>
                </c:pt>
                <c:pt idx="1">
                  <c:v>17년 상반기</c:v>
                </c:pt>
              </c:strCache>
            </c:strRef>
          </c:cat>
          <c:val>
            <c:numRef>
              <c:f>종합!$AT$171:$AU$171</c:f>
              <c:numCache>
                <c:formatCode>General</c:formatCode>
                <c:ptCount val="2"/>
                <c:pt idx="0">
                  <c:v>16</c:v>
                </c:pt>
              </c:numCache>
            </c:numRef>
          </c:val>
        </c:ser>
        <c:ser>
          <c:idx val="1"/>
          <c:order val="1"/>
          <c:tx>
            <c:strRef>
              <c:f>종합!$AS$172</c:f>
              <c:strCache>
                <c:ptCount val="1"/>
                <c:pt idx="0">
                  <c:v>6월 ~7월 건수</c:v>
                </c:pt>
              </c:strCache>
            </c:strRef>
          </c:tx>
          <c:spPr>
            <a:solidFill>
              <a:schemeClr val="accent6">
                <a:lumMod val="75000"/>
              </a:schemeClr>
            </a:solidFill>
          </c:spPr>
          <c:invertIfNegative val="0"/>
          <c:dLbls>
            <c:txPr>
              <a:bodyPr/>
              <a:lstStyle/>
              <a:p>
                <a:pPr>
                  <a:defRPr b="1"/>
                </a:pPr>
                <a:endParaRPr lang="ko-KR"/>
              </a:p>
            </c:txPr>
            <c:dLblPos val="inEnd"/>
            <c:showLegendKey val="0"/>
            <c:showVal val="1"/>
            <c:showCatName val="0"/>
            <c:showSerName val="0"/>
            <c:showPercent val="0"/>
            <c:showBubbleSize val="0"/>
            <c:showLeaderLines val="0"/>
          </c:dLbls>
          <c:cat>
            <c:strRef>
              <c:f>종합!$AT$165:$AU$165</c:f>
              <c:strCache>
                <c:ptCount val="2"/>
                <c:pt idx="0">
                  <c:v>16년 실적</c:v>
                </c:pt>
                <c:pt idx="1">
                  <c:v>17년 상반기</c:v>
                </c:pt>
              </c:strCache>
            </c:strRef>
          </c:cat>
          <c:val>
            <c:numRef>
              <c:f>종합!$AT$172:$AU$172</c:f>
              <c:numCache>
                <c:formatCode>General</c:formatCode>
                <c:ptCount val="2"/>
                <c:pt idx="1">
                  <c:v>4</c:v>
                </c:pt>
              </c:numCache>
            </c:numRef>
          </c:val>
        </c:ser>
        <c:dLbls>
          <c:showLegendKey val="0"/>
          <c:showVal val="0"/>
          <c:showCatName val="0"/>
          <c:showSerName val="0"/>
          <c:showPercent val="0"/>
          <c:showBubbleSize val="0"/>
        </c:dLbls>
        <c:gapWidth val="150"/>
        <c:overlap val="100"/>
        <c:axId val="570783616"/>
        <c:axId val="570785152"/>
      </c:barChart>
      <c:catAx>
        <c:axId val="570783616"/>
        <c:scaling>
          <c:orientation val="minMax"/>
        </c:scaling>
        <c:delete val="0"/>
        <c:axPos val="b"/>
        <c:majorTickMark val="out"/>
        <c:minorTickMark val="none"/>
        <c:tickLblPos val="nextTo"/>
        <c:crossAx val="570785152"/>
        <c:crosses val="autoZero"/>
        <c:auto val="1"/>
        <c:lblAlgn val="ctr"/>
        <c:lblOffset val="100"/>
        <c:noMultiLvlLbl val="0"/>
      </c:catAx>
      <c:valAx>
        <c:axId val="570785152"/>
        <c:scaling>
          <c:orientation val="minMax"/>
        </c:scaling>
        <c:delete val="0"/>
        <c:axPos val="l"/>
        <c:numFmt formatCode="General" sourceLinked="1"/>
        <c:majorTickMark val="out"/>
        <c:minorTickMark val="none"/>
        <c:tickLblPos val="nextTo"/>
        <c:crossAx val="570783616"/>
        <c:crosses val="autoZero"/>
        <c:crossBetween val="between"/>
        <c:majorUnit val="3"/>
      </c:valAx>
    </c:plotArea>
    <c:plotVisOnly val="1"/>
    <c:dispBlanksAs val="gap"/>
    <c:showDLblsOverMax val="0"/>
  </c:chart>
  <c:txPr>
    <a:bodyPr/>
    <a:lstStyle/>
    <a:p>
      <a:pPr>
        <a:defRPr sz="1200"/>
      </a:pPr>
      <a:endParaRPr lang="ko-K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905074365704287E-2"/>
          <c:y val="0.18103018372703411"/>
          <c:w val="0.92165179352580928"/>
          <c:h val="0.67944845435987178"/>
        </c:manualLayout>
      </c:layout>
      <c:barChart>
        <c:barDir val="col"/>
        <c:grouping val="stacked"/>
        <c:varyColors val="0"/>
        <c:ser>
          <c:idx val="0"/>
          <c:order val="0"/>
          <c:tx>
            <c:strRef>
              <c:f>종합!$AS$175</c:f>
              <c:strCache>
                <c:ptCount val="1"/>
                <c:pt idx="0">
                  <c:v>PO 고객 불만</c:v>
                </c:pt>
              </c:strCache>
            </c:strRef>
          </c:tx>
          <c:spPr>
            <a:solidFill>
              <a:srgbClr val="00B050"/>
            </a:solidFill>
          </c:spPr>
          <c:invertIfNegative val="0"/>
          <c:dLbls>
            <c:dLbl>
              <c:idx val="1"/>
              <c:layout>
                <c:manualLayout>
                  <c:x val="0"/>
                  <c:y val="8.7489063867016627E-3"/>
                </c:manualLayout>
              </c:layout>
              <c:dLblPos val="ctr"/>
              <c:showLegendKey val="0"/>
              <c:showVal val="1"/>
              <c:showCatName val="0"/>
              <c:showSerName val="0"/>
              <c:showPercent val="0"/>
              <c:showBubbleSize val="0"/>
            </c:dLbl>
            <c:txPr>
              <a:bodyPr/>
              <a:lstStyle/>
              <a:p>
                <a:pPr>
                  <a:defRPr b="1"/>
                </a:pPr>
                <a:endParaRPr lang="ko-KR"/>
              </a:p>
            </c:txPr>
            <c:dLblPos val="inEnd"/>
            <c:showLegendKey val="0"/>
            <c:showVal val="1"/>
            <c:showCatName val="0"/>
            <c:showSerName val="0"/>
            <c:showPercent val="0"/>
            <c:showBubbleSize val="0"/>
            <c:showLeaderLines val="0"/>
          </c:dLbls>
          <c:cat>
            <c:strRef>
              <c:f>종합!$AT$165:$AU$165</c:f>
              <c:strCache>
                <c:ptCount val="2"/>
                <c:pt idx="0">
                  <c:v>16년 실적</c:v>
                </c:pt>
                <c:pt idx="1">
                  <c:v>17년 상반기</c:v>
                </c:pt>
              </c:strCache>
            </c:strRef>
          </c:cat>
          <c:val>
            <c:numRef>
              <c:f>종합!$AT$175:$AU$175</c:f>
              <c:numCache>
                <c:formatCode>General</c:formatCode>
                <c:ptCount val="2"/>
                <c:pt idx="0">
                  <c:v>20</c:v>
                </c:pt>
                <c:pt idx="1">
                  <c:v>1</c:v>
                </c:pt>
              </c:numCache>
            </c:numRef>
          </c:val>
        </c:ser>
        <c:ser>
          <c:idx val="1"/>
          <c:order val="1"/>
          <c:tx>
            <c:strRef>
              <c:f>종합!$AS$176</c:f>
              <c:strCache>
                <c:ptCount val="1"/>
                <c:pt idx="0">
                  <c:v>6월 ~7월 건수</c:v>
                </c:pt>
              </c:strCache>
            </c:strRef>
          </c:tx>
          <c:spPr>
            <a:solidFill>
              <a:schemeClr val="accent6">
                <a:lumMod val="75000"/>
              </a:schemeClr>
            </a:solidFill>
          </c:spPr>
          <c:invertIfNegative val="0"/>
          <c:dLbls>
            <c:dLbl>
              <c:idx val="1"/>
              <c:layout>
                <c:manualLayout>
                  <c:x val="3.6529680365296802E-3"/>
                  <c:y val="-3.2917395742198895E-2"/>
                </c:manualLayout>
              </c:layout>
              <c:dLblPos val="ctr"/>
              <c:showLegendKey val="0"/>
              <c:showVal val="1"/>
              <c:showCatName val="0"/>
              <c:showSerName val="0"/>
              <c:showPercent val="0"/>
              <c:showBubbleSize val="0"/>
            </c:dLbl>
            <c:txPr>
              <a:bodyPr/>
              <a:lstStyle/>
              <a:p>
                <a:pPr>
                  <a:defRPr b="1"/>
                </a:pPr>
                <a:endParaRPr lang="ko-KR"/>
              </a:p>
            </c:txPr>
            <c:dLblPos val="inEnd"/>
            <c:showLegendKey val="0"/>
            <c:showVal val="1"/>
            <c:showCatName val="0"/>
            <c:showSerName val="0"/>
            <c:showPercent val="0"/>
            <c:showBubbleSize val="0"/>
            <c:showLeaderLines val="0"/>
          </c:dLbls>
          <c:cat>
            <c:strRef>
              <c:f>종합!$AT$165:$AU$165</c:f>
              <c:strCache>
                <c:ptCount val="2"/>
                <c:pt idx="0">
                  <c:v>16년 실적</c:v>
                </c:pt>
                <c:pt idx="1">
                  <c:v>17년 상반기</c:v>
                </c:pt>
              </c:strCache>
            </c:strRef>
          </c:cat>
          <c:val>
            <c:numRef>
              <c:f>종합!$AT$176:$AU$176</c:f>
              <c:numCache>
                <c:formatCode>General</c:formatCode>
                <c:ptCount val="2"/>
                <c:pt idx="1">
                  <c:v>1</c:v>
                </c:pt>
              </c:numCache>
            </c:numRef>
          </c:val>
        </c:ser>
        <c:dLbls>
          <c:showLegendKey val="0"/>
          <c:showVal val="0"/>
          <c:showCatName val="0"/>
          <c:showSerName val="0"/>
          <c:showPercent val="0"/>
          <c:showBubbleSize val="0"/>
        </c:dLbls>
        <c:gapWidth val="150"/>
        <c:overlap val="100"/>
        <c:axId val="570900864"/>
        <c:axId val="570902400"/>
      </c:barChart>
      <c:catAx>
        <c:axId val="570900864"/>
        <c:scaling>
          <c:orientation val="minMax"/>
        </c:scaling>
        <c:delete val="0"/>
        <c:axPos val="b"/>
        <c:majorTickMark val="out"/>
        <c:minorTickMark val="none"/>
        <c:tickLblPos val="nextTo"/>
        <c:crossAx val="570902400"/>
        <c:crosses val="autoZero"/>
        <c:auto val="1"/>
        <c:lblAlgn val="ctr"/>
        <c:lblOffset val="100"/>
        <c:noMultiLvlLbl val="0"/>
      </c:catAx>
      <c:valAx>
        <c:axId val="570902400"/>
        <c:scaling>
          <c:orientation val="minMax"/>
          <c:max val="20"/>
        </c:scaling>
        <c:delete val="0"/>
        <c:axPos val="l"/>
        <c:numFmt formatCode="General" sourceLinked="1"/>
        <c:majorTickMark val="out"/>
        <c:minorTickMark val="none"/>
        <c:tickLblPos val="nextTo"/>
        <c:crossAx val="570900864"/>
        <c:crosses val="autoZero"/>
        <c:crossBetween val="between"/>
        <c:majorUnit val="5"/>
      </c:valAx>
    </c:plotArea>
    <c:plotVisOnly val="1"/>
    <c:dispBlanksAs val="gap"/>
    <c:showDLblsOverMax val="0"/>
  </c:chart>
  <c:txPr>
    <a:bodyPr/>
    <a:lstStyle/>
    <a:p>
      <a:pPr>
        <a:defRPr sz="1200"/>
      </a:pPr>
      <a:endParaRPr lang="ko-K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905074365704287E-2"/>
          <c:y val="0.18103018372703411"/>
          <c:w val="0.92165179352580928"/>
          <c:h val="0.67944845435987178"/>
        </c:manualLayout>
      </c:layout>
      <c:barChart>
        <c:barDir val="col"/>
        <c:grouping val="stacked"/>
        <c:varyColors val="0"/>
        <c:ser>
          <c:idx val="0"/>
          <c:order val="0"/>
          <c:tx>
            <c:strRef>
              <c:f>종합!$AS$180</c:f>
              <c:strCache>
                <c:ptCount val="1"/>
                <c:pt idx="0">
                  <c:v>PO 고객 불만</c:v>
                </c:pt>
              </c:strCache>
            </c:strRef>
          </c:tx>
          <c:spPr>
            <a:solidFill>
              <a:srgbClr val="00B050"/>
            </a:solidFill>
          </c:spPr>
          <c:invertIfNegative val="0"/>
          <c:dLbls>
            <c:dLbl>
              <c:idx val="1"/>
              <c:layout>
                <c:manualLayout>
                  <c:x val="0"/>
                  <c:y val="8.7489063867016627E-3"/>
                </c:manualLayout>
              </c:layout>
              <c:dLblPos val="ctr"/>
              <c:showLegendKey val="0"/>
              <c:showVal val="1"/>
              <c:showCatName val="0"/>
              <c:showSerName val="0"/>
              <c:showPercent val="0"/>
              <c:showBubbleSize val="0"/>
            </c:dLbl>
            <c:txPr>
              <a:bodyPr/>
              <a:lstStyle/>
              <a:p>
                <a:pPr>
                  <a:defRPr b="1"/>
                </a:pPr>
                <a:endParaRPr lang="ko-KR"/>
              </a:p>
            </c:txPr>
            <c:dLblPos val="inEnd"/>
            <c:showLegendKey val="0"/>
            <c:showVal val="1"/>
            <c:showCatName val="0"/>
            <c:showSerName val="0"/>
            <c:showPercent val="0"/>
            <c:showBubbleSize val="0"/>
            <c:showLeaderLines val="0"/>
          </c:dLbls>
          <c:cat>
            <c:strRef>
              <c:f>종합!$AT$165:$AU$165</c:f>
              <c:strCache>
                <c:ptCount val="2"/>
                <c:pt idx="0">
                  <c:v>16년 실적</c:v>
                </c:pt>
                <c:pt idx="1">
                  <c:v>17년 상반기</c:v>
                </c:pt>
              </c:strCache>
            </c:strRef>
          </c:cat>
          <c:val>
            <c:numRef>
              <c:f>종합!$AT$180:$AU$180</c:f>
              <c:numCache>
                <c:formatCode>General</c:formatCode>
                <c:ptCount val="2"/>
                <c:pt idx="0">
                  <c:v>44</c:v>
                </c:pt>
                <c:pt idx="1">
                  <c:v>6</c:v>
                </c:pt>
              </c:numCache>
            </c:numRef>
          </c:val>
        </c:ser>
        <c:ser>
          <c:idx val="1"/>
          <c:order val="1"/>
          <c:tx>
            <c:strRef>
              <c:f>종합!$AS$181</c:f>
              <c:strCache>
                <c:ptCount val="1"/>
                <c:pt idx="0">
                  <c:v>6월 ~7월 건수</c:v>
                </c:pt>
              </c:strCache>
            </c:strRef>
          </c:tx>
          <c:spPr>
            <a:solidFill>
              <a:schemeClr val="accent6">
                <a:lumMod val="75000"/>
              </a:schemeClr>
            </a:solidFill>
          </c:spPr>
          <c:invertIfNegative val="0"/>
          <c:dLbls>
            <c:dLbl>
              <c:idx val="1"/>
              <c:layout>
                <c:manualLayout>
                  <c:x val="3.6529680365296802E-3"/>
                  <c:y val="-3.2917395742198895E-2"/>
                </c:manualLayout>
              </c:layout>
              <c:dLblPos val="ctr"/>
              <c:showLegendKey val="0"/>
              <c:showVal val="1"/>
              <c:showCatName val="0"/>
              <c:showSerName val="0"/>
              <c:showPercent val="0"/>
              <c:showBubbleSize val="0"/>
            </c:dLbl>
            <c:txPr>
              <a:bodyPr/>
              <a:lstStyle/>
              <a:p>
                <a:pPr>
                  <a:defRPr b="1"/>
                </a:pPr>
                <a:endParaRPr lang="ko-KR"/>
              </a:p>
            </c:txPr>
            <c:dLblPos val="inEnd"/>
            <c:showLegendKey val="0"/>
            <c:showVal val="1"/>
            <c:showCatName val="0"/>
            <c:showSerName val="0"/>
            <c:showPercent val="0"/>
            <c:showBubbleSize val="0"/>
            <c:showLeaderLines val="0"/>
          </c:dLbls>
          <c:cat>
            <c:strRef>
              <c:f>종합!$AT$165:$AU$165</c:f>
              <c:strCache>
                <c:ptCount val="2"/>
                <c:pt idx="0">
                  <c:v>16년 실적</c:v>
                </c:pt>
                <c:pt idx="1">
                  <c:v>17년 상반기</c:v>
                </c:pt>
              </c:strCache>
            </c:strRef>
          </c:cat>
          <c:val>
            <c:numRef>
              <c:f>종합!$AT$181:$AU$181</c:f>
              <c:numCache>
                <c:formatCode>General</c:formatCode>
                <c:ptCount val="2"/>
                <c:pt idx="1">
                  <c:v>2</c:v>
                </c:pt>
              </c:numCache>
            </c:numRef>
          </c:val>
        </c:ser>
        <c:dLbls>
          <c:showLegendKey val="0"/>
          <c:showVal val="0"/>
          <c:showCatName val="0"/>
          <c:showSerName val="0"/>
          <c:showPercent val="0"/>
          <c:showBubbleSize val="0"/>
        </c:dLbls>
        <c:gapWidth val="150"/>
        <c:overlap val="100"/>
        <c:axId val="570923648"/>
        <c:axId val="570933632"/>
      </c:barChart>
      <c:catAx>
        <c:axId val="570923648"/>
        <c:scaling>
          <c:orientation val="minMax"/>
        </c:scaling>
        <c:delete val="0"/>
        <c:axPos val="b"/>
        <c:majorTickMark val="out"/>
        <c:minorTickMark val="none"/>
        <c:tickLblPos val="nextTo"/>
        <c:crossAx val="570933632"/>
        <c:crosses val="autoZero"/>
        <c:auto val="1"/>
        <c:lblAlgn val="ctr"/>
        <c:lblOffset val="100"/>
        <c:noMultiLvlLbl val="0"/>
      </c:catAx>
      <c:valAx>
        <c:axId val="570933632"/>
        <c:scaling>
          <c:orientation val="minMax"/>
        </c:scaling>
        <c:delete val="0"/>
        <c:axPos val="l"/>
        <c:numFmt formatCode="General" sourceLinked="1"/>
        <c:majorTickMark val="out"/>
        <c:minorTickMark val="none"/>
        <c:tickLblPos val="nextTo"/>
        <c:crossAx val="570923648"/>
        <c:crosses val="autoZero"/>
        <c:crossBetween val="between"/>
        <c:majorUnit val="10"/>
      </c:valAx>
    </c:plotArea>
    <c:plotVisOnly val="1"/>
    <c:dispBlanksAs val="gap"/>
    <c:showDLblsOverMax val="0"/>
  </c:chart>
  <c:txPr>
    <a:bodyPr/>
    <a:lstStyle/>
    <a:p>
      <a:pPr>
        <a:defRPr sz="1200"/>
      </a:pPr>
      <a:endParaRPr lang="ko-K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종합!$BD$195</c:f>
              <c:strCache>
                <c:ptCount val="1"/>
                <c:pt idx="0">
                  <c:v>CRM 톤파워</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종합!$BJ$193:$BM$193</c:f>
              <c:strCache>
                <c:ptCount val="4"/>
                <c:pt idx="0">
                  <c:v>20년</c:v>
                </c:pt>
                <c:pt idx="1">
                  <c:v>1월</c:v>
                </c:pt>
                <c:pt idx="2">
                  <c:v>2월</c:v>
                </c:pt>
                <c:pt idx="3">
                  <c:v>3월</c:v>
                </c:pt>
              </c:strCache>
            </c:strRef>
          </c:cat>
          <c:val>
            <c:numRef>
              <c:f>종합!$BJ$195:$BM$195</c:f>
              <c:numCache>
                <c:formatCode>0.00_);[Red]\(0.00\)</c:formatCode>
                <c:ptCount val="4"/>
                <c:pt idx="0" formatCode="0.00_ ">
                  <c:v>49.260056236092275</c:v>
                </c:pt>
                <c:pt idx="1">
                  <c:v>0</c:v>
                </c:pt>
                <c:pt idx="2">
                  <c:v>0</c:v>
                </c:pt>
                <c:pt idx="3">
                  <c:v>48.552899738448126</c:v>
                </c:pt>
              </c:numCache>
            </c:numRef>
          </c:val>
        </c:ser>
        <c:dLbls>
          <c:showLegendKey val="0"/>
          <c:showVal val="0"/>
          <c:showCatName val="0"/>
          <c:showSerName val="0"/>
          <c:showPercent val="0"/>
          <c:showBubbleSize val="0"/>
        </c:dLbls>
        <c:gapWidth val="150"/>
        <c:axId val="570963840"/>
        <c:axId val="570965376"/>
      </c:barChart>
      <c:catAx>
        <c:axId val="570963840"/>
        <c:scaling>
          <c:orientation val="minMax"/>
        </c:scaling>
        <c:delete val="0"/>
        <c:axPos val="b"/>
        <c:majorTickMark val="out"/>
        <c:minorTickMark val="none"/>
        <c:tickLblPos val="nextTo"/>
        <c:crossAx val="570965376"/>
        <c:crosses val="autoZero"/>
        <c:auto val="1"/>
        <c:lblAlgn val="ctr"/>
        <c:lblOffset val="100"/>
        <c:noMultiLvlLbl val="0"/>
      </c:catAx>
      <c:valAx>
        <c:axId val="570965376"/>
        <c:scaling>
          <c:orientation val="minMax"/>
          <c:max val="75"/>
          <c:min val="0"/>
        </c:scaling>
        <c:delete val="0"/>
        <c:axPos val="l"/>
        <c:numFmt formatCode="0.00_ " sourceLinked="1"/>
        <c:majorTickMark val="out"/>
        <c:minorTickMark val="none"/>
        <c:tickLblPos val="nextTo"/>
        <c:crossAx val="570963840"/>
        <c:crosses val="autoZero"/>
        <c:crossBetween val="between"/>
        <c:majorUnit val="15"/>
      </c:valAx>
      <c:spPr>
        <a:solidFill>
          <a:schemeClr val="accent3">
            <a:lumMod val="40000"/>
            <a:lumOff val="60000"/>
          </a:schemeClr>
        </a:solidFill>
      </c:spPr>
    </c:plotArea>
    <c:plotVisOnly val="1"/>
    <c:dispBlanksAs val="gap"/>
    <c:showDLblsOverMax val="0"/>
  </c:chart>
  <c:spPr>
    <a:solidFill>
      <a:schemeClr val="accent3">
        <a:lumMod val="40000"/>
        <a:lumOff val="6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종합!$BD$196</c:f>
              <c:strCache>
                <c:ptCount val="1"/>
                <c:pt idx="0">
                  <c:v>CGL 톤파워</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종합!$BJ$193:$BM$193</c:f>
              <c:strCache>
                <c:ptCount val="4"/>
                <c:pt idx="0">
                  <c:v>20년</c:v>
                </c:pt>
                <c:pt idx="1">
                  <c:v>1월</c:v>
                </c:pt>
                <c:pt idx="2">
                  <c:v>2월</c:v>
                </c:pt>
                <c:pt idx="3">
                  <c:v>3월</c:v>
                </c:pt>
              </c:strCache>
            </c:strRef>
          </c:cat>
          <c:val>
            <c:numRef>
              <c:f>종합!$BJ$196:$BM$196</c:f>
              <c:numCache>
                <c:formatCode>0.00_);[Red]\(0.00\)</c:formatCode>
                <c:ptCount val="4"/>
                <c:pt idx="0" formatCode="0.00_ ">
                  <c:v>39.517993080100446</c:v>
                </c:pt>
                <c:pt idx="1">
                  <c:v>0</c:v>
                </c:pt>
                <c:pt idx="2">
                  <c:v>0</c:v>
                </c:pt>
                <c:pt idx="3">
                  <c:v>37.159860185335717</c:v>
                </c:pt>
              </c:numCache>
            </c:numRef>
          </c:val>
        </c:ser>
        <c:dLbls>
          <c:showLegendKey val="0"/>
          <c:showVal val="0"/>
          <c:showCatName val="0"/>
          <c:showSerName val="0"/>
          <c:showPercent val="0"/>
          <c:showBubbleSize val="0"/>
        </c:dLbls>
        <c:gapWidth val="150"/>
        <c:axId val="571008512"/>
        <c:axId val="571010048"/>
      </c:barChart>
      <c:catAx>
        <c:axId val="571008512"/>
        <c:scaling>
          <c:orientation val="minMax"/>
        </c:scaling>
        <c:delete val="0"/>
        <c:axPos val="b"/>
        <c:majorTickMark val="out"/>
        <c:minorTickMark val="none"/>
        <c:tickLblPos val="nextTo"/>
        <c:crossAx val="571010048"/>
        <c:crosses val="autoZero"/>
        <c:auto val="1"/>
        <c:lblAlgn val="ctr"/>
        <c:lblOffset val="100"/>
        <c:noMultiLvlLbl val="0"/>
      </c:catAx>
      <c:valAx>
        <c:axId val="571010048"/>
        <c:scaling>
          <c:orientation val="minMax"/>
          <c:max val="50"/>
          <c:min val="0"/>
        </c:scaling>
        <c:delete val="0"/>
        <c:axPos val="l"/>
        <c:numFmt formatCode="0.00_ " sourceLinked="1"/>
        <c:majorTickMark val="out"/>
        <c:minorTickMark val="none"/>
        <c:tickLblPos val="nextTo"/>
        <c:crossAx val="571008512"/>
        <c:crosses val="autoZero"/>
        <c:crossBetween val="between"/>
        <c:majorUnit val="10"/>
      </c:valAx>
      <c:spPr>
        <a:solidFill>
          <a:schemeClr val="accent3">
            <a:lumMod val="40000"/>
            <a:lumOff val="60000"/>
          </a:schemeClr>
        </a:solidFill>
      </c:spPr>
    </c:plotArea>
    <c:plotVisOnly val="1"/>
    <c:dispBlanksAs val="gap"/>
    <c:showDLblsOverMax val="0"/>
  </c:chart>
  <c:spPr>
    <a:solidFill>
      <a:schemeClr val="accent3">
        <a:lumMod val="40000"/>
        <a:lumOff val="6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종합!$BD$197</c:f>
              <c:strCache>
                <c:ptCount val="1"/>
                <c:pt idx="0">
                  <c:v>1CCL 톤파워</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종합!$BJ$193:$BM$193</c:f>
              <c:strCache>
                <c:ptCount val="4"/>
                <c:pt idx="0">
                  <c:v>20년</c:v>
                </c:pt>
                <c:pt idx="1">
                  <c:v>1월</c:v>
                </c:pt>
                <c:pt idx="2">
                  <c:v>2월</c:v>
                </c:pt>
                <c:pt idx="3">
                  <c:v>3월</c:v>
                </c:pt>
              </c:strCache>
            </c:strRef>
          </c:cat>
          <c:val>
            <c:numRef>
              <c:f>종합!$BJ$197:$BM$197</c:f>
              <c:numCache>
                <c:formatCode>0.00_);[Red]\(0.00\)</c:formatCode>
                <c:ptCount val="4"/>
                <c:pt idx="0" formatCode="0.00_ ">
                  <c:v>22.529190340300048</c:v>
                </c:pt>
                <c:pt idx="1">
                  <c:v>21.081832087015638</c:v>
                </c:pt>
                <c:pt idx="2">
                  <c:v>21.265148550080056</c:v>
                </c:pt>
                <c:pt idx="3">
                  <c:v>21.541975478716076</c:v>
                </c:pt>
              </c:numCache>
            </c:numRef>
          </c:val>
        </c:ser>
        <c:dLbls>
          <c:showLegendKey val="0"/>
          <c:showVal val="0"/>
          <c:showCatName val="0"/>
          <c:showSerName val="0"/>
          <c:showPercent val="0"/>
          <c:showBubbleSize val="0"/>
        </c:dLbls>
        <c:gapWidth val="150"/>
        <c:axId val="571049472"/>
        <c:axId val="571051008"/>
      </c:barChart>
      <c:catAx>
        <c:axId val="571049472"/>
        <c:scaling>
          <c:orientation val="minMax"/>
        </c:scaling>
        <c:delete val="0"/>
        <c:axPos val="b"/>
        <c:majorTickMark val="out"/>
        <c:minorTickMark val="none"/>
        <c:tickLblPos val="nextTo"/>
        <c:crossAx val="571051008"/>
        <c:crosses val="autoZero"/>
        <c:auto val="1"/>
        <c:lblAlgn val="ctr"/>
        <c:lblOffset val="100"/>
        <c:noMultiLvlLbl val="0"/>
      </c:catAx>
      <c:valAx>
        <c:axId val="571051008"/>
        <c:scaling>
          <c:orientation val="minMax"/>
          <c:max val="30"/>
          <c:min val="10"/>
        </c:scaling>
        <c:delete val="0"/>
        <c:axPos val="l"/>
        <c:numFmt formatCode="0.00_ " sourceLinked="1"/>
        <c:majorTickMark val="out"/>
        <c:minorTickMark val="none"/>
        <c:tickLblPos val="nextTo"/>
        <c:crossAx val="571049472"/>
        <c:crosses val="autoZero"/>
        <c:crossBetween val="between"/>
      </c:valAx>
      <c:spPr>
        <a:solidFill>
          <a:schemeClr val="accent3">
            <a:lumMod val="40000"/>
            <a:lumOff val="60000"/>
          </a:schemeClr>
        </a:solidFill>
      </c:spPr>
    </c:plotArea>
    <c:plotVisOnly val="1"/>
    <c:dispBlanksAs val="gap"/>
    <c:showDLblsOverMax val="0"/>
  </c:chart>
  <c:spPr>
    <a:solidFill>
      <a:schemeClr val="accent3">
        <a:lumMod val="40000"/>
        <a:lumOff val="6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종합!$BD$198</c:f>
              <c:strCache>
                <c:ptCount val="1"/>
                <c:pt idx="0">
                  <c:v>2CCL 톤파워</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종합!$BJ$193:$BM$193</c:f>
              <c:strCache>
                <c:ptCount val="4"/>
                <c:pt idx="0">
                  <c:v>20년</c:v>
                </c:pt>
                <c:pt idx="1">
                  <c:v>1월</c:v>
                </c:pt>
                <c:pt idx="2">
                  <c:v>2월</c:v>
                </c:pt>
                <c:pt idx="3">
                  <c:v>3월</c:v>
                </c:pt>
              </c:strCache>
            </c:strRef>
          </c:cat>
          <c:val>
            <c:numRef>
              <c:f>종합!$BJ$198:$BM$198</c:f>
              <c:numCache>
                <c:formatCode>0.00_);[Red]\(0.00\)</c:formatCode>
                <c:ptCount val="4"/>
                <c:pt idx="0" formatCode="0.00_ ">
                  <c:v>9.5212979035692769</c:v>
                </c:pt>
                <c:pt idx="1">
                  <c:v>9.2332969466363082</c:v>
                </c:pt>
                <c:pt idx="2">
                  <c:v>9.9368709346114343</c:v>
                </c:pt>
                <c:pt idx="3">
                  <c:v>10.335309367438645</c:v>
                </c:pt>
              </c:numCache>
            </c:numRef>
          </c:val>
        </c:ser>
        <c:dLbls>
          <c:showLegendKey val="0"/>
          <c:showVal val="0"/>
          <c:showCatName val="0"/>
          <c:showSerName val="0"/>
          <c:showPercent val="0"/>
          <c:showBubbleSize val="0"/>
        </c:dLbls>
        <c:gapWidth val="150"/>
        <c:axId val="571155584"/>
        <c:axId val="571157120"/>
      </c:barChart>
      <c:catAx>
        <c:axId val="571155584"/>
        <c:scaling>
          <c:orientation val="minMax"/>
        </c:scaling>
        <c:delete val="0"/>
        <c:axPos val="b"/>
        <c:majorTickMark val="out"/>
        <c:minorTickMark val="none"/>
        <c:tickLblPos val="nextTo"/>
        <c:crossAx val="571157120"/>
        <c:crosses val="autoZero"/>
        <c:auto val="1"/>
        <c:lblAlgn val="ctr"/>
        <c:lblOffset val="100"/>
        <c:noMultiLvlLbl val="0"/>
      </c:catAx>
      <c:valAx>
        <c:axId val="571157120"/>
        <c:scaling>
          <c:orientation val="minMax"/>
          <c:max val="13"/>
          <c:min val="5"/>
        </c:scaling>
        <c:delete val="0"/>
        <c:axPos val="l"/>
        <c:numFmt formatCode="0.00_ " sourceLinked="1"/>
        <c:majorTickMark val="out"/>
        <c:minorTickMark val="none"/>
        <c:tickLblPos val="nextTo"/>
        <c:crossAx val="571155584"/>
        <c:crosses val="autoZero"/>
        <c:crossBetween val="between"/>
        <c:majorUnit val="2"/>
      </c:valAx>
      <c:spPr>
        <a:solidFill>
          <a:schemeClr val="accent3">
            <a:lumMod val="40000"/>
            <a:lumOff val="60000"/>
          </a:schemeClr>
        </a:solidFill>
      </c:spPr>
    </c:plotArea>
    <c:plotVisOnly val="1"/>
    <c:dispBlanksAs val="gap"/>
    <c:showDLblsOverMax val="0"/>
  </c:chart>
  <c:spPr>
    <a:solidFill>
      <a:schemeClr val="accent3">
        <a:lumMod val="40000"/>
        <a:lumOff val="6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종합!$BR$30</c:f>
              <c:strCache>
                <c:ptCount val="1"/>
                <c:pt idx="0">
                  <c:v>CPL 가동율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종합!$BX$29:$CA$29</c:f>
              <c:strCache>
                <c:ptCount val="4"/>
                <c:pt idx="0">
                  <c:v>20년</c:v>
                </c:pt>
                <c:pt idx="1">
                  <c:v>1월</c:v>
                </c:pt>
                <c:pt idx="2">
                  <c:v>2월</c:v>
                </c:pt>
                <c:pt idx="3">
                  <c:v>3월</c:v>
                </c:pt>
              </c:strCache>
            </c:strRef>
          </c:cat>
          <c:val>
            <c:numRef>
              <c:f>종합!$BX$30:$CA$30</c:f>
              <c:numCache>
                <c:formatCode>General</c:formatCode>
                <c:ptCount val="4"/>
                <c:pt idx="0">
                  <c:v>53.19</c:v>
                </c:pt>
                <c:pt idx="1">
                  <c:v>0</c:v>
                </c:pt>
                <c:pt idx="2">
                  <c:v>0</c:v>
                </c:pt>
                <c:pt idx="3">
                  <c:v>62.11</c:v>
                </c:pt>
              </c:numCache>
            </c:numRef>
          </c:val>
        </c:ser>
        <c:dLbls>
          <c:showLegendKey val="0"/>
          <c:showVal val="0"/>
          <c:showCatName val="0"/>
          <c:showSerName val="0"/>
          <c:showPercent val="0"/>
          <c:showBubbleSize val="0"/>
        </c:dLbls>
        <c:gapWidth val="150"/>
        <c:axId val="571196160"/>
        <c:axId val="571197696"/>
      </c:barChart>
      <c:catAx>
        <c:axId val="571196160"/>
        <c:scaling>
          <c:orientation val="minMax"/>
        </c:scaling>
        <c:delete val="0"/>
        <c:axPos val="b"/>
        <c:majorTickMark val="out"/>
        <c:minorTickMark val="none"/>
        <c:tickLblPos val="nextTo"/>
        <c:crossAx val="571197696"/>
        <c:crosses val="autoZero"/>
        <c:auto val="1"/>
        <c:lblAlgn val="ctr"/>
        <c:lblOffset val="100"/>
        <c:noMultiLvlLbl val="0"/>
      </c:catAx>
      <c:valAx>
        <c:axId val="571197696"/>
        <c:scaling>
          <c:orientation val="minMax"/>
          <c:max val="80"/>
          <c:min val="0"/>
        </c:scaling>
        <c:delete val="0"/>
        <c:axPos val="l"/>
        <c:numFmt formatCode="General" sourceLinked="1"/>
        <c:majorTickMark val="out"/>
        <c:minorTickMark val="none"/>
        <c:tickLblPos val="nextTo"/>
        <c:crossAx val="571196160"/>
        <c:crosses val="autoZero"/>
        <c:crossBetween val="between"/>
        <c:majorUnit val="20"/>
      </c:valAx>
      <c:spPr>
        <a:solidFill>
          <a:schemeClr val="accent4">
            <a:lumMod val="20000"/>
            <a:lumOff val="80000"/>
          </a:schemeClr>
        </a:solidFill>
      </c:spPr>
    </c:plotArea>
    <c:plotVisOnly val="1"/>
    <c:dispBlanksAs val="gap"/>
    <c:showDLblsOverMax val="0"/>
  </c:chart>
  <c:spPr>
    <a:solidFill>
      <a:schemeClr val="accent4">
        <a:lumMod val="20000"/>
        <a:lumOff val="8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종합!$BR$31</c:f>
              <c:strCache>
                <c:ptCount val="1"/>
                <c:pt idx="0">
                  <c:v>CRM 가동율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종합!$BX$29:$CA$29</c:f>
              <c:strCache>
                <c:ptCount val="4"/>
                <c:pt idx="0">
                  <c:v>20년</c:v>
                </c:pt>
                <c:pt idx="1">
                  <c:v>1월</c:v>
                </c:pt>
                <c:pt idx="2">
                  <c:v>2월</c:v>
                </c:pt>
                <c:pt idx="3">
                  <c:v>3월</c:v>
                </c:pt>
              </c:strCache>
            </c:strRef>
          </c:cat>
          <c:val>
            <c:numRef>
              <c:f>종합!$BX$31:$CA$31</c:f>
              <c:numCache>
                <c:formatCode>General</c:formatCode>
                <c:ptCount val="4"/>
                <c:pt idx="0">
                  <c:v>61.14</c:v>
                </c:pt>
                <c:pt idx="1">
                  <c:v>0</c:v>
                </c:pt>
                <c:pt idx="2">
                  <c:v>0</c:v>
                </c:pt>
                <c:pt idx="3">
                  <c:v>64.239999999999995</c:v>
                </c:pt>
              </c:numCache>
            </c:numRef>
          </c:val>
        </c:ser>
        <c:dLbls>
          <c:showLegendKey val="0"/>
          <c:showVal val="0"/>
          <c:showCatName val="0"/>
          <c:showSerName val="0"/>
          <c:showPercent val="0"/>
          <c:showBubbleSize val="0"/>
        </c:dLbls>
        <c:gapWidth val="150"/>
        <c:axId val="571228544"/>
        <c:axId val="571230080"/>
      </c:barChart>
      <c:catAx>
        <c:axId val="571228544"/>
        <c:scaling>
          <c:orientation val="minMax"/>
        </c:scaling>
        <c:delete val="0"/>
        <c:axPos val="b"/>
        <c:majorTickMark val="out"/>
        <c:minorTickMark val="none"/>
        <c:tickLblPos val="nextTo"/>
        <c:crossAx val="571230080"/>
        <c:crosses val="autoZero"/>
        <c:auto val="1"/>
        <c:lblAlgn val="ctr"/>
        <c:lblOffset val="100"/>
        <c:noMultiLvlLbl val="0"/>
      </c:catAx>
      <c:valAx>
        <c:axId val="571230080"/>
        <c:scaling>
          <c:orientation val="minMax"/>
          <c:max val="100"/>
          <c:min val="0"/>
        </c:scaling>
        <c:delete val="0"/>
        <c:axPos val="l"/>
        <c:numFmt formatCode="General" sourceLinked="1"/>
        <c:majorTickMark val="out"/>
        <c:minorTickMark val="none"/>
        <c:tickLblPos val="nextTo"/>
        <c:crossAx val="571228544"/>
        <c:crosses val="autoZero"/>
        <c:crossBetween val="between"/>
        <c:majorUnit val="20"/>
      </c:valAx>
      <c:spPr>
        <a:solidFill>
          <a:schemeClr val="accent4">
            <a:lumMod val="20000"/>
            <a:lumOff val="80000"/>
          </a:schemeClr>
        </a:solidFill>
      </c:spPr>
    </c:plotArea>
    <c:plotVisOnly val="1"/>
    <c:dispBlanksAs val="gap"/>
    <c:showDLblsOverMax val="0"/>
  </c:chart>
  <c:spPr>
    <a:solidFill>
      <a:schemeClr val="accent4">
        <a:lumMod val="20000"/>
        <a:lumOff val="8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종합!$BR$32</c:f>
              <c:strCache>
                <c:ptCount val="1"/>
                <c:pt idx="0">
                  <c:v>CGL 가동율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종합!$BX$29:$CA$29</c:f>
              <c:strCache>
                <c:ptCount val="4"/>
                <c:pt idx="0">
                  <c:v>20년</c:v>
                </c:pt>
                <c:pt idx="1">
                  <c:v>1월</c:v>
                </c:pt>
                <c:pt idx="2">
                  <c:v>2월</c:v>
                </c:pt>
                <c:pt idx="3">
                  <c:v>3월</c:v>
                </c:pt>
              </c:strCache>
            </c:strRef>
          </c:cat>
          <c:val>
            <c:numRef>
              <c:f>종합!$BX$32:$CA$32</c:f>
              <c:numCache>
                <c:formatCode>General</c:formatCode>
                <c:ptCount val="4"/>
                <c:pt idx="0">
                  <c:v>76.39</c:v>
                </c:pt>
                <c:pt idx="1">
                  <c:v>0</c:v>
                </c:pt>
                <c:pt idx="2">
                  <c:v>0</c:v>
                </c:pt>
                <c:pt idx="3">
                  <c:v>82.67</c:v>
                </c:pt>
              </c:numCache>
            </c:numRef>
          </c:val>
        </c:ser>
        <c:dLbls>
          <c:showLegendKey val="0"/>
          <c:showVal val="0"/>
          <c:showCatName val="0"/>
          <c:showSerName val="0"/>
          <c:showPercent val="0"/>
          <c:showBubbleSize val="0"/>
        </c:dLbls>
        <c:gapWidth val="150"/>
        <c:axId val="571268480"/>
        <c:axId val="571270272"/>
      </c:barChart>
      <c:catAx>
        <c:axId val="571268480"/>
        <c:scaling>
          <c:orientation val="minMax"/>
        </c:scaling>
        <c:delete val="0"/>
        <c:axPos val="b"/>
        <c:majorTickMark val="out"/>
        <c:minorTickMark val="none"/>
        <c:tickLblPos val="nextTo"/>
        <c:crossAx val="571270272"/>
        <c:crosses val="autoZero"/>
        <c:auto val="1"/>
        <c:lblAlgn val="ctr"/>
        <c:lblOffset val="100"/>
        <c:noMultiLvlLbl val="0"/>
      </c:catAx>
      <c:valAx>
        <c:axId val="571270272"/>
        <c:scaling>
          <c:orientation val="minMax"/>
          <c:max val="100"/>
          <c:min val="0"/>
        </c:scaling>
        <c:delete val="0"/>
        <c:axPos val="l"/>
        <c:numFmt formatCode="General" sourceLinked="1"/>
        <c:majorTickMark val="out"/>
        <c:minorTickMark val="none"/>
        <c:tickLblPos val="nextTo"/>
        <c:crossAx val="571268480"/>
        <c:crosses val="autoZero"/>
        <c:crossBetween val="between"/>
        <c:majorUnit val="20"/>
      </c:valAx>
      <c:spPr>
        <a:solidFill>
          <a:schemeClr val="accent4">
            <a:lumMod val="20000"/>
            <a:lumOff val="80000"/>
          </a:schemeClr>
        </a:solidFill>
      </c:spPr>
    </c:plotArea>
    <c:plotVisOnly val="1"/>
    <c:dispBlanksAs val="gap"/>
    <c:showDLblsOverMax val="0"/>
  </c:chart>
  <c:spPr>
    <a:solidFill>
      <a:schemeClr val="accent4">
        <a:lumMod val="20000"/>
        <a:lumOff val="8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8022527100271002"/>
          <c:y val="0.18627446625952657"/>
          <c:w val="0.81939132608423948"/>
          <c:h val="0.65403417351624471"/>
        </c:manualLayout>
      </c:layout>
      <c:barChart>
        <c:barDir val="col"/>
        <c:grouping val="clustered"/>
        <c:varyColors val="0"/>
        <c:ser>
          <c:idx val="0"/>
          <c:order val="0"/>
          <c:tx>
            <c:strRef>
              <c:f>종합!$BR$33</c:f>
              <c:strCache>
                <c:ptCount val="1"/>
                <c:pt idx="0">
                  <c:v>1CCL 가동율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종합!$BX$29:$CA$29</c:f>
              <c:strCache>
                <c:ptCount val="4"/>
                <c:pt idx="0">
                  <c:v>20년</c:v>
                </c:pt>
                <c:pt idx="1">
                  <c:v>1월</c:v>
                </c:pt>
                <c:pt idx="2">
                  <c:v>2월</c:v>
                </c:pt>
                <c:pt idx="3">
                  <c:v>3월</c:v>
                </c:pt>
              </c:strCache>
            </c:strRef>
          </c:cat>
          <c:val>
            <c:numRef>
              <c:f>종합!$BX$33:$CA$33</c:f>
              <c:numCache>
                <c:formatCode>General</c:formatCode>
                <c:ptCount val="4"/>
                <c:pt idx="0">
                  <c:v>79.650000000000006</c:v>
                </c:pt>
                <c:pt idx="1">
                  <c:v>79.09</c:v>
                </c:pt>
                <c:pt idx="2">
                  <c:v>83.65</c:v>
                </c:pt>
                <c:pt idx="3" formatCode="0.00_ ">
                  <c:v>81.31</c:v>
                </c:pt>
              </c:numCache>
            </c:numRef>
          </c:val>
        </c:ser>
        <c:dLbls>
          <c:showLegendKey val="0"/>
          <c:showVal val="0"/>
          <c:showCatName val="0"/>
          <c:showSerName val="0"/>
          <c:showPercent val="0"/>
          <c:showBubbleSize val="0"/>
        </c:dLbls>
        <c:gapWidth val="150"/>
        <c:axId val="571313152"/>
        <c:axId val="571319040"/>
      </c:barChart>
      <c:catAx>
        <c:axId val="571313152"/>
        <c:scaling>
          <c:orientation val="minMax"/>
        </c:scaling>
        <c:delete val="0"/>
        <c:axPos val="b"/>
        <c:majorTickMark val="out"/>
        <c:minorTickMark val="none"/>
        <c:tickLblPos val="nextTo"/>
        <c:crossAx val="571319040"/>
        <c:crosses val="autoZero"/>
        <c:auto val="1"/>
        <c:lblAlgn val="ctr"/>
        <c:lblOffset val="100"/>
        <c:noMultiLvlLbl val="0"/>
      </c:catAx>
      <c:valAx>
        <c:axId val="571319040"/>
        <c:scaling>
          <c:orientation val="minMax"/>
          <c:max val="90"/>
          <c:min val="60"/>
        </c:scaling>
        <c:delete val="0"/>
        <c:axPos val="l"/>
        <c:numFmt formatCode="General" sourceLinked="1"/>
        <c:majorTickMark val="out"/>
        <c:minorTickMark val="none"/>
        <c:tickLblPos val="nextTo"/>
        <c:crossAx val="571313152"/>
        <c:crosses val="autoZero"/>
        <c:crossBetween val="between"/>
        <c:majorUnit val="6"/>
      </c:valAx>
      <c:spPr>
        <a:solidFill>
          <a:schemeClr val="accent4">
            <a:lumMod val="20000"/>
            <a:lumOff val="80000"/>
          </a:schemeClr>
        </a:solidFill>
      </c:spPr>
    </c:plotArea>
    <c:plotVisOnly val="1"/>
    <c:dispBlanksAs val="gap"/>
    <c:showDLblsOverMax val="0"/>
  </c:chart>
  <c:spPr>
    <a:solidFill>
      <a:schemeClr val="accent4">
        <a:lumMod val="20000"/>
        <a:lumOff val="8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15702399631490305"/>
          <c:w val="0.81939132608423948"/>
          <c:h val="0.68328463055463584"/>
        </c:manualLayout>
      </c:layout>
      <c:barChart>
        <c:barDir val="col"/>
        <c:grouping val="clustered"/>
        <c:varyColors val="0"/>
        <c:ser>
          <c:idx val="0"/>
          <c:order val="0"/>
          <c:tx>
            <c:strRef>
              <c:f>종합!$BR$34</c:f>
              <c:strCache>
                <c:ptCount val="1"/>
                <c:pt idx="0">
                  <c:v>2CCL 가동율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종합!$BX$29:$CA$29</c:f>
              <c:strCache>
                <c:ptCount val="4"/>
                <c:pt idx="0">
                  <c:v>20년</c:v>
                </c:pt>
                <c:pt idx="1">
                  <c:v>1월</c:v>
                </c:pt>
                <c:pt idx="2">
                  <c:v>2월</c:v>
                </c:pt>
                <c:pt idx="3">
                  <c:v>3월</c:v>
                </c:pt>
              </c:strCache>
            </c:strRef>
          </c:cat>
          <c:val>
            <c:numRef>
              <c:f>종합!$BX$34:$CA$34</c:f>
              <c:numCache>
                <c:formatCode>General</c:formatCode>
                <c:ptCount val="4"/>
                <c:pt idx="0">
                  <c:v>67.09</c:v>
                </c:pt>
                <c:pt idx="1">
                  <c:v>71.83</c:v>
                </c:pt>
                <c:pt idx="2">
                  <c:v>72.45</c:v>
                </c:pt>
                <c:pt idx="3">
                  <c:v>77.77</c:v>
                </c:pt>
              </c:numCache>
            </c:numRef>
          </c:val>
        </c:ser>
        <c:dLbls>
          <c:showLegendKey val="0"/>
          <c:showVal val="0"/>
          <c:showCatName val="0"/>
          <c:showSerName val="0"/>
          <c:showPercent val="0"/>
          <c:showBubbleSize val="0"/>
        </c:dLbls>
        <c:gapWidth val="150"/>
        <c:axId val="571341440"/>
        <c:axId val="571408768"/>
      </c:barChart>
      <c:catAx>
        <c:axId val="571341440"/>
        <c:scaling>
          <c:orientation val="minMax"/>
        </c:scaling>
        <c:delete val="0"/>
        <c:axPos val="b"/>
        <c:majorTickMark val="out"/>
        <c:minorTickMark val="none"/>
        <c:tickLblPos val="nextTo"/>
        <c:crossAx val="571408768"/>
        <c:crosses val="autoZero"/>
        <c:auto val="1"/>
        <c:lblAlgn val="ctr"/>
        <c:lblOffset val="100"/>
        <c:noMultiLvlLbl val="0"/>
      </c:catAx>
      <c:valAx>
        <c:axId val="571408768"/>
        <c:scaling>
          <c:orientation val="minMax"/>
          <c:max val="80"/>
          <c:min val="40"/>
        </c:scaling>
        <c:delete val="0"/>
        <c:axPos val="l"/>
        <c:numFmt formatCode="General" sourceLinked="1"/>
        <c:majorTickMark val="out"/>
        <c:minorTickMark val="none"/>
        <c:tickLblPos val="nextTo"/>
        <c:crossAx val="571341440"/>
        <c:crosses val="autoZero"/>
        <c:crossBetween val="between"/>
        <c:majorUnit val="10"/>
      </c:valAx>
      <c:spPr>
        <a:solidFill>
          <a:schemeClr val="accent4">
            <a:lumMod val="20000"/>
            <a:lumOff val="80000"/>
          </a:schemeClr>
        </a:solidFill>
      </c:spPr>
    </c:plotArea>
    <c:plotVisOnly val="1"/>
    <c:dispBlanksAs val="gap"/>
    <c:showDLblsOverMax val="0"/>
  </c:chart>
  <c:spPr>
    <a:solidFill>
      <a:schemeClr val="accent4">
        <a:lumMod val="20000"/>
        <a:lumOff val="8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15702399631490305"/>
          <c:w val="0.81939132608423948"/>
          <c:h val="0.68328463055463584"/>
        </c:manualLayout>
      </c:layout>
      <c:barChart>
        <c:barDir val="col"/>
        <c:grouping val="clustered"/>
        <c:varyColors val="0"/>
        <c:ser>
          <c:idx val="0"/>
          <c:order val="0"/>
          <c:tx>
            <c:strRef>
              <c:f>종합!$BR$35</c:f>
              <c:strCache>
                <c:ptCount val="1"/>
                <c:pt idx="0">
                  <c:v>종합 가동율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종합!$BX$29:$CA$29</c:f>
              <c:strCache>
                <c:ptCount val="4"/>
                <c:pt idx="0">
                  <c:v>20년</c:v>
                </c:pt>
                <c:pt idx="1">
                  <c:v>1월</c:v>
                </c:pt>
                <c:pt idx="2">
                  <c:v>2월</c:v>
                </c:pt>
                <c:pt idx="3">
                  <c:v>3월</c:v>
                </c:pt>
              </c:strCache>
            </c:strRef>
          </c:cat>
          <c:val>
            <c:numRef>
              <c:f>종합!$BX$35:$CA$35</c:f>
              <c:numCache>
                <c:formatCode>0.00_ </c:formatCode>
                <c:ptCount val="4"/>
                <c:pt idx="0">
                  <c:v>67.492000000000004</c:v>
                </c:pt>
                <c:pt idx="1">
                  <c:v>75.460000000000008</c:v>
                </c:pt>
                <c:pt idx="2">
                  <c:v>78.050000000000011</c:v>
                </c:pt>
                <c:pt idx="3">
                  <c:v>73.61999999999999</c:v>
                </c:pt>
              </c:numCache>
            </c:numRef>
          </c:val>
        </c:ser>
        <c:dLbls>
          <c:showLegendKey val="0"/>
          <c:showVal val="0"/>
          <c:showCatName val="0"/>
          <c:showSerName val="0"/>
          <c:showPercent val="0"/>
          <c:showBubbleSize val="0"/>
        </c:dLbls>
        <c:gapWidth val="150"/>
        <c:axId val="571459840"/>
        <c:axId val="571461632"/>
      </c:barChart>
      <c:catAx>
        <c:axId val="571459840"/>
        <c:scaling>
          <c:orientation val="minMax"/>
        </c:scaling>
        <c:delete val="0"/>
        <c:axPos val="b"/>
        <c:majorTickMark val="out"/>
        <c:minorTickMark val="none"/>
        <c:tickLblPos val="nextTo"/>
        <c:crossAx val="571461632"/>
        <c:crosses val="autoZero"/>
        <c:auto val="1"/>
        <c:lblAlgn val="ctr"/>
        <c:lblOffset val="100"/>
        <c:noMultiLvlLbl val="0"/>
      </c:catAx>
      <c:valAx>
        <c:axId val="571461632"/>
        <c:scaling>
          <c:orientation val="minMax"/>
          <c:max val="90"/>
          <c:min val="30"/>
        </c:scaling>
        <c:delete val="0"/>
        <c:axPos val="l"/>
        <c:numFmt formatCode="0_ " sourceLinked="0"/>
        <c:majorTickMark val="out"/>
        <c:minorTickMark val="none"/>
        <c:tickLblPos val="nextTo"/>
        <c:txPr>
          <a:bodyPr/>
          <a:lstStyle/>
          <a:p>
            <a:pPr>
              <a:defRPr sz="1100"/>
            </a:pPr>
            <a:endParaRPr lang="ko-KR"/>
          </a:p>
        </c:txPr>
        <c:crossAx val="571459840"/>
        <c:crosses val="autoZero"/>
        <c:crossBetween val="between"/>
        <c:majorUnit val="15"/>
      </c:valAx>
      <c:spPr>
        <a:solidFill>
          <a:schemeClr val="accent4">
            <a:lumMod val="20000"/>
            <a:lumOff val="80000"/>
          </a:schemeClr>
        </a:solidFill>
      </c:spPr>
    </c:plotArea>
    <c:plotVisOnly val="1"/>
    <c:dispBlanksAs val="gap"/>
    <c:showDLblsOverMax val="0"/>
  </c:chart>
  <c:spPr>
    <a:solidFill>
      <a:schemeClr val="accent4">
        <a:lumMod val="20000"/>
        <a:lumOff val="8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종합!$BD$199</c:f>
              <c:strCache>
                <c:ptCount val="1"/>
                <c:pt idx="0">
                  <c:v>종합 톤파워</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b="1"/>
                </a:pPr>
                <a:endParaRPr lang="ko-KR"/>
              </a:p>
            </c:txPr>
            <c:dLblPos val="outEnd"/>
            <c:showLegendKey val="0"/>
            <c:showVal val="1"/>
            <c:showCatName val="0"/>
            <c:showSerName val="0"/>
            <c:showPercent val="0"/>
            <c:showBubbleSize val="0"/>
            <c:showLeaderLines val="0"/>
          </c:dLbls>
          <c:cat>
            <c:strRef>
              <c:f>종합!$BJ$193:$BM$193</c:f>
              <c:strCache>
                <c:ptCount val="4"/>
                <c:pt idx="0">
                  <c:v>20년</c:v>
                </c:pt>
                <c:pt idx="1">
                  <c:v>1월</c:v>
                </c:pt>
                <c:pt idx="2">
                  <c:v>2월</c:v>
                </c:pt>
                <c:pt idx="3">
                  <c:v>3월</c:v>
                </c:pt>
              </c:strCache>
            </c:strRef>
          </c:cat>
          <c:val>
            <c:numRef>
              <c:f>종합!$BJ$199:$BM$199</c:f>
              <c:numCache>
                <c:formatCode>0.00_ </c:formatCode>
                <c:ptCount val="4"/>
                <c:pt idx="0">
                  <c:v>36.224426786039395</c:v>
                </c:pt>
                <c:pt idx="1">
                  <c:v>15.157564516825973</c:v>
                </c:pt>
                <c:pt idx="2">
                  <c:v>15.601009742345745</c:v>
                </c:pt>
                <c:pt idx="3">
                  <c:v>35.455306173304621</c:v>
                </c:pt>
              </c:numCache>
            </c:numRef>
          </c:val>
        </c:ser>
        <c:dLbls>
          <c:showLegendKey val="0"/>
          <c:showVal val="0"/>
          <c:showCatName val="0"/>
          <c:showSerName val="0"/>
          <c:showPercent val="0"/>
          <c:showBubbleSize val="0"/>
        </c:dLbls>
        <c:gapWidth val="150"/>
        <c:axId val="571484032"/>
        <c:axId val="571485568"/>
      </c:barChart>
      <c:catAx>
        <c:axId val="571484032"/>
        <c:scaling>
          <c:orientation val="minMax"/>
        </c:scaling>
        <c:delete val="0"/>
        <c:axPos val="b"/>
        <c:majorTickMark val="out"/>
        <c:minorTickMark val="none"/>
        <c:tickLblPos val="nextTo"/>
        <c:crossAx val="571485568"/>
        <c:crosses val="autoZero"/>
        <c:auto val="1"/>
        <c:lblAlgn val="ctr"/>
        <c:lblOffset val="100"/>
        <c:noMultiLvlLbl val="0"/>
      </c:catAx>
      <c:valAx>
        <c:axId val="571485568"/>
        <c:scaling>
          <c:orientation val="minMax"/>
          <c:max val="50"/>
          <c:min val="0"/>
        </c:scaling>
        <c:delete val="0"/>
        <c:axPos val="l"/>
        <c:numFmt formatCode="0.00_ " sourceLinked="1"/>
        <c:majorTickMark val="out"/>
        <c:minorTickMark val="none"/>
        <c:tickLblPos val="nextTo"/>
        <c:crossAx val="571484032"/>
        <c:crosses val="autoZero"/>
        <c:crossBetween val="between"/>
        <c:majorUnit val="10"/>
      </c:valAx>
      <c:spPr>
        <a:solidFill>
          <a:schemeClr val="accent3">
            <a:lumMod val="40000"/>
            <a:lumOff val="60000"/>
          </a:schemeClr>
        </a:solidFill>
      </c:spPr>
    </c:plotArea>
    <c:plotVisOnly val="1"/>
    <c:dispBlanksAs val="gap"/>
    <c:showDLblsOverMax val="0"/>
  </c:chart>
  <c:spPr>
    <a:solidFill>
      <a:schemeClr val="accent3">
        <a:lumMod val="40000"/>
        <a:lumOff val="60000"/>
      </a:schemeClr>
    </a:solidFill>
    <a:ln>
      <a:solidFill>
        <a:schemeClr val="tx1">
          <a:lumMod val="50000"/>
          <a:lumOff val="50000"/>
        </a:schemeClr>
      </a:solidFill>
    </a:ln>
  </c:spPr>
  <c:txPr>
    <a:bodyPr/>
    <a:lstStyle/>
    <a:p>
      <a:pPr>
        <a:defRPr sz="1200">
          <a:latin typeface="+mn-ea"/>
          <a:ea typeface="+mn-ea"/>
        </a:defRPr>
      </a:pPr>
      <a:endParaRPr lang="ko-K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68803899512561"/>
          <c:y val="0.26671332750072907"/>
          <c:w val="0.81939132608423948"/>
          <c:h val="0.57359543598716833"/>
        </c:manualLayout>
      </c:layout>
      <c:barChart>
        <c:barDir val="col"/>
        <c:grouping val="clustered"/>
        <c:varyColors val="0"/>
        <c:ser>
          <c:idx val="0"/>
          <c:order val="0"/>
          <c:tx>
            <c:strRef>
              <c:f>종합!$AY$31</c:f>
              <c:strCache>
                <c:ptCount val="1"/>
                <c:pt idx="0">
                  <c:v>CPL 수율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sz="1100" b="1"/>
                </a:pPr>
                <a:endParaRPr lang="ko-KR"/>
              </a:p>
            </c:txPr>
            <c:dLblPos val="outEnd"/>
            <c:showLegendKey val="0"/>
            <c:showVal val="1"/>
            <c:showCatName val="0"/>
            <c:showSerName val="0"/>
            <c:showPercent val="0"/>
            <c:showBubbleSize val="0"/>
            <c:showLeaderLines val="0"/>
          </c:dLbls>
          <c:cat>
            <c:strRef>
              <c:f>종합!$BX$50:$CA$50</c:f>
              <c:strCache>
                <c:ptCount val="4"/>
                <c:pt idx="0">
                  <c:v>20년</c:v>
                </c:pt>
                <c:pt idx="1">
                  <c:v>1월</c:v>
                </c:pt>
                <c:pt idx="2">
                  <c:v>2월</c:v>
                </c:pt>
                <c:pt idx="3">
                  <c:v>3월</c:v>
                </c:pt>
              </c:strCache>
            </c:strRef>
          </c:cat>
          <c:val>
            <c:numRef>
              <c:f>종합!$BX$52:$CA$52</c:f>
              <c:numCache>
                <c:formatCode>0.00_);[Red]\(0.00\)</c:formatCode>
                <c:ptCount val="4"/>
                <c:pt idx="0" formatCode="0.00_ ">
                  <c:v>97.871144441939791</c:v>
                </c:pt>
                <c:pt idx="1">
                  <c:v>0</c:v>
                </c:pt>
                <c:pt idx="2">
                  <c:v>0</c:v>
                </c:pt>
                <c:pt idx="3">
                  <c:v>97.712159552613315</c:v>
                </c:pt>
              </c:numCache>
            </c:numRef>
          </c:val>
        </c:ser>
        <c:dLbls>
          <c:showLegendKey val="0"/>
          <c:showVal val="0"/>
          <c:showCatName val="0"/>
          <c:showSerName val="0"/>
          <c:showPercent val="0"/>
          <c:showBubbleSize val="0"/>
        </c:dLbls>
        <c:gapWidth val="150"/>
        <c:axId val="571529088"/>
        <c:axId val="571530624"/>
      </c:barChart>
      <c:catAx>
        <c:axId val="571529088"/>
        <c:scaling>
          <c:orientation val="minMax"/>
        </c:scaling>
        <c:delete val="0"/>
        <c:axPos val="b"/>
        <c:majorTickMark val="out"/>
        <c:minorTickMark val="none"/>
        <c:tickLblPos val="nextTo"/>
        <c:crossAx val="571530624"/>
        <c:crosses val="autoZero"/>
        <c:auto val="1"/>
        <c:lblAlgn val="ctr"/>
        <c:lblOffset val="100"/>
        <c:noMultiLvlLbl val="0"/>
      </c:catAx>
      <c:valAx>
        <c:axId val="571530624"/>
        <c:scaling>
          <c:orientation val="minMax"/>
          <c:max val="98.5"/>
          <c:min val="96"/>
        </c:scaling>
        <c:delete val="0"/>
        <c:axPos val="l"/>
        <c:numFmt formatCode="0.00_ " sourceLinked="1"/>
        <c:majorTickMark val="out"/>
        <c:minorTickMark val="none"/>
        <c:tickLblPos val="nextTo"/>
        <c:txPr>
          <a:bodyPr/>
          <a:lstStyle/>
          <a:p>
            <a:pPr>
              <a:defRPr sz="1100"/>
            </a:pPr>
            <a:endParaRPr lang="ko-KR"/>
          </a:p>
        </c:txPr>
        <c:crossAx val="571529088"/>
        <c:crosses val="autoZero"/>
        <c:crossBetween val="between"/>
        <c:majorUnit val="0.5"/>
      </c:valAx>
      <c:spPr>
        <a:solidFill>
          <a:schemeClr val="accent2">
            <a:lumMod val="20000"/>
            <a:lumOff val="80000"/>
          </a:schemeClr>
        </a:solidFill>
        <a:scene3d>
          <a:camera prst="orthographicFront"/>
          <a:lightRig rig="threePt" dir="t"/>
        </a:scene3d>
        <a:sp3d/>
      </c:spPr>
    </c:plotArea>
    <c:plotVisOnly val="1"/>
    <c:dispBlanksAs val="gap"/>
    <c:showDLblsOverMax val="0"/>
  </c:chart>
  <c:spPr>
    <a:solidFill>
      <a:schemeClr val="accent2">
        <a:lumMod val="20000"/>
        <a:lumOff val="80000"/>
      </a:schemeClr>
    </a:solidFill>
    <a:ln>
      <a:solidFill>
        <a:schemeClr val="tx1">
          <a:lumMod val="50000"/>
          <a:lumOff val="50000"/>
        </a:schemeClr>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20436043360433603"/>
          <c:y val="0.30837999416739575"/>
          <c:w val="0.79563956639566391"/>
          <c:h val="0.53192876932050159"/>
        </c:manualLayout>
      </c:layout>
      <c:barChart>
        <c:barDir val="col"/>
        <c:grouping val="clustered"/>
        <c:varyColors val="0"/>
        <c:ser>
          <c:idx val="0"/>
          <c:order val="0"/>
          <c:tx>
            <c:strRef>
              <c:f>종합!$AY$32</c:f>
              <c:strCache>
                <c:ptCount val="1"/>
                <c:pt idx="0">
                  <c:v>CRM 수율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sz="1100" b="1"/>
                </a:pPr>
                <a:endParaRPr lang="ko-KR"/>
              </a:p>
            </c:txPr>
            <c:dLblPos val="outEnd"/>
            <c:showLegendKey val="0"/>
            <c:showVal val="1"/>
            <c:showCatName val="0"/>
            <c:showSerName val="0"/>
            <c:showPercent val="0"/>
            <c:showBubbleSize val="0"/>
            <c:showLeaderLines val="0"/>
          </c:dLbls>
          <c:cat>
            <c:strRef>
              <c:f>종합!$BX$50:$CA$50</c:f>
              <c:strCache>
                <c:ptCount val="4"/>
                <c:pt idx="0">
                  <c:v>20년</c:v>
                </c:pt>
                <c:pt idx="1">
                  <c:v>1월</c:v>
                </c:pt>
                <c:pt idx="2">
                  <c:v>2월</c:v>
                </c:pt>
                <c:pt idx="3">
                  <c:v>3월</c:v>
                </c:pt>
              </c:strCache>
            </c:strRef>
          </c:cat>
          <c:val>
            <c:numRef>
              <c:f>종합!$BX$53:$CA$53</c:f>
              <c:numCache>
                <c:formatCode>0.00_);[Red]\(0.00\)</c:formatCode>
                <c:ptCount val="4"/>
                <c:pt idx="0" formatCode="0.00_ ">
                  <c:v>99.97916039247022</c:v>
                </c:pt>
                <c:pt idx="1">
                  <c:v>0</c:v>
                </c:pt>
                <c:pt idx="2">
                  <c:v>0</c:v>
                </c:pt>
                <c:pt idx="3">
                  <c:v>100</c:v>
                </c:pt>
              </c:numCache>
            </c:numRef>
          </c:val>
        </c:ser>
        <c:dLbls>
          <c:showLegendKey val="0"/>
          <c:showVal val="0"/>
          <c:showCatName val="0"/>
          <c:showSerName val="0"/>
          <c:showPercent val="0"/>
          <c:showBubbleSize val="0"/>
        </c:dLbls>
        <c:gapWidth val="150"/>
        <c:axId val="571578240"/>
        <c:axId val="571579776"/>
      </c:barChart>
      <c:catAx>
        <c:axId val="571578240"/>
        <c:scaling>
          <c:orientation val="minMax"/>
        </c:scaling>
        <c:delete val="0"/>
        <c:axPos val="b"/>
        <c:majorTickMark val="out"/>
        <c:minorTickMark val="none"/>
        <c:tickLblPos val="nextTo"/>
        <c:crossAx val="571579776"/>
        <c:crosses val="autoZero"/>
        <c:auto val="1"/>
        <c:lblAlgn val="ctr"/>
        <c:lblOffset val="100"/>
        <c:noMultiLvlLbl val="0"/>
      </c:catAx>
      <c:valAx>
        <c:axId val="571579776"/>
        <c:scaling>
          <c:orientation val="minMax"/>
          <c:max val="100.1"/>
          <c:min val="99.6"/>
        </c:scaling>
        <c:delete val="0"/>
        <c:axPos val="l"/>
        <c:numFmt formatCode="0.00_ " sourceLinked="1"/>
        <c:majorTickMark val="out"/>
        <c:minorTickMark val="none"/>
        <c:tickLblPos val="nextTo"/>
        <c:crossAx val="571578240"/>
        <c:crosses val="autoZero"/>
        <c:crossBetween val="between"/>
        <c:majorUnit val="0.1"/>
      </c:valAx>
      <c:spPr>
        <a:solidFill>
          <a:schemeClr val="accent2">
            <a:lumMod val="20000"/>
            <a:lumOff val="80000"/>
          </a:schemeClr>
        </a:solidFill>
        <a:scene3d>
          <a:camera prst="orthographicFront"/>
          <a:lightRig rig="threePt" dir="t"/>
        </a:scene3d>
        <a:sp3d/>
      </c:spPr>
    </c:plotArea>
    <c:plotVisOnly val="1"/>
    <c:dispBlanksAs val="gap"/>
    <c:showDLblsOverMax val="0"/>
  </c:chart>
  <c:spPr>
    <a:solidFill>
      <a:schemeClr val="accent2">
        <a:lumMod val="20000"/>
        <a:lumOff val="80000"/>
      </a:schemeClr>
    </a:solidFill>
    <a:ln>
      <a:solidFill>
        <a:schemeClr val="tx1">
          <a:lumMod val="50000"/>
          <a:lumOff val="50000"/>
        </a:schemeClr>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20436043360433603"/>
          <c:y val="0.26671332750072907"/>
          <c:w val="0.79563956639566391"/>
          <c:h val="0.57359543598716833"/>
        </c:manualLayout>
      </c:layout>
      <c:barChart>
        <c:barDir val="col"/>
        <c:grouping val="clustered"/>
        <c:varyColors val="0"/>
        <c:ser>
          <c:idx val="0"/>
          <c:order val="0"/>
          <c:tx>
            <c:strRef>
              <c:f>종합!$AY$33</c:f>
              <c:strCache>
                <c:ptCount val="1"/>
                <c:pt idx="0">
                  <c:v>CGL 수율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sz="1100" b="1"/>
                </a:pPr>
                <a:endParaRPr lang="ko-KR"/>
              </a:p>
            </c:txPr>
            <c:dLblPos val="outEnd"/>
            <c:showLegendKey val="0"/>
            <c:showVal val="1"/>
            <c:showCatName val="0"/>
            <c:showSerName val="0"/>
            <c:showPercent val="0"/>
            <c:showBubbleSize val="0"/>
            <c:showLeaderLines val="0"/>
          </c:dLbls>
          <c:cat>
            <c:strRef>
              <c:f>종합!$BX$50:$CA$50</c:f>
              <c:strCache>
                <c:ptCount val="4"/>
                <c:pt idx="0">
                  <c:v>20년</c:v>
                </c:pt>
                <c:pt idx="1">
                  <c:v>1월</c:v>
                </c:pt>
                <c:pt idx="2">
                  <c:v>2월</c:v>
                </c:pt>
                <c:pt idx="3">
                  <c:v>3월</c:v>
                </c:pt>
              </c:strCache>
            </c:strRef>
          </c:cat>
          <c:val>
            <c:numRef>
              <c:f>종합!$BX$54:$CA$54</c:f>
              <c:numCache>
                <c:formatCode>0.00_);[Red]\(0.00\)</c:formatCode>
                <c:ptCount val="4"/>
                <c:pt idx="0" formatCode="0.00_ ">
                  <c:v>100.3806325331841</c:v>
                </c:pt>
                <c:pt idx="1">
                  <c:v>0</c:v>
                </c:pt>
                <c:pt idx="2">
                  <c:v>0</c:v>
                </c:pt>
                <c:pt idx="3">
                  <c:v>100.12238129058709</c:v>
                </c:pt>
              </c:numCache>
            </c:numRef>
          </c:val>
        </c:ser>
        <c:dLbls>
          <c:showLegendKey val="0"/>
          <c:showVal val="0"/>
          <c:showCatName val="0"/>
          <c:showSerName val="0"/>
          <c:showPercent val="0"/>
          <c:showBubbleSize val="0"/>
        </c:dLbls>
        <c:gapWidth val="150"/>
        <c:axId val="571750272"/>
        <c:axId val="571751808"/>
      </c:barChart>
      <c:catAx>
        <c:axId val="571750272"/>
        <c:scaling>
          <c:orientation val="minMax"/>
        </c:scaling>
        <c:delete val="0"/>
        <c:axPos val="b"/>
        <c:majorTickMark val="out"/>
        <c:minorTickMark val="none"/>
        <c:tickLblPos val="nextTo"/>
        <c:crossAx val="571751808"/>
        <c:crosses val="autoZero"/>
        <c:auto val="1"/>
        <c:lblAlgn val="ctr"/>
        <c:lblOffset val="100"/>
        <c:noMultiLvlLbl val="0"/>
      </c:catAx>
      <c:valAx>
        <c:axId val="571751808"/>
        <c:scaling>
          <c:orientation val="minMax"/>
          <c:min val="98"/>
        </c:scaling>
        <c:delete val="0"/>
        <c:axPos val="l"/>
        <c:numFmt formatCode="0.00_ " sourceLinked="1"/>
        <c:majorTickMark val="out"/>
        <c:minorTickMark val="none"/>
        <c:tickLblPos val="nextTo"/>
        <c:txPr>
          <a:bodyPr/>
          <a:lstStyle/>
          <a:p>
            <a:pPr>
              <a:defRPr sz="1100"/>
            </a:pPr>
            <a:endParaRPr lang="ko-KR"/>
          </a:p>
        </c:txPr>
        <c:crossAx val="571750272"/>
        <c:crosses val="autoZero"/>
        <c:crossBetween val="between"/>
        <c:majorUnit val="0.5"/>
      </c:valAx>
      <c:spPr>
        <a:solidFill>
          <a:schemeClr val="accent2">
            <a:lumMod val="20000"/>
            <a:lumOff val="80000"/>
          </a:schemeClr>
        </a:solidFill>
        <a:scene3d>
          <a:camera prst="orthographicFront"/>
          <a:lightRig rig="threePt" dir="t"/>
        </a:scene3d>
        <a:sp3d/>
      </c:spPr>
    </c:plotArea>
    <c:plotVisOnly val="1"/>
    <c:dispBlanksAs val="gap"/>
    <c:showDLblsOverMax val="0"/>
  </c:chart>
  <c:spPr>
    <a:solidFill>
      <a:schemeClr val="accent2">
        <a:lumMod val="20000"/>
        <a:lumOff val="80000"/>
      </a:schemeClr>
    </a:solidFill>
    <a:ln>
      <a:solidFill>
        <a:schemeClr val="tx1">
          <a:lumMod val="50000"/>
          <a:lumOff val="50000"/>
        </a:schemeClr>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userShapes r:id="rId1"/>
</c:chartSpace>
</file>

<file path=xl/charts/chart5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20436043360433603"/>
          <c:y val="0.26671332750072907"/>
          <c:w val="0.79563956639566391"/>
          <c:h val="0.57359543598716833"/>
        </c:manualLayout>
      </c:layout>
      <c:barChart>
        <c:barDir val="col"/>
        <c:grouping val="clustered"/>
        <c:varyColors val="0"/>
        <c:ser>
          <c:idx val="0"/>
          <c:order val="0"/>
          <c:tx>
            <c:strRef>
              <c:f>종합!$AY$34</c:f>
              <c:strCache>
                <c:ptCount val="1"/>
                <c:pt idx="0">
                  <c:v>1CCL 수율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sz="1100" b="1"/>
                </a:pPr>
                <a:endParaRPr lang="ko-KR"/>
              </a:p>
            </c:txPr>
            <c:dLblPos val="outEnd"/>
            <c:showLegendKey val="0"/>
            <c:showVal val="1"/>
            <c:showCatName val="0"/>
            <c:showSerName val="0"/>
            <c:showPercent val="0"/>
            <c:showBubbleSize val="0"/>
            <c:showLeaderLines val="0"/>
          </c:dLbls>
          <c:cat>
            <c:strRef>
              <c:f>종합!$BX$50:$CA$50</c:f>
              <c:strCache>
                <c:ptCount val="4"/>
                <c:pt idx="0">
                  <c:v>20년</c:v>
                </c:pt>
                <c:pt idx="1">
                  <c:v>1월</c:v>
                </c:pt>
                <c:pt idx="2">
                  <c:v>2월</c:v>
                </c:pt>
                <c:pt idx="3">
                  <c:v>3월</c:v>
                </c:pt>
              </c:strCache>
            </c:strRef>
          </c:cat>
          <c:val>
            <c:numRef>
              <c:f>종합!$BX$55:$CA$55</c:f>
              <c:numCache>
                <c:formatCode>0.00_);[Red]\(0.00\)</c:formatCode>
                <c:ptCount val="4"/>
                <c:pt idx="0" formatCode="0.00_ ">
                  <c:v>100.48416087822143</c:v>
                </c:pt>
                <c:pt idx="1">
                  <c:v>100.38500733750388</c:v>
                </c:pt>
                <c:pt idx="2">
                  <c:v>100.52442303626457</c:v>
                </c:pt>
                <c:pt idx="3">
                  <c:v>100.50994294971281</c:v>
                </c:pt>
              </c:numCache>
            </c:numRef>
          </c:val>
        </c:ser>
        <c:dLbls>
          <c:showLegendKey val="0"/>
          <c:showVal val="0"/>
          <c:showCatName val="0"/>
          <c:showSerName val="0"/>
          <c:showPercent val="0"/>
          <c:showBubbleSize val="0"/>
        </c:dLbls>
        <c:gapWidth val="150"/>
        <c:axId val="577243008"/>
        <c:axId val="577244544"/>
      </c:barChart>
      <c:catAx>
        <c:axId val="577243008"/>
        <c:scaling>
          <c:orientation val="minMax"/>
        </c:scaling>
        <c:delete val="0"/>
        <c:axPos val="b"/>
        <c:majorTickMark val="out"/>
        <c:minorTickMark val="none"/>
        <c:tickLblPos val="nextTo"/>
        <c:crossAx val="577244544"/>
        <c:crosses val="autoZero"/>
        <c:auto val="1"/>
        <c:lblAlgn val="ctr"/>
        <c:lblOffset val="100"/>
        <c:noMultiLvlLbl val="0"/>
      </c:catAx>
      <c:valAx>
        <c:axId val="577244544"/>
        <c:scaling>
          <c:orientation val="minMax"/>
          <c:max val="100.8"/>
          <c:min val="99.6"/>
        </c:scaling>
        <c:delete val="0"/>
        <c:axPos val="l"/>
        <c:numFmt formatCode="0.00_ " sourceLinked="1"/>
        <c:majorTickMark val="out"/>
        <c:minorTickMark val="none"/>
        <c:tickLblPos val="nextTo"/>
        <c:txPr>
          <a:bodyPr/>
          <a:lstStyle/>
          <a:p>
            <a:pPr>
              <a:defRPr sz="1100"/>
            </a:pPr>
            <a:endParaRPr lang="ko-KR"/>
          </a:p>
        </c:txPr>
        <c:crossAx val="577243008"/>
        <c:crosses val="autoZero"/>
        <c:crossBetween val="between"/>
        <c:majorUnit val="0.30000000000000004"/>
      </c:valAx>
      <c:spPr>
        <a:solidFill>
          <a:schemeClr val="accent2">
            <a:lumMod val="20000"/>
            <a:lumOff val="80000"/>
          </a:schemeClr>
        </a:solidFill>
        <a:scene3d>
          <a:camera prst="orthographicFront"/>
          <a:lightRig rig="threePt" dir="t"/>
        </a:scene3d>
        <a:sp3d/>
      </c:spPr>
    </c:plotArea>
    <c:plotVisOnly val="1"/>
    <c:dispBlanksAs val="gap"/>
    <c:showDLblsOverMax val="0"/>
  </c:chart>
  <c:spPr>
    <a:solidFill>
      <a:schemeClr val="accent2">
        <a:lumMod val="20000"/>
        <a:lumOff val="80000"/>
      </a:schemeClr>
    </a:solidFill>
    <a:ln>
      <a:solidFill>
        <a:schemeClr val="tx1">
          <a:lumMod val="50000"/>
          <a:lumOff val="50000"/>
        </a:schemeClr>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20436043360433603"/>
          <c:y val="0.26671332750072907"/>
          <c:w val="0.79563956639566391"/>
          <c:h val="0.57359543598716833"/>
        </c:manualLayout>
      </c:layout>
      <c:barChart>
        <c:barDir val="col"/>
        <c:grouping val="clustered"/>
        <c:varyColors val="0"/>
        <c:ser>
          <c:idx val="0"/>
          <c:order val="0"/>
          <c:tx>
            <c:strRef>
              <c:f>종합!$AY$35</c:f>
              <c:strCache>
                <c:ptCount val="1"/>
                <c:pt idx="0">
                  <c:v>2CCL 수율</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sz="1100" b="1"/>
                </a:pPr>
                <a:endParaRPr lang="ko-KR"/>
              </a:p>
            </c:txPr>
            <c:dLblPos val="outEnd"/>
            <c:showLegendKey val="0"/>
            <c:showVal val="1"/>
            <c:showCatName val="0"/>
            <c:showSerName val="0"/>
            <c:showPercent val="0"/>
            <c:showBubbleSize val="0"/>
            <c:showLeaderLines val="0"/>
          </c:dLbls>
          <c:cat>
            <c:strRef>
              <c:f>종합!$BX$50:$CA$50</c:f>
              <c:strCache>
                <c:ptCount val="4"/>
                <c:pt idx="0">
                  <c:v>20년</c:v>
                </c:pt>
                <c:pt idx="1">
                  <c:v>1월</c:v>
                </c:pt>
                <c:pt idx="2">
                  <c:v>2월</c:v>
                </c:pt>
                <c:pt idx="3">
                  <c:v>3월</c:v>
                </c:pt>
              </c:strCache>
            </c:strRef>
          </c:cat>
          <c:val>
            <c:numRef>
              <c:f>종합!$BX$56:$CA$56</c:f>
              <c:numCache>
                <c:formatCode>0.00_);[Red]\(0.00\)</c:formatCode>
                <c:ptCount val="4"/>
                <c:pt idx="0" formatCode="0.00_ ">
                  <c:v>100.57092906575997</c:v>
                </c:pt>
                <c:pt idx="1">
                  <c:v>100.34082893798045</c:v>
                </c:pt>
                <c:pt idx="2">
                  <c:v>100.28494718498875</c:v>
                </c:pt>
                <c:pt idx="3">
                  <c:v>100.50867800872562</c:v>
                </c:pt>
              </c:numCache>
            </c:numRef>
          </c:val>
        </c:ser>
        <c:dLbls>
          <c:showLegendKey val="0"/>
          <c:showVal val="0"/>
          <c:showCatName val="0"/>
          <c:showSerName val="0"/>
          <c:showPercent val="0"/>
          <c:showBubbleSize val="0"/>
        </c:dLbls>
        <c:gapWidth val="150"/>
        <c:axId val="577275776"/>
        <c:axId val="577277312"/>
      </c:barChart>
      <c:catAx>
        <c:axId val="577275776"/>
        <c:scaling>
          <c:orientation val="minMax"/>
        </c:scaling>
        <c:delete val="0"/>
        <c:axPos val="b"/>
        <c:majorTickMark val="out"/>
        <c:minorTickMark val="none"/>
        <c:tickLblPos val="nextTo"/>
        <c:crossAx val="577277312"/>
        <c:crosses val="autoZero"/>
        <c:auto val="1"/>
        <c:lblAlgn val="ctr"/>
        <c:lblOffset val="100"/>
        <c:noMultiLvlLbl val="0"/>
      </c:catAx>
      <c:valAx>
        <c:axId val="577277312"/>
        <c:scaling>
          <c:orientation val="minMax"/>
          <c:max val="101"/>
          <c:min val="98.6"/>
        </c:scaling>
        <c:delete val="0"/>
        <c:axPos val="l"/>
        <c:numFmt formatCode="0.00_ " sourceLinked="1"/>
        <c:majorTickMark val="out"/>
        <c:minorTickMark val="none"/>
        <c:tickLblPos val="nextTo"/>
        <c:txPr>
          <a:bodyPr/>
          <a:lstStyle/>
          <a:p>
            <a:pPr>
              <a:defRPr sz="1100"/>
            </a:pPr>
            <a:endParaRPr lang="ko-KR"/>
          </a:p>
        </c:txPr>
        <c:crossAx val="577275776"/>
        <c:crosses val="autoZero"/>
        <c:crossBetween val="between"/>
        <c:majorUnit val="0.60000000000000009"/>
      </c:valAx>
      <c:spPr>
        <a:solidFill>
          <a:schemeClr val="accent2">
            <a:lumMod val="20000"/>
            <a:lumOff val="80000"/>
          </a:schemeClr>
        </a:solidFill>
        <a:scene3d>
          <a:camera prst="orthographicFront"/>
          <a:lightRig rig="threePt" dir="t"/>
        </a:scene3d>
        <a:sp3d/>
      </c:spPr>
    </c:plotArea>
    <c:plotVisOnly val="1"/>
    <c:dispBlanksAs val="gap"/>
    <c:showDLblsOverMax val="0"/>
  </c:chart>
  <c:spPr>
    <a:solidFill>
      <a:schemeClr val="accent2">
        <a:lumMod val="20000"/>
        <a:lumOff val="80000"/>
      </a:schemeClr>
    </a:solidFill>
    <a:ln>
      <a:solidFill>
        <a:schemeClr val="tx1">
          <a:lumMod val="50000"/>
          <a:lumOff val="50000"/>
        </a:schemeClr>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userShapes r:id="rId1"/>
</c:chartSpace>
</file>

<file path=xl/charts/chart6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20436043360433603"/>
          <c:y val="0.26671332750072907"/>
          <c:w val="0.79563956639566391"/>
          <c:h val="0.57359543598716833"/>
        </c:manualLayout>
      </c:layout>
      <c:barChart>
        <c:barDir val="col"/>
        <c:grouping val="clustered"/>
        <c:varyColors val="0"/>
        <c:ser>
          <c:idx val="0"/>
          <c:order val="0"/>
          <c:tx>
            <c:strRef>
              <c:f>종합!$AY$30</c:f>
              <c:strCache>
                <c:ptCount val="1"/>
                <c:pt idx="0">
                  <c:v>종합수율 실적</c:v>
                </c:pt>
              </c:strCache>
            </c:strRef>
          </c:tx>
          <c:spPr>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txPr>
              <a:bodyPr/>
              <a:lstStyle/>
              <a:p>
                <a:pPr>
                  <a:defRPr sz="1100" b="1"/>
                </a:pPr>
                <a:endParaRPr lang="ko-KR"/>
              </a:p>
            </c:txPr>
            <c:dLblPos val="outEnd"/>
            <c:showLegendKey val="0"/>
            <c:showVal val="1"/>
            <c:showCatName val="0"/>
            <c:showSerName val="0"/>
            <c:showPercent val="0"/>
            <c:showBubbleSize val="0"/>
            <c:showLeaderLines val="0"/>
          </c:dLbls>
          <c:cat>
            <c:strRef>
              <c:f>종합!$BX$50:$CA$50</c:f>
              <c:strCache>
                <c:ptCount val="4"/>
                <c:pt idx="0">
                  <c:v>20년</c:v>
                </c:pt>
                <c:pt idx="1">
                  <c:v>1월</c:v>
                </c:pt>
                <c:pt idx="2">
                  <c:v>2월</c:v>
                </c:pt>
                <c:pt idx="3">
                  <c:v>3월</c:v>
                </c:pt>
              </c:strCache>
            </c:strRef>
          </c:cat>
          <c:val>
            <c:numRef>
              <c:f>종합!$BX$51:$CA$51</c:f>
              <c:numCache>
                <c:formatCode>0.00_);[Red]\(0.00\)</c:formatCode>
                <c:ptCount val="4"/>
                <c:pt idx="0" formatCode="0.00_ ">
                  <c:v>99.60177005895973</c:v>
                </c:pt>
                <c:pt idx="1">
                  <c:v>100.36291813774216</c:v>
                </c:pt>
                <c:pt idx="2">
                  <c:v>100.40468511062666</c:v>
                </c:pt>
                <c:pt idx="3">
                  <c:v>99.770632360327767</c:v>
                </c:pt>
              </c:numCache>
            </c:numRef>
          </c:val>
        </c:ser>
        <c:dLbls>
          <c:showLegendKey val="0"/>
          <c:showVal val="0"/>
          <c:showCatName val="0"/>
          <c:showSerName val="0"/>
          <c:showPercent val="0"/>
          <c:showBubbleSize val="0"/>
        </c:dLbls>
        <c:gapWidth val="150"/>
        <c:axId val="577333120"/>
        <c:axId val="577334656"/>
      </c:barChart>
      <c:catAx>
        <c:axId val="577333120"/>
        <c:scaling>
          <c:orientation val="minMax"/>
        </c:scaling>
        <c:delete val="0"/>
        <c:axPos val="b"/>
        <c:majorTickMark val="out"/>
        <c:minorTickMark val="none"/>
        <c:tickLblPos val="nextTo"/>
        <c:crossAx val="577334656"/>
        <c:crosses val="autoZero"/>
        <c:auto val="1"/>
        <c:lblAlgn val="ctr"/>
        <c:lblOffset val="100"/>
        <c:noMultiLvlLbl val="0"/>
      </c:catAx>
      <c:valAx>
        <c:axId val="577334656"/>
        <c:scaling>
          <c:orientation val="minMax"/>
          <c:max val="101"/>
          <c:min val="98"/>
        </c:scaling>
        <c:delete val="0"/>
        <c:axPos val="l"/>
        <c:numFmt formatCode="0.00_ " sourceLinked="1"/>
        <c:majorTickMark val="out"/>
        <c:minorTickMark val="none"/>
        <c:tickLblPos val="nextTo"/>
        <c:txPr>
          <a:bodyPr/>
          <a:lstStyle/>
          <a:p>
            <a:pPr>
              <a:defRPr sz="1100"/>
            </a:pPr>
            <a:endParaRPr lang="ko-KR"/>
          </a:p>
        </c:txPr>
        <c:crossAx val="577333120"/>
        <c:crosses val="autoZero"/>
        <c:crossBetween val="between"/>
        <c:majorUnit val="0.60000000000000009"/>
      </c:valAx>
      <c:spPr>
        <a:solidFill>
          <a:schemeClr val="accent2">
            <a:lumMod val="20000"/>
            <a:lumOff val="80000"/>
          </a:schemeClr>
        </a:solidFill>
        <a:scene3d>
          <a:camera prst="orthographicFront"/>
          <a:lightRig rig="threePt" dir="t"/>
        </a:scene3d>
        <a:sp3d prstMaterial="matte"/>
      </c:spPr>
    </c:plotArea>
    <c:plotVisOnly val="1"/>
    <c:dispBlanksAs val="gap"/>
    <c:showDLblsOverMax val="0"/>
  </c:chart>
  <c:spPr>
    <a:solidFill>
      <a:schemeClr val="accent2">
        <a:lumMod val="20000"/>
        <a:lumOff val="80000"/>
      </a:schemeClr>
    </a:solidFill>
    <a:ln>
      <a:solidFill>
        <a:schemeClr val="tx1">
          <a:lumMod val="50000"/>
          <a:lumOff val="50000"/>
        </a:schemeClr>
      </a:solidFill>
    </a:ln>
    <a:scene3d>
      <a:camera prst="orthographicFront"/>
      <a:lightRig rig="threePt" dir="t"/>
    </a:scene3d>
    <a:sp3d prstMaterial="matte"/>
  </c:spPr>
  <c:txPr>
    <a:bodyPr/>
    <a:lstStyle/>
    <a:p>
      <a:pPr>
        <a:defRPr sz="1200">
          <a:latin typeface="+mn-ea"/>
          <a:ea typeface="+mn-ea"/>
        </a:defRPr>
      </a:pPr>
      <a:endParaRPr lang="ko-K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8.1122911874670703E-2"/>
          <c:y val="0.20652814231554389"/>
          <c:w val="0.88255342673294812"/>
          <c:h val="0.6291509915427238"/>
        </c:manualLayout>
      </c:layout>
      <c:barChart>
        <c:barDir val="col"/>
        <c:grouping val="clustered"/>
        <c:varyColors val="0"/>
        <c:ser>
          <c:idx val="0"/>
          <c:order val="0"/>
          <c:tx>
            <c:strRef>
              <c:f>고장!$AS$6</c:f>
              <c:strCache>
                <c:ptCount val="1"/>
                <c:pt idx="0">
                  <c:v>월 고장건수</c:v>
                </c:pt>
              </c:strCache>
            </c:strRef>
          </c:tx>
          <c:spPr>
            <a:solidFill>
              <a:schemeClr val="accent4">
                <a:lumMod val="75000"/>
              </a:schemeClr>
            </a:solidFill>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numFmt formatCode="#,##0_);[Red]\(#,##0\)" sourceLinked="0"/>
            <c:showLegendKey val="0"/>
            <c:showVal val="1"/>
            <c:showCatName val="0"/>
            <c:showSerName val="0"/>
            <c:showPercent val="0"/>
            <c:showBubbleSize val="0"/>
            <c:showLeaderLines val="0"/>
          </c:dLbls>
          <c:cat>
            <c:strRef>
              <c:f>고장!$AY$5:$BB$5</c:f>
              <c:strCache>
                <c:ptCount val="4"/>
                <c:pt idx="0">
                  <c:v>20년</c:v>
                </c:pt>
                <c:pt idx="1">
                  <c:v>1월</c:v>
                </c:pt>
                <c:pt idx="2">
                  <c:v>2월</c:v>
                </c:pt>
                <c:pt idx="3">
                  <c:v>3월</c:v>
                </c:pt>
              </c:strCache>
            </c:strRef>
          </c:cat>
          <c:val>
            <c:numRef>
              <c:f>(고장!$AY$3,고장!$AZ$6:$BB$6)</c:f>
              <c:numCache>
                <c:formatCode>General</c:formatCode>
                <c:ptCount val="4"/>
                <c:pt idx="0" formatCode="0_ ">
                  <c:v>6</c:v>
                </c:pt>
                <c:pt idx="1">
                  <c:v>1</c:v>
                </c:pt>
                <c:pt idx="2">
                  <c:v>1</c:v>
                </c:pt>
                <c:pt idx="3">
                  <c:v>11</c:v>
                </c:pt>
              </c:numCache>
            </c:numRef>
          </c:val>
        </c:ser>
        <c:dLbls>
          <c:showLegendKey val="0"/>
          <c:showVal val="0"/>
          <c:showCatName val="0"/>
          <c:showSerName val="0"/>
          <c:showPercent val="0"/>
          <c:showBubbleSize val="0"/>
        </c:dLbls>
        <c:gapWidth val="150"/>
        <c:axId val="577973632"/>
        <c:axId val="577979520"/>
      </c:barChart>
      <c:catAx>
        <c:axId val="577973632"/>
        <c:scaling>
          <c:orientation val="minMax"/>
        </c:scaling>
        <c:delete val="0"/>
        <c:axPos val="b"/>
        <c:majorTickMark val="out"/>
        <c:minorTickMark val="none"/>
        <c:tickLblPos val="nextTo"/>
        <c:crossAx val="577979520"/>
        <c:crosses val="autoZero"/>
        <c:auto val="1"/>
        <c:lblAlgn val="ctr"/>
        <c:lblOffset val="100"/>
        <c:noMultiLvlLbl val="0"/>
      </c:catAx>
      <c:valAx>
        <c:axId val="577979520"/>
        <c:scaling>
          <c:orientation val="minMax"/>
        </c:scaling>
        <c:delete val="0"/>
        <c:axPos val="l"/>
        <c:numFmt formatCode="0_ " sourceLinked="1"/>
        <c:majorTickMark val="out"/>
        <c:minorTickMark val="none"/>
        <c:tickLblPos val="nextTo"/>
        <c:crossAx val="577973632"/>
        <c:crosses val="autoZero"/>
        <c:crossBetween val="between"/>
      </c:valAx>
      <c:spPr>
        <a:solidFill>
          <a:schemeClr val="accent1">
            <a:lumMod val="40000"/>
            <a:lumOff val="60000"/>
          </a:schemeClr>
        </a:solidFill>
        <a:scene3d>
          <a:camera prst="orthographicFront"/>
          <a:lightRig rig="threePt" dir="t"/>
        </a:scene3d>
        <a:sp3d/>
      </c:spPr>
    </c:plotArea>
    <c:plotVisOnly val="1"/>
    <c:dispBlanksAs val="gap"/>
    <c:showDLblsOverMax val="0"/>
  </c:chart>
  <c:spPr>
    <a:solidFill>
      <a:schemeClr val="accent1">
        <a:lumMod val="40000"/>
        <a:lumOff val="60000"/>
      </a:schemeClr>
    </a:solidFill>
    <a:ln>
      <a:solidFill>
        <a:sysClr val="windowText" lastClr="000000"/>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고장!$AS$7</c:f>
              <c:strCache>
                <c:ptCount val="1"/>
                <c:pt idx="0">
                  <c:v>월 고장시간</c:v>
                </c:pt>
              </c:strCache>
            </c:strRef>
          </c:tx>
          <c:spPr>
            <a:solidFill>
              <a:schemeClr val="accent4">
                <a:lumMod val="75000"/>
              </a:schemeClr>
            </a:solidFill>
            <a:scene3d>
              <a:camera prst="orthographicFront"/>
              <a:lightRig rig="threePt" dir="t"/>
            </a:scene3d>
            <a:sp3d>
              <a:bevelT/>
            </a:sp3d>
          </c:spPr>
          <c:invertIfNegative val="0"/>
          <c:dPt>
            <c:idx val="0"/>
            <c:invertIfNegative val="0"/>
            <c:bubble3D val="0"/>
            <c:spPr>
              <a:solidFill>
                <a:schemeClr val="accent6">
                  <a:lumMod val="75000"/>
                </a:schemeClr>
              </a:solidFill>
              <a:scene3d>
                <a:camera prst="orthographicFront"/>
                <a:lightRig rig="threePt" dir="t"/>
              </a:scene3d>
              <a:sp3d>
                <a:bevelT/>
              </a:sp3d>
            </c:spPr>
          </c:dPt>
          <c:dPt>
            <c:idx val="1"/>
            <c:invertIfNegative val="0"/>
            <c:bubble3D val="0"/>
            <c:spPr>
              <a:solidFill>
                <a:schemeClr val="accent1"/>
              </a:solidFill>
              <a:scene3d>
                <a:camera prst="orthographicFront"/>
                <a:lightRig rig="threePt" dir="t"/>
              </a:scene3d>
              <a:sp3d>
                <a:bevelT/>
              </a:sp3d>
            </c:spPr>
          </c:dPt>
          <c:dPt>
            <c:idx val="2"/>
            <c:invertIfNegative val="0"/>
            <c:bubble3D val="0"/>
            <c:spPr>
              <a:solidFill>
                <a:schemeClr val="accent2"/>
              </a:solidFill>
              <a:scene3d>
                <a:camera prst="orthographicFront"/>
                <a:lightRig rig="threePt" dir="t"/>
              </a:scene3d>
              <a:sp3d>
                <a:bevelT/>
              </a:sp3d>
            </c:spPr>
          </c:dPt>
          <c:dPt>
            <c:idx val="3"/>
            <c:invertIfNegative val="0"/>
            <c:bubble3D val="0"/>
            <c:spPr>
              <a:solidFill>
                <a:srgbClr val="00B050"/>
              </a:solidFill>
              <a:scene3d>
                <a:camera prst="orthographicFront"/>
                <a:lightRig rig="threePt" dir="t"/>
              </a:scene3d>
              <a:sp3d>
                <a:bevelT/>
              </a:sp3d>
            </c:spPr>
          </c:dPt>
          <c:dPt>
            <c:idx val="4"/>
            <c:invertIfNegative val="0"/>
            <c:bubble3D val="0"/>
            <c:spPr>
              <a:solidFill>
                <a:srgbClr val="FF0000"/>
              </a:solidFill>
              <a:scene3d>
                <a:camera prst="orthographicFront"/>
                <a:lightRig rig="threePt" dir="t"/>
              </a:scene3d>
              <a:sp3d>
                <a:bevelT/>
              </a:sp3d>
            </c:spPr>
          </c:dPt>
          <c:dLbls>
            <c:numFmt formatCode="#,##0.0_);[Red]\(#,##0.0\)" sourceLinked="0"/>
            <c:showLegendKey val="0"/>
            <c:showVal val="1"/>
            <c:showCatName val="0"/>
            <c:showSerName val="0"/>
            <c:showPercent val="0"/>
            <c:showBubbleSize val="0"/>
            <c:showLeaderLines val="0"/>
          </c:dLbls>
          <c:cat>
            <c:strRef>
              <c:f>고장!$AY$5:$BB$5</c:f>
              <c:strCache>
                <c:ptCount val="4"/>
                <c:pt idx="0">
                  <c:v>20년</c:v>
                </c:pt>
                <c:pt idx="1">
                  <c:v>1월</c:v>
                </c:pt>
                <c:pt idx="2">
                  <c:v>2월</c:v>
                </c:pt>
                <c:pt idx="3">
                  <c:v>3월</c:v>
                </c:pt>
              </c:strCache>
            </c:strRef>
          </c:cat>
          <c:val>
            <c:numRef>
              <c:f>(고장!$AY$4,고장!$AZ$7:$BB$7)</c:f>
              <c:numCache>
                <c:formatCode>0_);[Red]\(0\)</c:formatCode>
                <c:ptCount val="4"/>
                <c:pt idx="0" formatCode="0_ ">
                  <c:v>12.109722222222222</c:v>
                </c:pt>
                <c:pt idx="1">
                  <c:v>1.1666666666666667</c:v>
                </c:pt>
                <c:pt idx="2">
                  <c:v>0.58333333333333337</c:v>
                </c:pt>
                <c:pt idx="3">
                  <c:v>11.4</c:v>
                </c:pt>
              </c:numCache>
            </c:numRef>
          </c:val>
        </c:ser>
        <c:dLbls>
          <c:showLegendKey val="0"/>
          <c:showVal val="0"/>
          <c:showCatName val="0"/>
          <c:showSerName val="0"/>
          <c:showPercent val="0"/>
          <c:showBubbleSize val="0"/>
        </c:dLbls>
        <c:gapWidth val="150"/>
        <c:axId val="578022400"/>
        <c:axId val="578024192"/>
      </c:barChart>
      <c:catAx>
        <c:axId val="578022400"/>
        <c:scaling>
          <c:orientation val="minMax"/>
        </c:scaling>
        <c:delete val="0"/>
        <c:axPos val="b"/>
        <c:majorTickMark val="out"/>
        <c:minorTickMark val="none"/>
        <c:tickLblPos val="nextTo"/>
        <c:crossAx val="578024192"/>
        <c:crosses val="autoZero"/>
        <c:auto val="1"/>
        <c:lblAlgn val="ctr"/>
        <c:lblOffset val="100"/>
        <c:noMultiLvlLbl val="0"/>
      </c:catAx>
      <c:valAx>
        <c:axId val="578024192"/>
        <c:scaling>
          <c:orientation val="minMax"/>
        </c:scaling>
        <c:delete val="0"/>
        <c:axPos val="l"/>
        <c:numFmt formatCode="0_ " sourceLinked="1"/>
        <c:majorTickMark val="out"/>
        <c:minorTickMark val="none"/>
        <c:tickLblPos val="nextTo"/>
        <c:crossAx val="578022400"/>
        <c:crosses val="autoZero"/>
        <c:crossBetween val="between"/>
      </c:valAx>
      <c:spPr>
        <a:solidFill>
          <a:schemeClr val="accent1">
            <a:lumMod val="40000"/>
            <a:lumOff val="60000"/>
          </a:schemeClr>
        </a:solidFill>
        <a:scene3d>
          <a:camera prst="orthographicFront"/>
          <a:lightRig rig="threePt" dir="t"/>
        </a:scene3d>
        <a:sp3d/>
      </c:spPr>
    </c:plotArea>
    <c:plotVisOnly val="1"/>
    <c:dispBlanksAs val="gap"/>
    <c:showDLblsOverMax val="0"/>
  </c:chart>
  <c:spPr>
    <a:solidFill>
      <a:schemeClr val="accent1">
        <a:lumMod val="40000"/>
        <a:lumOff val="60000"/>
      </a:schemeClr>
    </a:solidFill>
    <a:ln>
      <a:solidFill>
        <a:sysClr val="windowText" lastClr="000000"/>
      </a:solidFill>
    </a:ln>
    <a:scene3d>
      <a:camera prst="orthographicFront"/>
      <a:lightRig rig="threePt" dir="t"/>
    </a:scene3d>
    <a:sp3d/>
  </c:spPr>
  <c:txPr>
    <a:bodyPr/>
    <a:lstStyle/>
    <a:p>
      <a:pPr>
        <a:defRPr sz="1200">
          <a:latin typeface="+mn-ea"/>
          <a:ea typeface="+mn-ea"/>
        </a:defRPr>
      </a:pPr>
      <a:endParaRPr lang="ko-K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600"/>
            </a:pPr>
            <a:r>
              <a:rPr lang="ko-KR" sz="1600"/>
              <a:t>판매량</a:t>
            </a:r>
            <a:r>
              <a:rPr lang="en-US" sz="1600"/>
              <a:t>(</a:t>
            </a:r>
            <a:r>
              <a:rPr lang="ko-KR" sz="1600"/>
              <a:t>만톤</a:t>
            </a:r>
            <a:r>
              <a:rPr lang="en-US" sz="1600"/>
              <a:t>)</a:t>
            </a:r>
            <a:endParaRPr lang="ko-KR" sz="1600"/>
          </a:p>
        </c:rich>
      </c:tx>
      <c:layout>
        <c:manualLayout>
          <c:xMode val="edge"/>
          <c:yMode val="edge"/>
          <c:x val="0.23623299296068559"/>
          <c:y val="7.621951219512195E-3"/>
        </c:manualLayout>
      </c:layout>
      <c:overlay val="1"/>
    </c:title>
    <c:autoTitleDeleted val="0"/>
    <c:plotArea>
      <c:layout>
        <c:manualLayout>
          <c:layoutTarget val="inner"/>
          <c:xMode val="edge"/>
          <c:yMode val="edge"/>
          <c:x val="4.5963421239011773E-2"/>
          <c:y val="0.11368366551837271"/>
          <c:w val="0.90641753114194057"/>
          <c:h val="0.77033659366797902"/>
        </c:manualLayout>
      </c:layout>
      <c:barChart>
        <c:barDir val="col"/>
        <c:grouping val="stacked"/>
        <c:varyColors val="0"/>
        <c:ser>
          <c:idx val="1"/>
          <c:order val="0"/>
          <c:tx>
            <c:strRef>
              <c:f>'21년경영목표'!$B$31</c:f>
              <c:strCache>
                <c:ptCount val="1"/>
                <c:pt idx="0">
                  <c:v>내수</c:v>
                </c:pt>
              </c:strCache>
            </c:strRef>
          </c:tx>
          <c:invertIfNegative val="0"/>
          <c:dLbls>
            <c:numFmt formatCode="#,##0.0_);[Red]\(#,##0.0\)" sourceLinked="0"/>
            <c:txPr>
              <a:bodyPr/>
              <a:lstStyle/>
              <a:p>
                <a:pPr>
                  <a:defRPr b="1"/>
                </a:pPr>
                <a:endParaRPr lang="ko-KR"/>
              </a:p>
            </c:txPr>
            <c:dLblPos val="ctr"/>
            <c:showLegendKey val="0"/>
            <c:showVal val="1"/>
            <c:showCatName val="0"/>
            <c:showSerName val="0"/>
            <c:showPercent val="0"/>
            <c:showBubbleSize val="0"/>
            <c:showLeaderLines val="0"/>
          </c:dLbls>
          <c:val>
            <c:numRef>
              <c:f>('21년경영목표'!$C$30,'21년경영목표'!$C$31,'21년경영목표'!$C$34)</c:f>
              <c:numCache>
                <c:formatCode>#,##0_ </c:formatCode>
                <c:ptCount val="3"/>
                <c:pt idx="0">
                  <c:v>13000</c:v>
                </c:pt>
                <c:pt idx="1">
                  <c:v>100000</c:v>
                </c:pt>
                <c:pt idx="2">
                  <c:v>158000</c:v>
                </c:pt>
              </c:numCache>
            </c:numRef>
          </c:val>
        </c:ser>
        <c:ser>
          <c:idx val="0"/>
          <c:order val="1"/>
          <c:tx>
            <c:strRef>
              <c:f>'21년경영목표'!$B$32</c:f>
              <c:strCache>
                <c:ptCount val="1"/>
                <c:pt idx="0">
                  <c:v>수출</c:v>
                </c:pt>
              </c:strCache>
            </c:strRef>
          </c:tx>
          <c:invertIfNegative val="0"/>
          <c:dLbls>
            <c:dLbl>
              <c:idx val="1"/>
              <c:layout>
                <c:manualLayout>
                  <c:x val="0"/>
                  <c:y val="-4.6985828372063249E-2"/>
                </c:manualLayout>
              </c:layout>
              <c:dLblPos val="ctr"/>
              <c:showLegendKey val="0"/>
              <c:showVal val="1"/>
              <c:showCatName val="0"/>
              <c:showSerName val="0"/>
              <c:showPercent val="0"/>
              <c:showBubbleSize val="0"/>
            </c:dLbl>
            <c:dLbl>
              <c:idx val="2"/>
              <c:layout>
                <c:manualLayout>
                  <c:x val="0"/>
                  <c:y val="-0.11993810415466358"/>
                </c:manualLayout>
              </c:layout>
              <c:dLblPos val="ctr"/>
              <c:showLegendKey val="0"/>
              <c:showVal val="1"/>
              <c:showCatName val="0"/>
              <c:showSerName val="0"/>
              <c:showPercent val="0"/>
              <c:showBubbleSize val="0"/>
            </c:dLbl>
            <c:numFmt formatCode="#,##0.0_);[Red]\(#,##0.0\)" sourceLinked="0"/>
            <c:txPr>
              <a:bodyPr/>
              <a:lstStyle/>
              <a:p>
                <a:pPr>
                  <a:defRPr b="1"/>
                </a:pPr>
                <a:endParaRPr lang="ko-KR"/>
              </a:p>
            </c:txPr>
            <c:dLblPos val="inEnd"/>
            <c:showLegendKey val="0"/>
            <c:showVal val="1"/>
            <c:showCatName val="0"/>
            <c:showSerName val="0"/>
            <c:showPercent val="0"/>
            <c:showBubbleSize val="0"/>
            <c:showLeaderLines val="0"/>
          </c:dLbls>
          <c:cat>
            <c:strRef>
              <c:f>('21년경영목표'!$A$30,'21년경영목표'!$A$31,'21년경영목표'!$A$34)</c:f>
              <c:strCache>
                <c:ptCount val="3"/>
                <c:pt idx="0">
                  <c:v>PO</c:v>
                </c:pt>
                <c:pt idx="1">
                  <c:v>GI</c:v>
                </c:pt>
                <c:pt idx="2">
                  <c:v>CL</c:v>
                </c:pt>
              </c:strCache>
            </c:strRef>
          </c:cat>
          <c:val>
            <c:numRef>
              <c:f>('21년경영목표'!$C$28,'21년경영목표'!$C$32,'21년경영목표'!$C$35)</c:f>
              <c:numCache>
                <c:formatCode>#,##0_ </c:formatCode>
                <c:ptCount val="3"/>
                <c:pt idx="1">
                  <c:v>15000</c:v>
                </c:pt>
                <c:pt idx="2">
                  <c:v>64000</c:v>
                </c:pt>
              </c:numCache>
            </c:numRef>
          </c:val>
        </c:ser>
        <c:dLbls>
          <c:showLegendKey val="0"/>
          <c:showVal val="0"/>
          <c:showCatName val="0"/>
          <c:showSerName val="0"/>
          <c:showPercent val="0"/>
          <c:showBubbleSize val="0"/>
        </c:dLbls>
        <c:gapWidth val="150"/>
        <c:overlap val="100"/>
        <c:axId val="577940480"/>
        <c:axId val="577946368"/>
      </c:barChart>
      <c:catAx>
        <c:axId val="577940480"/>
        <c:scaling>
          <c:orientation val="minMax"/>
        </c:scaling>
        <c:delete val="0"/>
        <c:axPos val="b"/>
        <c:majorTickMark val="out"/>
        <c:minorTickMark val="none"/>
        <c:tickLblPos val="nextTo"/>
        <c:crossAx val="577946368"/>
        <c:crosses val="autoZero"/>
        <c:auto val="1"/>
        <c:lblAlgn val="ctr"/>
        <c:lblOffset val="100"/>
        <c:noMultiLvlLbl val="0"/>
      </c:catAx>
      <c:valAx>
        <c:axId val="577946368"/>
        <c:scaling>
          <c:orientation val="minMax"/>
        </c:scaling>
        <c:delete val="1"/>
        <c:axPos val="l"/>
        <c:numFmt formatCode="#,##0_ " sourceLinked="1"/>
        <c:majorTickMark val="out"/>
        <c:minorTickMark val="none"/>
        <c:tickLblPos val="nextTo"/>
        <c:crossAx val="577940480"/>
        <c:crosses val="autoZero"/>
        <c:crossBetween val="between"/>
        <c:dispUnits>
          <c:builtInUnit val="tenThousands"/>
          <c:dispUnitsLbl/>
        </c:dispUnits>
      </c:valAx>
    </c:plotArea>
    <c:legend>
      <c:legendPos val="b"/>
      <c:overlay val="0"/>
    </c:legend>
    <c:plotVisOnly val="1"/>
    <c:dispBlanksAs val="gap"/>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600"/>
            </a:pPr>
            <a:r>
              <a:rPr lang="ko-KR" sz="1600"/>
              <a:t>판매량</a:t>
            </a:r>
            <a:r>
              <a:rPr lang="en-US" sz="1600"/>
              <a:t>(</a:t>
            </a:r>
            <a:r>
              <a:rPr lang="ko-KR" sz="1600"/>
              <a:t>억원</a:t>
            </a:r>
            <a:r>
              <a:rPr lang="en-US" sz="1600"/>
              <a:t>)</a:t>
            </a:r>
            <a:endParaRPr lang="ko-KR" sz="1600"/>
          </a:p>
        </c:rich>
      </c:tx>
      <c:layout>
        <c:manualLayout>
          <c:xMode val="edge"/>
          <c:yMode val="edge"/>
          <c:x val="0.21267586693006132"/>
          <c:y val="1.016260162601626E-2"/>
        </c:manualLayout>
      </c:layout>
      <c:overlay val="1"/>
    </c:title>
    <c:autoTitleDeleted val="0"/>
    <c:plotArea>
      <c:layout>
        <c:manualLayout>
          <c:layoutTarget val="inner"/>
          <c:xMode val="edge"/>
          <c:yMode val="edge"/>
          <c:x val="4.5963421239011773E-2"/>
          <c:y val="0.11368366551837271"/>
          <c:w val="0.90641753114194057"/>
          <c:h val="0.77033659366797902"/>
        </c:manualLayout>
      </c:layout>
      <c:barChart>
        <c:barDir val="col"/>
        <c:grouping val="stacked"/>
        <c:varyColors val="0"/>
        <c:ser>
          <c:idx val="1"/>
          <c:order val="0"/>
          <c:tx>
            <c:strRef>
              <c:f>'21년경영목표'!$B$31</c:f>
              <c:strCache>
                <c:ptCount val="1"/>
                <c:pt idx="0">
                  <c:v>내수</c:v>
                </c:pt>
              </c:strCache>
            </c:strRef>
          </c:tx>
          <c:invertIfNegative val="0"/>
          <c:dLbls>
            <c:numFmt formatCode="#,##0_);[Red]\(#,##0\)" sourceLinked="0"/>
            <c:txPr>
              <a:bodyPr/>
              <a:lstStyle/>
              <a:p>
                <a:pPr>
                  <a:defRPr b="1"/>
                </a:pPr>
                <a:endParaRPr lang="ko-KR"/>
              </a:p>
            </c:txPr>
            <c:dLblPos val="ctr"/>
            <c:showLegendKey val="0"/>
            <c:showVal val="1"/>
            <c:showCatName val="0"/>
            <c:showSerName val="0"/>
            <c:showPercent val="0"/>
            <c:showBubbleSize val="0"/>
            <c:showLeaderLines val="0"/>
          </c:dLbls>
          <c:val>
            <c:numRef>
              <c:f>('21년경영목표'!$D$30,'21년경영목표'!$D$31,'21년경영목표'!$D$34)</c:f>
              <c:numCache>
                <c:formatCode>#,##0_ </c:formatCode>
                <c:ptCount val="3"/>
                <c:pt idx="0">
                  <c:v>80.599999999999994</c:v>
                </c:pt>
                <c:pt idx="1">
                  <c:v>776</c:v>
                </c:pt>
                <c:pt idx="2">
                  <c:v>2003.4374600000001</c:v>
                </c:pt>
              </c:numCache>
            </c:numRef>
          </c:val>
        </c:ser>
        <c:ser>
          <c:idx val="0"/>
          <c:order val="1"/>
          <c:tx>
            <c:strRef>
              <c:f>'21년경영목표'!$B$32</c:f>
              <c:strCache>
                <c:ptCount val="1"/>
                <c:pt idx="0">
                  <c:v>수출</c:v>
                </c:pt>
              </c:strCache>
            </c:strRef>
          </c:tx>
          <c:invertIfNegative val="0"/>
          <c:dLbls>
            <c:dLbl>
              <c:idx val="1"/>
              <c:layout>
                <c:manualLayout>
                  <c:x val="0"/>
                  <c:y val="-3.731935375456117E-2"/>
                </c:manualLayout>
              </c:layout>
              <c:showLegendKey val="0"/>
              <c:showVal val="1"/>
              <c:showCatName val="0"/>
              <c:showSerName val="0"/>
              <c:showPercent val="0"/>
              <c:showBubbleSize val="0"/>
            </c:dLbl>
            <c:dLbl>
              <c:idx val="2"/>
              <c:layout>
                <c:manualLayout>
                  <c:x val="0"/>
                  <c:y val="-0.11257902022917866"/>
                </c:manualLayout>
              </c:layout>
              <c:showLegendKey val="0"/>
              <c:showVal val="1"/>
              <c:showCatName val="0"/>
              <c:showSerName val="0"/>
              <c:showPercent val="0"/>
              <c:showBubbleSize val="0"/>
            </c:dLbl>
            <c:numFmt formatCode="#,##0_);[Red]\(#,##0\)" sourceLinked="0"/>
            <c:txPr>
              <a:bodyPr/>
              <a:lstStyle/>
              <a:p>
                <a:pPr>
                  <a:defRPr b="1"/>
                </a:pPr>
                <a:endParaRPr lang="ko-KR"/>
              </a:p>
            </c:txPr>
            <c:showLegendKey val="0"/>
            <c:showVal val="1"/>
            <c:showCatName val="0"/>
            <c:showSerName val="0"/>
            <c:showPercent val="0"/>
            <c:showBubbleSize val="0"/>
            <c:showLeaderLines val="0"/>
          </c:dLbls>
          <c:cat>
            <c:strRef>
              <c:f>('21년경영목표'!$A$30,'21년경영목표'!$A$31,'21년경영목표'!$A$34)</c:f>
              <c:strCache>
                <c:ptCount val="3"/>
                <c:pt idx="0">
                  <c:v>PO</c:v>
                </c:pt>
                <c:pt idx="1">
                  <c:v>GI</c:v>
                </c:pt>
                <c:pt idx="2">
                  <c:v>CL</c:v>
                </c:pt>
              </c:strCache>
            </c:strRef>
          </c:cat>
          <c:val>
            <c:numRef>
              <c:f>('21년경영목표'!$D$28,'21년경영목표'!$D$32,'21년경영목표'!$D$35)</c:f>
              <c:numCache>
                <c:formatCode>#,##0_ </c:formatCode>
                <c:ptCount val="3"/>
                <c:pt idx="1">
                  <c:v>125.28688150000001</c:v>
                </c:pt>
                <c:pt idx="2">
                  <c:v>714.73325</c:v>
                </c:pt>
              </c:numCache>
            </c:numRef>
          </c:val>
        </c:ser>
        <c:dLbls>
          <c:showLegendKey val="0"/>
          <c:showVal val="0"/>
          <c:showCatName val="0"/>
          <c:showSerName val="0"/>
          <c:showPercent val="0"/>
          <c:showBubbleSize val="0"/>
        </c:dLbls>
        <c:gapWidth val="150"/>
        <c:overlap val="100"/>
        <c:axId val="568674944"/>
        <c:axId val="568701312"/>
      </c:barChart>
      <c:catAx>
        <c:axId val="568674944"/>
        <c:scaling>
          <c:orientation val="minMax"/>
        </c:scaling>
        <c:delete val="0"/>
        <c:axPos val="b"/>
        <c:majorTickMark val="out"/>
        <c:minorTickMark val="none"/>
        <c:tickLblPos val="nextTo"/>
        <c:crossAx val="568701312"/>
        <c:crosses val="autoZero"/>
        <c:auto val="1"/>
        <c:lblAlgn val="ctr"/>
        <c:lblOffset val="100"/>
        <c:noMultiLvlLbl val="0"/>
      </c:catAx>
      <c:valAx>
        <c:axId val="568701312"/>
        <c:scaling>
          <c:orientation val="minMax"/>
        </c:scaling>
        <c:delete val="1"/>
        <c:axPos val="l"/>
        <c:numFmt formatCode="#,##0_ " sourceLinked="0"/>
        <c:majorTickMark val="out"/>
        <c:minorTickMark val="none"/>
        <c:tickLblPos val="nextTo"/>
        <c:crossAx val="56867494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600"/>
            </a:pPr>
            <a:r>
              <a:rPr lang="ko-KR" sz="1600"/>
              <a:t>영업이익</a:t>
            </a:r>
            <a:r>
              <a:rPr lang="en-US" sz="1600"/>
              <a:t>(</a:t>
            </a:r>
            <a:r>
              <a:rPr lang="ko-KR" sz="1600"/>
              <a:t>억원</a:t>
            </a:r>
            <a:r>
              <a:rPr lang="en-US" sz="1600"/>
              <a:t>)</a:t>
            </a:r>
            <a:endParaRPr lang="ko-KR" sz="1600"/>
          </a:p>
        </c:rich>
      </c:tx>
      <c:layout>
        <c:manualLayout>
          <c:xMode val="edge"/>
          <c:yMode val="edge"/>
          <c:x val="0.17734017788412493"/>
          <c:y val="1.016260162601626E-2"/>
        </c:manualLayout>
      </c:layout>
      <c:overlay val="1"/>
    </c:title>
    <c:autoTitleDeleted val="0"/>
    <c:plotArea>
      <c:layout>
        <c:manualLayout>
          <c:layoutTarget val="inner"/>
          <c:xMode val="edge"/>
          <c:yMode val="edge"/>
          <c:x val="4.5963421239011773E-2"/>
          <c:y val="0.11368366551837271"/>
          <c:w val="0.90641753114194057"/>
          <c:h val="0.77033659366797902"/>
        </c:manualLayout>
      </c:layout>
      <c:barChart>
        <c:barDir val="col"/>
        <c:grouping val="stacked"/>
        <c:varyColors val="0"/>
        <c:ser>
          <c:idx val="1"/>
          <c:order val="0"/>
          <c:tx>
            <c:strRef>
              <c:f>'21년경영목표'!$B$31</c:f>
              <c:strCache>
                <c:ptCount val="1"/>
                <c:pt idx="0">
                  <c:v>내수</c:v>
                </c:pt>
              </c:strCache>
            </c:strRef>
          </c:tx>
          <c:invertIfNegative val="0"/>
          <c:dLbls>
            <c:dLbl>
              <c:idx val="0"/>
              <c:layout>
                <c:manualLayout>
                  <c:x val="0"/>
                  <c:y val="-5.5555555555555552E-2"/>
                </c:manualLayout>
              </c:layout>
              <c:showLegendKey val="0"/>
              <c:showVal val="1"/>
              <c:showCatName val="0"/>
              <c:showSerName val="0"/>
              <c:showPercent val="0"/>
              <c:showBubbleSize val="0"/>
            </c:dLbl>
            <c:dLbl>
              <c:idx val="1"/>
              <c:layout>
                <c:manualLayout>
                  <c:x val="1.1778563015312132E-2"/>
                  <c:y val="-5.8434159144741052E-2"/>
                </c:manualLayout>
              </c:layout>
              <c:showLegendKey val="0"/>
              <c:showVal val="1"/>
              <c:showCatName val="0"/>
              <c:showSerName val="0"/>
              <c:showPercent val="0"/>
              <c:showBubbleSize val="0"/>
            </c:dLbl>
            <c:dLbl>
              <c:idx val="2"/>
              <c:layout>
                <c:manualLayout>
                  <c:x val="-5.8892815076560662E-3"/>
                  <c:y val="2.540650406504065E-3"/>
                </c:manualLayout>
              </c:layout>
              <c:showLegendKey val="0"/>
              <c:showVal val="1"/>
              <c:showCatName val="0"/>
              <c:showSerName val="0"/>
              <c:showPercent val="0"/>
              <c:showBubbleSize val="0"/>
            </c:dLbl>
            <c:numFmt formatCode="#,##0.0_ ;[Red]\-#,##0.0\ " sourceLinked="0"/>
            <c:txPr>
              <a:bodyPr/>
              <a:lstStyle/>
              <a:p>
                <a:pPr>
                  <a:defRPr b="1"/>
                </a:pPr>
                <a:endParaRPr lang="ko-KR"/>
              </a:p>
            </c:txPr>
            <c:showLegendKey val="0"/>
            <c:showVal val="1"/>
            <c:showCatName val="0"/>
            <c:showSerName val="0"/>
            <c:showPercent val="0"/>
            <c:showBubbleSize val="0"/>
            <c:showLeaderLines val="0"/>
          </c:dLbls>
          <c:val>
            <c:numRef>
              <c:f>('21년경영목표'!$E$30,'21년경영목표'!$E$31,'21년경영목표'!$E$34)</c:f>
              <c:numCache>
                <c:formatCode>0.0_ ;[Red]\-0.0\ </c:formatCode>
                <c:ptCount val="3"/>
                <c:pt idx="0">
                  <c:v>0.10067357989298295</c:v>
                </c:pt>
                <c:pt idx="1">
                  <c:v>-3.8395042869488161</c:v>
                </c:pt>
                <c:pt idx="2">
                  <c:v>105.82017398668923</c:v>
                </c:pt>
              </c:numCache>
            </c:numRef>
          </c:val>
        </c:ser>
        <c:ser>
          <c:idx val="0"/>
          <c:order val="1"/>
          <c:tx>
            <c:strRef>
              <c:f>'21년경영목표'!$B$32</c:f>
              <c:strCache>
                <c:ptCount val="1"/>
                <c:pt idx="0">
                  <c:v>수출</c:v>
                </c:pt>
              </c:strCache>
            </c:strRef>
          </c:tx>
          <c:invertIfNegative val="0"/>
          <c:dLbls>
            <c:dLbl>
              <c:idx val="1"/>
              <c:layout>
                <c:manualLayout>
                  <c:x val="0"/>
                  <c:y val="-3.9859804109852119E-2"/>
                </c:manualLayout>
              </c:layout>
              <c:showLegendKey val="0"/>
              <c:showVal val="1"/>
              <c:showCatName val="0"/>
              <c:showSerName val="0"/>
              <c:showPercent val="0"/>
              <c:showBubbleSize val="0"/>
            </c:dLbl>
            <c:dLbl>
              <c:idx val="2"/>
              <c:layout>
                <c:manualLayout>
                  <c:x val="5.8888177847025991E-3"/>
                  <c:y val="-6.1765611996671146E-2"/>
                </c:manualLayout>
              </c:layout>
              <c:showLegendKey val="0"/>
              <c:showVal val="1"/>
              <c:showCatName val="0"/>
              <c:showSerName val="0"/>
              <c:showPercent val="0"/>
              <c:showBubbleSize val="0"/>
            </c:dLbl>
            <c:numFmt formatCode="#,##0.0_ ;[Red]\-#,##0.0\ " sourceLinked="0"/>
            <c:txPr>
              <a:bodyPr/>
              <a:lstStyle/>
              <a:p>
                <a:pPr>
                  <a:defRPr b="1"/>
                </a:pPr>
                <a:endParaRPr lang="ko-KR"/>
              </a:p>
            </c:txPr>
            <c:showLegendKey val="0"/>
            <c:showVal val="1"/>
            <c:showCatName val="0"/>
            <c:showSerName val="0"/>
            <c:showPercent val="0"/>
            <c:showBubbleSize val="0"/>
            <c:showLeaderLines val="0"/>
          </c:dLbls>
          <c:cat>
            <c:strRef>
              <c:f>('21년경영목표'!$A$30,'21년경영목표'!$A$31,'21년경영목표'!$A$34)</c:f>
              <c:strCache>
                <c:ptCount val="3"/>
                <c:pt idx="0">
                  <c:v>PO</c:v>
                </c:pt>
                <c:pt idx="1">
                  <c:v>GI</c:v>
                </c:pt>
                <c:pt idx="2">
                  <c:v>CL</c:v>
                </c:pt>
              </c:strCache>
            </c:strRef>
          </c:cat>
          <c:val>
            <c:numRef>
              <c:f>('21년경영목표'!$E$28,'21년경영목표'!$E$32,'21년경영목표'!$E$35)</c:f>
              <c:numCache>
                <c:formatCode>0.0_ ;[Red]\-0.0\ </c:formatCode>
                <c:ptCount val="3"/>
                <c:pt idx="1">
                  <c:v>0.26662121409823714</c:v>
                </c:pt>
                <c:pt idx="2">
                  <c:v>-2.3453526923142936</c:v>
                </c:pt>
              </c:numCache>
            </c:numRef>
          </c:val>
        </c:ser>
        <c:dLbls>
          <c:showLegendKey val="0"/>
          <c:showVal val="0"/>
          <c:showCatName val="0"/>
          <c:showSerName val="0"/>
          <c:showPercent val="0"/>
          <c:showBubbleSize val="0"/>
        </c:dLbls>
        <c:gapWidth val="150"/>
        <c:overlap val="100"/>
        <c:axId val="577513344"/>
        <c:axId val="577514880"/>
      </c:barChart>
      <c:catAx>
        <c:axId val="577513344"/>
        <c:scaling>
          <c:orientation val="minMax"/>
        </c:scaling>
        <c:delete val="0"/>
        <c:axPos val="b"/>
        <c:majorTickMark val="out"/>
        <c:minorTickMark val="none"/>
        <c:tickLblPos val="nextTo"/>
        <c:crossAx val="577514880"/>
        <c:crosses val="autoZero"/>
        <c:auto val="1"/>
        <c:lblAlgn val="ctr"/>
        <c:lblOffset val="100"/>
        <c:noMultiLvlLbl val="0"/>
      </c:catAx>
      <c:valAx>
        <c:axId val="577514880"/>
        <c:scaling>
          <c:orientation val="minMax"/>
        </c:scaling>
        <c:delete val="1"/>
        <c:axPos val="l"/>
        <c:numFmt formatCode="#,##0_ " sourceLinked="0"/>
        <c:majorTickMark val="out"/>
        <c:minorTickMark val="none"/>
        <c:tickLblPos val="nextTo"/>
        <c:crossAx val="57751334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600"/>
            </a:pPr>
            <a:r>
              <a:rPr lang="ko-KR" sz="1600"/>
              <a:t>영업이익율</a:t>
            </a:r>
            <a:r>
              <a:rPr lang="en-US" sz="1600"/>
              <a:t>(%)</a:t>
            </a:r>
            <a:endParaRPr lang="ko-KR" sz="1600"/>
          </a:p>
        </c:rich>
      </c:tx>
      <c:layout>
        <c:manualLayout>
          <c:xMode val="edge"/>
          <c:yMode val="edge"/>
          <c:x val="0.1655616148688128"/>
          <c:y val="1.2703252032520325E-2"/>
        </c:manualLayout>
      </c:layout>
      <c:overlay val="1"/>
    </c:title>
    <c:autoTitleDeleted val="0"/>
    <c:plotArea>
      <c:layout>
        <c:manualLayout>
          <c:layoutTarget val="inner"/>
          <c:xMode val="edge"/>
          <c:yMode val="edge"/>
          <c:x val="4.5963421239011773E-2"/>
          <c:y val="0.11368366551837271"/>
          <c:w val="0.90641753114194057"/>
          <c:h val="0.77033659366797902"/>
        </c:manualLayout>
      </c:layout>
      <c:barChart>
        <c:barDir val="col"/>
        <c:grouping val="stacked"/>
        <c:varyColors val="0"/>
        <c:ser>
          <c:idx val="1"/>
          <c:order val="0"/>
          <c:tx>
            <c:strRef>
              <c:f>'21년경영목표'!$B$31</c:f>
              <c:strCache>
                <c:ptCount val="1"/>
                <c:pt idx="0">
                  <c:v>내수</c:v>
                </c:pt>
              </c:strCache>
            </c:strRef>
          </c:tx>
          <c:invertIfNegative val="0"/>
          <c:dLbls>
            <c:dLbl>
              <c:idx val="0"/>
              <c:layout>
                <c:manualLayout>
                  <c:x val="2.6992228426897511E-17"/>
                  <c:y val="-3.7770669291338675E-2"/>
                </c:manualLayout>
              </c:layout>
              <c:showLegendKey val="0"/>
              <c:showVal val="1"/>
              <c:showCatName val="0"/>
              <c:showSerName val="0"/>
              <c:showPercent val="0"/>
              <c:showBubbleSize val="0"/>
            </c:dLbl>
            <c:dLbl>
              <c:idx val="1"/>
              <c:layout>
                <c:manualLayout>
                  <c:x val="1.1778563015312132E-2"/>
                  <c:y val="-5.0812407976441966E-2"/>
                </c:manualLayout>
              </c:layout>
              <c:showLegendKey val="0"/>
              <c:showVal val="1"/>
              <c:showCatName val="0"/>
              <c:showSerName val="0"/>
              <c:showPercent val="0"/>
              <c:showBubbleSize val="0"/>
            </c:dLbl>
            <c:dLbl>
              <c:idx val="2"/>
              <c:layout>
                <c:manualLayout>
                  <c:x val="1.0796891370759004E-16"/>
                  <c:y val="-1.2703252032520325E-2"/>
                </c:manualLayout>
              </c:layout>
              <c:showLegendKey val="0"/>
              <c:showVal val="1"/>
              <c:showCatName val="0"/>
              <c:showSerName val="0"/>
              <c:showPercent val="0"/>
              <c:showBubbleSize val="0"/>
            </c:dLbl>
            <c:numFmt formatCode="#,##0.0_ ;[Red]\-#,##0.0\ " sourceLinked="0"/>
            <c:txPr>
              <a:bodyPr/>
              <a:lstStyle/>
              <a:p>
                <a:pPr>
                  <a:defRPr b="1"/>
                </a:pPr>
                <a:endParaRPr lang="ko-KR"/>
              </a:p>
            </c:txPr>
            <c:showLegendKey val="0"/>
            <c:showVal val="1"/>
            <c:showCatName val="0"/>
            <c:showSerName val="0"/>
            <c:showPercent val="0"/>
            <c:showBubbleSize val="0"/>
            <c:showLeaderLines val="0"/>
          </c:dLbls>
          <c:val>
            <c:numRef>
              <c:f>('21년경영목표'!$F$30,'21년경영목표'!$F$31,'21년경영목표'!$F$34)</c:f>
              <c:numCache>
                <c:formatCode>0.0_ ;[Red]\-0.0\ </c:formatCode>
                <c:ptCount val="3"/>
                <c:pt idx="0">
                  <c:v>0.12490518597144287</c:v>
                </c:pt>
                <c:pt idx="1">
                  <c:v>-0.49478148027690927</c:v>
                </c:pt>
                <c:pt idx="2">
                  <c:v>5.2819304869486281</c:v>
                </c:pt>
              </c:numCache>
            </c:numRef>
          </c:val>
        </c:ser>
        <c:ser>
          <c:idx val="0"/>
          <c:order val="1"/>
          <c:tx>
            <c:strRef>
              <c:f>'21년경영목표'!$B$32</c:f>
              <c:strCache>
                <c:ptCount val="1"/>
                <c:pt idx="0">
                  <c:v>수출</c:v>
                </c:pt>
              </c:strCache>
            </c:strRef>
          </c:tx>
          <c:invertIfNegative val="0"/>
          <c:dLbls>
            <c:dLbl>
              <c:idx val="1"/>
              <c:layout>
                <c:manualLayout>
                  <c:x val="0"/>
                  <c:y val="-3.9859404007425901E-2"/>
                </c:manualLayout>
              </c:layout>
              <c:numFmt formatCode="#,##0.0_ ;[Red]\-#,##0.0\ " sourceLinked="0"/>
              <c:spPr/>
              <c:txPr>
                <a:bodyPr/>
                <a:lstStyle/>
                <a:p>
                  <a:pPr>
                    <a:defRPr b="1"/>
                  </a:pPr>
                  <a:endParaRPr lang="ko-KR"/>
                </a:p>
              </c:txPr>
              <c:showLegendKey val="0"/>
              <c:showVal val="1"/>
              <c:showCatName val="0"/>
              <c:showSerName val="0"/>
              <c:showPercent val="0"/>
              <c:showBubbleSize val="0"/>
            </c:dLbl>
            <c:dLbl>
              <c:idx val="2"/>
              <c:layout>
                <c:manualLayout>
                  <c:x val="5.8892815076560662E-3"/>
                  <c:y val="-5.4143460725945843E-2"/>
                </c:manualLayout>
              </c:layout>
              <c:numFmt formatCode="#,##0.0_ ;[Red]\-#,##0.0\ " sourceLinked="0"/>
              <c:spPr/>
              <c:txPr>
                <a:bodyPr/>
                <a:lstStyle/>
                <a:p>
                  <a:pPr>
                    <a:defRPr b="1"/>
                  </a:pPr>
                  <a:endParaRPr lang="ko-KR"/>
                </a:p>
              </c:txPr>
              <c:showLegendKey val="0"/>
              <c:showVal val="1"/>
              <c:showCatName val="0"/>
              <c:showSerName val="0"/>
              <c:showPercent val="0"/>
              <c:showBubbleSize val="0"/>
            </c:dLbl>
            <c:numFmt formatCode="#,##0_ ;[Red]\-#,##0\ " sourceLinked="0"/>
            <c:txPr>
              <a:bodyPr/>
              <a:lstStyle/>
              <a:p>
                <a:pPr>
                  <a:defRPr b="1"/>
                </a:pPr>
                <a:endParaRPr lang="ko-KR"/>
              </a:p>
            </c:txPr>
            <c:showLegendKey val="0"/>
            <c:showVal val="1"/>
            <c:showCatName val="0"/>
            <c:showSerName val="0"/>
            <c:showPercent val="0"/>
            <c:showBubbleSize val="0"/>
            <c:showLeaderLines val="0"/>
          </c:dLbls>
          <c:cat>
            <c:strRef>
              <c:f>('21년경영목표'!$A$30,'21년경영목표'!$A$31,'21년경영목표'!$A$34)</c:f>
              <c:strCache>
                <c:ptCount val="3"/>
                <c:pt idx="0">
                  <c:v>PO</c:v>
                </c:pt>
                <c:pt idx="1">
                  <c:v>GI</c:v>
                </c:pt>
                <c:pt idx="2">
                  <c:v>CL</c:v>
                </c:pt>
              </c:strCache>
            </c:strRef>
          </c:cat>
          <c:val>
            <c:numRef>
              <c:f>('21년경영목표'!$F$28,'21년경영목표'!$F$32,'21년경영목표'!$F$35)</c:f>
              <c:numCache>
                <c:formatCode>0.0_ ;[Red]\-0.0\ </c:formatCode>
                <c:ptCount val="3"/>
                <c:pt idx="1">
                  <c:v>0.21280856455688626</c:v>
                </c:pt>
                <c:pt idx="2">
                  <c:v>-0.32814377843961978</c:v>
                </c:pt>
              </c:numCache>
            </c:numRef>
          </c:val>
        </c:ser>
        <c:dLbls>
          <c:showLegendKey val="0"/>
          <c:showVal val="0"/>
          <c:showCatName val="0"/>
          <c:showSerName val="0"/>
          <c:showPercent val="0"/>
          <c:showBubbleSize val="0"/>
        </c:dLbls>
        <c:gapWidth val="150"/>
        <c:overlap val="100"/>
        <c:axId val="577554304"/>
        <c:axId val="577555840"/>
      </c:barChart>
      <c:catAx>
        <c:axId val="577554304"/>
        <c:scaling>
          <c:orientation val="minMax"/>
        </c:scaling>
        <c:delete val="0"/>
        <c:axPos val="b"/>
        <c:majorTickMark val="out"/>
        <c:minorTickMark val="none"/>
        <c:tickLblPos val="nextTo"/>
        <c:crossAx val="577555840"/>
        <c:crosses val="autoZero"/>
        <c:auto val="1"/>
        <c:lblAlgn val="ctr"/>
        <c:lblOffset val="100"/>
        <c:noMultiLvlLbl val="0"/>
      </c:catAx>
      <c:valAx>
        <c:axId val="577555840"/>
        <c:scaling>
          <c:orientation val="minMax"/>
        </c:scaling>
        <c:delete val="1"/>
        <c:axPos val="l"/>
        <c:numFmt formatCode="0_ ;[Red]\-0\ " sourceLinked="0"/>
        <c:majorTickMark val="out"/>
        <c:minorTickMark val="none"/>
        <c:tickLblPos val="nextTo"/>
        <c:crossAx val="57755430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300"/>
            </a:pPr>
            <a:r>
              <a:rPr lang="en-US" sz="1300"/>
              <a:t>21</a:t>
            </a:r>
            <a:r>
              <a:rPr lang="ko-KR" sz="1300"/>
              <a:t>년 가공비</a:t>
            </a:r>
            <a:r>
              <a:rPr lang="en-US" sz="1300"/>
              <a:t>(</a:t>
            </a:r>
            <a:r>
              <a:rPr lang="ko-KR" sz="1300"/>
              <a:t>원</a:t>
            </a:r>
            <a:r>
              <a:rPr lang="en-US" sz="1300"/>
              <a:t>/</a:t>
            </a:r>
            <a:r>
              <a:rPr lang="ko-KR" sz="1300"/>
              <a:t>톤</a:t>
            </a:r>
            <a:r>
              <a:rPr lang="en-US" sz="1300"/>
              <a:t>)</a:t>
            </a:r>
            <a:endParaRPr lang="ko-KR" sz="1300"/>
          </a:p>
        </c:rich>
      </c:tx>
      <c:layout>
        <c:manualLayout>
          <c:xMode val="edge"/>
          <c:yMode val="edge"/>
          <c:x val="0.11844758909853249"/>
          <c:y val="2.540650406504065E-2"/>
        </c:manualLayout>
      </c:layout>
      <c:overlay val="1"/>
    </c:title>
    <c:autoTitleDeleted val="0"/>
    <c:plotArea>
      <c:layout>
        <c:manualLayout>
          <c:layoutTarget val="inner"/>
          <c:xMode val="edge"/>
          <c:yMode val="edge"/>
          <c:x val="4.5963421239011773E-2"/>
          <c:y val="0.11622435343447921"/>
          <c:w val="0.90641753114194057"/>
          <c:h val="0.76779595576467574"/>
        </c:manualLayout>
      </c:layout>
      <c:barChart>
        <c:barDir val="col"/>
        <c:grouping val="stacked"/>
        <c:varyColors val="0"/>
        <c:ser>
          <c:idx val="1"/>
          <c:order val="0"/>
          <c:tx>
            <c:strRef>
              <c:f>'21년경영목표'!$J$30:$J$34</c:f>
              <c:strCache>
                <c:ptCount val="1"/>
                <c:pt idx="0">
                  <c:v>17,200  21,013  55,151  65,152  195,000 </c:v>
                </c:pt>
              </c:strCache>
            </c:strRef>
          </c:tx>
          <c:invertIfNegative val="0"/>
          <c:dPt>
            <c:idx val="1"/>
            <c:invertIfNegative val="0"/>
            <c:bubble3D val="0"/>
            <c:spPr>
              <a:solidFill>
                <a:schemeClr val="accent6"/>
              </a:solidFill>
            </c:spPr>
          </c:dPt>
          <c:dPt>
            <c:idx val="2"/>
            <c:invertIfNegative val="0"/>
            <c:bubble3D val="0"/>
            <c:spPr>
              <a:solidFill>
                <a:srgbClr val="FFFF00"/>
              </a:solidFill>
            </c:spPr>
          </c:dPt>
          <c:dPt>
            <c:idx val="3"/>
            <c:invertIfNegative val="0"/>
            <c:bubble3D val="0"/>
            <c:spPr>
              <a:solidFill>
                <a:srgbClr val="00B050"/>
              </a:solidFill>
            </c:spPr>
          </c:dPt>
          <c:dPt>
            <c:idx val="4"/>
            <c:invertIfNegative val="0"/>
            <c:bubble3D val="0"/>
            <c:spPr>
              <a:solidFill>
                <a:srgbClr val="0000FF"/>
              </a:solidFill>
            </c:spPr>
          </c:dPt>
          <c:dLbls>
            <c:dLbl>
              <c:idx val="0"/>
              <c:layout>
                <c:manualLayout>
                  <c:x val="0"/>
                  <c:y val="-4.8306166378592828E-2"/>
                </c:manualLayout>
              </c:layout>
              <c:dLblPos val="ctr"/>
              <c:showLegendKey val="0"/>
              <c:showVal val="1"/>
              <c:showCatName val="0"/>
              <c:showSerName val="0"/>
              <c:showPercent val="0"/>
              <c:showBubbleSize val="0"/>
            </c:dLbl>
            <c:dLbl>
              <c:idx val="1"/>
              <c:layout>
                <c:manualLayout>
                  <c:x val="5.8892815076560393E-3"/>
                  <c:y val="-5.4161265283912775E-2"/>
                </c:manualLayout>
              </c:layout>
              <c:dLblPos val="ctr"/>
              <c:showLegendKey val="0"/>
              <c:showVal val="1"/>
              <c:showCatName val="0"/>
              <c:showSerName val="0"/>
              <c:showPercent val="0"/>
              <c:showBubbleSize val="0"/>
            </c:dLbl>
            <c:dLbl>
              <c:idx val="2"/>
              <c:layout>
                <c:manualLayout>
                  <c:x val="0"/>
                  <c:y val="-0.10658328532104219"/>
                </c:manualLayout>
              </c:layout>
              <c:dLblPos val="ctr"/>
              <c:showLegendKey val="0"/>
              <c:showVal val="1"/>
              <c:showCatName val="0"/>
              <c:showSerName val="0"/>
              <c:showPercent val="0"/>
              <c:showBubbleSize val="0"/>
            </c:dLbl>
            <c:dLbl>
              <c:idx val="3"/>
              <c:layout>
                <c:manualLayout>
                  <c:x val="5.8892815076560662E-3"/>
                  <c:y val="-0.12370906952179758"/>
                </c:manualLayout>
              </c:layout>
              <c:dLblPos val="ctr"/>
              <c:showLegendKey val="0"/>
              <c:showVal val="1"/>
              <c:showCatName val="0"/>
              <c:showSerName val="0"/>
              <c:showPercent val="0"/>
              <c:showBubbleSize val="0"/>
            </c:dLbl>
            <c:dLbl>
              <c:idx val="4"/>
              <c:layout>
                <c:manualLayout>
                  <c:x val="0"/>
                  <c:y val="-0.3147175676973305"/>
                </c:manualLayout>
              </c:layout>
              <c:dLblPos val="ctr"/>
              <c:showLegendKey val="0"/>
              <c:showVal val="1"/>
              <c:showCatName val="0"/>
              <c:showSerName val="0"/>
              <c:showPercent val="0"/>
              <c:showBubbleSize val="0"/>
            </c:dLbl>
            <c:txPr>
              <a:bodyPr/>
              <a:lstStyle/>
              <a:p>
                <a:pPr>
                  <a:defRPr sz="700" b="1"/>
                </a:pPr>
                <a:endParaRPr lang="ko-KR"/>
              </a:p>
            </c:txPr>
            <c:dLblPos val="inEnd"/>
            <c:showLegendKey val="0"/>
            <c:showVal val="1"/>
            <c:showCatName val="0"/>
            <c:showSerName val="0"/>
            <c:showPercent val="0"/>
            <c:showBubbleSize val="0"/>
            <c:showLeaderLines val="0"/>
          </c:dLbls>
          <c:cat>
            <c:strRef>
              <c:f>'21년경영목표'!$H$30:$H$34</c:f>
              <c:strCache>
                <c:ptCount val="5"/>
                <c:pt idx="0">
                  <c:v>CPL</c:v>
                </c:pt>
                <c:pt idx="1">
                  <c:v>CRM</c:v>
                </c:pt>
                <c:pt idx="2">
                  <c:v>CGL</c:v>
                </c:pt>
                <c:pt idx="3">
                  <c:v>1CCL</c:v>
                </c:pt>
                <c:pt idx="4">
                  <c:v>2CCL</c:v>
                </c:pt>
              </c:strCache>
            </c:strRef>
          </c:cat>
          <c:val>
            <c:numRef>
              <c:f>'21년경영목표'!$J$30:$J$34</c:f>
              <c:numCache>
                <c:formatCode>#,##0_ </c:formatCode>
                <c:ptCount val="5"/>
                <c:pt idx="0">
                  <c:v>17200</c:v>
                </c:pt>
                <c:pt idx="1">
                  <c:v>21013</c:v>
                </c:pt>
                <c:pt idx="2">
                  <c:v>55151</c:v>
                </c:pt>
                <c:pt idx="3">
                  <c:v>65152</c:v>
                </c:pt>
                <c:pt idx="4">
                  <c:v>195000</c:v>
                </c:pt>
              </c:numCache>
            </c:numRef>
          </c:val>
        </c:ser>
        <c:dLbls>
          <c:showLegendKey val="0"/>
          <c:showVal val="0"/>
          <c:showCatName val="0"/>
          <c:showSerName val="0"/>
          <c:showPercent val="0"/>
          <c:showBubbleSize val="0"/>
        </c:dLbls>
        <c:gapWidth val="72"/>
        <c:overlap val="100"/>
        <c:axId val="578192896"/>
        <c:axId val="578194432"/>
      </c:barChart>
      <c:catAx>
        <c:axId val="578192896"/>
        <c:scaling>
          <c:orientation val="minMax"/>
        </c:scaling>
        <c:delete val="0"/>
        <c:axPos val="b"/>
        <c:majorTickMark val="out"/>
        <c:minorTickMark val="none"/>
        <c:tickLblPos val="nextTo"/>
        <c:crossAx val="578194432"/>
        <c:crosses val="autoZero"/>
        <c:auto val="1"/>
        <c:lblAlgn val="ctr"/>
        <c:lblOffset val="100"/>
        <c:noMultiLvlLbl val="0"/>
      </c:catAx>
      <c:valAx>
        <c:axId val="578194432"/>
        <c:scaling>
          <c:orientation val="minMax"/>
        </c:scaling>
        <c:delete val="1"/>
        <c:axPos val="l"/>
        <c:numFmt formatCode="#,##0_ " sourceLinked="1"/>
        <c:majorTickMark val="out"/>
        <c:minorTickMark val="none"/>
        <c:tickLblPos val="nextTo"/>
        <c:crossAx val="578192896"/>
        <c:crosses val="autoZero"/>
        <c:crossBetween val="between"/>
      </c:valAx>
    </c:plotArea>
    <c:plotVisOnly val="1"/>
    <c:dispBlanksAs val="gap"/>
    <c:showDLblsOverMax val="0"/>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600"/>
            </a:pPr>
            <a:r>
              <a:rPr lang="ko-KR" sz="1600"/>
              <a:t>판매량</a:t>
            </a:r>
            <a:r>
              <a:rPr lang="en-US" sz="1600"/>
              <a:t>(</a:t>
            </a:r>
            <a:r>
              <a:rPr lang="ko-KR" sz="1600"/>
              <a:t>만톤</a:t>
            </a:r>
            <a:r>
              <a:rPr lang="en-US" sz="1600"/>
              <a:t>)</a:t>
            </a:r>
            <a:endParaRPr lang="ko-KR" sz="1600"/>
          </a:p>
        </c:rich>
      </c:tx>
      <c:layout>
        <c:manualLayout>
          <c:xMode val="edge"/>
          <c:yMode val="edge"/>
          <c:x val="0.23623299296068559"/>
          <c:y val="7.621951219512195E-3"/>
        </c:manualLayout>
      </c:layout>
      <c:overlay val="1"/>
    </c:title>
    <c:autoTitleDeleted val="0"/>
    <c:plotArea>
      <c:layout>
        <c:manualLayout>
          <c:layoutTarget val="inner"/>
          <c:xMode val="edge"/>
          <c:yMode val="edge"/>
          <c:x val="4.5963421239011773E-2"/>
          <c:y val="0.11368366551837271"/>
          <c:w val="0.90641753114194057"/>
          <c:h val="0.77033659366797902"/>
        </c:manualLayout>
      </c:layout>
      <c:barChart>
        <c:barDir val="col"/>
        <c:grouping val="stacked"/>
        <c:varyColors val="0"/>
        <c:ser>
          <c:idx val="1"/>
          <c:order val="0"/>
          <c:tx>
            <c:strRef>
              <c:f>'21년경영목표'!$B$31</c:f>
              <c:strCache>
                <c:ptCount val="1"/>
                <c:pt idx="0">
                  <c:v>내수</c:v>
                </c:pt>
              </c:strCache>
            </c:strRef>
          </c:tx>
          <c:invertIfNegative val="0"/>
          <c:dLbls>
            <c:numFmt formatCode="#,##0.0_);[Red]\(#,##0.0\)" sourceLinked="0"/>
            <c:txPr>
              <a:bodyPr/>
              <a:lstStyle/>
              <a:p>
                <a:pPr>
                  <a:defRPr b="1"/>
                </a:pPr>
                <a:endParaRPr lang="ko-KR"/>
              </a:p>
            </c:txPr>
            <c:dLblPos val="ctr"/>
            <c:showLegendKey val="0"/>
            <c:showVal val="1"/>
            <c:showCatName val="0"/>
            <c:showSerName val="0"/>
            <c:showPercent val="0"/>
            <c:showBubbleSize val="0"/>
            <c:showLeaderLines val="0"/>
          </c:dLbls>
          <c:val>
            <c:numRef>
              <c:f>('21년경영목표'!$C$30,'21년경영목표'!$C$31,'21년경영목표'!$C$34)</c:f>
              <c:numCache>
                <c:formatCode>#,##0_ </c:formatCode>
                <c:ptCount val="3"/>
                <c:pt idx="0">
                  <c:v>13000</c:v>
                </c:pt>
                <c:pt idx="1">
                  <c:v>100000</c:v>
                </c:pt>
                <c:pt idx="2">
                  <c:v>158000</c:v>
                </c:pt>
              </c:numCache>
            </c:numRef>
          </c:val>
        </c:ser>
        <c:ser>
          <c:idx val="0"/>
          <c:order val="1"/>
          <c:tx>
            <c:strRef>
              <c:f>'21년경영목표'!$B$32</c:f>
              <c:strCache>
                <c:ptCount val="1"/>
                <c:pt idx="0">
                  <c:v>수출</c:v>
                </c:pt>
              </c:strCache>
            </c:strRef>
          </c:tx>
          <c:invertIfNegative val="0"/>
          <c:dLbls>
            <c:dLbl>
              <c:idx val="1"/>
              <c:layout>
                <c:manualLayout>
                  <c:x val="0"/>
                  <c:y val="-4.6985828372063249E-2"/>
                </c:manualLayout>
              </c:layout>
              <c:dLblPos val="ctr"/>
              <c:showLegendKey val="0"/>
              <c:showVal val="1"/>
              <c:showCatName val="0"/>
              <c:showSerName val="0"/>
              <c:showPercent val="0"/>
              <c:showBubbleSize val="0"/>
            </c:dLbl>
            <c:dLbl>
              <c:idx val="2"/>
              <c:layout>
                <c:manualLayout>
                  <c:x val="0"/>
                  <c:y val="-0.11993810415466358"/>
                </c:manualLayout>
              </c:layout>
              <c:dLblPos val="ctr"/>
              <c:showLegendKey val="0"/>
              <c:showVal val="1"/>
              <c:showCatName val="0"/>
              <c:showSerName val="0"/>
              <c:showPercent val="0"/>
              <c:showBubbleSize val="0"/>
            </c:dLbl>
            <c:numFmt formatCode="#,##0.0_);[Red]\(#,##0.0\)" sourceLinked="0"/>
            <c:txPr>
              <a:bodyPr/>
              <a:lstStyle/>
              <a:p>
                <a:pPr>
                  <a:defRPr b="1"/>
                </a:pPr>
                <a:endParaRPr lang="ko-KR"/>
              </a:p>
            </c:txPr>
            <c:dLblPos val="inEnd"/>
            <c:showLegendKey val="0"/>
            <c:showVal val="1"/>
            <c:showCatName val="0"/>
            <c:showSerName val="0"/>
            <c:showPercent val="0"/>
            <c:showBubbleSize val="0"/>
            <c:showLeaderLines val="0"/>
          </c:dLbls>
          <c:cat>
            <c:strRef>
              <c:f>('21년경영목표'!$A$30,'21년경영목표'!$A$31,'21년경영목표'!$A$34)</c:f>
              <c:strCache>
                <c:ptCount val="3"/>
                <c:pt idx="0">
                  <c:v>PO</c:v>
                </c:pt>
                <c:pt idx="1">
                  <c:v>GI</c:v>
                </c:pt>
                <c:pt idx="2">
                  <c:v>CL</c:v>
                </c:pt>
              </c:strCache>
            </c:strRef>
          </c:cat>
          <c:val>
            <c:numRef>
              <c:f>('21년경영목표'!$C$28,'21년경영목표'!$C$32,'21년경영목표'!$C$35)</c:f>
              <c:numCache>
                <c:formatCode>#,##0_ </c:formatCode>
                <c:ptCount val="3"/>
                <c:pt idx="1">
                  <c:v>15000</c:v>
                </c:pt>
                <c:pt idx="2">
                  <c:v>64000</c:v>
                </c:pt>
              </c:numCache>
            </c:numRef>
          </c:val>
        </c:ser>
        <c:dLbls>
          <c:showLegendKey val="0"/>
          <c:showVal val="0"/>
          <c:showCatName val="0"/>
          <c:showSerName val="0"/>
          <c:showPercent val="0"/>
          <c:showBubbleSize val="0"/>
        </c:dLbls>
        <c:gapWidth val="150"/>
        <c:overlap val="100"/>
        <c:axId val="579158400"/>
        <c:axId val="579159936"/>
      </c:barChart>
      <c:catAx>
        <c:axId val="579158400"/>
        <c:scaling>
          <c:orientation val="minMax"/>
        </c:scaling>
        <c:delete val="0"/>
        <c:axPos val="b"/>
        <c:majorTickMark val="out"/>
        <c:minorTickMark val="none"/>
        <c:tickLblPos val="nextTo"/>
        <c:crossAx val="579159936"/>
        <c:crosses val="autoZero"/>
        <c:auto val="1"/>
        <c:lblAlgn val="ctr"/>
        <c:lblOffset val="100"/>
        <c:noMultiLvlLbl val="0"/>
      </c:catAx>
      <c:valAx>
        <c:axId val="579159936"/>
        <c:scaling>
          <c:orientation val="minMax"/>
        </c:scaling>
        <c:delete val="1"/>
        <c:axPos val="l"/>
        <c:numFmt formatCode="#,##0_ " sourceLinked="1"/>
        <c:majorTickMark val="out"/>
        <c:minorTickMark val="none"/>
        <c:tickLblPos val="nextTo"/>
        <c:crossAx val="579158400"/>
        <c:crosses val="autoZero"/>
        <c:crossBetween val="between"/>
        <c:dispUnits>
          <c:builtInUnit val="tenThousands"/>
          <c:dispUnitsLbl/>
        </c:dispUnits>
      </c:valAx>
    </c:plotArea>
    <c:legend>
      <c:legendPos val="b"/>
      <c:overlay val="0"/>
    </c:legend>
    <c:plotVisOnly val="1"/>
    <c:dispBlanksAs val="gap"/>
    <c:showDLblsOverMax val="0"/>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600"/>
            </a:pPr>
            <a:r>
              <a:rPr lang="ko-KR" sz="1600"/>
              <a:t>판매량</a:t>
            </a:r>
            <a:r>
              <a:rPr lang="en-US" sz="1600"/>
              <a:t>(</a:t>
            </a:r>
            <a:r>
              <a:rPr lang="ko-KR" sz="1600"/>
              <a:t>억원</a:t>
            </a:r>
            <a:r>
              <a:rPr lang="en-US" sz="1600"/>
              <a:t>)</a:t>
            </a:r>
            <a:endParaRPr lang="ko-KR" sz="1600"/>
          </a:p>
        </c:rich>
      </c:tx>
      <c:layout>
        <c:manualLayout>
          <c:xMode val="edge"/>
          <c:yMode val="edge"/>
          <c:x val="0.21267586693006132"/>
          <c:y val="1.016260162601626E-2"/>
        </c:manualLayout>
      </c:layout>
      <c:overlay val="1"/>
    </c:title>
    <c:autoTitleDeleted val="0"/>
    <c:plotArea>
      <c:layout>
        <c:manualLayout>
          <c:layoutTarget val="inner"/>
          <c:xMode val="edge"/>
          <c:yMode val="edge"/>
          <c:x val="4.5963421239011773E-2"/>
          <c:y val="0.11368366551837271"/>
          <c:w val="0.90641753114194057"/>
          <c:h val="0.77033659366797902"/>
        </c:manualLayout>
      </c:layout>
      <c:barChart>
        <c:barDir val="col"/>
        <c:grouping val="stacked"/>
        <c:varyColors val="0"/>
        <c:ser>
          <c:idx val="1"/>
          <c:order val="0"/>
          <c:tx>
            <c:strRef>
              <c:f>'21년경영목표'!$B$31</c:f>
              <c:strCache>
                <c:ptCount val="1"/>
                <c:pt idx="0">
                  <c:v>내수</c:v>
                </c:pt>
              </c:strCache>
            </c:strRef>
          </c:tx>
          <c:invertIfNegative val="0"/>
          <c:dLbls>
            <c:numFmt formatCode="#,##0_);[Red]\(#,##0\)" sourceLinked="0"/>
            <c:txPr>
              <a:bodyPr/>
              <a:lstStyle/>
              <a:p>
                <a:pPr>
                  <a:defRPr b="1"/>
                </a:pPr>
                <a:endParaRPr lang="ko-KR"/>
              </a:p>
            </c:txPr>
            <c:dLblPos val="ctr"/>
            <c:showLegendKey val="0"/>
            <c:showVal val="1"/>
            <c:showCatName val="0"/>
            <c:showSerName val="0"/>
            <c:showPercent val="0"/>
            <c:showBubbleSize val="0"/>
            <c:showLeaderLines val="0"/>
          </c:dLbls>
          <c:val>
            <c:numRef>
              <c:f>('21년경영목표'!$D$30,'21년경영목표'!$D$31,'21년경영목표'!$D$34)</c:f>
              <c:numCache>
                <c:formatCode>#,##0_ </c:formatCode>
                <c:ptCount val="3"/>
                <c:pt idx="0">
                  <c:v>80.599999999999994</c:v>
                </c:pt>
                <c:pt idx="1">
                  <c:v>776</c:v>
                </c:pt>
                <c:pt idx="2">
                  <c:v>2003.4374600000001</c:v>
                </c:pt>
              </c:numCache>
            </c:numRef>
          </c:val>
        </c:ser>
        <c:ser>
          <c:idx val="0"/>
          <c:order val="1"/>
          <c:tx>
            <c:strRef>
              <c:f>'21년경영목표'!$B$32</c:f>
              <c:strCache>
                <c:ptCount val="1"/>
                <c:pt idx="0">
                  <c:v>수출</c:v>
                </c:pt>
              </c:strCache>
            </c:strRef>
          </c:tx>
          <c:invertIfNegative val="0"/>
          <c:dLbls>
            <c:dLbl>
              <c:idx val="1"/>
              <c:layout>
                <c:manualLayout>
                  <c:x val="0"/>
                  <c:y val="-3.731935375456117E-2"/>
                </c:manualLayout>
              </c:layout>
              <c:showLegendKey val="0"/>
              <c:showVal val="1"/>
              <c:showCatName val="0"/>
              <c:showSerName val="0"/>
              <c:showPercent val="0"/>
              <c:showBubbleSize val="0"/>
            </c:dLbl>
            <c:dLbl>
              <c:idx val="2"/>
              <c:layout>
                <c:manualLayout>
                  <c:x val="0"/>
                  <c:y val="-0.11257902022917866"/>
                </c:manualLayout>
              </c:layout>
              <c:showLegendKey val="0"/>
              <c:showVal val="1"/>
              <c:showCatName val="0"/>
              <c:showSerName val="0"/>
              <c:showPercent val="0"/>
              <c:showBubbleSize val="0"/>
            </c:dLbl>
            <c:numFmt formatCode="#,##0_);[Red]\(#,##0\)" sourceLinked="0"/>
            <c:txPr>
              <a:bodyPr/>
              <a:lstStyle/>
              <a:p>
                <a:pPr>
                  <a:defRPr b="1"/>
                </a:pPr>
                <a:endParaRPr lang="ko-KR"/>
              </a:p>
            </c:txPr>
            <c:showLegendKey val="0"/>
            <c:showVal val="1"/>
            <c:showCatName val="0"/>
            <c:showSerName val="0"/>
            <c:showPercent val="0"/>
            <c:showBubbleSize val="0"/>
            <c:showLeaderLines val="0"/>
          </c:dLbls>
          <c:cat>
            <c:strRef>
              <c:f>('21년경영목표'!$A$30,'21년경영목표'!$A$31,'21년경영목표'!$A$34)</c:f>
              <c:strCache>
                <c:ptCount val="3"/>
                <c:pt idx="0">
                  <c:v>PO</c:v>
                </c:pt>
                <c:pt idx="1">
                  <c:v>GI</c:v>
                </c:pt>
                <c:pt idx="2">
                  <c:v>CL</c:v>
                </c:pt>
              </c:strCache>
            </c:strRef>
          </c:cat>
          <c:val>
            <c:numRef>
              <c:f>('21년경영목표'!$D$28,'21년경영목표'!$D$32,'21년경영목표'!$D$35)</c:f>
              <c:numCache>
                <c:formatCode>#,##0_ </c:formatCode>
                <c:ptCount val="3"/>
                <c:pt idx="1">
                  <c:v>125.28688150000001</c:v>
                </c:pt>
                <c:pt idx="2">
                  <c:v>714.73325</c:v>
                </c:pt>
              </c:numCache>
            </c:numRef>
          </c:val>
        </c:ser>
        <c:dLbls>
          <c:showLegendKey val="0"/>
          <c:showVal val="0"/>
          <c:showCatName val="0"/>
          <c:showSerName val="0"/>
          <c:showPercent val="0"/>
          <c:showBubbleSize val="0"/>
        </c:dLbls>
        <c:gapWidth val="150"/>
        <c:overlap val="100"/>
        <c:axId val="578818048"/>
        <c:axId val="578819584"/>
      </c:barChart>
      <c:catAx>
        <c:axId val="578818048"/>
        <c:scaling>
          <c:orientation val="minMax"/>
        </c:scaling>
        <c:delete val="0"/>
        <c:axPos val="b"/>
        <c:majorTickMark val="out"/>
        <c:minorTickMark val="none"/>
        <c:tickLblPos val="nextTo"/>
        <c:crossAx val="578819584"/>
        <c:crosses val="autoZero"/>
        <c:auto val="1"/>
        <c:lblAlgn val="ctr"/>
        <c:lblOffset val="100"/>
        <c:noMultiLvlLbl val="0"/>
      </c:catAx>
      <c:valAx>
        <c:axId val="578819584"/>
        <c:scaling>
          <c:orientation val="minMax"/>
        </c:scaling>
        <c:delete val="1"/>
        <c:axPos val="l"/>
        <c:numFmt formatCode="#,##0_ " sourceLinked="0"/>
        <c:majorTickMark val="out"/>
        <c:minorTickMark val="none"/>
        <c:tickLblPos val="nextTo"/>
        <c:crossAx val="57881804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600"/>
            </a:pPr>
            <a:r>
              <a:rPr lang="ko-KR" sz="1600"/>
              <a:t>영업이익</a:t>
            </a:r>
            <a:r>
              <a:rPr lang="en-US" sz="1600"/>
              <a:t>(</a:t>
            </a:r>
            <a:r>
              <a:rPr lang="ko-KR" sz="1600"/>
              <a:t>억원</a:t>
            </a:r>
            <a:r>
              <a:rPr lang="en-US" sz="1600"/>
              <a:t>)</a:t>
            </a:r>
            <a:endParaRPr lang="ko-KR" sz="1600"/>
          </a:p>
        </c:rich>
      </c:tx>
      <c:layout>
        <c:manualLayout>
          <c:xMode val="edge"/>
          <c:yMode val="edge"/>
          <c:x val="0.17734017788412493"/>
          <c:y val="1.016260162601626E-2"/>
        </c:manualLayout>
      </c:layout>
      <c:overlay val="1"/>
    </c:title>
    <c:autoTitleDeleted val="0"/>
    <c:plotArea>
      <c:layout>
        <c:manualLayout>
          <c:layoutTarget val="inner"/>
          <c:xMode val="edge"/>
          <c:yMode val="edge"/>
          <c:x val="4.5963421239011773E-2"/>
          <c:y val="0.11368366551837271"/>
          <c:w val="0.90641753114194057"/>
          <c:h val="0.77033659366797902"/>
        </c:manualLayout>
      </c:layout>
      <c:barChart>
        <c:barDir val="col"/>
        <c:grouping val="stacked"/>
        <c:varyColors val="0"/>
        <c:ser>
          <c:idx val="1"/>
          <c:order val="0"/>
          <c:tx>
            <c:strRef>
              <c:f>'21년경영목표'!$B$31</c:f>
              <c:strCache>
                <c:ptCount val="1"/>
                <c:pt idx="0">
                  <c:v>내수</c:v>
                </c:pt>
              </c:strCache>
            </c:strRef>
          </c:tx>
          <c:invertIfNegative val="0"/>
          <c:dLbls>
            <c:dLbl>
              <c:idx val="0"/>
              <c:layout>
                <c:manualLayout>
                  <c:x val="0"/>
                  <c:y val="-5.5555555555555552E-2"/>
                </c:manualLayout>
              </c:layout>
              <c:showLegendKey val="0"/>
              <c:showVal val="1"/>
              <c:showCatName val="0"/>
              <c:showSerName val="0"/>
              <c:showPercent val="0"/>
              <c:showBubbleSize val="0"/>
            </c:dLbl>
            <c:dLbl>
              <c:idx val="1"/>
              <c:layout>
                <c:manualLayout>
                  <c:x val="1.1778563015312132E-2"/>
                  <c:y val="-5.8434159144741052E-2"/>
                </c:manualLayout>
              </c:layout>
              <c:showLegendKey val="0"/>
              <c:showVal val="1"/>
              <c:showCatName val="0"/>
              <c:showSerName val="0"/>
              <c:showPercent val="0"/>
              <c:showBubbleSize val="0"/>
            </c:dLbl>
            <c:dLbl>
              <c:idx val="2"/>
              <c:layout>
                <c:manualLayout>
                  <c:x val="-5.8892815076560662E-3"/>
                  <c:y val="2.540650406504065E-3"/>
                </c:manualLayout>
              </c:layout>
              <c:showLegendKey val="0"/>
              <c:showVal val="1"/>
              <c:showCatName val="0"/>
              <c:showSerName val="0"/>
              <c:showPercent val="0"/>
              <c:showBubbleSize val="0"/>
            </c:dLbl>
            <c:numFmt formatCode="#,##0.0_ ;[Red]\-#,##0.0\ " sourceLinked="0"/>
            <c:txPr>
              <a:bodyPr/>
              <a:lstStyle/>
              <a:p>
                <a:pPr>
                  <a:defRPr b="1"/>
                </a:pPr>
                <a:endParaRPr lang="ko-KR"/>
              </a:p>
            </c:txPr>
            <c:showLegendKey val="0"/>
            <c:showVal val="1"/>
            <c:showCatName val="0"/>
            <c:showSerName val="0"/>
            <c:showPercent val="0"/>
            <c:showBubbleSize val="0"/>
            <c:showLeaderLines val="0"/>
          </c:dLbls>
          <c:val>
            <c:numRef>
              <c:f>('21년경영목표'!$E$30,'21년경영목표'!$E$31,'21년경영목표'!$E$34)</c:f>
              <c:numCache>
                <c:formatCode>0.0_ ;[Red]\-0.0\ </c:formatCode>
                <c:ptCount val="3"/>
                <c:pt idx="0">
                  <c:v>0.10067357989298295</c:v>
                </c:pt>
                <c:pt idx="1">
                  <c:v>-3.8395042869488161</c:v>
                </c:pt>
                <c:pt idx="2">
                  <c:v>105.82017398668923</c:v>
                </c:pt>
              </c:numCache>
            </c:numRef>
          </c:val>
        </c:ser>
        <c:ser>
          <c:idx val="0"/>
          <c:order val="1"/>
          <c:tx>
            <c:strRef>
              <c:f>'21년경영목표'!$B$32</c:f>
              <c:strCache>
                <c:ptCount val="1"/>
                <c:pt idx="0">
                  <c:v>수출</c:v>
                </c:pt>
              </c:strCache>
            </c:strRef>
          </c:tx>
          <c:invertIfNegative val="0"/>
          <c:dLbls>
            <c:dLbl>
              <c:idx val="1"/>
              <c:layout>
                <c:manualLayout>
                  <c:x val="0"/>
                  <c:y val="-3.9859804109852119E-2"/>
                </c:manualLayout>
              </c:layout>
              <c:showLegendKey val="0"/>
              <c:showVal val="1"/>
              <c:showCatName val="0"/>
              <c:showSerName val="0"/>
              <c:showPercent val="0"/>
              <c:showBubbleSize val="0"/>
            </c:dLbl>
            <c:dLbl>
              <c:idx val="2"/>
              <c:layout>
                <c:manualLayout>
                  <c:x val="5.8888177847025991E-3"/>
                  <c:y val="-6.1765611996671146E-2"/>
                </c:manualLayout>
              </c:layout>
              <c:showLegendKey val="0"/>
              <c:showVal val="1"/>
              <c:showCatName val="0"/>
              <c:showSerName val="0"/>
              <c:showPercent val="0"/>
              <c:showBubbleSize val="0"/>
            </c:dLbl>
            <c:numFmt formatCode="#,##0.0_ ;[Red]\-#,##0.0\ " sourceLinked="0"/>
            <c:txPr>
              <a:bodyPr/>
              <a:lstStyle/>
              <a:p>
                <a:pPr>
                  <a:defRPr b="1"/>
                </a:pPr>
                <a:endParaRPr lang="ko-KR"/>
              </a:p>
            </c:txPr>
            <c:showLegendKey val="0"/>
            <c:showVal val="1"/>
            <c:showCatName val="0"/>
            <c:showSerName val="0"/>
            <c:showPercent val="0"/>
            <c:showBubbleSize val="0"/>
            <c:showLeaderLines val="0"/>
          </c:dLbls>
          <c:cat>
            <c:strRef>
              <c:f>('21년경영목표'!$A$30,'21년경영목표'!$A$31,'21년경영목표'!$A$34)</c:f>
              <c:strCache>
                <c:ptCount val="3"/>
                <c:pt idx="0">
                  <c:v>PO</c:v>
                </c:pt>
                <c:pt idx="1">
                  <c:v>GI</c:v>
                </c:pt>
                <c:pt idx="2">
                  <c:v>CL</c:v>
                </c:pt>
              </c:strCache>
            </c:strRef>
          </c:cat>
          <c:val>
            <c:numRef>
              <c:f>('21년경영목표'!$E$28,'21년경영목표'!$E$32,'21년경영목표'!$E$35)</c:f>
              <c:numCache>
                <c:formatCode>0.0_ ;[Red]\-0.0\ </c:formatCode>
                <c:ptCount val="3"/>
                <c:pt idx="1">
                  <c:v>0.26662121409823714</c:v>
                </c:pt>
                <c:pt idx="2">
                  <c:v>-2.3453526923142936</c:v>
                </c:pt>
              </c:numCache>
            </c:numRef>
          </c:val>
        </c:ser>
        <c:dLbls>
          <c:showLegendKey val="0"/>
          <c:showVal val="0"/>
          <c:showCatName val="0"/>
          <c:showSerName val="0"/>
          <c:showPercent val="0"/>
          <c:showBubbleSize val="0"/>
        </c:dLbls>
        <c:gapWidth val="150"/>
        <c:overlap val="100"/>
        <c:axId val="578841600"/>
        <c:axId val="578859776"/>
      </c:barChart>
      <c:catAx>
        <c:axId val="578841600"/>
        <c:scaling>
          <c:orientation val="minMax"/>
        </c:scaling>
        <c:delete val="0"/>
        <c:axPos val="b"/>
        <c:majorTickMark val="out"/>
        <c:minorTickMark val="none"/>
        <c:tickLblPos val="nextTo"/>
        <c:crossAx val="578859776"/>
        <c:crosses val="autoZero"/>
        <c:auto val="1"/>
        <c:lblAlgn val="ctr"/>
        <c:lblOffset val="100"/>
        <c:noMultiLvlLbl val="0"/>
      </c:catAx>
      <c:valAx>
        <c:axId val="578859776"/>
        <c:scaling>
          <c:orientation val="minMax"/>
        </c:scaling>
        <c:delete val="1"/>
        <c:axPos val="l"/>
        <c:numFmt formatCode="#,##0_ " sourceLinked="0"/>
        <c:majorTickMark val="out"/>
        <c:minorTickMark val="none"/>
        <c:tickLblPos val="nextTo"/>
        <c:crossAx val="57884160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600"/>
            </a:pPr>
            <a:r>
              <a:rPr lang="ko-KR" sz="1600"/>
              <a:t>영업이익율</a:t>
            </a:r>
            <a:r>
              <a:rPr lang="en-US" sz="1600"/>
              <a:t>(%)</a:t>
            </a:r>
            <a:endParaRPr lang="ko-KR" sz="1600"/>
          </a:p>
        </c:rich>
      </c:tx>
      <c:layout>
        <c:manualLayout>
          <c:xMode val="edge"/>
          <c:yMode val="edge"/>
          <c:x val="0.1655616148688128"/>
          <c:y val="1.2703252032520325E-2"/>
        </c:manualLayout>
      </c:layout>
      <c:overlay val="1"/>
    </c:title>
    <c:autoTitleDeleted val="0"/>
    <c:plotArea>
      <c:layout>
        <c:manualLayout>
          <c:layoutTarget val="inner"/>
          <c:xMode val="edge"/>
          <c:yMode val="edge"/>
          <c:x val="4.5963421239011773E-2"/>
          <c:y val="0.11368366551837271"/>
          <c:w val="0.90641753114194057"/>
          <c:h val="0.77033659366797902"/>
        </c:manualLayout>
      </c:layout>
      <c:barChart>
        <c:barDir val="col"/>
        <c:grouping val="stacked"/>
        <c:varyColors val="0"/>
        <c:ser>
          <c:idx val="1"/>
          <c:order val="0"/>
          <c:tx>
            <c:strRef>
              <c:f>'21년경영목표'!$B$31</c:f>
              <c:strCache>
                <c:ptCount val="1"/>
                <c:pt idx="0">
                  <c:v>내수</c:v>
                </c:pt>
              </c:strCache>
            </c:strRef>
          </c:tx>
          <c:invertIfNegative val="0"/>
          <c:dLbls>
            <c:dLbl>
              <c:idx val="0"/>
              <c:layout>
                <c:manualLayout>
                  <c:x val="2.6992228426897511E-17"/>
                  <c:y val="-3.7770669291338675E-2"/>
                </c:manualLayout>
              </c:layout>
              <c:showLegendKey val="0"/>
              <c:showVal val="1"/>
              <c:showCatName val="0"/>
              <c:showSerName val="0"/>
              <c:showPercent val="0"/>
              <c:showBubbleSize val="0"/>
            </c:dLbl>
            <c:dLbl>
              <c:idx val="1"/>
              <c:layout>
                <c:manualLayout>
                  <c:x val="1.1778563015312132E-2"/>
                  <c:y val="-5.0812407976441966E-2"/>
                </c:manualLayout>
              </c:layout>
              <c:showLegendKey val="0"/>
              <c:showVal val="1"/>
              <c:showCatName val="0"/>
              <c:showSerName val="0"/>
              <c:showPercent val="0"/>
              <c:showBubbleSize val="0"/>
            </c:dLbl>
            <c:dLbl>
              <c:idx val="2"/>
              <c:layout>
                <c:manualLayout>
                  <c:x val="1.0796891370759004E-16"/>
                  <c:y val="-1.2703252032520325E-2"/>
                </c:manualLayout>
              </c:layout>
              <c:showLegendKey val="0"/>
              <c:showVal val="1"/>
              <c:showCatName val="0"/>
              <c:showSerName val="0"/>
              <c:showPercent val="0"/>
              <c:showBubbleSize val="0"/>
            </c:dLbl>
            <c:numFmt formatCode="#,##0.0_ ;[Red]\-#,##0.0\ " sourceLinked="0"/>
            <c:txPr>
              <a:bodyPr/>
              <a:lstStyle/>
              <a:p>
                <a:pPr>
                  <a:defRPr b="1"/>
                </a:pPr>
                <a:endParaRPr lang="ko-KR"/>
              </a:p>
            </c:txPr>
            <c:showLegendKey val="0"/>
            <c:showVal val="1"/>
            <c:showCatName val="0"/>
            <c:showSerName val="0"/>
            <c:showPercent val="0"/>
            <c:showBubbleSize val="0"/>
            <c:showLeaderLines val="0"/>
          </c:dLbls>
          <c:val>
            <c:numRef>
              <c:f>('21년경영목표'!$F$30,'21년경영목표'!$F$31,'21년경영목표'!$F$34)</c:f>
              <c:numCache>
                <c:formatCode>0.0_ ;[Red]\-0.0\ </c:formatCode>
                <c:ptCount val="3"/>
                <c:pt idx="0">
                  <c:v>0.12490518597144287</c:v>
                </c:pt>
                <c:pt idx="1">
                  <c:v>-0.49478148027690927</c:v>
                </c:pt>
                <c:pt idx="2">
                  <c:v>5.2819304869486281</c:v>
                </c:pt>
              </c:numCache>
            </c:numRef>
          </c:val>
        </c:ser>
        <c:ser>
          <c:idx val="0"/>
          <c:order val="1"/>
          <c:tx>
            <c:strRef>
              <c:f>'21년경영목표'!$B$32</c:f>
              <c:strCache>
                <c:ptCount val="1"/>
                <c:pt idx="0">
                  <c:v>수출</c:v>
                </c:pt>
              </c:strCache>
            </c:strRef>
          </c:tx>
          <c:invertIfNegative val="0"/>
          <c:dLbls>
            <c:dLbl>
              <c:idx val="1"/>
              <c:layout>
                <c:manualLayout>
                  <c:x val="0"/>
                  <c:y val="-3.9859404007425901E-2"/>
                </c:manualLayout>
              </c:layout>
              <c:numFmt formatCode="#,##0.0_ ;[Red]\-#,##0.0\ " sourceLinked="0"/>
              <c:spPr/>
              <c:txPr>
                <a:bodyPr/>
                <a:lstStyle/>
                <a:p>
                  <a:pPr>
                    <a:defRPr b="1"/>
                  </a:pPr>
                  <a:endParaRPr lang="ko-KR"/>
                </a:p>
              </c:txPr>
              <c:showLegendKey val="0"/>
              <c:showVal val="1"/>
              <c:showCatName val="0"/>
              <c:showSerName val="0"/>
              <c:showPercent val="0"/>
              <c:showBubbleSize val="0"/>
            </c:dLbl>
            <c:dLbl>
              <c:idx val="2"/>
              <c:layout>
                <c:manualLayout>
                  <c:x val="5.8892815076560662E-3"/>
                  <c:y val="-5.4143460725945843E-2"/>
                </c:manualLayout>
              </c:layout>
              <c:numFmt formatCode="#,##0.0_ ;[Red]\-#,##0.0\ " sourceLinked="0"/>
              <c:spPr/>
              <c:txPr>
                <a:bodyPr/>
                <a:lstStyle/>
                <a:p>
                  <a:pPr>
                    <a:defRPr b="1"/>
                  </a:pPr>
                  <a:endParaRPr lang="ko-KR"/>
                </a:p>
              </c:txPr>
              <c:showLegendKey val="0"/>
              <c:showVal val="1"/>
              <c:showCatName val="0"/>
              <c:showSerName val="0"/>
              <c:showPercent val="0"/>
              <c:showBubbleSize val="0"/>
            </c:dLbl>
            <c:numFmt formatCode="#,##0_ ;[Red]\-#,##0\ " sourceLinked="0"/>
            <c:txPr>
              <a:bodyPr/>
              <a:lstStyle/>
              <a:p>
                <a:pPr>
                  <a:defRPr b="1"/>
                </a:pPr>
                <a:endParaRPr lang="ko-KR"/>
              </a:p>
            </c:txPr>
            <c:showLegendKey val="0"/>
            <c:showVal val="1"/>
            <c:showCatName val="0"/>
            <c:showSerName val="0"/>
            <c:showPercent val="0"/>
            <c:showBubbleSize val="0"/>
            <c:showLeaderLines val="0"/>
          </c:dLbls>
          <c:cat>
            <c:strRef>
              <c:f>('21년경영목표'!$A$30,'21년경영목표'!$A$31,'21년경영목표'!$A$34)</c:f>
              <c:strCache>
                <c:ptCount val="3"/>
                <c:pt idx="0">
                  <c:v>PO</c:v>
                </c:pt>
                <c:pt idx="1">
                  <c:v>GI</c:v>
                </c:pt>
                <c:pt idx="2">
                  <c:v>CL</c:v>
                </c:pt>
              </c:strCache>
            </c:strRef>
          </c:cat>
          <c:val>
            <c:numRef>
              <c:f>('21년경영목표'!$F$28,'21년경영목표'!$F$32,'21년경영목표'!$F$35)</c:f>
              <c:numCache>
                <c:formatCode>0.0_ ;[Red]\-0.0\ </c:formatCode>
                <c:ptCount val="3"/>
                <c:pt idx="1">
                  <c:v>0.21280856455688626</c:v>
                </c:pt>
                <c:pt idx="2">
                  <c:v>-0.32814377843961978</c:v>
                </c:pt>
              </c:numCache>
            </c:numRef>
          </c:val>
        </c:ser>
        <c:dLbls>
          <c:showLegendKey val="0"/>
          <c:showVal val="0"/>
          <c:showCatName val="0"/>
          <c:showSerName val="0"/>
          <c:showPercent val="0"/>
          <c:showBubbleSize val="0"/>
        </c:dLbls>
        <c:gapWidth val="150"/>
        <c:overlap val="100"/>
        <c:axId val="578890752"/>
        <c:axId val="578908928"/>
      </c:barChart>
      <c:catAx>
        <c:axId val="578890752"/>
        <c:scaling>
          <c:orientation val="minMax"/>
        </c:scaling>
        <c:delete val="0"/>
        <c:axPos val="b"/>
        <c:majorTickMark val="out"/>
        <c:minorTickMark val="none"/>
        <c:tickLblPos val="nextTo"/>
        <c:crossAx val="578908928"/>
        <c:crosses val="autoZero"/>
        <c:auto val="1"/>
        <c:lblAlgn val="ctr"/>
        <c:lblOffset val="100"/>
        <c:noMultiLvlLbl val="0"/>
      </c:catAx>
      <c:valAx>
        <c:axId val="578908928"/>
        <c:scaling>
          <c:orientation val="minMax"/>
        </c:scaling>
        <c:delete val="1"/>
        <c:axPos val="l"/>
        <c:numFmt formatCode="0_ ;[Red]\-0\ " sourceLinked="0"/>
        <c:majorTickMark val="out"/>
        <c:minorTickMark val="none"/>
        <c:tickLblPos val="nextTo"/>
        <c:crossAx val="57889075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sz="1300"/>
            </a:pPr>
            <a:r>
              <a:rPr lang="en-US" sz="1300"/>
              <a:t>21</a:t>
            </a:r>
            <a:r>
              <a:rPr lang="ko-KR" sz="1300"/>
              <a:t>년 가공비</a:t>
            </a:r>
            <a:r>
              <a:rPr lang="en-US" sz="1300"/>
              <a:t>(</a:t>
            </a:r>
            <a:r>
              <a:rPr lang="ko-KR" sz="1300"/>
              <a:t>원</a:t>
            </a:r>
            <a:r>
              <a:rPr lang="en-US" sz="1300"/>
              <a:t>/</a:t>
            </a:r>
            <a:r>
              <a:rPr lang="ko-KR" sz="1300"/>
              <a:t>톤</a:t>
            </a:r>
            <a:r>
              <a:rPr lang="en-US" sz="1300"/>
              <a:t>)</a:t>
            </a:r>
            <a:endParaRPr lang="ko-KR" sz="1300"/>
          </a:p>
        </c:rich>
      </c:tx>
      <c:layout>
        <c:manualLayout>
          <c:xMode val="edge"/>
          <c:yMode val="edge"/>
          <c:x val="0.11844758909853249"/>
          <c:y val="2.540650406504065E-2"/>
        </c:manualLayout>
      </c:layout>
      <c:overlay val="1"/>
    </c:title>
    <c:autoTitleDeleted val="0"/>
    <c:plotArea>
      <c:layout>
        <c:manualLayout>
          <c:layoutTarget val="inner"/>
          <c:xMode val="edge"/>
          <c:yMode val="edge"/>
          <c:x val="4.5963421239011773E-2"/>
          <c:y val="0.11622435343447921"/>
          <c:w val="0.90641753114194057"/>
          <c:h val="0.76779595576467574"/>
        </c:manualLayout>
      </c:layout>
      <c:barChart>
        <c:barDir val="col"/>
        <c:grouping val="stacked"/>
        <c:varyColors val="0"/>
        <c:ser>
          <c:idx val="1"/>
          <c:order val="0"/>
          <c:tx>
            <c:strRef>
              <c:f>'21년경영목표'!$J$30:$J$34</c:f>
              <c:strCache>
                <c:ptCount val="1"/>
                <c:pt idx="0">
                  <c:v>17,200  21,013  55,151  65,152  195,000 </c:v>
                </c:pt>
              </c:strCache>
            </c:strRef>
          </c:tx>
          <c:invertIfNegative val="0"/>
          <c:dPt>
            <c:idx val="1"/>
            <c:invertIfNegative val="0"/>
            <c:bubble3D val="0"/>
            <c:spPr>
              <a:solidFill>
                <a:schemeClr val="accent6"/>
              </a:solidFill>
            </c:spPr>
          </c:dPt>
          <c:dPt>
            <c:idx val="2"/>
            <c:invertIfNegative val="0"/>
            <c:bubble3D val="0"/>
            <c:spPr>
              <a:solidFill>
                <a:srgbClr val="FFFF00"/>
              </a:solidFill>
            </c:spPr>
          </c:dPt>
          <c:dPt>
            <c:idx val="3"/>
            <c:invertIfNegative val="0"/>
            <c:bubble3D val="0"/>
            <c:spPr>
              <a:solidFill>
                <a:srgbClr val="00B050"/>
              </a:solidFill>
            </c:spPr>
          </c:dPt>
          <c:dPt>
            <c:idx val="4"/>
            <c:invertIfNegative val="0"/>
            <c:bubble3D val="0"/>
            <c:spPr>
              <a:solidFill>
                <a:srgbClr val="0000FF"/>
              </a:solidFill>
            </c:spPr>
          </c:dPt>
          <c:dLbls>
            <c:dLbl>
              <c:idx val="0"/>
              <c:layout>
                <c:manualLayout>
                  <c:x val="0"/>
                  <c:y val="-4.8306166378592828E-2"/>
                </c:manualLayout>
              </c:layout>
              <c:dLblPos val="ctr"/>
              <c:showLegendKey val="0"/>
              <c:showVal val="1"/>
              <c:showCatName val="0"/>
              <c:showSerName val="0"/>
              <c:showPercent val="0"/>
              <c:showBubbleSize val="0"/>
            </c:dLbl>
            <c:dLbl>
              <c:idx val="1"/>
              <c:layout>
                <c:manualLayout>
                  <c:x val="5.8892815076560393E-3"/>
                  <c:y val="-5.4161265283912775E-2"/>
                </c:manualLayout>
              </c:layout>
              <c:dLblPos val="ctr"/>
              <c:showLegendKey val="0"/>
              <c:showVal val="1"/>
              <c:showCatName val="0"/>
              <c:showSerName val="0"/>
              <c:showPercent val="0"/>
              <c:showBubbleSize val="0"/>
            </c:dLbl>
            <c:dLbl>
              <c:idx val="2"/>
              <c:layout>
                <c:manualLayout>
                  <c:x val="0"/>
                  <c:y val="-0.10658328532104219"/>
                </c:manualLayout>
              </c:layout>
              <c:dLblPos val="ctr"/>
              <c:showLegendKey val="0"/>
              <c:showVal val="1"/>
              <c:showCatName val="0"/>
              <c:showSerName val="0"/>
              <c:showPercent val="0"/>
              <c:showBubbleSize val="0"/>
            </c:dLbl>
            <c:dLbl>
              <c:idx val="3"/>
              <c:layout>
                <c:manualLayout>
                  <c:x val="5.8892815076560662E-3"/>
                  <c:y val="-0.12370906952179758"/>
                </c:manualLayout>
              </c:layout>
              <c:dLblPos val="ctr"/>
              <c:showLegendKey val="0"/>
              <c:showVal val="1"/>
              <c:showCatName val="0"/>
              <c:showSerName val="0"/>
              <c:showPercent val="0"/>
              <c:showBubbleSize val="0"/>
            </c:dLbl>
            <c:dLbl>
              <c:idx val="4"/>
              <c:layout>
                <c:manualLayout>
                  <c:x val="0"/>
                  <c:y val="-0.3147175676973305"/>
                </c:manualLayout>
              </c:layout>
              <c:dLblPos val="ctr"/>
              <c:showLegendKey val="0"/>
              <c:showVal val="1"/>
              <c:showCatName val="0"/>
              <c:showSerName val="0"/>
              <c:showPercent val="0"/>
              <c:showBubbleSize val="0"/>
            </c:dLbl>
            <c:txPr>
              <a:bodyPr/>
              <a:lstStyle/>
              <a:p>
                <a:pPr>
                  <a:defRPr sz="700" b="1"/>
                </a:pPr>
                <a:endParaRPr lang="ko-KR"/>
              </a:p>
            </c:txPr>
            <c:dLblPos val="inEnd"/>
            <c:showLegendKey val="0"/>
            <c:showVal val="1"/>
            <c:showCatName val="0"/>
            <c:showSerName val="0"/>
            <c:showPercent val="0"/>
            <c:showBubbleSize val="0"/>
            <c:showLeaderLines val="0"/>
          </c:dLbls>
          <c:cat>
            <c:strRef>
              <c:f>'21년경영목표'!$H$30:$H$34</c:f>
              <c:strCache>
                <c:ptCount val="5"/>
                <c:pt idx="0">
                  <c:v>CPL</c:v>
                </c:pt>
                <c:pt idx="1">
                  <c:v>CRM</c:v>
                </c:pt>
                <c:pt idx="2">
                  <c:v>CGL</c:v>
                </c:pt>
                <c:pt idx="3">
                  <c:v>1CCL</c:v>
                </c:pt>
                <c:pt idx="4">
                  <c:v>2CCL</c:v>
                </c:pt>
              </c:strCache>
            </c:strRef>
          </c:cat>
          <c:val>
            <c:numRef>
              <c:f>'21년경영목표'!$J$30:$J$34</c:f>
              <c:numCache>
                <c:formatCode>#,##0_ </c:formatCode>
                <c:ptCount val="5"/>
                <c:pt idx="0">
                  <c:v>17200</c:v>
                </c:pt>
                <c:pt idx="1">
                  <c:v>21013</c:v>
                </c:pt>
                <c:pt idx="2">
                  <c:v>55151</c:v>
                </c:pt>
                <c:pt idx="3">
                  <c:v>65152</c:v>
                </c:pt>
                <c:pt idx="4">
                  <c:v>195000</c:v>
                </c:pt>
              </c:numCache>
            </c:numRef>
          </c:val>
        </c:ser>
        <c:dLbls>
          <c:showLegendKey val="0"/>
          <c:showVal val="0"/>
          <c:showCatName val="0"/>
          <c:showSerName val="0"/>
          <c:showPercent val="0"/>
          <c:showBubbleSize val="0"/>
        </c:dLbls>
        <c:gapWidth val="72"/>
        <c:overlap val="100"/>
        <c:axId val="578943616"/>
        <c:axId val="578945408"/>
      </c:barChart>
      <c:catAx>
        <c:axId val="578943616"/>
        <c:scaling>
          <c:orientation val="minMax"/>
        </c:scaling>
        <c:delete val="0"/>
        <c:axPos val="b"/>
        <c:majorTickMark val="out"/>
        <c:minorTickMark val="none"/>
        <c:tickLblPos val="nextTo"/>
        <c:crossAx val="578945408"/>
        <c:crosses val="autoZero"/>
        <c:auto val="1"/>
        <c:lblAlgn val="ctr"/>
        <c:lblOffset val="100"/>
        <c:noMultiLvlLbl val="0"/>
      </c:catAx>
      <c:valAx>
        <c:axId val="578945408"/>
        <c:scaling>
          <c:orientation val="minMax"/>
        </c:scaling>
        <c:delete val="1"/>
        <c:axPos val="l"/>
        <c:numFmt formatCode="#,##0_ " sourceLinked="1"/>
        <c:majorTickMark val="out"/>
        <c:minorTickMark val="none"/>
        <c:tickLblPos val="nextTo"/>
        <c:crossAx val="57894361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18" Type="http://schemas.openxmlformats.org/officeDocument/2006/relationships/chart" Target="../charts/chart26.xml"/><Relationship Id="rId3" Type="http://schemas.openxmlformats.org/officeDocument/2006/relationships/chart" Target="../charts/chart11.xml"/><Relationship Id="rId21" Type="http://schemas.openxmlformats.org/officeDocument/2006/relationships/chart" Target="../charts/chart29.xml"/><Relationship Id="rId7" Type="http://schemas.openxmlformats.org/officeDocument/2006/relationships/chart" Target="../charts/chart15.xml"/><Relationship Id="rId12" Type="http://schemas.openxmlformats.org/officeDocument/2006/relationships/chart" Target="../charts/chart20.xml"/><Relationship Id="rId17" Type="http://schemas.openxmlformats.org/officeDocument/2006/relationships/chart" Target="../charts/chart25.xml"/><Relationship Id="rId25" Type="http://schemas.openxmlformats.org/officeDocument/2006/relationships/chart" Target="../charts/chart33.xml"/><Relationship Id="rId2" Type="http://schemas.openxmlformats.org/officeDocument/2006/relationships/chart" Target="../charts/chart10.xml"/><Relationship Id="rId16" Type="http://schemas.openxmlformats.org/officeDocument/2006/relationships/chart" Target="../charts/chart24.xml"/><Relationship Id="rId20" Type="http://schemas.openxmlformats.org/officeDocument/2006/relationships/chart" Target="../charts/chart28.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24" Type="http://schemas.openxmlformats.org/officeDocument/2006/relationships/chart" Target="../charts/chart32.xml"/><Relationship Id="rId5" Type="http://schemas.openxmlformats.org/officeDocument/2006/relationships/chart" Target="../charts/chart13.xml"/><Relationship Id="rId15" Type="http://schemas.openxmlformats.org/officeDocument/2006/relationships/chart" Target="../charts/chart23.xml"/><Relationship Id="rId23" Type="http://schemas.openxmlformats.org/officeDocument/2006/relationships/chart" Target="../charts/chart31.xml"/><Relationship Id="rId10" Type="http://schemas.openxmlformats.org/officeDocument/2006/relationships/chart" Target="../charts/chart18.xml"/><Relationship Id="rId19" Type="http://schemas.openxmlformats.org/officeDocument/2006/relationships/chart" Target="../charts/chart27.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chart" Target="../charts/chart22.xml"/><Relationship Id="rId22" Type="http://schemas.openxmlformats.org/officeDocument/2006/relationships/chart" Target="../charts/chart3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41.xml"/><Relationship Id="rId13" Type="http://schemas.openxmlformats.org/officeDocument/2006/relationships/chart" Target="../charts/chart46.xml"/><Relationship Id="rId18" Type="http://schemas.openxmlformats.org/officeDocument/2006/relationships/chart" Target="../charts/chart51.xml"/><Relationship Id="rId26" Type="http://schemas.openxmlformats.org/officeDocument/2006/relationships/chart" Target="../charts/chart59.xml"/><Relationship Id="rId3" Type="http://schemas.openxmlformats.org/officeDocument/2006/relationships/chart" Target="../charts/chart36.xml"/><Relationship Id="rId21" Type="http://schemas.openxmlformats.org/officeDocument/2006/relationships/chart" Target="../charts/chart54.xml"/><Relationship Id="rId7" Type="http://schemas.openxmlformats.org/officeDocument/2006/relationships/chart" Target="../charts/chart40.xml"/><Relationship Id="rId12" Type="http://schemas.openxmlformats.org/officeDocument/2006/relationships/chart" Target="../charts/chart45.xml"/><Relationship Id="rId17" Type="http://schemas.openxmlformats.org/officeDocument/2006/relationships/chart" Target="../charts/chart50.xml"/><Relationship Id="rId25" Type="http://schemas.openxmlformats.org/officeDocument/2006/relationships/chart" Target="../charts/chart58.xml"/><Relationship Id="rId2" Type="http://schemas.openxmlformats.org/officeDocument/2006/relationships/chart" Target="../charts/chart35.xml"/><Relationship Id="rId16" Type="http://schemas.openxmlformats.org/officeDocument/2006/relationships/chart" Target="../charts/chart49.xml"/><Relationship Id="rId20" Type="http://schemas.openxmlformats.org/officeDocument/2006/relationships/chart" Target="../charts/chart53.xml"/><Relationship Id="rId1" Type="http://schemas.openxmlformats.org/officeDocument/2006/relationships/chart" Target="../charts/chart34.xml"/><Relationship Id="rId6" Type="http://schemas.openxmlformats.org/officeDocument/2006/relationships/chart" Target="../charts/chart39.xml"/><Relationship Id="rId11" Type="http://schemas.openxmlformats.org/officeDocument/2006/relationships/chart" Target="../charts/chart44.xml"/><Relationship Id="rId24" Type="http://schemas.openxmlformats.org/officeDocument/2006/relationships/chart" Target="../charts/chart57.xml"/><Relationship Id="rId5" Type="http://schemas.openxmlformats.org/officeDocument/2006/relationships/chart" Target="../charts/chart38.xml"/><Relationship Id="rId15" Type="http://schemas.openxmlformats.org/officeDocument/2006/relationships/chart" Target="../charts/chart48.xml"/><Relationship Id="rId23" Type="http://schemas.openxmlformats.org/officeDocument/2006/relationships/chart" Target="../charts/chart56.xml"/><Relationship Id="rId10" Type="http://schemas.openxmlformats.org/officeDocument/2006/relationships/chart" Target="../charts/chart43.xml"/><Relationship Id="rId19" Type="http://schemas.openxmlformats.org/officeDocument/2006/relationships/chart" Target="../charts/chart52.xml"/><Relationship Id="rId4" Type="http://schemas.openxmlformats.org/officeDocument/2006/relationships/chart" Target="../charts/chart37.xml"/><Relationship Id="rId9" Type="http://schemas.openxmlformats.org/officeDocument/2006/relationships/chart" Target="../charts/chart42.xml"/><Relationship Id="rId14" Type="http://schemas.openxmlformats.org/officeDocument/2006/relationships/chart" Target="../charts/chart47.xml"/><Relationship Id="rId22" Type="http://schemas.openxmlformats.org/officeDocument/2006/relationships/chart" Target="../charts/chart55.xml"/><Relationship Id="rId27" Type="http://schemas.openxmlformats.org/officeDocument/2006/relationships/chart" Target="../charts/chart60.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70.xml"/><Relationship Id="rId3" Type="http://schemas.openxmlformats.org/officeDocument/2006/relationships/chart" Target="../charts/chart65.xml"/><Relationship Id="rId7" Type="http://schemas.openxmlformats.org/officeDocument/2006/relationships/chart" Target="../charts/chart69.xml"/><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chart" Target="../charts/chart68.xml"/><Relationship Id="rId5" Type="http://schemas.openxmlformats.org/officeDocument/2006/relationships/chart" Target="../charts/chart67.xml"/><Relationship Id="rId10" Type="http://schemas.openxmlformats.org/officeDocument/2006/relationships/chart" Target="../charts/chart72.xml"/><Relationship Id="rId4" Type="http://schemas.openxmlformats.org/officeDocument/2006/relationships/chart" Target="../charts/chart66.xml"/><Relationship Id="rId9" Type="http://schemas.openxmlformats.org/officeDocument/2006/relationships/chart" Target="../charts/chart71.xml"/></Relationships>
</file>

<file path=xl/drawings/drawing1.xml><?xml version="1.0" encoding="utf-8"?>
<xdr:wsDr xmlns:xdr="http://schemas.openxmlformats.org/drawingml/2006/spreadsheetDrawing" xmlns:a="http://schemas.openxmlformats.org/drawingml/2006/main">
  <xdr:twoCellAnchor>
    <xdr:from>
      <xdr:col>23</xdr:col>
      <xdr:colOff>0</xdr:colOff>
      <xdr:row>27</xdr:row>
      <xdr:rowOff>0</xdr:rowOff>
    </xdr:from>
    <xdr:to>
      <xdr:col>29</xdr:col>
      <xdr:colOff>548640</xdr:colOff>
      <xdr:row>39</xdr:row>
      <xdr:rowOff>76200</xdr:rowOff>
    </xdr:to>
    <xdr:graphicFrame macro="">
      <xdr:nvGraphicFramePr>
        <xdr:cNvPr id="3" name="차트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39</xdr:row>
      <xdr:rowOff>129540</xdr:rowOff>
    </xdr:from>
    <xdr:to>
      <xdr:col>29</xdr:col>
      <xdr:colOff>548640</xdr:colOff>
      <xdr:row>51</xdr:row>
      <xdr:rowOff>205740</xdr:rowOff>
    </xdr:to>
    <xdr:graphicFrame macro="">
      <xdr:nvGraphicFramePr>
        <xdr:cNvPr id="4" name="차트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13</xdr:row>
      <xdr:rowOff>796290</xdr:rowOff>
    </xdr:from>
    <xdr:to>
      <xdr:col>29</xdr:col>
      <xdr:colOff>548640</xdr:colOff>
      <xdr:row>26</xdr:row>
      <xdr:rowOff>125730</xdr:rowOff>
    </xdr:to>
    <xdr:grpSp>
      <xdr:nvGrpSpPr>
        <xdr:cNvPr id="8" name="그룹 7"/>
        <xdr:cNvGrpSpPr/>
      </xdr:nvGrpSpPr>
      <xdr:grpSpPr>
        <a:xfrm>
          <a:off x="19895820" y="7623810"/>
          <a:ext cx="4572000" cy="2636520"/>
          <a:chOff x="17236440" y="7402830"/>
          <a:chExt cx="4572000" cy="2743200"/>
        </a:xfrm>
      </xdr:grpSpPr>
      <xdr:graphicFrame macro="">
        <xdr:nvGraphicFramePr>
          <xdr:cNvPr id="2" name="차트 1"/>
          <xdr:cNvGraphicFramePr/>
        </xdr:nvGraphicFramePr>
        <xdr:xfrm>
          <a:off x="17236440" y="7402830"/>
          <a:ext cx="4572000" cy="27432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5" name="TextBox 4"/>
          <xdr:cNvSpPr txBox="1"/>
        </xdr:nvSpPr>
        <xdr:spPr>
          <a:xfrm>
            <a:off x="17244060" y="7459980"/>
            <a:ext cx="403860" cy="205740"/>
          </a:xfrm>
          <a:prstGeom prst="rect">
            <a:avLst/>
          </a:prstGeom>
          <a:solidFill>
            <a:schemeClr val="lt1"/>
          </a:solidFill>
          <a:ln w="31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900"/>
              <a:t>(</a:t>
            </a:r>
            <a:r>
              <a:rPr lang="ko-KR" altLang="en-US" sz="900"/>
              <a:t>톤</a:t>
            </a:r>
            <a:r>
              <a:rPr lang="en-US" altLang="ko-KR" sz="900"/>
              <a:t>)</a:t>
            </a:r>
            <a:endParaRPr lang="ko-KR" altLang="en-US" sz="900"/>
          </a:p>
        </xdr:txBody>
      </xdr:sp>
    </xdr:grpSp>
    <xdr:clientData/>
  </xdr:twoCellAnchor>
  <xdr:twoCellAnchor>
    <xdr:from>
      <xdr:col>23</xdr:col>
      <xdr:colOff>0</xdr:colOff>
      <xdr:row>52</xdr:row>
      <xdr:rowOff>106680</xdr:rowOff>
    </xdr:from>
    <xdr:to>
      <xdr:col>29</xdr:col>
      <xdr:colOff>548640</xdr:colOff>
      <xdr:row>64</xdr:row>
      <xdr:rowOff>175260</xdr:rowOff>
    </xdr:to>
    <xdr:graphicFrame macro="">
      <xdr:nvGraphicFramePr>
        <xdr:cNvPr id="9" name="차트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65</xdr:row>
      <xdr:rowOff>68580</xdr:rowOff>
    </xdr:from>
    <xdr:to>
      <xdr:col>29</xdr:col>
      <xdr:colOff>548640</xdr:colOff>
      <xdr:row>77</xdr:row>
      <xdr:rowOff>144780</xdr:rowOff>
    </xdr:to>
    <xdr:graphicFrame macro="">
      <xdr:nvGraphicFramePr>
        <xdr:cNvPr id="10" name="차트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78</xdr:row>
      <xdr:rowOff>22860</xdr:rowOff>
    </xdr:from>
    <xdr:to>
      <xdr:col>29</xdr:col>
      <xdr:colOff>548640</xdr:colOff>
      <xdr:row>90</xdr:row>
      <xdr:rowOff>99060</xdr:rowOff>
    </xdr:to>
    <xdr:graphicFrame macro="">
      <xdr:nvGraphicFramePr>
        <xdr:cNvPr id="11" name="차트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91</xdr:row>
      <xdr:rowOff>45720</xdr:rowOff>
    </xdr:from>
    <xdr:to>
      <xdr:col>29</xdr:col>
      <xdr:colOff>548640</xdr:colOff>
      <xdr:row>105</xdr:row>
      <xdr:rowOff>60960</xdr:rowOff>
    </xdr:to>
    <xdr:graphicFrame macro="">
      <xdr:nvGraphicFramePr>
        <xdr:cNvPr id="12" name="차트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105</xdr:row>
      <xdr:rowOff>152400</xdr:rowOff>
    </xdr:from>
    <xdr:to>
      <xdr:col>29</xdr:col>
      <xdr:colOff>548640</xdr:colOff>
      <xdr:row>125</xdr:row>
      <xdr:rowOff>0</xdr:rowOff>
    </xdr:to>
    <xdr:graphicFrame macro="">
      <xdr:nvGraphicFramePr>
        <xdr:cNvPr id="13" name="차트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0.00111</cdr:x>
      <cdr:y>0.01574</cdr:y>
    </cdr:from>
    <cdr:to>
      <cdr:x>1</cdr:x>
      <cdr:y>0.09907</cdr:y>
    </cdr:to>
    <cdr:grpSp>
      <cdr:nvGrpSpPr>
        <cdr:cNvPr id="4" name="그룹 3"/>
        <cdr:cNvGrpSpPr/>
      </cdr:nvGrpSpPr>
      <cdr:grpSpPr>
        <a:xfrm xmlns:a="http://schemas.openxmlformats.org/drawingml/2006/main">
          <a:off x="5075" y="43178"/>
          <a:ext cx="4566925" cy="228591"/>
          <a:chOff x="5080" y="43180"/>
          <a:chExt cx="4566920" cy="228600"/>
        </a:xfrm>
      </cdr:grpSpPr>
      <cdr:sp macro="" textlink="">
        <cdr:nvSpPr>
          <cdr:cNvPr id="2" name="TextBox 4"/>
          <cdr:cNvSpPr txBox="1"/>
        </cdr:nvSpPr>
        <cdr:spPr>
          <a:xfrm xmlns:a="http://schemas.openxmlformats.org/drawingml/2006/main">
            <a:off x="5080" y="431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건</a:t>
            </a:r>
            <a:r>
              <a:rPr lang="en-US" altLang="ko-KR" sz="900"/>
              <a:t>)</a:t>
            </a:r>
            <a:endParaRPr lang="ko-KR" altLang="en-US" sz="900"/>
          </a:p>
        </cdr:txBody>
      </cdr:sp>
      <cdr:sp macro="" textlink="">
        <cdr:nvSpPr>
          <cdr:cNvPr id="3" name="TextBox 4"/>
          <cdr:cNvSpPr txBox="1"/>
        </cdr:nvSpPr>
        <cdr:spPr>
          <a:xfrm xmlns:a="http://schemas.openxmlformats.org/drawingml/2006/main">
            <a:off x="4168140" y="6604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건</a:t>
            </a:r>
            <a:r>
              <a:rPr lang="en-US" altLang="ko-KR" sz="900"/>
              <a:t>)</a:t>
            </a:r>
            <a:endParaRPr lang="ko-KR" altLang="en-US" sz="900"/>
          </a:p>
        </cdr:txBody>
      </cdr:sp>
    </cdr:grpSp>
  </cdr:relSizeAnchor>
</c:userShapes>
</file>

<file path=xl/drawings/drawing3.xml><?xml version="1.0" encoding="utf-8"?>
<c:userShapes xmlns:c="http://schemas.openxmlformats.org/drawingml/2006/chart">
  <cdr:relSizeAnchor xmlns:cdr="http://schemas.openxmlformats.org/drawingml/2006/chartDrawing">
    <cdr:from>
      <cdr:x>0.00833</cdr:x>
      <cdr:y>0.02963</cdr:y>
    </cdr:from>
    <cdr:to>
      <cdr:x>1</cdr:x>
      <cdr:y>0.10463</cdr:y>
    </cdr:to>
    <cdr:grpSp>
      <cdr:nvGrpSpPr>
        <cdr:cNvPr id="5" name="그룹 4"/>
        <cdr:cNvGrpSpPr/>
      </cdr:nvGrpSpPr>
      <cdr:grpSpPr>
        <a:xfrm xmlns:a="http://schemas.openxmlformats.org/drawingml/2006/main">
          <a:off x="38085" y="81281"/>
          <a:ext cx="4533915" cy="205740"/>
          <a:chOff x="38100" y="81280"/>
          <a:chExt cx="4533900" cy="205740"/>
        </a:xfrm>
      </cdr:grpSpPr>
      <cdr:sp macro="" textlink="">
        <cdr:nvSpPr>
          <cdr:cNvPr id="3" name="TextBox 4"/>
          <cdr:cNvSpPr txBox="1"/>
        </cdr:nvSpPr>
        <cdr:spPr>
          <a:xfrm xmlns:a="http://schemas.openxmlformats.org/drawingml/2006/main">
            <a:off x="3810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건</a:t>
            </a:r>
            <a:r>
              <a:rPr lang="en-US" altLang="ko-KR" sz="900"/>
              <a:t>)</a:t>
            </a:r>
            <a:endParaRPr lang="ko-KR" altLang="en-US" sz="900"/>
          </a:p>
        </cdr:txBody>
      </cdr:sp>
      <cdr:sp macro="" textlink="">
        <cdr:nvSpPr>
          <cdr:cNvPr id="4" name="TextBox 4"/>
          <cdr:cNvSpPr txBox="1"/>
        </cdr:nvSpPr>
        <cdr:spPr>
          <a:xfrm xmlns:a="http://schemas.openxmlformats.org/drawingml/2006/main">
            <a:off x="416814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건</a:t>
            </a:r>
            <a:r>
              <a:rPr lang="en-US" altLang="ko-KR" sz="900"/>
              <a:t>)</a:t>
            </a:r>
            <a:endParaRPr lang="ko-KR" altLang="en-US" sz="900"/>
          </a:p>
        </cdr:txBody>
      </cdr:sp>
    </cdr:grpSp>
  </cdr:relSizeAnchor>
</c:userShapes>
</file>

<file path=xl/drawings/drawing4.xml><?xml version="1.0" encoding="utf-8"?>
<c:userShapes xmlns:c="http://schemas.openxmlformats.org/drawingml/2006/chart">
  <cdr:relSizeAnchor xmlns:cdr="http://schemas.openxmlformats.org/drawingml/2006/chartDrawing">
    <cdr:from>
      <cdr:x>0.90944</cdr:x>
      <cdr:y>0.01852</cdr:y>
    </cdr:from>
    <cdr:to>
      <cdr:x>0.99778</cdr:x>
      <cdr:y>0.09352</cdr:y>
    </cdr:to>
    <cdr:sp macro="" textlink="">
      <cdr:nvSpPr>
        <cdr:cNvPr id="2" name="TextBox 4"/>
        <cdr:cNvSpPr txBox="1"/>
      </cdr:nvSpPr>
      <cdr:spPr>
        <a:xfrm xmlns:a="http://schemas.openxmlformats.org/drawingml/2006/main">
          <a:off x="4157980" y="5080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톤</a:t>
          </a:r>
          <a:r>
            <a:rPr lang="en-US" altLang="ko-KR" sz="900"/>
            <a:t>)</a:t>
          </a:r>
          <a:endParaRPr lang="ko-KR" altLang="en-US" sz="900"/>
        </a:p>
      </cdr:txBody>
    </cdr:sp>
  </cdr:relSizeAnchor>
</c:userShapes>
</file>

<file path=xl/drawings/drawing5.xml><?xml version="1.0" encoding="utf-8"?>
<c:userShapes xmlns:c="http://schemas.openxmlformats.org/drawingml/2006/chart">
  <cdr:relSizeAnchor xmlns:cdr="http://schemas.openxmlformats.org/drawingml/2006/chartDrawing">
    <cdr:from>
      <cdr:x>0.005</cdr:x>
      <cdr:y>0.02963</cdr:y>
    </cdr:from>
    <cdr:to>
      <cdr:x>1</cdr:x>
      <cdr:y>0.10463</cdr:y>
    </cdr:to>
    <cdr:grpSp>
      <cdr:nvGrpSpPr>
        <cdr:cNvPr id="5" name="그룹 4"/>
        <cdr:cNvGrpSpPr/>
      </cdr:nvGrpSpPr>
      <cdr:grpSpPr>
        <a:xfrm xmlns:a="http://schemas.openxmlformats.org/drawingml/2006/main">
          <a:off x="22860" y="81281"/>
          <a:ext cx="4549140" cy="205740"/>
          <a:chOff x="22860" y="81280"/>
          <a:chExt cx="4549140" cy="205740"/>
        </a:xfrm>
      </cdr:grpSpPr>
      <cdr:sp macro="" textlink="">
        <cdr:nvSpPr>
          <cdr:cNvPr id="3" name="TextBox 4"/>
          <cdr:cNvSpPr txBox="1"/>
        </cdr:nvSpPr>
        <cdr:spPr>
          <a:xfrm xmlns:a="http://schemas.openxmlformats.org/drawingml/2006/main">
            <a:off x="2286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톤</a:t>
            </a:r>
            <a:r>
              <a:rPr lang="en-US" altLang="ko-KR" sz="900"/>
              <a:t>)</a:t>
            </a:r>
            <a:endParaRPr lang="ko-KR" altLang="en-US" sz="900"/>
          </a:p>
        </cdr:txBody>
      </cdr:sp>
      <cdr:sp macro="" textlink="">
        <cdr:nvSpPr>
          <cdr:cNvPr id="4" name="TextBox 4"/>
          <cdr:cNvSpPr txBox="1"/>
        </cdr:nvSpPr>
        <cdr:spPr>
          <a:xfrm xmlns:a="http://schemas.openxmlformats.org/drawingml/2006/main">
            <a:off x="416814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톤</a:t>
            </a:r>
            <a:r>
              <a:rPr lang="en-US" altLang="ko-KR" sz="900"/>
              <a:t>)</a:t>
            </a:r>
            <a:endParaRPr lang="ko-KR" altLang="en-US" sz="900"/>
          </a:p>
        </cdr:txBody>
      </cdr:sp>
    </cdr:grpSp>
  </cdr:relSizeAnchor>
</c:userShapes>
</file>

<file path=xl/drawings/drawing6.xml><?xml version="1.0" encoding="utf-8"?>
<c:userShapes xmlns:c="http://schemas.openxmlformats.org/drawingml/2006/chart">
  <cdr:relSizeAnchor xmlns:cdr="http://schemas.openxmlformats.org/drawingml/2006/chartDrawing">
    <cdr:from>
      <cdr:x>0.00667</cdr:x>
      <cdr:y>0.02963</cdr:y>
    </cdr:from>
    <cdr:to>
      <cdr:x>1</cdr:x>
      <cdr:y>0.10463</cdr:y>
    </cdr:to>
    <cdr:grpSp>
      <cdr:nvGrpSpPr>
        <cdr:cNvPr id="5" name="그룹 4"/>
        <cdr:cNvGrpSpPr/>
      </cdr:nvGrpSpPr>
      <cdr:grpSpPr>
        <a:xfrm xmlns:a="http://schemas.openxmlformats.org/drawingml/2006/main">
          <a:off x="30495" y="81733"/>
          <a:ext cx="4541505" cy="206883"/>
          <a:chOff x="30480" y="81280"/>
          <a:chExt cx="4541520" cy="205740"/>
        </a:xfrm>
      </cdr:grpSpPr>
      <cdr:sp macro="" textlink="">
        <cdr:nvSpPr>
          <cdr:cNvPr id="3" name="TextBox 4"/>
          <cdr:cNvSpPr txBox="1"/>
        </cdr:nvSpPr>
        <cdr:spPr>
          <a:xfrm xmlns:a="http://schemas.openxmlformats.org/drawingml/2006/main">
            <a:off x="3048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톤</a:t>
            </a:r>
            <a:r>
              <a:rPr lang="en-US" altLang="ko-KR" sz="900"/>
              <a:t>)</a:t>
            </a:r>
            <a:endParaRPr lang="ko-KR" altLang="en-US" sz="900"/>
          </a:p>
        </cdr:txBody>
      </cdr:sp>
      <cdr:sp macro="" textlink="">
        <cdr:nvSpPr>
          <cdr:cNvPr id="4" name="TextBox 4"/>
          <cdr:cNvSpPr txBox="1"/>
        </cdr:nvSpPr>
        <cdr:spPr>
          <a:xfrm xmlns:a="http://schemas.openxmlformats.org/drawingml/2006/main">
            <a:off x="416814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톤</a:t>
            </a:r>
            <a:r>
              <a:rPr lang="en-US" altLang="ko-KR" sz="900"/>
              <a:t>)</a:t>
            </a:r>
            <a:endParaRPr lang="ko-KR" altLang="en-US" sz="900"/>
          </a:p>
        </cdr:txBody>
      </cdr:sp>
    </cdr:grpSp>
  </cdr:relSizeAnchor>
</c:userShapes>
</file>

<file path=xl/drawings/drawing7.xml><?xml version="1.0" encoding="utf-8"?>
<c:userShapes xmlns:c="http://schemas.openxmlformats.org/drawingml/2006/chart">
  <cdr:relSizeAnchor xmlns:cdr="http://schemas.openxmlformats.org/drawingml/2006/chartDrawing">
    <cdr:from>
      <cdr:x>0.00667</cdr:x>
      <cdr:y>0.02963</cdr:y>
    </cdr:from>
    <cdr:to>
      <cdr:x>1</cdr:x>
      <cdr:y>0.10463</cdr:y>
    </cdr:to>
    <cdr:grpSp>
      <cdr:nvGrpSpPr>
        <cdr:cNvPr id="5" name="그룹 4"/>
        <cdr:cNvGrpSpPr/>
      </cdr:nvGrpSpPr>
      <cdr:grpSpPr>
        <a:xfrm xmlns:a="http://schemas.openxmlformats.org/drawingml/2006/main">
          <a:off x="30495" y="95731"/>
          <a:ext cx="4541505" cy="242316"/>
          <a:chOff x="30480" y="81280"/>
          <a:chExt cx="4541520" cy="205740"/>
        </a:xfrm>
      </cdr:grpSpPr>
      <cdr:sp macro="" textlink="">
        <cdr:nvSpPr>
          <cdr:cNvPr id="3" name="TextBox 4"/>
          <cdr:cNvSpPr txBox="1"/>
        </cdr:nvSpPr>
        <cdr:spPr>
          <a:xfrm xmlns:a="http://schemas.openxmlformats.org/drawingml/2006/main">
            <a:off x="3048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톤</a:t>
            </a:r>
            <a:r>
              <a:rPr lang="en-US" altLang="ko-KR" sz="900"/>
              <a:t>)</a:t>
            </a:r>
            <a:endParaRPr lang="ko-KR" altLang="en-US" sz="900"/>
          </a:p>
        </cdr:txBody>
      </cdr:sp>
      <cdr:sp macro="" textlink="">
        <cdr:nvSpPr>
          <cdr:cNvPr id="4" name="TextBox 4"/>
          <cdr:cNvSpPr txBox="1"/>
        </cdr:nvSpPr>
        <cdr:spPr>
          <a:xfrm xmlns:a="http://schemas.openxmlformats.org/drawingml/2006/main">
            <a:off x="416814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톤</a:t>
            </a:r>
            <a:r>
              <a:rPr lang="en-US" altLang="ko-KR" sz="900"/>
              <a:t>)</a:t>
            </a:r>
            <a:endParaRPr lang="ko-KR" altLang="en-US" sz="900"/>
          </a:p>
        </cdr:txBody>
      </cdr:sp>
    </cdr:grpSp>
  </cdr:relSizeAnchor>
</c:userShapes>
</file>

<file path=xl/drawings/drawing8.xml><?xml version="1.0" encoding="utf-8"?>
<c:userShapes xmlns:c="http://schemas.openxmlformats.org/drawingml/2006/chart">
  <cdr:relSizeAnchor xmlns:cdr="http://schemas.openxmlformats.org/drawingml/2006/chartDrawing">
    <cdr:from>
      <cdr:x>0.00667</cdr:x>
      <cdr:y>0.02963</cdr:y>
    </cdr:from>
    <cdr:to>
      <cdr:x>1</cdr:x>
      <cdr:y>0.10463</cdr:y>
    </cdr:to>
    <cdr:grpSp>
      <cdr:nvGrpSpPr>
        <cdr:cNvPr id="5" name="그룹 4"/>
        <cdr:cNvGrpSpPr/>
      </cdr:nvGrpSpPr>
      <cdr:grpSpPr>
        <a:xfrm xmlns:a="http://schemas.openxmlformats.org/drawingml/2006/main">
          <a:off x="30495" y="99569"/>
          <a:ext cx="4541505" cy="252032"/>
          <a:chOff x="30480" y="81280"/>
          <a:chExt cx="4541520" cy="205740"/>
        </a:xfrm>
      </cdr:grpSpPr>
      <cdr:sp macro="" textlink="">
        <cdr:nvSpPr>
          <cdr:cNvPr id="3" name="TextBox 4"/>
          <cdr:cNvSpPr txBox="1"/>
        </cdr:nvSpPr>
        <cdr:spPr>
          <a:xfrm xmlns:a="http://schemas.openxmlformats.org/drawingml/2006/main">
            <a:off x="3048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건</a:t>
            </a:r>
            <a:r>
              <a:rPr lang="en-US" altLang="ko-KR" sz="900"/>
              <a:t>)</a:t>
            </a:r>
            <a:endParaRPr lang="ko-KR" altLang="en-US" sz="900"/>
          </a:p>
        </cdr:txBody>
      </cdr:sp>
      <cdr:sp macro="" textlink="">
        <cdr:nvSpPr>
          <cdr:cNvPr id="4" name="TextBox 4"/>
          <cdr:cNvSpPr txBox="1"/>
        </cdr:nvSpPr>
        <cdr:spPr>
          <a:xfrm xmlns:a="http://schemas.openxmlformats.org/drawingml/2006/main">
            <a:off x="416814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건</a:t>
            </a:r>
            <a:r>
              <a:rPr lang="en-US" altLang="ko-KR" sz="900"/>
              <a:t>)</a:t>
            </a:r>
            <a:endParaRPr lang="ko-KR" altLang="en-US" sz="900"/>
          </a:p>
        </cdr:txBody>
      </cdr:sp>
    </cdr:grpSp>
  </cdr:relSizeAnchor>
</c:userShapes>
</file>

<file path=xl/drawings/drawing9.xml><?xml version="1.0" encoding="utf-8"?>
<c:userShapes xmlns:c="http://schemas.openxmlformats.org/drawingml/2006/chart">
  <cdr:relSizeAnchor xmlns:cdr="http://schemas.openxmlformats.org/drawingml/2006/chartDrawing">
    <cdr:from>
      <cdr:x>0.00667</cdr:x>
      <cdr:y>0.02963</cdr:y>
    </cdr:from>
    <cdr:to>
      <cdr:x>1</cdr:x>
      <cdr:y>0.10463</cdr:y>
    </cdr:to>
    <cdr:grpSp>
      <cdr:nvGrpSpPr>
        <cdr:cNvPr id="5" name="그룹 4"/>
        <cdr:cNvGrpSpPr/>
      </cdr:nvGrpSpPr>
      <cdr:grpSpPr>
        <a:xfrm xmlns:a="http://schemas.openxmlformats.org/drawingml/2006/main">
          <a:off x="30495" y="107246"/>
          <a:ext cx="4541505" cy="271462"/>
          <a:chOff x="30480" y="81280"/>
          <a:chExt cx="4541520" cy="205740"/>
        </a:xfrm>
      </cdr:grpSpPr>
      <cdr:sp macro="" textlink="">
        <cdr:nvSpPr>
          <cdr:cNvPr id="3" name="TextBox 4"/>
          <cdr:cNvSpPr txBox="1"/>
        </cdr:nvSpPr>
        <cdr:spPr>
          <a:xfrm xmlns:a="http://schemas.openxmlformats.org/drawingml/2006/main">
            <a:off x="3048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톤</a:t>
            </a:r>
            <a:r>
              <a:rPr lang="en-US" altLang="ko-KR" sz="900"/>
              <a:t>)</a:t>
            </a:r>
            <a:endParaRPr lang="ko-KR" altLang="en-US" sz="900"/>
          </a:p>
        </cdr:txBody>
      </cdr:sp>
      <cdr:sp macro="" textlink="">
        <cdr:nvSpPr>
          <cdr:cNvPr id="4" name="TextBox 4"/>
          <cdr:cNvSpPr txBox="1"/>
        </cdr:nvSpPr>
        <cdr:spPr>
          <a:xfrm xmlns:a="http://schemas.openxmlformats.org/drawingml/2006/main">
            <a:off x="4168140" y="81280"/>
            <a:ext cx="403860" cy="20574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900"/>
              <a:t>(</a:t>
            </a:r>
            <a:r>
              <a:rPr lang="ko-KR" altLang="en-US" sz="900"/>
              <a:t>톤</a:t>
            </a:r>
            <a:r>
              <a:rPr lang="en-US" altLang="ko-KR" sz="900"/>
              <a:t>)</a:t>
            </a:r>
            <a:endParaRPr lang="ko-KR" altLang="en-US" sz="900"/>
          </a:p>
        </cdr:txBody>
      </cdr:sp>
    </cdr:grpSp>
  </cdr:relSizeAnchor>
</c:userShapes>
</file>

<file path=xl/drawings/drawing10.xml><?xml version="1.0" encoding="utf-8"?>
<xdr:wsDr xmlns:xdr="http://schemas.openxmlformats.org/drawingml/2006/spreadsheetDrawing" xmlns:a="http://schemas.openxmlformats.org/drawingml/2006/main">
  <xdr:twoCellAnchor>
    <xdr:from>
      <xdr:col>25</xdr:col>
      <xdr:colOff>615350</xdr:colOff>
      <xdr:row>1</xdr:row>
      <xdr:rowOff>199816</xdr:rowOff>
    </xdr:from>
    <xdr:to>
      <xdr:col>33</xdr:col>
      <xdr:colOff>392217</xdr:colOff>
      <xdr:row>11</xdr:row>
      <xdr:rowOff>106949</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442607</xdr:colOff>
      <xdr:row>1</xdr:row>
      <xdr:rowOff>201083</xdr:rowOff>
    </xdr:from>
    <xdr:to>
      <xdr:col>47</xdr:col>
      <xdr:colOff>260540</xdr:colOff>
      <xdr:row>11</xdr:row>
      <xdr:rowOff>106949</xdr:rowOff>
    </xdr:to>
    <xdr:graphicFrame macro="">
      <xdr:nvGraphicFramePr>
        <xdr:cNvPr id="5" name="차트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608150</xdr:colOff>
      <xdr:row>11</xdr:row>
      <xdr:rowOff>237067</xdr:rowOff>
    </xdr:from>
    <xdr:to>
      <xdr:col>33</xdr:col>
      <xdr:colOff>392217</xdr:colOff>
      <xdr:row>22</xdr:row>
      <xdr:rowOff>32867</xdr:rowOff>
    </xdr:to>
    <xdr:graphicFrame macro="">
      <xdr:nvGraphicFramePr>
        <xdr:cNvPr id="6" name="차트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608150</xdr:colOff>
      <xdr:row>22</xdr:row>
      <xdr:rowOff>182031</xdr:rowOff>
    </xdr:from>
    <xdr:to>
      <xdr:col>33</xdr:col>
      <xdr:colOff>392217</xdr:colOff>
      <xdr:row>38</xdr:row>
      <xdr:rowOff>70964</xdr:rowOff>
    </xdr:to>
    <xdr:graphicFrame macro="">
      <xdr:nvGraphicFramePr>
        <xdr:cNvPr id="7" name="차트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660398</xdr:colOff>
      <xdr:row>59</xdr:row>
      <xdr:rowOff>19049</xdr:rowOff>
    </xdr:from>
    <xdr:to>
      <xdr:col>33</xdr:col>
      <xdr:colOff>437265</xdr:colOff>
      <xdr:row>73</xdr:row>
      <xdr:rowOff>153516</xdr:rowOff>
    </xdr:to>
    <xdr:graphicFrame macro="">
      <xdr:nvGraphicFramePr>
        <xdr:cNvPr id="9" name="차트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440264</xdr:colOff>
      <xdr:row>41</xdr:row>
      <xdr:rowOff>59269</xdr:rowOff>
    </xdr:from>
    <xdr:to>
      <xdr:col>47</xdr:col>
      <xdr:colOff>258198</xdr:colOff>
      <xdr:row>56</xdr:row>
      <xdr:rowOff>134469</xdr:rowOff>
    </xdr:to>
    <xdr:graphicFrame macro="">
      <xdr:nvGraphicFramePr>
        <xdr:cNvPr id="10" name="차트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508445</xdr:colOff>
      <xdr:row>1</xdr:row>
      <xdr:rowOff>201083</xdr:rowOff>
    </xdr:from>
    <xdr:to>
      <xdr:col>40</xdr:col>
      <xdr:colOff>326379</xdr:colOff>
      <xdr:row>11</xdr:row>
      <xdr:rowOff>106949</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499978</xdr:colOff>
      <xdr:row>11</xdr:row>
      <xdr:rowOff>237067</xdr:rowOff>
    </xdr:from>
    <xdr:to>
      <xdr:col>40</xdr:col>
      <xdr:colOff>317912</xdr:colOff>
      <xdr:row>22</xdr:row>
      <xdr:rowOff>32867</xdr:rowOff>
    </xdr:to>
    <xdr:graphicFrame macro="">
      <xdr:nvGraphicFramePr>
        <xdr:cNvPr id="26" name="차트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40</xdr:col>
      <xdr:colOff>425673</xdr:colOff>
      <xdr:row>22</xdr:row>
      <xdr:rowOff>182031</xdr:rowOff>
    </xdr:from>
    <xdr:to>
      <xdr:col>47</xdr:col>
      <xdr:colOff>243606</xdr:colOff>
      <xdr:row>38</xdr:row>
      <xdr:rowOff>62498</xdr:rowOff>
    </xdr:to>
    <xdr:graphicFrame macro="">
      <xdr:nvGraphicFramePr>
        <xdr:cNvPr id="30" name="차트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499978</xdr:colOff>
      <xdr:row>41</xdr:row>
      <xdr:rowOff>58669</xdr:rowOff>
    </xdr:from>
    <xdr:to>
      <xdr:col>40</xdr:col>
      <xdr:colOff>317912</xdr:colOff>
      <xdr:row>56</xdr:row>
      <xdr:rowOff>133868</xdr:rowOff>
    </xdr:to>
    <xdr:graphicFrame macro="">
      <xdr:nvGraphicFramePr>
        <xdr:cNvPr id="31" name="차트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530010</xdr:colOff>
      <xdr:row>59</xdr:row>
      <xdr:rowOff>19049</xdr:rowOff>
    </xdr:from>
    <xdr:to>
      <xdr:col>40</xdr:col>
      <xdr:colOff>347944</xdr:colOff>
      <xdr:row>73</xdr:row>
      <xdr:rowOff>153516</xdr:rowOff>
    </xdr:to>
    <xdr:graphicFrame macro="">
      <xdr:nvGraphicFramePr>
        <xdr:cNvPr id="32" name="차트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499978</xdr:colOff>
      <xdr:row>22</xdr:row>
      <xdr:rowOff>182031</xdr:rowOff>
    </xdr:from>
    <xdr:to>
      <xdr:col>40</xdr:col>
      <xdr:colOff>317912</xdr:colOff>
      <xdr:row>38</xdr:row>
      <xdr:rowOff>70964</xdr:rowOff>
    </xdr:to>
    <xdr:graphicFrame macro="">
      <xdr:nvGraphicFramePr>
        <xdr:cNvPr id="34" name="차트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385235</xdr:colOff>
      <xdr:row>22</xdr:row>
      <xdr:rowOff>182031</xdr:rowOff>
    </xdr:from>
    <xdr:to>
      <xdr:col>54</xdr:col>
      <xdr:colOff>203168</xdr:colOff>
      <xdr:row>38</xdr:row>
      <xdr:rowOff>70964</xdr:rowOff>
    </xdr:to>
    <xdr:graphicFrame macro="">
      <xdr:nvGraphicFramePr>
        <xdr:cNvPr id="35" name="차트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351368</xdr:colOff>
      <xdr:row>41</xdr:row>
      <xdr:rowOff>58669</xdr:rowOff>
    </xdr:from>
    <xdr:to>
      <xdr:col>54</xdr:col>
      <xdr:colOff>169300</xdr:colOff>
      <xdr:row>56</xdr:row>
      <xdr:rowOff>133869</xdr:rowOff>
    </xdr:to>
    <xdr:graphicFrame macro="">
      <xdr:nvGraphicFramePr>
        <xdr:cNvPr id="36" name="차트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40</xdr:col>
      <xdr:colOff>440689</xdr:colOff>
      <xdr:row>59</xdr:row>
      <xdr:rowOff>19049</xdr:rowOff>
    </xdr:from>
    <xdr:to>
      <xdr:col>47</xdr:col>
      <xdr:colOff>258622</xdr:colOff>
      <xdr:row>73</xdr:row>
      <xdr:rowOff>153516</xdr:rowOff>
    </xdr:to>
    <xdr:graphicFrame macro="">
      <xdr:nvGraphicFramePr>
        <xdr:cNvPr id="37" name="차트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351368</xdr:colOff>
      <xdr:row>59</xdr:row>
      <xdr:rowOff>19049</xdr:rowOff>
    </xdr:from>
    <xdr:to>
      <xdr:col>54</xdr:col>
      <xdr:colOff>169300</xdr:colOff>
      <xdr:row>73</xdr:row>
      <xdr:rowOff>153516</xdr:rowOff>
    </xdr:to>
    <xdr:graphicFrame macro="">
      <xdr:nvGraphicFramePr>
        <xdr:cNvPr id="38" name="차트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40</xdr:col>
      <xdr:colOff>425673</xdr:colOff>
      <xdr:row>11</xdr:row>
      <xdr:rowOff>237067</xdr:rowOff>
    </xdr:from>
    <xdr:to>
      <xdr:col>47</xdr:col>
      <xdr:colOff>243606</xdr:colOff>
      <xdr:row>22</xdr:row>
      <xdr:rowOff>32867</xdr:rowOff>
    </xdr:to>
    <xdr:graphicFrame macro="">
      <xdr:nvGraphicFramePr>
        <xdr:cNvPr id="39" name="차트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52</xdr:col>
      <xdr:colOff>550334</xdr:colOff>
      <xdr:row>17</xdr:row>
      <xdr:rowOff>8466</xdr:rowOff>
    </xdr:from>
    <xdr:to>
      <xdr:col>53</xdr:col>
      <xdr:colOff>42334</xdr:colOff>
      <xdr:row>19</xdr:row>
      <xdr:rowOff>169334</xdr:rowOff>
    </xdr:to>
    <xdr:sp macro="" textlink="">
      <xdr:nvSpPr>
        <xdr:cNvPr id="12" name="직사각형 11"/>
        <xdr:cNvSpPr/>
      </xdr:nvSpPr>
      <xdr:spPr>
        <a:xfrm>
          <a:off x="25357667" y="4919133"/>
          <a:ext cx="160867" cy="71966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47</xdr:col>
      <xdr:colOff>351368</xdr:colOff>
      <xdr:row>11</xdr:row>
      <xdr:rowOff>237067</xdr:rowOff>
    </xdr:from>
    <xdr:to>
      <xdr:col>54</xdr:col>
      <xdr:colOff>169301</xdr:colOff>
      <xdr:row>22</xdr:row>
      <xdr:rowOff>32867</xdr:rowOff>
    </xdr:to>
    <xdr:graphicFrame macro="">
      <xdr:nvGraphicFramePr>
        <xdr:cNvPr id="40" name="차트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31</xdr:row>
      <xdr:rowOff>67723</xdr:rowOff>
    </xdr:from>
    <xdr:to>
      <xdr:col>6</xdr:col>
      <xdr:colOff>626534</xdr:colOff>
      <xdr:row>60</xdr:row>
      <xdr:rowOff>15589</xdr:rowOff>
    </xdr:to>
    <xdr:graphicFrame macro="">
      <xdr:nvGraphicFramePr>
        <xdr:cNvPr id="41" name="차트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25401</xdr:colOff>
      <xdr:row>31</xdr:row>
      <xdr:rowOff>84656</xdr:rowOff>
    </xdr:from>
    <xdr:to>
      <xdr:col>16</xdr:col>
      <xdr:colOff>30123</xdr:colOff>
      <xdr:row>60</xdr:row>
      <xdr:rowOff>32522</xdr:rowOff>
    </xdr:to>
    <xdr:graphicFrame macro="">
      <xdr:nvGraphicFramePr>
        <xdr:cNvPr id="42" name="차트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376767</xdr:colOff>
      <xdr:row>1</xdr:row>
      <xdr:rowOff>201083</xdr:rowOff>
    </xdr:from>
    <xdr:to>
      <xdr:col>54</xdr:col>
      <xdr:colOff>194700</xdr:colOff>
      <xdr:row>11</xdr:row>
      <xdr:rowOff>106949</xdr:rowOff>
    </xdr:to>
    <xdr:grpSp>
      <xdr:nvGrpSpPr>
        <xdr:cNvPr id="13" name="그룹 12"/>
        <xdr:cNvGrpSpPr/>
      </xdr:nvGrpSpPr>
      <xdr:grpSpPr>
        <a:xfrm>
          <a:off x="26538767" y="472016"/>
          <a:ext cx="4500000" cy="2860733"/>
          <a:chOff x="27503968" y="472016"/>
          <a:chExt cx="4500000" cy="2860733"/>
        </a:xfrm>
      </xdr:grpSpPr>
      <xdr:graphicFrame macro="">
        <xdr:nvGraphicFramePr>
          <xdr:cNvPr id="33" name="차트 32"/>
          <xdr:cNvGraphicFramePr>
            <a:graphicFrameLocks/>
          </xdr:cNvGraphicFramePr>
        </xdr:nvGraphicFramePr>
        <xdr:xfrm>
          <a:off x="27503968" y="472016"/>
          <a:ext cx="4500000" cy="2860733"/>
        </xdr:xfrm>
        <a:graphic>
          <a:graphicData uri="http://schemas.openxmlformats.org/drawingml/2006/chart">
            <c:chart xmlns:c="http://schemas.openxmlformats.org/drawingml/2006/chart" xmlns:r="http://schemas.openxmlformats.org/officeDocument/2006/relationships" r:id="rId21"/>
          </a:graphicData>
        </a:graphic>
      </xdr:graphicFrame>
      <xdr:sp macro="" textlink="">
        <xdr:nvSpPr>
          <xdr:cNvPr id="11" name="직사각형 10"/>
          <xdr:cNvSpPr/>
        </xdr:nvSpPr>
        <xdr:spPr>
          <a:xfrm>
            <a:off x="29709534" y="2616201"/>
            <a:ext cx="296333" cy="364066"/>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16</xdr:col>
      <xdr:colOff>101601</xdr:colOff>
      <xdr:row>31</xdr:row>
      <xdr:rowOff>93122</xdr:rowOff>
    </xdr:from>
    <xdr:to>
      <xdr:col>24</xdr:col>
      <xdr:colOff>525604</xdr:colOff>
      <xdr:row>60</xdr:row>
      <xdr:rowOff>40988</xdr:rowOff>
    </xdr:to>
    <xdr:graphicFrame macro="">
      <xdr:nvGraphicFramePr>
        <xdr:cNvPr id="43" name="차트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60</xdr:row>
      <xdr:rowOff>165090</xdr:rowOff>
    </xdr:from>
    <xdr:to>
      <xdr:col>6</xdr:col>
      <xdr:colOff>643467</xdr:colOff>
      <xdr:row>88</xdr:row>
      <xdr:rowOff>62156</xdr:rowOff>
    </xdr:to>
    <xdr:graphicFrame macro="">
      <xdr:nvGraphicFramePr>
        <xdr:cNvPr id="44" name="차트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xdr:col>
      <xdr:colOff>69851</xdr:colOff>
      <xdr:row>60</xdr:row>
      <xdr:rowOff>165089</xdr:rowOff>
    </xdr:from>
    <xdr:to>
      <xdr:col>15</xdr:col>
      <xdr:colOff>273399</xdr:colOff>
      <xdr:row>88</xdr:row>
      <xdr:rowOff>62155</xdr:rowOff>
    </xdr:to>
    <xdr:graphicFrame macro="">
      <xdr:nvGraphicFramePr>
        <xdr:cNvPr id="45" name="차트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25</xdr:col>
      <xdr:colOff>608150</xdr:colOff>
      <xdr:row>41</xdr:row>
      <xdr:rowOff>58669</xdr:rowOff>
    </xdr:from>
    <xdr:to>
      <xdr:col>33</xdr:col>
      <xdr:colOff>392216</xdr:colOff>
      <xdr:row>56</xdr:row>
      <xdr:rowOff>133868</xdr:rowOff>
    </xdr:to>
    <xdr:graphicFrame macro="">
      <xdr:nvGraphicFramePr>
        <xdr:cNvPr id="46" name="차트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0.1063</cdr:x>
      <cdr:y>0.05401</cdr:y>
    </cdr:from>
    <cdr:to>
      <cdr:x>0.21354</cdr:x>
      <cdr:y>0.21087</cdr:y>
    </cdr:to>
    <cdr:sp macro="" textlink="">
      <cdr:nvSpPr>
        <cdr:cNvPr id="2" name="TextBox 1"/>
        <cdr:cNvSpPr txBox="1"/>
      </cdr:nvSpPr>
      <cdr:spPr>
        <a:xfrm xmlns:a="http://schemas.openxmlformats.org/drawingml/2006/main">
          <a:off x="478365" y="154510"/>
          <a:ext cx="482580" cy="44873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altLang="ko-KR" sz="900">
              <a:solidFill>
                <a:srgbClr val="7030A0"/>
              </a:solidFill>
            </a:rPr>
            <a:t>19</a:t>
          </a:r>
          <a:r>
            <a:rPr lang="ko-KR" altLang="en-US" sz="900">
              <a:solidFill>
                <a:srgbClr val="7030A0"/>
              </a:solidFill>
            </a:rPr>
            <a:t>년</a:t>
          </a:r>
          <a:endParaRPr lang="en-US" altLang="ko-KR" sz="900">
            <a:solidFill>
              <a:srgbClr val="7030A0"/>
            </a:solidFill>
          </a:endParaRPr>
        </a:p>
        <a:p xmlns:a="http://schemas.openxmlformats.org/drawingml/2006/main">
          <a:pPr algn="ctr"/>
          <a:r>
            <a:rPr lang="en-US" altLang="ko-KR" sz="900">
              <a:solidFill>
                <a:srgbClr val="7030A0"/>
              </a:solidFill>
            </a:rPr>
            <a:t>19.00</a:t>
          </a:r>
          <a:endParaRPr lang="ko-KR" altLang="en-US" sz="900">
            <a:solidFill>
              <a:srgbClr val="7030A0"/>
            </a:solidFill>
          </a:endParaRPr>
        </a:p>
      </cdr:txBody>
    </cdr:sp>
  </cdr:relSizeAnchor>
  <cdr:relSizeAnchor xmlns:cdr="http://schemas.openxmlformats.org/drawingml/2006/chartDrawing">
    <cdr:from>
      <cdr:x>0.12982</cdr:x>
      <cdr:y>0.20717</cdr:y>
    </cdr:from>
    <cdr:to>
      <cdr:x>0.19567</cdr:x>
      <cdr:y>0.87901</cdr:y>
    </cdr:to>
    <cdr:sp macro="" textlink="">
      <cdr:nvSpPr>
        <cdr:cNvPr id="3" name="직사각형 2"/>
        <cdr:cNvSpPr/>
      </cdr:nvSpPr>
      <cdr:spPr>
        <a:xfrm xmlns:a="http://schemas.openxmlformats.org/drawingml/2006/main">
          <a:off x="584205" y="592660"/>
          <a:ext cx="296325" cy="1921955"/>
        </a:xfrm>
        <a:prstGeom xmlns:a="http://schemas.openxmlformats.org/drawingml/2006/main" prst="rect">
          <a:avLst/>
        </a:prstGeom>
        <a:noFill xmlns:a="http://schemas.openxmlformats.org/drawingml/2006/main"/>
        <a:ln xmlns:a="http://schemas.openxmlformats.org/drawingml/2006/main">
          <a:solidFill>
            <a:srgbClr val="7030A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ko-KR" altLang="en-US" sz="1100"/>
        </a:p>
      </cdr:txBody>
    </cdr:sp>
  </cdr:relSizeAnchor>
  <cdr:relSizeAnchor xmlns:cdr="http://schemas.openxmlformats.org/drawingml/2006/chartDrawing">
    <cdr:from>
      <cdr:x>0.31044</cdr:x>
      <cdr:y>0.23455</cdr:y>
    </cdr:from>
    <cdr:to>
      <cdr:x>0.37629</cdr:x>
      <cdr:y>0.87605</cdr:y>
    </cdr:to>
    <cdr:sp macro="" textlink="">
      <cdr:nvSpPr>
        <cdr:cNvPr id="4" name="직사각형 3"/>
        <cdr:cNvSpPr/>
      </cdr:nvSpPr>
      <cdr:spPr>
        <a:xfrm xmlns:a="http://schemas.openxmlformats.org/drawingml/2006/main">
          <a:off x="1396990" y="670987"/>
          <a:ext cx="296325" cy="1835160"/>
        </a:xfrm>
        <a:prstGeom xmlns:a="http://schemas.openxmlformats.org/drawingml/2006/main" prst="rect">
          <a:avLst/>
        </a:prstGeom>
        <a:noFill xmlns:a="http://schemas.openxmlformats.org/drawingml/2006/main"/>
        <a:ln xmlns:a="http://schemas.openxmlformats.org/drawingml/2006/main">
          <a:solidFill>
            <a:srgbClr val="7030A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ko-KR" altLang="en-US" sz="1100"/>
        </a:p>
      </cdr:txBody>
    </cdr:sp>
  </cdr:relSizeAnchor>
  <cdr:relSizeAnchor xmlns:cdr="http://schemas.openxmlformats.org/drawingml/2006/chartDrawing">
    <cdr:from>
      <cdr:x>0.66792</cdr:x>
      <cdr:y>0.70217</cdr:y>
    </cdr:from>
    <cdr:to>
      <cdr:x>0.73378</cdr:x>
      <cdr:y>0.87605</cdr:y>
    </cdr:to>
    <cdr:sp macro="" textlink="">
      <cdr:nvSpPr>
        <cdr:cNvPr id="5" name="직사각형 4"/>
        <cdr:cNvSpPr/>
      </cdr:nvSpPr>
      <cdr:spPr>
        <a:xfrm xmlns:a="http://schemas.openxmlformats.org/drawingml/2006/main">
          <a:off x="3005640" y="2008721"/>
          <a:ext cx="296370" cy="497424"/>
        </a:xfrm>
        <a:prstGeom xmlns:a="http://schemas.openxmlformats.org/drawingml/2006/main" prst="rect">
          <a:avLst/>
        </a:prstGeom>
        <a:noFill xmlns:a="http://schemas.openxmlformats.org/drawingml/2006/main"/>
        <a:ln xmlns:a="http://schemas.openxmlformats.org/drawingml/2006/main">
          <a:solidFill>
            <a:srgbClr val="7030A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ko-KR" altLang="en-US" sz="1100"/>
        </a:p>
      </cdr:txBody>
    </cdr:sp>
  </cdr:relSizeAnchor>
  <cdr:relSizeAnchor xmlns:cdr="http://schemas.openxmlformats.org/drawingml/2006/chartDrawing">
    <cdr:from>
      <cdr:x>0.84479</cdr:x>
      <cdr:y>0.47724</cdr:y>
    </cdr:from>
    <cdr:to>
      <cdr:x>0.91064</cdr:x>
      <cdr:y>0.88492</cdr:y>
    </cdr:to>
    <cdr:sp macro="" textlink="">
      <cdr:nvSpPr>
        <cdr:cNvPr id="6" name="직사각형 5"/>
        <cdr:cNvSpPr/>
      </cdr:nvSpPr>
      <cdr:spPr>
        <a:xfrm xmlns:a="http://schemas.openxmlformats.org/drawingml/2006/main">
          <a:off x="3801536" y="1365253"/>
          <a:ext cx="296325" cy="1166264"/>
        </a:xfrm>
        <a:prstGeom xmlns:a="http://schemas.openxmlformats.org/drawingml/2006/main" prst="rect">
          <a:avLst/>
        </a:prstGeom>
        <a:noFill xmlns:a="http://schemas.openxmlformats.org/drawingml/2006/main"/>
        <a:ln xmlns:a="http://schemas.openxmlformats.org/drawingml/2006/main">
          <a:solidFill>
            <a:srgbClr val="7030A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ko-KR" altLang="en-US" sz="1100"/>
        </a:p>
      </cdr:txBody>
    </cdr:sp>
  </cdr:relSizeAnchor>
  <cdr:relSizeAnchor xmlns:cdr="http://schemas.openxmlformats.org/drawingml/2006/chartDrawing">
    <cdr:from>
      <cdr:x>0.28598</cdr:x>
      <cdr:y>0.08583</cdr:y>
    </cdr:from>
    <cdr:to>
      <cdr:x>0.39322</cdr:x>
      <cdr:y>0.24269</cdr:y>
    </cdr:to>
    <cdr:sp macro="" textlink="">
      <cdr:nvSpPr>
        <cdr:cNvPr id="7" name="TextBox 1"/>
        <cdr:cNvSpPr txBox="1"/>
      </cdr:nvSpPr>
      <cdr:spPr>
        <a:xfrm xmlns:a="http://schemas.openxmlformats.org/drawingml/2006/main">
          <a:off x="1286928" y="245535"/>
          <a:ext cx="482580" cy="448734"/>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ko-KR" sz="900">
              <a:solidFill>
                <a:srgbClr val="7030A0"/>
              </a:solidFill>
            </a:rPr>
            <a:t>19</a:t>
          </a:r>
          <a:r>
            <a:rPr lang="ko-KR" altLang="en-US" sz="900">
              <a:solidFill>
                <a:srgbClr val="7030A0"/>
              </a:solidFill>
            </a:rPr>
            <a:t>년</a:t>
          </a:r>
          <a:endParaRPr lang="en-US" altLang="ko-KR" sz="900">
            <a:solidFill>
              <a:srgbClr val="7030A0"/>
            </a:solidFill>
          </a:endParaRPr>
        </a:p>
        <a:p xmlns:a="http://schemas.openxmlformats.org/drawingml/2006/main">
          <a:pPr algn="ctr"/>
          <a:r>
            <a:rPr lang="en-US" altLang="ko-KR" sz="900">
              <a:solidFill>
                <a:srgbClr val="7030A0"/>
              </a:solidFill>
            </a:rPr>
            <a:t>18.26</a:t>
          </a:r>
          <a:endParaRPr lang="ko-KR" altLang="en-US" sz="900">
            <a:solidFill>
              <a:srgbClr val="7030A0"/>
            </a:solidFill>
          </a:endParaRPr>
        </a:p>
      </cdr:txBody>
    </cdr:sp>
  </cdr:relSizeAnchor>
  <cdr:relSizeAnchor xmlns:cdr="http://schemas.openxmlformats.org/drawingml/2006/chartDrawing">
    <cdr:from>
      <cdr:x>0.47601</cdr:x>
      <cdr:y>0.59192</cdr:y>
    </cdr:from>
    <cdr:to>
      <cdr:x>0.57855</cdr:x>
      <cdr:y>0.74878</cdr:y>
    </cdr:to>
    <cdr:sp macro="" textlink="">
      <cdr:nvSpPr>
        <cdr:cNvPr id="8" name="TextBox 1"/>
        <cdr:cNvSpPr txBox="1"/>
      </cdr:nvSpPr>
      <cdr:spPr>
        <a:xfrm xmlns:a="http://schemas.openxmlformats.org/drawingml/2006/main">
          <a:off x="2142066" y="1693328"/>
          <a:ext cx="461430" cy="44873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ko-KR" sz="900">
              <a:solidFill>
                <a:srgbClr val="7030A0"/>
              </a:solidFill>
            </a:rPr>
            <a:t>19</a:t>
          </a:r>
          <a:r>
            <a:rPr lang="ko-KR" altLang="en-US" sz="900">
              <a:solidFill>
                <a:srgbClr val="7030A0"/>
              </a:solidFill>
            </a:rPr>
            <a:t>년</a:t>
          </a:r>
          <a:endParaRPr lang="en-US" altLang="ko-KR" sz="900">
            <a:solidFill>
              <a:srgbClr val="7030A0"/>
            </a:solidFill>
          </a:endParaRPr>
        </a:p>
        <a:p xmlns:a="http://schemas.openxmlformats.org/drawingml/2006/main">
          <a:pPr algn="ctr"/>
          <a:r>
            <a:rPr lang="en-US" altLang="ko-KR" sz="900">
              <a:solidFill>
                <a:srgbClr val="7030A0"/>
              </a:solidFill>
            </a:rPr>
            <a:t>3.34</a:t>
          </a:r>
          <a:endParaRPr lang="ko-KR" altLang="en-US" sz="900">
            <a:solidFill>
              <a:srgbClr val="7030A0"/>
            </a:solidFill>
          </a:endParaRPr>
        </a:p>
      </cdr:txBody>
    </cdr:sp>
  </cdr:relSizeAnchor>
  <cdr:relSizeAnchor xmlns:cdr="http://schemas.openxmlformats.org/drawingml/2006/chartDrawing">
    <cdr:from>
      <cdr:x>0.65475</cdr:x>
      <cdr:y>0.69551</cdr:y>
    </cdr:from>
    <cdr:to>
      <cdr:x>0.75729</cdr:x>
      <cdr:y>0.85237</cdr:y>
    </cdr:to>
    <cdr:sp macro="" textlink="">
      <cdr:nvSpPr>
        <cdr:cNvPr id="9" name="TextBox 1"/>
        <cdr:cNvSpPr txBox="1"/>
      </cdr:nvSpPr>
      <cdr:spPr>
        <a:xfrm xmlns:a="http://schemas.openxmlformats.org/drawingml/2006/main">
          <a:off x="2946387" y="1989668"/>
          <a:ext cx="461430" cy="448734"/>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ko-KR" sz="900">
              <a:solidFill>
                <a:srgbClr val="7030A0"/>
              </a:solidFill>
            </a:rPr>
            <a:t>19</a:t>
          </a:r>
          <a:r>
            <a:rPr lang="ko-KR" altLang="en-US" sz="900">
              <a:solidFill>
                <a:srgbClr val="7030A0"/>
              </a:solidFill>
            </a:rPr>
            <a:t>년</a:t>
          </a:r>
          <a:endParaRPr lang="en-US" altLang="ko-KR" sz="900">
            <a:solidFill>
              <a:srgbClr val="7030A0"/>
            </a:solidFill>
          </a:endParaRPr>
        </a:p>
        <a:p xmlns:a="http://schemas.openxmlformats.org/drawingml/2006/main">
          <a:pPr algn="ctr"/>
          <a:r>
            <a:rPr lang="en-US" altLang="ko-KR" sz="900">
              <a:solidFill>
                <a:srgbClr val="7030A0"/>
              </a:solidFill>
            </a:rPr>
            <a:t>5.48</a:t>
          </a:r>
          <a:endParaRPr lang="ko-KR" altLang="en-US" sz="900">
            <a:solidFill>
              <a:srgbClr val="7030A0"/>
            </a:solidFill>
          </a:endParaRPr>
        </a:p>
      </cdr:txBody>
    </cdr:sp>
  </cdr:relSizeAnchor>
  <cdr:relSizeAnchor xmlns:cdr="http://schemas.openxmlformats.org/drawingml/2006/chartDrawing">
    <cdr:from>
      <cdr:x>0.82597</cdr:x>
      <cdr:y>0.31964</cdr:y>
    </cdr:from>
    <cdr:to>
      <cdr:x>0.93322</cdr:x>
      <cdr:y>0.4765</cdr:y>
    </cdr:to>
    <cdr:sp macro="" textlink="">
      <cdr:nvSpPr>
        <cdr:cNvPr id="10" name="TextBox 1"/>
        <cdr:cNvSpPr txBox="1"/>
      </cdr:nvSpPr>
      <cdr:spPr>
        <a:xfrm xmlns:a="http://schemas.openxmlformats.org/drawingml/2006/main">
          <a:off x="3716865" y="914405"/>
          <a:ext cx="482625" cy="448734"/>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ko-KR" sz="900">
              <a:solidFill>
                <a:srgbClr val="7030A0"/>
              </a:solidFill>
            </a:rPr>
            <a:t>19</a:t>
          </a:r>
          <a:r>
            <a:rPr lang="ko-KR" altLang="en-US" sz="900">
              <a:solidFill>
                <a:srgbClr val="7030A0"/>
              </a:solidFill>
            </a:rPr>
            <a:t>년</a:t>
          </a:r>
          <a:endParaRPr lang="en-US" altLang="ko-KR" sz="900">
            <a:solidFill>
              <a:srgbClr val="7030A0"/>
            </a:solidFill>
          </a:endParaRPr>
        </a:p>
        <a:p xmlns:a="http://schemas.openxmlformats.org/drawingml/2006/main">
          <a:pPr algn="ctr"/>
          <a:r>
            <a:rPr lang="en-US" altLang="ko-KR" sz="900">
              <a:solidFill>
                <a:srgbClr val="7030A0"/>
              </a:solidFill>
            </a:rPr>
            <a:t>11.55</a:t>
          </a:r>
          <a:endParaRPr lang="ko-KR" altLang="en-US" sz="900">
            <a:solidFill>
              <a:srgbClr val="7030A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56</xdr:col>
      <xdr:colOff>301625</xdr:colOff>
      <xdr:row>164</xdr:row>
      <xdr:rowOff>31750</xdr:rowOff>
    </xdr:from>
    <xdr:to>
      <xdr:col>59</xdr:col>
      <xdr:colOff>695482</xdr:colOff>
      <xdr:row>175</xdr:row>
      <xdr:rowOff>32950</xdr:rowOff>
    </xdr:to>
    <xdr:graphicFrame macro="">
      <xdr:nvGraphicFramePr>
        <xdr:cNvPr id="32" name="차트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762450</xdr:colOff>
      <xdr:row>93</xdr:row>
      <xdr:rowOff>268061</xdr:rowOff>
    </xdr:from>
    <xdr:to>
      <xdr:col>50</xdr:col>
      <xdr:colOff>622907</xdr:colOff>
      <xdr:row>107</xdr:row>
      <xdr:rowOff>56175</xdr:rowOff>
    </xdr:to>
    <xdr:graphicFrame macro="">
      <xdr:nvGraphicFramePr>
        <xdr:cNvPr id="29" name="차트 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50</xdr:col>
      <xdr:colOff>709383</xdr:colOff>
      <xdr:row>93</xdr:row>
      <xdr:rowOff>268061</xdr:rowOff>
    </xdr:from>
    <xdr:to>
      <xdr:col>54</xdr:col>
      <xdr:colOff>460983</xdr:colOff>
      <xdr:row>107</xdr:row>
      <xdr:rowOff>56175</xdr:rowOff>
    </xdr:to>
    <xdr:graphicFrame macro="">
      <xdr:nvGraphicFramePr>
        <xdr:cNvPr id="30" name="차트 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553355</xdr:colOff>
      <xdr:row>93</xdr:row>
      <xdr:rowOff>268061</xdr:rowOff>
    </xdr:from>
    <xdr:to>
      <xdr:col>57</xdr:col>
      <xdr:colOff>860126</xdr:colOff>
      <xdr:row>107</xdr:row>
      <xdr:rowOff>56175</xdr:rowOff>
    </xdr:to>
    <xdr:graphicFrame macro="">
      <xdr:nvGraphicFramePr>
        <xdr:cNvPr id="31" name="차트 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567415</xdr:colOff>
      <xdr:row>146</xdr:row>
      <xdr:rowOff>100692</xdr:rowOff>
    </xdr:from>
    <xdr:to>
      <xdr:col>50</xdr:col>
      <xdr:colOff>690587</xdr:colOff>
      <xdr:row>159</xdr:row>
      <xdr:rowOff>150406</xdr:rowOff>
    </xdr:to>
    <xdr:graphicFrame macro="">
      <xdr:nvGraphicFramePr>
        <xdr:cNvPr id="3" name="고객불만"/>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51</xdr:col>
      <xdr:colOff>37194</xdr:colOff>
      <xdr:row>146</xdr:row>
      <xdr:rowOff>100692</xdr:rowOff>
    </xdr:from>
    <xdr:to>
      <xdr:col>55</xdr:col>
      <xdr:colOff>867937</xdr:colOff>
      <xdr:row>159</xdr:row>
      <xdr:rowOff>150405</xdr:rowOff>
    </xdr:to>
    <xdr:graphicFrame macro="">
      <xdr:nvGraphicFramePr>
        <xdr:cNvPr id="18" name="차트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1016000</xdr:colOff>
      <xdr:row>170</xdr:row>
      <xdr:rowOff>88900</xdr:rowOff>
    </xdr:from>
    <xdr:to>
      <xdr:col>17</xdr:col>
      <xdr:colOff>492125</xdr:colOff>
      <xdr:row>183</xdr:row>
      <xdr:rowOff>149225</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777875</xdr:colOff>
      <xdr:row>170</xdr:row>
      <xdr:rowOff>19050</xdr:rowOff>
    </xdr:from>
    <xdr:to>
      <xdr:col>40</xdr:col>
      <xdr:colOff>549275</xdr:colOff>
      <xdr:row>183</xdr:row>
      <xdr:rowOff>79375</xdr:rowOff>
    </xdr:to>
    <xdr:graphicFrame macro="">
      <xdr:nvGraphicFramePr>
        <xdr:cNvPr id="33" name="차트 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40</xdr:col>
      <xdr:colOff>812800</xdr:colOff>
      <xdr:row>170</xdr:row>
      <xdr:rowOff>203200</xdr:rowOff>
    </xdr:from>
    <xdr:to>
      <xdr:col>43</xdr:col>
      <xdr:colOff>590550</xdr:colOff>
      <xdr:row>184</xdr:row>
      <xdr:rowOff>57150</xdr:rowOff>
    </xdr:to>
    <xdr:graphicFrame macro="">
      <xdr:nvGraphicFramePr>
        <xdr:cNvPr id="34" name="차트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885825</xdr:colOff>
      <xdr:row>185</xdr:row>
      <xdr:rowOff>6350</xdr:rowOff>
    </xdr:from>
    <xdr:to>
      <xdr:col>43</xdr:col>
      <xdr:colOff>663575</xdr:colOff>
      <xdr:row>198</xdr:row>
      <xdr:rowOff>66675</xdr:rowOff>
    </xdr:to>
    <xdr:graphicFrame macro="">
      <xdr:nvGraphicFramePr>
        <xdr:cNvPr id="35" name="차트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59</xdr:col>
      <xdr:colOff>787393</xdr:colOff>
      <xdr:row>164</xdr:row>
      <xdr:rowOff>31750</xdr:rowOff>
    </xdr:from>
    <xdr:to>
      <xdr:col>64</xdr:col>
      <xdr:colOff>49136</xdr:colOff>
      <xdr:row>175</xdr:row>
      <xdr:rowOff>32950</xdr:rowOff>
    </xdr:to>
    <xdr:graphicFrame macro="">
      <xdr:nvGraphicFramePr>
        <xdr:cNvPr id="36" name="차트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64</xdr:col>
      <xdr:colOff>151936</xdr:colOff>
      <xdr:row>164</xdr:row>
      <xdr:rowOff>31750</xdr:rowOff>
    </xdr:from>
    <xdr:to>
      <xdr:col>68</xdr:col>
      <xdr:colOff>164793</xdr:colOff>
      <xdr:row>175</xdr:row>
      <xdr:rowOff>32950</xdr:rowOff>
    </xdr:to>
    <xdr:graphicFrame macro="">
      <xdr:nvGraphicFramePr>
        <xdr:cNvPr id="37" name="차트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56</xdr:col>
      <xdr:colOff>301625</xdr:colOff>
      <xdr:row>175</xdr:row>
      <xdr:rowOff>79376</xdr:rowOff>
    </xdr:from>
    <xdr:to>
      <xdr:col>59</xdr:col>
      <xdr:colOff>695482</xdr:colOff>
      <xdr:row>187</xdr:row>
      <xdr:rowOff>58804</xdr:rowOff>
    </xdr:to>
    <xdr:graphicFrame macro="">
      <xdr:nvGraphicFramePr>
        <xdr:cNvPr id="38" name="차트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59</xdr:col>
      <xdr:colOff>787393</xdr:colOff>
      <xdr:row>175</xdr:row>
      <xdr:rowOff>79376</xdr:rowOff>
    </xdr:from>
    <xdr:to>
      <xdr:col>64</xdr:col>
      <xdr:colOff>49136</xdr:colOff>
      <xdr:row>187</xdr:row>
      <xdr:rowOff>58804</xdr:rowOff>
    </xdr:to>
    <xdr:graphicFrame macro="">
      <xdr:nvGraphicFramePr>
        <xdr:cNvPr id="39" name="차트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59</xdr:col>
      <xdr:colOff>536567</xdr:colOff>
      <xdr:row>20</xdr:row>
      <xdr:rowOff>187324</xdr:rowOff>
    </xdr:from>
    <xdr:to>
      <xdr:col>63</xdr:col>
      <xdr:colOff>592967</xdr:colOff>
      <xdr:row>30</xdr:row>
      <xdr:rowOff>134096</xdr:rowOff>
    </xdr:to>
    <xdr:graphicFrame macro="">
      <xdr:nvGraphicFramePr>
        <xdr:cNvPr id="40" name="차트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63</xdr:col>
      <xdr:colOff>672181</xdr:colOff>
      <xdr:row>20</xdr:row>
      <xdr:rowOff>187324</xdr:rowOff>
    </xdr:from>
    <xdr:to>
      <xdr:col>67</xdr:col>
      <xdr:colOff>685038</xdr:colOff>
      <xdr:row>30</xdr:row>
      <xdr:rowOff>134096</xdr:rowOff>
    </xdr:to>
    <xdr:graphicFrame macro="">
      <xdr:nvGraphicFramePr>
        <xdr:cNvPr id="41" name="차트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56</xdr:col>
      <xdr:colOff>51706</xdr:colOff>
      <xdr:row>30</xdr:row>
      <xdr:rowOff>217264</xdr:rowOff>
    </xdr:from>
    <xdr:to>
      <xdr:col>59</xdr:col>
      <xdr:colOff>445563</xdr:colOff>
      <xdr:row>41</xdr:row>
      <xdr:rowOff>87835</xdr:rowOff>
    </xdr:to>
    <xdr:graphicFrame macro="">
      <xdr:nvGraphicFramePr>
        <xdr:cNvPr id="42" name="차트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59</xdr:col>
      <xdr:colOff>536567</xdr:colOff>
      <xdr:row>30</xdr:row>
      <xdr:rowOff>217264</xdr:rowOff>
    </xdr:from>
    <xdr:to>
      <xdr:col>63</xdr:col>
      <xdr:colOff>592967</xdr:colOff>
      <xdr:row>41</xdr:row>
      <xdr:rowOff>87835</xdr:rowOff>
    </xdr:to>
    <xdr:graphicFrame macro="">
      <xdr:nvGraphicFramePr>
        <xdr:cNvPr id="43" name="차트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63</xdr:col>
      <xdr:colOff>672181</xdr:colOff>
      <xdr:row>30</xdr:row>
      <xdr:rowOff>217264</xdr:rowOff>
    </xdr:from>
    <xdr:to>
      <xdr:col>67</xdr:col>
      <xdr:colOff>685038</xdr:colOff>
      <xdr:row>41</xdr:row>
      <xdr:rowOff>87835</xdr:rowOff>
    </xdr:to>
    <xdr:graphicFrame macro="">
      <xdr:nvGraphicFramePr>
        <xdr:cNvPr id="44" name="차트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56</xdr:col>
      <xdr:colOff>51706</xdr:colOff>
      <xdr:row>20</xdr:row>
      <xdr:rowOff>187324</xdr:rowOff>
    </xdr:from>
    <xdr:to>
      <xdr:col>59</xdr:col>
      <xdr:colOff>445563</xdr:colOff>
      <xdr:row>30</xdr:row>
      <xdr:rowOff>134096</xdr:rowOff>
    </xdr:to>
    <xdr:graphicFrame macro="">
      <xdr:nvGraphicFramePr>
        <xdr:cNvPr id="45" name="차트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64</xdr:col>
      <xdr:colOff>151936</xdr:colOff>
      <xdr:row>175</xdr:row>
      <xdr:rowOff>79376</xdr:rowOff>
    </xdr:from>
    <xdr:to>
      <xdr:col>68</xdr:col>
      <xdr:colOff>164793</xdr:colOff>
      <xdr:row>187</xdr:row>
      <xdr:rowOff>58804</xdr:rowOff>
    </xdr:to>
    <xdr:graphicFrame macro="">
      <xdr:nvGraphicFramePr>
        <xdr:cNvPr id="46" name="차트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59</xdr:col>
      <xdr:colOff>735238</xdr:colOff>
      <xdr:row>52</xdr:row>
      <xdr:rowOff>52256</xdr:rowOff>
    </xdr:from>
    <xdr:to>
      <xdr:col>63</xdr:col>
      <xdr:colOff>791638</xdr:colOff>
      <xdr:row>63</xdr:row>
      <xdr:rowOff>140542</xdr:rowOff>
    </xdr:to>
    <xdr:graphicFrame macro="">
      <xdr:nvGraphicFramePr>
        <xdr:cNvPr id="47" name="차트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64</xdr:col>
      <xdr:colOff>91614</xdr:colOff>
      <xdr:row>52</xdr:row>
      <xdr:rowOff>52256</xdr:rowOff>
    </xdr:from>
    <xdr:to>
      <xdr:col>68</xdr:col>
      <xdr:colOff>104471</xdr:colOff>
      <xdr:row>63</xdr:row>
      <xdr:rowOff>140542</xdr:rowOff>
    </xdr:to>
    <xdr:graphicFrame macro="">
      <xdr:nvGraphicFramePr>
        <xdr:cNvPr id="48" name="차트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56</xdr:col>
      <xdr:colOff>250376</xdr:colOff>
      <xdr:row>65</xdr:row>
      <xdr:rowOff>131994</xdr:rowOff>
    </xdr:from>
    <xdr:to>
      <xdr:col>59</xdr:col>
      <xdr:colOff>644233</xdr:colOff>
      <xdr:row>75</xdr:row>
      <xdr:rowOff>133194</xdr:rowOff>
    </xdr:to>
    <xdr:graphicFrame macro="">
      <xdr:nvGraphicFramePr>
        <xdr:cNvPr id="49" name="차트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59</xdr:col>
      <xdr:colOff>738866</xdr:colOff>
      <xdr:row>65</xdr:row>
      <xdr:rowOff>131994</xdr:rowOff>
    </xdr:from>
    <xdr:to>
      <xdr:col>64</xdr:col>
      <xdr:colOff>609</xdr:colOff>
      <xdr:row>75</xdr:row>
      <xdr:rowOff>133194</xdr:rowOff>
    </xdr:to>
    <xdr:graphicFrame macro="">
      <xdr:nvGraphicFramePr>
        <xdr:cNvPr id="50" name="차트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64</xdr:col>
      <xdr:colOff>91614</xdr:colOff>
      <xdr:row>65</xdr:row>
      <xdr:rowOff>131994</xdr:rowOff>
    </xdr:from>
    <xdr:to>
      <xdr:col>68</xdr:col>
      <xdr:colOff>104471</xdr:colOff>
      <xdr:row>75</xdr:row>
      <xdr:rowOff>133194</xdr:rowOff>
    </xdr:to>
    <xdr:graphicFrame macro="">
      <xdr:nvGraphicFramePr>
        <xdr:cNvPr id="51" name="차트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56</xdr:col>
      <xdr:colOff>250376</xdr:colOff>
      <xdr:row>52</xdr:row>
      <xdr:rowOff>52255</xdr:rowOff>
    </xdr:from>
    <xdr:to>
      <xdr:col>59</xdr:col>
      <xdr:colOff>644234</xdr:colOff>
      <xdr:row>63</xdr:row>
      <xdr:rowOff>140541</xdr:rowOff>
    </xdr:to>
    <xdr:grpSp>
      <xdr:nvGrpSpPr>
        <xdr:cNvPr id="52" name="그룹 51"/>
        <xdr:cNvGrpSpPr/>
      </xdr:nvGrpSpPr>
      <xdr:grpSpPr>
        <a:xfrm>
          <a:off x="26321662" y="14051284"/>
          <a:ext cx="2952001" cy="2592000"/>
          <a:chOff x="27883052" y="6640572"/>
          <a:chExt cx="2979214" cy="2049182"/>
        </a:xfrm>
      </xdr:grpSpPr>
      <xdr:graphicFrame macro="">
        <xdr:nvGraphicFramePr>
          <xdr:cNvPr id="53" name="차트 52"/>
          <xdr:cNvGraphicFramePr/>
        </xdr:nvGraphicFramePr>
        <xdr:xfrm>
          <a:off x="27883052" y="6640572"/>
          <a:ext cx="2979214" cy="2049182"/>
        </xdr:xfrm>
        <a:graphic>
          <a:graphicData uri="http://schemas.openxmlformats.org/drawingml/2006/chart">
            <c:chart xmlns:c="http://schemas.openxmlformats.org/drawingml/2006/chart" xmlns:r="http://schemas.openxmlformats.org/officeDocument/2006/relationships" r:id="rId27"/>
          </a:graphicData>
        </a:graphic>
      </xdr:graphicFrame>
      <xdr:sp macro="" textlink="">
        <xdr:nvSpPr>
          <xdr:cNvPr id="54" name="TextBox 53"/>
          <xdr:cNvSpPr txBox="1"/>
        </xdr:nvSpPr>
        <xdr:spPr>
          <a:xfrm>
            <a:off x="28725180" y="6993898"/>
            <a:ext cx="1333500"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200" b="1">
                <a:solidFill>
                  <a:srgbClr val="FF0000"/>
                </a:solidFill>
              </a:rPr>
              <a:t>(</a:t>
            </a:r>
            <a:r>
              <a:rPr lang="ko-KR" altLang="en-US" sz="1200" b="1">
                <a:solidFill>
                  <a:srgbClr val="FF0000"/>
                </a:solidFill>
              </a:rPr>
              <a:t>목표 </a:t>
            </a:r>
            <a:r>
              <a:rPr lang="en-US" altLang="ko-KR" sz="1200" b="1">
                <a:solidFill>
                  <a:srgbClr val="FF0000"/>
                </a:solidFill>
              </a:rPr>
              <a:t>: 99.67%)</a:t>
            </a:r>
            <a:endParaRPr lang="ko-KR" altLang="en-US" sz="1200" b="1">
              <a:solidFill>
                <a:srgbClr val="FF0000"/>
              </a:solidFill>
            </a:endParaRPr>
          </a:p>
        </xdr:txBody>
      </xdr:sp>
    </xdr:grpSp>
    <xdr:clientData/>
  </xdr:twoCellAnchor>
</xdr:wsDr>
</file>

<file path=xl/drawings/drawing13.xml><?xml version="1.0" encoding="utf-8"?>
<c:userShapes xmlns:c="http://schemas.openxmlformats.org/drawingml/2006/chart">
  <cdr:relSizeAnchor xmlns:cdr="http://schemas.openxmlformats.org/drawingml/2006/chartDrawing">
    <cdr:from>
      <cdr:x>0.27534</cdr:x>
      <cdr:y>0.15859</cdr:y>
    </cdr:from>
    <cdr:to>
      <cdr:x>0.72707</cdr:x>
      <cdr:y>0.28554</cdr:y>
    </cdr:to>
    <cdr:sp macro="" textlink="">
      <cdr:nvSpPr>
        <cdr:cNvPr id="2" name="TextBox 1"/>
        <cdr:cNvSpPr txBox="1"/>
      </cdr:nvSpPr>
      <cdr:spPr>
        <a:xfrm xmlns:a="http://schemas.openxmlformats.org/drawingml/2006/main">
          <a:off x="812800" y="390978"/>
          <a:ext cx="1333500" cy="31296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1200" b="1">
              <a:solidFill>
                <a:srgbClr val="FF0000"/>
              </a:solidFill>
            </a:rPr>
            <a:t>(</a:t>
          </a:r>
          <a:r>
            <a:rPr lang="ko-KR" altLang="en-US" sz="1200" b="1">
              <a:solidFill>
                <a:srgbClr val="FF0000"/>
              </a:solidFill>
            </a:rPr>
            <a:t>목표 </a:t>
          </a:r>
          <a:r>
            <a:rPr lang="en-US" altLang="ko-KR" sz="1200" b="1">
              <a:solidFill>
                <a:srgbClr val="FF0000"/>
              </a:solidFill>
            </a:rPr>
            <a:t>: 98.00%)</a:t>
          </a:r>
          <a:endParaRPr lang="ko-KR" altLang="en-US" sz="1200" b="1">
            <a:solidFill>
              <a:srgbClr val="FF0000"/>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0.27995</cdr:x>
      <cdr:y>0.11996</cdr:y>
    </cdr:from>
    <cdr:to>
      <cdr:x>0.73168</cdr:x>
      <cdr:y>0.24691</cdr:y>
    </cdr:to>
    <cdr:sp macro="" textlink="">
      <cdr:nvSpPr>
        <cdr:cNvPr id="2" name="TextBox 1"/>
        <cdr:cNvSpPr txBox="1"/>
      </cdr:nvSpPr>
      <cdr:spPr>
        <a:xfrm xmlns:a="http://schemas.openxmlformats.org/drawingml/2006/main">
          <a:off x="826408" y="295728"/>
          <a:ext cx="1333500" cy="31296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1200" b="1">
              <a:solidFill>
                <a:srgbClr val="FF0000"/>
              </a:solidFill>
            </a:rPr>
            <a:t>(</a:t>
          </a:r>
          <a:r>
            <a:rPr lang="ko-KR" altLang="en-US" sz="1200" b="1">
              <a:solidFill>
                <a:srgbClr val="FF0000"/>
              </a:solidFill>
            </a:rPr>
            <a:t>목표 </a:t>
          </a:r>
          <a:r>
            <a:rPr lang="en-US" altLang="ko-KR" sz="1200" b="1">
              <a:solidFill>
                <a:srgbClr val="FF0000"/>
              </a:solidFill>
            </a:rPr>
            <a:t>: 99.99%)</a:t>
          </a:r>
          <a:endParaRPr lang="ko-KR" altLang="en-US" sz="1200" b="1">
            <a:solidFill>
              <a:srgbClr val="FF0000"/>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0.27282</cdr:x>
      <cdr:y>0.12722</cdr:y>
    </cdr:from>
    <cdr:to>
      <cdr:x>0.72042</cdr:x>
      <cdr:y>0.24869</cdr:y>
    </cdr:to>
    <cdr:sp macro="" textlink="">
      <cdr:nvSpPr>
        <cdr:cNvPr id="2" name="TextBox 1"/>
        <cdr:cNvSpPr txBox="1"/>
      </cdr:nvSpPr>
      <cdr:spPr>
        <a:xfrm xmlns:a="http://schemas.openxmlformats.org/drawingml/2006/main">
          <a:off x="812789" y="293138"/>
          <a:ext cx="1333496" cy="2799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1200" b="1">
              <a:solidFill>
                <a:srgbClr val="FF0000"/>
              </a:solidFill>
            </a:rPr>
            <a:t>(</a:t>
          </a:r>
          <a:r>
            <a:rPr lang="ko-KR" altLang="en-US" sz="1200" b="1">
              <a:solidFill>
                <a:srgbClr val="FF0000"/>
              </a:solidFill>
            </a:rPr>
            <a:t>목표 </a:t>
          </a:r>
          <a:r>
            <a:rPr lang="en-US" altLang="ko-KR" sz="1200" b="1">
              <a:solidFill>
                <a:srgbClr val="FF0000"/>
              </a:solidFill>
            </a:rPr>
            <a:t>: 100.42%)</a:t>
          </a:r>
          <a:endParaRPr lang="ko-KR" altLang="en-US" sz="1200" b="1">
            <a:solidFill>
              <a:srgbClr val="FF0000"/>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0.27534</cdr:x>
      <cdr:y>0.13312</cdr:y>
    </cdr:from>
    <cdr:to>
      <cdr:x>0.72707</cdr:x>
      <cdr:y>0.25459</cdr:y>
    </cdr:to>
    <cdr:sp macro="" textlink="">
      <cdr:nvSpPr>
        <cdr:cNvPr id="2" name="TextBox 1"/>
        <cdr:cNvSpPr txBox="1"/>
      </cdr:nvSpPr>
      <cdr:spPr>
        <a:xfrm xmlns:a="http://schemas.openxmlformats.org/drawingml/2006/main">
          <a:off x="812804" y="306745"/>
          <a:ext cx="1333507" cy="2799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1200" b="1">
              <a:solidFill>
                <a:srgbClr val="FF0000"/>
              </a:solidFill>
            </a:rPr>
            <a:t>(</a:t>
          </a:r>
          <a:r>
            <a:rPr lang="ko-KR" altLang="en-US" sz="1200" b="1">
              <a:solidFill>
                <a:srgbClr val="FF0000"/>
              </a:solidFill>
            </a:rPr>
            <a:t>목표 </a:t>
          </a:r>
          <a:r>
            <a:rPr lang="en-US" altLang="ko-KR" sz="1200" b="1">
              <a:solidFill>
                <a:srgbClr val="FF0000"/>
              </a:solidFill>
            </a:rPr>
            <a:t>: 100.53%)</a:t>
          </a:r>
          <a:endParaRPr lang="ko-KR" altLang="en-US" sz="1200" b="1">
            <a:solidFill>
              <a:srgbClr val="FF0000"/>
            </a:solidFill>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0.27073</cdr:x>
      <cdr:y>0.14556</cdr:y>
    </cdr:from>
    <cdr:to>
      <cdr:x>0.72246</cdr:x>
      <cdr:y>0.26703</cdr:y>
    </cdr:to>
    <cdr:sp macro="" textlink="">
      <cdr:nvSpPr>
        <cdr:cNvPr id="2" name="TextBox 1"/>
        <cdr:cNvSpPr txBox="1"/>
      </cdr:nvSpPr>
      <cdr:spPr>
        <a:xfrm xmlns:a="http://schemas.openxmlformats.org/drawingml/2006/main">
          <a:off x="799195" y="335401"/>
          <a:ext cx="1333507" cy="27989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ko-KR" sz="1200" b="1">
              <a:solidFill>
                <a:srgbClr val="FF0000"/>
              </a:solidFill>
            </a:rPr>
            <a:t>(</a:t>
          </a:r>
          <a:r>
            <a:rPr lang="ko-KR" altLang="en-US" sz="1200" b="1">
              <a:solidFill>
                <a:srgbClr val="FF0000"/>
              </a:solidFill>
            </a:rPr>
            <a:t>목표 </a:t>
          </a:r>
          <a:r>
            <a:rPr lang="en-US" altLang="ko-KR" sz="1200" b="1">
              <a:solidFill>
                <a:srgbClr val="FF0000"/>
              </a:solidFill>
            </a:rPr>
            <a:t>: 100.57%)</a:t>
          </a:r>
          <a:endParaRPr lang="ko-KR" altLang="en-US" sz="1200" b="1">
            <a:solidFill>
              <a:srgbClr val="FF0000"/>
            </a:solidFill>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44</xdr:col>
      <xdr:colOff>417761</xdr:colOff>
      <xdr:row>7</xdr:row>
      <xdr:rowOff>151202</xdr:rowOff>
    </xdr:from>
    <xdr:to>
      <xdr:col>50</xdr:col>
      <xdr:colOff>501075</xdr:colOff>
      <xdr:row>18</xdr:row>
      <xdr:rowOff>99439</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665289</xdr:colOff>
      <xdr:row>7</xdr:row>
      <xdr:rowOff>140315</xdr:rowOff>
    </xdr:from>
    <xdr:to>
      <xdr:col>57</xdr:col>
      <xdr:colOff>73689</xdr:colOff>
      <xdr:row>18</xdr:row>
      <xdr:rowOff>88552</xdr:rowOff>
    </xdr:to>
    <xdr:graphicFrame macro="">
      <xdr:nvGraphicFramePr>
        <xdr:cNvPr id="3" name="차트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384000</xdr:colOff>
      <xdr:row>27</xdr:row>
      <xdr:rowOff>60960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365760</xdr:colOff>
      <xdr:row>0</xdr:row>
      <xdr:rowOff>0</xdr:rowOff>
    </xdr:from>
    <xdr:to>
      <xdr:col>3</xdr:col>
      <xdr:colOff>856440</xdr:colOff>
      <xdr:row>27</xdr:row>
      <xdr:rowOff>60960</xdr:rowOff>
    </xdr:to>
    <xdr:graphicFrame macro="">
      <xdr:nvGraphicFramePr>
        <xdr:cNvPr id="7" name="차트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0</xdr:row>
      <xdr:rowOff>0</xdr:rowOff>
    </xdr:from>
    <xdr:to>
      <xdr:col>4</xdr:col>
      <xdr:colOff>1344120</xdr:colOff>
      <xdr:row>27</xdr:row>
      <xdr:rowOff>60960</xdr:rowOff>
    </xdr:to>
    <xdr:graphicFrame macro="">
      <xdr:nvGraphicFramePr>
        <xdr:cNvPr id="8" name="차트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1333500</xdr:colOff>
      <xdr:row>0</xdr:row>
      <xdr:rowOff>0</xdr:rowOff>
    </xdr:from>
    <xdr:to>
      <xdr:col>6</xdr:col>
      <xdr:colOff>406860</xdr:colOff>
      <xdr:row>27</xdr:row>
      <xdr:rowOff>60960</xdr:rowOff>
    </xdr:to>
    <xdr:graphicFrame macro="">
      <xdr:nvGraphicFramePr>
        <xdr:cNvPr id="9" name="차트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350520</xdr:colOff>
      <xdr:row>0</xdr:row>
      <xdr:rowOff>0</xdr:rowOff>
    </xdr:from>
    <xdr:to>
      <xdr:col>8</xdr:col>
      <xdr:colOff>3000</xdr:colOff>
      <xdr:row>27</xdr:row>
      <xdr:rowOff>60960</xdr:rowOff>
    </xdr:to>
    <xdr:graphicFrame macro="">
      <xdr:nvGraphicFramePr>
        <xdr:cNvPr id="10" name="차트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40</xdr:row>
      <xdr:rowOff>0</xdr:rowOff>
    </xdr:from>
    <xdr:to>
      <xdr:col>2</xdr:col>
      <xdr:colOff>384000</xdr:colOff>
      <xdr:row>67</xdr:row>
      <xdr:rowOff>60960</xdr:rowOff>
    </xdr:to>
    <xdr:graphicFrame macro="">
      <xdr:nvGraphicFramePr>
        <xdr:cNvPr id="31" name="차트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365760</xdr:colOff>
      <xdr:row>40</xdr:row>
      <xdr:rowOff>0</xdr:rowOff>
    </xdr:from>
    <xdr:to>
      <xdr:col>3</xdr:col>
      <xdr:colOff>856440</xdr:colOff>
      <xdr:row>67</xdr:row>
      <xdr:rowOff>60960</xdr:rowOff>
    </xdr:to>
    <xdr:graphicFrame macro="">
      <xdr:nvGraphicFramePr>
        <xdr:cNvPr id="32" name="차트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853440</xdr:colOff>
      <xdr:row>40</xdr:row>
      <xdr:rowOff>0</xdr:rowOff>
    </xdr:from>
    <xdr:to>
      <xdr:col>4</xdr:col>
      <xdr:colOff>1344120</xdr:colOff>
      <xdr:row>67</xdr:row>
      <xdr:rowOff>60960</xdr:rowOff>
    </xdr:to>
    <xdr:graphicFrame macro="">
      <xdr:nvGraphicFramePr>
        <xdr:cNvPr id="33" name="차트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1333500</xdr:colOff>
      <xdr:row>40</xdr:row>
      <xdr:rowOff>0</xdr:rowOff>
    </xdr:from>
    <xdr:to>
      <xdr:col>6</xdr:col>
      <xdr:colOff>406860</xdr:colOff>
      <xdr:row>67</xdr:row>
      <xdr:rowOff>60960</xdr:rowOff>
    </xdr:to>
    <xdr:graphicFrame macro="">
      <xdr:nvGraphicFramePr>
        <xdr:cNvPr id="34" name="차트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350520</xdr:colOff>
      <xdr:row>40</xdr:row>
      <xdr:rowOff>0</xdr:rowOff>
    </xdr:from>
    <xdr:to>
      <xdr:col>8</xdr:col>
      <xdr:colOff>3000</xdr:colOff>
      <xdr:row>67</xdr:row>
      <xdr:rowOff>60960</xdr:rowOff>
    </xdr:to>
    <xdr:graphicFrame macro="">
      <xdr:nvGraphicFramePr>
        <xdr:cNvPr id="35" name="차트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ee\AppData\Local\Microsoft\Windows\Temporary%20Internet%20Files\Content.IE5\OG6PO4GR\2017&#45380;%20&#49457;&#44284;&#44060;&#49440;%20&#49892;&#51201;(5&#509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51060;&#49440;\&#51060;&#49440;&#44396;\&#54785;&#49888;&#54876;&#46041;\2016&#45380;\&#50900;%20&#48372;&#44256;\2016&#45380;%20&#49457;&#44284;&#44060;&#49440;%20&#49892;&#51201;(&#52572;&#5133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스크"/>
      <sheetName val="목표"/>
      <sheetName val="년간"/>
      <sheetName val="L D"/>
      <sheetName val="게시판"/>
      <sheetName val="Loss 금액"/>
      <sheetName val="Loss(월평균)"/>
      <sheetName val="종합"/>
      <sheetName val="아연"/>
      <sheetName val="종합 (2)"/>
      <sheetName val="CPL"/>
      <sheetName val="CRM"/>
      <sheetName val="CGL"/>
      <sheetName val="CGL 성과"/>
      <sheetName val="#1CCL"/>
      <sheetName val="#2CCL"/>
      <sheetName val="고장"/>
      <sheetName val="협력사"/>
      <sheetName val="성과개선 실적"/>
      <sheetName val="Sheet10"/>
      <sheetName val="경쟁사"/>
      <sheetName val="Sheet2"/>
      <sheetName val="Sheet9"/>
    </sheetNames>
    <sheetDataSet>
      <sheetData sheetId="0">
        <row r="21">
          <cell r="B21">
            <v>462.48</v>
          </cell>
        </row>
      </sheetData>
      <sheetData sheetId="1" refreshError="1"/>
      <sheetData sheetId="2">
        <row r="8">
          <cell r="J8">
            <v>26695.73</v>
          </cell>
        </row>
        <row r="20">
          <cell r="J20">
            <v>0</v>
          </cell>
        </row>
      </sheetData>
      <sheetData sheetId="3" refreshError="1"/>
      <sheetData sheetId="4" refreshError="1"/>
      <sheetData sheetId="5" refreshError="1"/>
      <sheetData sheetId="6" refreshError="1"/>
      <sheetData sheetId="7">
        <row r="45">
          <cell r="L45">
            <v>11.690000000000001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보고서 (2)"/>
      <sheetName val="스크"/>
      <sheetName val="년간"/>
      <sheetName val="보고서"/>
      <sheetName val="로스금액"/>
      <sheetName val="팀"/>
      <sheetName val="판재"/>
      <sheetName val="판출"/>
      <sheetName val="비상"/>
      <sheetName val="L D"/>
      <sheetName val="실적 게시"/>
      <sheetName val="종합"/>
      <sheetName val="아연"/>
      <sheetName val="종합 (2)"/>
      <sheetName val="CPL"/>
      <sheetName val="종합보고 (라인)"/>
      <sheetName val="CRM"/>
      <sheetName val="종합보고"/>
      <sheetName val="CGL"/>
      <sheetName val="CGL 성과"/>
      <sheetName val="#1CCL"/>
      <sheetName val="#2CCL"/>
      <sheetName val="고장"/>
      <sheetName val="설비"/>
      <sheetName val="협력사"/>
      <sheetName val="성과개선 실적"/>
      <sheetName val="경쟁사"/>
      <sheetName val="Sheet2"/>
      <sheetName val="Sheet3"/>
      <sheetName val="Sheet4"/>
      <sheetName val="Sheet5"/>
      <sheetName val="Sheet6"/>
      <sheetName val="Sheet7"/>
      <sheetName val="Sheet1"/>
      <sheetName val="Sheet8"/>
    </sheetNames>
    <sheetDataSet>
      <sheetData sheetId="0" refreshError="1"/>
      <sheetData sheetId="1" refreshError="1"/>
      <sheetData sheetId="2">
        <row r="56">
          <cell r="C56">
            <v>6444</v>
          </cell>
        </row>
        <row r="57">
          <cell r="C57">
            <v>6670</v>
          </cell>
        </row>
        <row r="58">
          <cell r="C58">
            <v>4426</v>
          </cell>
        </row>
        <row r="59">
          <cell r="C59">
            <v>1326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2.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D237"/>
  <sheetViews>
    <sheetView topLeftCell="Z1" zoomScale="70" zoomScaleNormal="70" workbookViewId="0">
      <pane ySplit="1" topLeftCell="A189" activePane="bottomLeft" state="frozen"/>
      <selection pane="bottomLeft" activeCell="Z193" sqref="Z193"/>
    </sheetView>
  </sheetViews>
  <sheetFormatPr defaultRowHeight="13.5"/>
  <cols>
    <col min="1" max="3" width="8.77734375" customWidth="1"/>
    <col min="5" max="8" width="8.6640625" customWidth="1"/>
    <col min="9" max="9" width="8.6640625" style="286" customWidth="1"/>
    <col min="10" max="10" width="8.6640625" customWidth="1"/>
    <col min="11" max="12" width="8.6640625" style="286" customWidth="1"/>
    <col min="13" max="20" width="8.6640625" style="286" hidden="1" customWidth="1"/>
    <col min="21" max="24" width="8.6640625" style="286" customWidth="1"/>
    <col min="25" max="26" width="14.109375" style="5177" customWidth="1"/>
    <col min="27" max="27" width="8.6640625" customWidth="1"/>
    <col min="28" max="28" width="14.88671875" style="361" customWidth="1"/>
    <col min="29" max="33" width="14.88671875" style="361" hidden="1" customWidth="1"/>
    <col min="34" max="38" width="14.21875" style="361" hidden="1" customWidth="1"/>
    <col min="39" max="40" width="14.21875" style="361" customWidth="1"/>
    <col min="41" max="41" width="8.6640625" style="286" customWidth="1"/>
    <col min="42" max="53" width="8.6640625" style="286" hidden="1" customWidth="1"/>
    <col min="54" max="54" width="8.6640625" style="286" customWidth="1"/>
    <col min="55" max="55" width="8" customWidth="1"/>
    <col min="56" max="56" width="21" customWidth="1"/>
    <col min="57" max="57" width="14.21875" bestFit="1" customWidth="1"/>
    <col min="59" max="59" width="11.88671875" customWidth="1"/>
    <col min="60" max="60" width="7.6640625" customWidth="1"/>
    <col min="61" max="61" width="7.21875" customWidth="1"/>
    <col min="62" max="63" width="8.6640625" hidden="1" customWidth="1"/>
    <col min="64" max="64" width="10.33203125" hidden="1" customWidth="1"/>
    <col min="65" max="66" width="10.33203125" customWidth="1"/>
    <col min="67" max="68" width="10.33203125" style="286" customWidth="1"/>
    <col min="69" max="69" width="10.33203125" style="286" hidden="1" customWidth="1"/>
    <col min="70" max="70" width="14.21875" customWidth="1"/>
    <col min="71" max="71" width="14.21875" style="286" customWidth="1"/>
    <col min="72" max="72" width="8.88671875" bestFit="1" customWidth="1"/>
    <col min="73" max="73" width="14.88671875" bestFit="1" customWidth="1"/>
    <col min="74" max="74" width="9.44140625" customWidth="1"/>
    <col min="75" max="76" width="9.44140625" style="286" customWidth="1"/>
    <col min="77" max="77" width="11.21875" customWidth="1"/>
    <col min="78" max="78" width="9.44140625" bestFit="1" customWidth="1"/>
    <col min="79" max="79" width="11.109375" customWidth="1"/>
    <col min="80" max="82" width="10.21875" bestFit="1" customWidth="1"/>
  </cols>
  <sheetData>
    <row r="1" spans="2:56" ht="33.75" thickBot="1">
      <c r="B1" s="2255" t="s">
        <v>248</v>
      </c>
      <c r="C1" s="2256" t="s">
        <v>249</v>
      </c>
      <c r="D1" s="2256" t="s">
        <v>230</v>
      </c>
      <c r="E1" s="2508" t="s">
        <v>543</v>
      </c>
      <c r="F1" s="2508" t="s">
        <v>718</v>
      </c>
      <c r="G1" s="2508" t="s">
        <v>979</v>
      </c>
      <c r="H1" s="2576" t="s">
        <v>1213</v>
      </c>
      <c r="I1" s="6015" t="s">
        <v>1898</v>
      </c>
      <c r="J1" s="2607" t="s">
        <v>1899</v>
      </c>
      <c r="K1" s="2607" t="s">
        <v>1900</v>
      </c>
      <c r="L1" s="2607" t="s">
        <v>1571</v>
      </c>
      <c r="M1" s="4216" t="s">
        <v>1608</v>
      </c>
      <c r="N1" s="4216" t="s">
        <v>1609</v>
      </c>
      <c r="O1" s="4216" t="s">
        <v>1610</v>
      </c>
      <c r="P1" s="4216" t="s">
        <v>1611</v>
      </c>
      <c r="Q1" s="4216" t="s">
        <v>1730</v>
      </c>
      <c r="R1" s="4216" t="s">
        <v>1613</v>
      </c>
      <c r="S1" s="4216" t="s">
        <v>1614</v>
      </c>
      <c r="T1" s="4216" t="s">
        <v>1615</v>
      </c>
      <c r="U1" s="4216" t="s">
        <v>1616</v>
      </c>
      <c r="V1" s="4216" t="s">
        <v>1617</v>
      </c>
      <c r="W1" s="4216" t="s">
        <v>1618</v>
      </c>
      <c r="X1" s="4217" t="s">
        <v>1619</v>
      </c>
      <c r="Y1" s="5441" t="s">
        <v>1919</v>
      </c>
      <c r="Z1" s="2786" t="s">
        <v>1920</v>
      </c>
      <c r="AA1" s="3075" t="s">
        <v>1601</v>
      </c>
      <c r="AB1" s="2786" t="s">
        <v>1572</v>
      </c>
      <c r="AC1" s="2786" t="s">
        <v>1575</v>
      </c>
      <c r="AD1" s="4239" t="s">
        <v>1576</v>
      </c>
      <c r="AE1" s="2786" t="s">
        <v>1577</v>
      </c>
      <c r="AF1" s="2786" t="s">
        <v>1578</v>
      </c>
      <c r="AG1" s="2786" t="s">
        <v>1579</v>
      </c>
      <c r="AH1" s="2786" t="s">
        <v>1580</v>
      </c>
      <c r="AI1" s="2786" t="s">
        <v>1581</v>
      </c>
      <c r="AJ1" s="2786" t="s">
        <v>1582</v>
      </c>
      <c r="AK1" s="2872" t="s">
        <v>1583</v>
      </c>
      <c r="AL1" s="2872" t="s">
        <v>1584</v>
      </c>
      <c r="AM1" s="2872" t="s">
        <v>1585</v>
      </c>
      <c r="AN1" s="2819" t="s">
        <v>1861</v>
      </c>
      <c r="AO1" s="3954" t="s">
        <v>1574</v>
      </c>
      <c r="AP1" s="3954" t="s">
        <v>1573</v>
      </c>
      <c r="AQ1" s="3954" t="s">
        <v>1588</v>
      </c>
      <c r="AR1" s="3954" t="s">
        <v>1589</v>
      </c>
      <c r="AS1" s="3954" t="s">
        <v>1590</v>
      </c>
      <c r="AT1" s="3954" t="s">
        <v>1591</v>
      </c>
      <c r="AU1" s="3954" t="s">
        <v>1592</v>
      </c>
      <c r="AV1" s="3954" t="s">
        <v>1593</v>
      </c>
      <c r="AW1" s="3954" t="s">
        <v>1594</v>
      </c>
      <c r="AX1" s="3954" t="s">
        <v>1595</v>
      </c>
      <c r="AY1" s="5327" t="s">
        <v>1596</v>
      </c>
      <c r="AZ1" s="5327" t="s">
        <v>1597</v>
      </c>
      <c r="BA1" s="5331" t="s">
        <v>1598</v>
      </c>
      <c r="BB1" s="5337" t="s">
        <v>1862</v>
      </c>
    </row>
    <row r="2" spans="2:56" ht="16.5">
      <c r="B2" s="7742" t="s">
        <v>265</v>
      </c>
      <c r="C2" s="2401" t="s">
        <v>95</v>
      </c>
      <c r="D2" s="1152" t="s">
        <v>448</v>
      </c>
      <c r="E2" s="1463">
        <v>59.260000000000005</v>
      </c>
      <c r="F2" s="2578">
        <f>종합!G17</f>
        <v>32</v>
      </c>
      <c r="G2" s="2578">
        <f>종합!H17</f>
        <v>8.3800000000000008</v>
      </c>
      <c r="H2" s="2578">
        <f>종합!I17</f>
        <v>24.889999999999997</v>
      </c>
      <c r="I2" s="2578">
        <f>종합!J17</f>
        <v>8.59</v>
      </c>
      <c r="J2" s="3202">
        <f>종합!K17</f>
        <v>4</v>
      </c>
      <c r="K2" s="4929">
        <f>종합!L17</f>
        <v>0.4</v>
      </c>
      <c r="L2" s="4184">
        <f>종합!M17</f>
        <v>0</v>
      </c>
      <c r="M2" s="3921">
        <f>종합!N17</f>
        <v>0</v>
      </c>
      <c r="N2" s="3921">
        <f>종합!O17</f>
        <v>0</v>
      </c>
      <c r="O2" s="3921">
        <f>종합!P17</f>
        <v>0</v>
      </c>
      <c r="P2" s="3921">
        <f>종합!Q17</f>
        <v>0</v>
      </c>
      <c r="Q2" s="3921">
        <f>종합!R17</f>
        <v>0</v>
      </c>
      <c r="R2" s="3921">
        <f>종합!S17</f>
        <v>0</v>
      </c>
      <c r="S2" s="3921">
        <f>종합!T17</f>
        <v>0</v>
      </c>
      <c r="T2" s="3921">
        <f>종합!U17</f>
        <v>0</v>
      </c>
      <c r="U2" s="3921">
        <f>종합!V17</f>
        <v>0</v>
      </c>
      <c r="V2" s="3921">
        <f>종합!W17</f>
        <v>0</v>
      </c>
      <c r="W2" s="3921">
        <f>종합!X17</f>
        <v>0</v>
      </c>
      <c r="X2" s="5023">
        <f>종합!Y17</f>
        <v>0</v>
      </c>
      <c r="Y2" s="3901">
        <f>($I$2-J2)*년간!$C$213</f>
        <v>2228431.23</v>
      </c>
      <c r="Z2" s="4712">
        <f>($I$2/10-K2)*년간!$C$213</f>
        <v>222843.12299999999</v>
      </c>
      <c r="AA2" s="4219">
        <f>Y2/년간!E8</f>
        <v>7.8906542522679466</v>
      </c>
      <c r="AB2" s="4109">
        <f>($I$2/12-L2)*년간!$C$213</f>
        <v>347534.93583333335</v>
      </c>
      <c r="AC2" s="4109">
        <f>($I$2/12-M2)*년간!$C$213</f>
        <v>347534.93583333335</v>
      </c>
      <c r="AD2" s="4109">
        <f>($I$2/12-N2)*년간!$C$213</f>
        <v>347534.93583333335</v>
      </c>
      <c r="AE2" s="4109">
        <f>($I$2/12-O2)*년간!$C$213</f>
        <v>347534.93583333335</v>
      </c>
      <c r="AF2" s="4109">
        <f>($I$2/12-P2)*년간!$C$213</f>
        <v>347534.93583333335</v>
      </c>
      <c r="AG2" s="4109">
        <f>($I$2/12-Q2)*년간!$C$213</f>
        <v>347534.93583333335</v>
      </c>
      <c r="AH2" s="4109">
        <f>($I$2/12-R2)*년간!$C$213</f>
        <v>347534.93583333335</v>
      </c>
      <c r="AI2" s="4109">
        <f>($I$2/12-S2)*년간!$C$213</f>
        <v>347534.93583333335</v>
      </c>
      <c r="AJ2" s="4109">
        <f>($I$2/12-T2)*년간!$C$213</f>
        <v>347534.93583333335</v>
      </c>
      <c r="AK2" s="4109">
        <f>($I$2/12-U2)*년간!$C$213</f>
        <v>347534.93583333335</v>
      </c>
      <c r="AL2" s="5257"/>
      <c r="AM2" s="5257"/>
      <c r="AN2" s="5283">
        <f>SUM(AB2:AM2)</f>
        <v>3475349.3583333339</v>
      </c>
      <c r="AO2" s="3967">
        <f t="shared" ref="AO2:AO7" si="0">AA2</f>
        <v>7.8906542522679466</v>
      </c>
      <c r="AP2" s="3973" t="e">
        <f>AB2/년간!F8</f>
        <v>#DIV/0!</v>
      </c>
      <c r="AQ2" s="3973" t="e">
        <f>AC2/년간!G8</f>
        <v>#DIV/0!</v>
      </c>
      <c r="AR2" s="3973">
        <f>AD2/년간!H8</f>
        <v>12.600008115160595</v>
      </c>
      <c r="AS2" s="3973" t="e">
        <f>AE2/년간!I8</f>
        <v>#DIV/0!</v>
      </c>
      <c r="AT2" s="3973" t="e">
        <f>AF2/년간!J8</f>
        <v>#DIV/0!</v>
      </c>
      <c r="AU2" s="3973" t="e">
        <f>AG2/년간!K8</f>
        <v>#DIV/0!</v>
      </c>
      <c r="AV2" s="3973" t="e">
        <f>AH2/년간!L8</f>
        <v>#DIV/0!</v>
      </c>
      <c r="AW2" s="3973" t="e">
        <f>AI2/년간!M8</f>
        <v>#DIV/0!</v>
      </c>
      <c r="AX2" s="3966" t="e">
        <f>AJ2/년간!N8</f>
        <v>#DIV/0!</v>
      </c>
      <c r="AY2" s="3978" t="e">
        <f>AK2/년간!O8</f>
        <v>#DIV/0!</v>
      </c>
      <c r="AZ2" s="4219"/>
      <c r="BA2" s="4909"/>
      <c r="BB2" s="4035">
        <f>AN2/년간!$V$8</f>
        <v>126.00008115160597</v>
      </c>
    </row>
    <row r="3" spans="2:56" ht="16.5">
      <c r="B3" s="7743"/>
      <c r="C3" s="2492" t="s">
        <v>42</v>
      </c>
      <c r="D3" s="2493" t="s">
        <v>448</v>
      </c>
      <c r="E3" s="2497">
        <v>80.09</v>
      </c>
      <c r="F3" s="2578">
        <f>종합!G18</f>
        <v>32</v>
      </c>
      <c r="G3" s="2578">
        <f>종합!H18</f>
        <v>22.73</v>
      </c>
      <c r="H3" s="2578">
        <f>종합!I18</f>
        <v>31.35</v>
      </c>
      <c r="I3" s="2578">
        <f>종합!J18</f>
        <v>0</v>
      </c>
      <c r="J3" s="3203">
        <f>종합!K18</f>
        <v>0</v>
      </c>
      <c r="K3" s="4930">
        <f>종합!L18</f>
        <v>0</v>
      </c>
      <c r="L3" s="4185">
        <f>종합!M18</f>
        <v>0</v>
      </c>
      <c r="M3" s="3922">
        <f>종합!N18</f>
        <v>0</v>
      </c>
      <c r="N3" s="3922">
        <f>종합!O18</f>
        <v>0</v>
      </c>
      <c r="O3" s="3922">
        <f>종합!P18</f>
        <v>0</v>
      </c>
      <c r="P3" s="3922">
        <f>종합!Q18</f>
        <v>0</v>
      </c>
      <c r="Q3" s="3922">
        <f>종합!R18</f>
        <v>0</v>
      </c>
      <c r="R3" s="3922">
        <f>종합!S18</f>
        <v>0</v>
      </c>
      <c r="S3" s="3922">
        <f>종합!T18</f>
        <v>0</v>
      </c>
      <c r="T3" s="3922">
        <f>종합!U18</f>
        <v>0</v>
      </c>
      <c r="U3" s="3922">
        <f>종합!V18</f>
        <v>0</v>
      </c>
      <c r="V3" s="3922">
        <f>종합!W18</f>
        <v>0</v>
      </c>
      <c r="W3" s="3922">
        <f>종합!X18</f>
        <v>0</v>
      </c>
      <c r="X3" s="5024">
        <f>종합!Y18</f>
        <v>0</v>
      </c>
      <c r="Y3" s="3901">
        <f>($I$3-J3)*년간!$C$214</f>
        <v>0</v>
      </c>
      <c r="Z3" s="4712">
        <f>($I$3/10-K3)*년간!$C$214</f>
        <v>0</v>
      </c>
      <c r="AA3" s="4219">
        <f>Y3/년간!E9</f>
        <v>0</v>
      </c>
      <c r="AB3" s="4109">
        <f>($I$3/12-L3)*년간!$C$214</f>
        <v>0</v>
      </c>
      <c r="AC3" s="4109">
        <f>($I$3/12-M3)*년간!$C$214</f>
        <v>0</v>
      </c>
      <c r="AD3" s="4109">
        <f>($I$3/12-N3)*년간!$C$214</f>
        <v>0</v>
      </c>
      <c r="AE3" s="4109">
        <f>($I$3/12-O3)*년간!$C$214</f>
        <v>0</v>
      </c>
      <c r="AF3" s="4109">
        <f>($I$3/12-P3)*년간!$C$214</f>
        <v>0</v>
      </c>
      <c r="AG3" s="4109">
        <f>($I$3/12-Q3)*년간!$C$214</f>
        <v>0</v>
      </c>
      <c r="AH3" s="4109">
        <f>($I$3/12-R3)*년간!$C$214</f>
        <v>0</v>
      </c>
      <c r="AI3" s="4109">
        <f>($I$3/12-S3)*년간!$C$214</f>
        <v>0</v>
      </c>
      <c r="AJ3" s="4109">
        <f>($I$3/12-T3)*년간!$C$214</f>
        <v>0</v>
      </c>
      <c r="AK3" s="4109">
        <f>($I$3/12-U3)*년간!$C$214</f>
        <v>0</v>
      </c>
      <c r="AL3" s="5257"/>
      <c r="AM3" s="5257"/>
      <c r="AN3" s="5283">
        <f t="shared" ref="AN3:AN68" si="1">SUM(AB3:AM3)</f>
        <v>0</v>
      </c>
      <c r="AO3" s="3967">
        <f t="shared" si="0"/>
        <v>0</v>
      </c>
      <c r="AP3" s="3973" t="e">
        <f>AB3/년간!F9</f>
        <v>#DIV/0!</v>
      </c>
      <c r="AQ3" s="3973" t="e">
        <f>AC3/년간!G9</f>
        <v>#DIV/0!</v>
      </c>
      <c r="AR3" s="3973">
        <f>AD3/년간!H9</f>
        <v>0</v>
      </c>
      <c r="AS3" s="3973" t="e">
        <f>AE3/년간!I9</f>
        <v>#DIV/0!</v>
      </c>
      <c r="AT3" s="3973" t="e">
        <f>AF3/년간!J9</f>
        <v>#DIV/0!</v>
      </c>
      <c r="AU3" s="3973" t="e">
        <f>AG3/년간!K9</f>
        <v>#DIV/0!</v>
      </c>
      <c r="AV3" s="3973" t="e">
        <f>AH3/년간!L9</f>
        <v>#DIV/0!</v>
      </c>
      <c r="AW3" s="3973" t="e">
        <f>AI3/년간!M9</f>
        <v>#DIV/0!</v>
      </c>
      <c r="AX3" s="3966" t="e">
        <f>AJ3/년간!N9</f>
        <v>#DIV/0!</v>
      </c>
      <c r="AY3" s="3978" t="e">
        <f>AK3/년간!O9</f>
        <v>#DIV/0!</v>
      </c>
      <c r="AZ3" s="4219"/>
      <c r="BA3" s="4909"/>
      <c r="BB3" s="4035">
        <f>AN3/년간!$V$9</f>
        <v>0</v>
      </c>
      <c r="BD3" s="286"/>
    </row>
    <row r="4" spans="2:56" ht="16.5">
      <c r="B4" s="7743"/>
      <c r="C4" s="2492" t="s">
        <v>29</v>
      </c>
      <c r="D4" s="2493" t="s">
        <v>448</v>
      </c>
      <c r="E4" s="2497">
        <v>820.61999999999978</v>
      </c>
      <c r="F4" s="2578">
        <f>종합!G19</f>
        <v>320</v>
      </c>
      <c r="G4" s="2578">
        <f>종합!H19</f>
        <v>307.49</v>
      </c>
      <c r="H4" s="2578">
        <f>종합!I19</f>
        <v>363.24000000000007</v>
      </c>
      <c r="I4" s="2578">
        <f>종합!J19</f>
        <v>205.53</v>
      </c>
      <c r="J4" s="3203">
        <f>종합!K19</f>
        <v>150</v>
      </c>
      <c r="K4" s="4930">
        <f>종합!L19</f>
        <v>15</v>
      </c>
      <c r="L4" s="4185">
        <f>종합!M19</f>
        <v>0</v>
      </c>
      <c r="M4" s="3922">
        <f>종합!N19</f>
        <v>0</v>
      </c>
      <c r="N4" s="3922">
        <f>종합!O19</f>
        <v>0</v>
      </c>
      <c r="O4" s="3922">
        <f>종합!P19</f>
        <v>0</v>
      </c>
      <c r="P4" s="3922">
        <f>종합!Q19</f>
        <v>0</v>
      </c>
      <c r="Q4" s="3922">
        <f>종합!R19</f>
        <v>0</v>
      </c>
      <c r="R4" s="3922">
        <f>종합!S19</f>
        <v>0</v>
      </c>
      <c r="S4" s="3922">
        <f>종합!T19</f>
        <v>0</v>
      </c>
      <c r="T4" s="3922">
        <f>종합!U19</f>
        <v>0</v>
      </c>
      <c r="U4" s="3922">
        <f>종합!V19</f>
        <v>0</v>
      </c>
      <c r="V4" s="3922">
        <f>종합!W19</f>
        <v>0</v>
      </c>
      <c r="W4" s="3922">
        <f>종합!X19</f>
        <v>0</v>
      </c>
      <c r="X4" s="5024">
        <f>종합!Y19</f>
        <v>0</v>
      </c>
      <c r="Y4" s="3901">
        <f>($I$4-J4)*년간!$C$215</f>
        <v>26959648.41</v>
      </c>
      <c r="Z4" s="4712">
        <f>($I$4/10-K4)*년간!$C$215</f>
        <v>2695964.8410000005</v>
      </c>
      <c r="AA4" s="4219">
        <f>Y4/년간!E10</f>
        <v>100.57318663732001</v>
      </c>
      <c r="AB4" s="4109">
        <f>($I$4/12-L4)*년간!$C$215</f>
        <v>8315349.8675000006</v>
      </c>
      <c r="AC4" s="4109">
        <f>($I$4/12-M4)*년간!$C$215</f>
        <v>8315349.8675000006</v>
      </c>
      <c r="AD4" s="4109">
        <f>($I$4/12-N4)*년간!$C$215</f>
        <v>8315349.8675000006</v>
      </c>
      <c r="AE4" s="4109">
        <f>($I$4/12-O4)*년간!$C$215</f>
        <v>8315349.8675000006</v>
      </c>
      <c r="AF4" s="4109">
        <f>($I$4/12-P4)*년간!$C$215</f>
        <v>8315349.8675000006</v>
      </c>
      <c r="AG4" s="4109">
        <f>($I$4/12-Q4)*년간!$C$215</f>
        <v>8315349.8675000006</v>
      </c>
      <c r="AH4" s="4109">
        <f>($I$4/12-R4)*년간!$C$215</f>
        <v>8315349.8675000006</v>
      </c>
      <c r="AI4" s="4109">
        <f>($I$4/12-S4)*년간!$C$215</f>
        <v>8315349.8675000006</v>
      </c>
      <c r="AJ4" s="4109">
        <f>($I$4/12-T4)*년간!$C$215</f>
        <v>8315349.8675000006</v>
      </c>
      <c r="AK4" s="4109">
        <f>($I$4/12-U4)*년간!$C$215</f>
        <v>8315349.8675000006</v>
      </c>
      <c r="AL4" s="5257"/>
      <c r="AM4" s="5257"/>
      <c r="AN4" s="5283">
        <f>SUM(AB4:AM4)</f>
        <v>83153498.675000012</v>
      </c>
      <c r="AO4" s="3967">
        <f t="shared" si="0"/>
        <v>100.57318663732001</v>
      </c>
      <c r="AP4" s="3973" t="e">
        <f>AB4/년간!F10</f>
        <v>#DIV/0!</v>
      </c>
      <c r="AQ4" s="3973" t="e">
        <f>AC4/년간!G10</f>
        <v>#DIV/0!</v>
      </c>
      <c r="AR4" s="3973">
        <f>AD4/년간!H10</f>
        <v>363.7983529574928</v>
      </c>
      <c r="AS4" s="3973" t="e">
        <f>AE4/년간!I10</f>
        <v>#DIV/0!</v>
      </c>
      <c r="AT4" s="3973" t="e">
        <f>AF4/년간!J10</f>
        <v>#DIV/0!</v>
      </c>
      <c r="AU4" s="3973" t="e">
        <f>AG4/년간!K10</f>
        <v>#DIV/0!</v>
      </c>
      <c r="AV4" s="3973" t="e">
        <f>AH4/년간!L10</f>
        <v>#DIV/0!</v>
      </c>
      <c r="AW4" s="3973" t="e">
        <f>AI4/년간!M10</f>
        <v>#DIV/0!</v>
      </c>
      <c r="AX4" s="3966" t="e">
        <f>AJ4/년간!N10</f>
        <v>#DIV/0!</v>
      </c>
      <c r="AY4" s="3978" t="e">
        <f>AK4/년간!O10</f>
        <v>#DIV/0!</v>
      </c>
      <c r="AZ4" s="4219"/>
      <c r="BA4" s="4909"/>
      <c r="BB4" s="4035">
        <f>AN4/년간!$V$10</f>
        <v>3637.9835295749281</v>
      </c>
      <c r="BD4" s="286"/>
    </row>
    <row r="5" spans="2:56" ht="16.5">
      <c r="B5" s="7743"/>
      <c r="C5" s="2492" t="s">
        <v>438</v>
      </c>
      <c r="D5" s="2493" t="s">
        <v>448</v>
      </c>
      <c r="E5" s="2497">
        <v>139.78</v>
      </c>
      <c r="F5" s="2578">
        <f>종합!G20</f>
        <v>125.91</v>
      </c>
      <c r="G5" s="2578">
        <f>종합!H20</f>
        <v>92.647999999999996</v>
      </c>
      <c r="H5" s="2578">
        <f>종합!I20</f>
        <v>83.9</v>
      </c>
      <c r="I5" s="2578">
        <f>종합!J20/10*12</f>
        <v>60.204000000000008</v>
      </c>
      <c r="J5" s="3203">
        <f>종합!K20</f>
        <v>32</v>
      </c>
      <c r="K5" s="4930">
        <f>종합!L20</f>
        <v>2.6666666666666665</v>
      </c>
      <c r="L5" s="4185">
        <f>종합!M20</f>
        <v>11.54</v>
      </c>
      <c r="M5" s="3922">
        <f>종합!N20</f>
        <v>0</v>
      </c>
      <c r="N5" s="3922">
        <f>종합!O20</f>
        <v>9.27</v>
      </c>
      <c r="O5" s="3922">
        <f>종합!P20</f>
        <v>0</v>
      </c>
      <c r="P5" s="3922">
        <f>종합!Q20</f>
        <v>0</v>
      </c>
      <c r="Q5" s="3922">
        <f>종합!R20</f>
        <v>0</v>
      </c>
      <c r="R5" s="3922">
        <f>종합!S20</f>
        <v>0</v>
      </c>
      <c r="S5" s="3922">
        <f>종합!T20</f>
        <v>0</v>
      </c>
      <c r="T5" s="3922">
        <f>종합!U20</f>
        <v>0</v>
      </c>
      <c r="U5" s="3922">
        <f>종합!V20</f>
        <v>0</v>
      </c>
      <c r="V5" s="3922">
        <f>종합!W20</f>
        <v>0</v>
      </c>
      <c r="W5" s="3922">
        <f>종합!X20</f>
        <v>0</v>
      </c>
      <c r="X5" s="5024">
        <f>종합!Y20</f>
        <v>20.81</v>
      </c>
      <c r="Y5" s="3901">
        <f>($I$5-J5)*년간!$C$216</f>
        <v>20504618.244000006</v>
      </c>
      <c r="Z5" s="4712">
        <f>($I$5/12-K5)*년간!$C$216</f>
        <v>1708718.1870000004</v>
      </c>
      <c r="AA5" s="4219">
        <f>Y5/년간!E11</f>
        <v>126.53891117117789</v>
      </c>
      <c r="AB5" s="4109">
        <f>($I$5/12-L5)*년간!$C$216</f>
        <v>-4742292.7529999996</v>
      </c>
      <c r="AC5" s="4109">
        <f>($I$5/12-M5)*년간!$C$216</f>
        <v>3647414.1870000004</v>
      </c>
      <c r="AD5" s="4109">
        <f>($I$5/12-N5)*년간!$C$216</f>
        <v>-3091977.7829999994</v>
      </c>
      <c r="AE5" s="4109">
        <f>($I$5/12-O5)*년간!$C$216</f>
        <v>3647414.1870000004</v>
      </c>
      <c r="AF5" s="4109">
        <f>($I$5/12-P5)*년간!$C$216</f>
        <v>3647414.1870000004</v>
      </c>
      <c r="AG5" s="4109">
        <f>($I$5/12-Q5)*년간!$C$216</f>
        <v>3647414.1870000004</v>
      </c>
      <c r="AH5" s="4109">
        <f>($I$5/12-R5)*년간!$C$216</f>
        <v>3647414.1870000004</v>
      </c>
      <c r="AI5" s="4109">
        <f>($I$5/12-S5)*년간!$C$216</f>
        <v>3647414.1870000004</v>
      </c>
      <c r="AJ5" s="4109">
        <f>($I$5/12-T5)*년간!$C$216</f>
        <v>3647414.1870000004</v>
      </c>
      <c r="AK5" s="4109">
        <f>($I$5/12-U5)*년간!$C$216</f>
        <v>3647414.1870000004</v>
      </c>
      <c r="AL5" s="5259"/>
      <c r="AM5" s="5259"/>
      <c r="AN5" s="5283">
        <f t="shared" si="1"/>
        <v>21345042.960000005</v>
      </c>
      <c r="AO5" s="3967">
        <f t="shared" si="0"/>
        <v>126.53891117117789</v>
      </c>
      <c r="AP5" s="3973">
        <f>AB5/년간!F11</f>
        <v>-382.30268353144606</v>
      </c>
      <c r="AQ5" s="3973">
        <f>AC5/년간!G11</f>
        <v>305.14276474633448</v>
      </c>
      <c r="AR5" s="3973">
        <f>AD5/년간!H11</f>
        <v>-237.27680571862692</v>
      </c>
      <c r="AS5" s="3973" t="e">
        <f>AE5/년간!I11</f>
        <v>#DIV/0!</v>
      </c>
      <c r="AT5" s="3973" t="e">
        <f>AF5/년간!J11</f>
        <v>#DIV/0!</v>
      </c>
      <c r="AU5" s="3973" t="e">
        <f>AG5/년간!K11</f>
        <v>#DIV/0!</v>
      </c>
      <c r="AV5" s="3973" t="e">
        <f>AH5/년간!L11</f>
        <v>#DIV/0!</v>
      </c>
      <c r="AW5" s="3973" t="e">
        <f>AI5/년간!M11</f>
        <v>#DIV/0!</v>
      </c>
      <c r="AX5" s="3966" t="e">
        <f>AJ5/년간!N11</f>
        <v>#DIV/0!</v>
      </c>
      <c r="AY5" s="3978" t="e">
        <f>AK5/년간!O11</f>
        <v>#DIV/0!</v>
      </c>
      <c r="AZ5" s="4219"/>
      <c r="BA5" s="4909"/>
      <c r="BB5" s="4035">
        <f>AN5/년간!$V$11</f>
        <v>570.89418940810879</v>
      </c>
    </row>
    <row r="6" spans="2:56" ht="17.25" thickBot="1">
      <c r="B6" s="7743"/>
      <c r="C6" s="2400" t="s">
        <v>439</v>
      </c>
      <c r="D6" s="1668" t="s">
        <v>448</v>
      </c>
      <c r="E6" s="2505">
        <v>53.02000000000001</v>
      </c>
      <c r="F6" s="2578">
        <f>종합!G21</f>
        <v>95</v>
      </c>
      <c r="G6" s="2578">
        <f>종합!H21</f>
        <v>73.749999999999986</v>
      </c>
      <c r="H6" s="2578">
        <f>종합!I21</f>
        <v>73.5</v>
      </c>
      <c r="I6" s="2578">
        <f>종합!J21/10*12</f>
        <v>44.603999999999999</v>
      </c>
      <c r="J6" s="3203">
        <f>종합!K21</f>
        <v>37.205999999999996</v>
      </c>
      <c r="K6" s="4930">
        <f>종합!L21</f>
        <v>3.1004999999999998</v>
      </c>
      <c r="L6" s="4185">
        <f>종합!M21</f>
        <v>3.47</v>
      </c>
      <c r="M6" s="3922">
        <f>종합!N21</f>
        <v>0.96</v>
      </c>
      <c r="N6" s="3922">
        <f>종합!O21</f>
        <v>5.6</v>
      </c>
      <c r="O6" s="3922">
        <f>종합!P21</f>
        <v>0</v>
      </c>
      <c r="P6" s="3922">
        <f>종합!Q21</f>
        <v>0</v>
      </c>
      <c r="Q6" s="3922">
        <f>종합!R21</f>
        <v>0</v>
      </c>
      <c r="R6" s="3922">
        <f>종합!S21</f>
        <v>0</v>
      </c>
      <c r="S6" s="3922">
        <f>종합!T21</f>
        <v>0</v>
      </c>
      <c r="T6" s="3922">
        <f>종합!U21</f>
        <v>0</v>
      </c>
      <c r="U6" s="3922">
        <f>종합!V21</f>
        <v>0</v>
      </c>
      <c r="V6" s="3922">
        <f>종합!W21</f>
        <v>0</v>
      </c>
      <c r="W6" s="3922">
        <f>종합!X21</f>
        <v>0</v>
      </c>
      <c r="X6" s="5024">
        <f>종합!Y21</f>
        <v>10.029999999999999</v>
      </c>
      <c r="Y6" s="6067">
        <f>($I$6-J6)*년간!$C$217</f>
        <v>9020486.1127910037</v>
      </c>
      <c r="Z6" s="4109">
        <f>($I$6/12-K6)*년간!$C$217</f>
        <v>751707.17606591701</v>
      </c>
      <c r="AA6" s="4219">
        <f>Y6/년간!E12</f>
        <v>149.37743787634426</v>
      </c>
      <c r="AB6" s="4109">
        <f>($I$6/12-L6)*년간!$C$217</f>
        <v>301170.59608804761</v>
      </c>
      <c r="AC6" s="4109">
        <f>($I$6/12-M6)*년간!$C$217</f>
        <v>3361649.1231366298</v>
      </c>
      <c r="AD6" s="4109">
        <f>($I$6/12-N6)*년간!$C$217</f>
        <v>-2295968.5523635373</v>
      </c>
      <c r="AE6" s="4109">
        <f>($I$6/12-O6)*년간!$C$217</f>
        <v>4532190.7111711474</v>
      </c>
      <c r="AF6" s="4109">
        <f>($I$6/12-P6)*년간!$C$217</f>
        <v>4532190.7111711474</v>
      </c>
      <c r="AG6" s="4109">
        <f>($I$6/12-Q6)*년간!$C$217</f>
        <v>4532190.7111711474</v>
      </c>
      <c r="AH6" s="4109">
        <f>($I$6/12-R6)*년간!$C$217</f>
        <v>4532190.7111711474</v>
      </c>
      <c r="AI6" s="4109">
        <f>($I$6/12-S6)*년간!$C$217</f>
        <v>4532190.7111711474</v>
      </c>
      <c r="AJ6" s="4109">
        <f>($I$6/12-T6)*년간!$C$217</f>
        <v>4532190.7111711474</v>
      </c>
      <c r="AK6" s="4109">
        <f>($I$6/12-U6)*년간!$C$217</f>
        <v>4532190.7111711474</v>
      </c>
      <c r="AL6" s="5259"/>
      <c r="AM6" s="5259"/>
      <c r="AN6" s="5283">
        <f t="shared" si="1"/>
        <v>33092186.145059168</v>
      </c>
      <c r="AO6" s="3967">
        <f t="shared" si="0"/>
        <v>149.37743787634426</v>
      </c>
      <c r="AP6" s="3973">
        <f>AB6/년간!F12</f>
        <v>61.038360657634513</v>
      </c>
      <c r="AQ6" s="3973">
        <f>AC6/년간!G12</f>
        <v>705.50995794970027</v>
      </c>
      <c r="AR6" s="3973">
        <f>AD6/년간!H12</f>
        <v>-414.06254889351038</v>
      </c>
      <c r="AS6" s="3973" t="e">
        <f>AE6/년간!I12</f>
        <v>#DIV/0!</v>
      </c>
      <c r="AT6" s="3973" t="e">
        <f>AF6/년간!J12</f>
        <v>#DIV/0!</v>
      </c>
      <c r="AU6" s="3973" t="e">
        <f>AG6/년간!K12</f>
        <v>#DIV/0!</v>
      </c>
      <c r="AV6" s="3973" t="e">
        <f>AH6/년간!L12</f>
        <v>#DIV/0!</v>
      </c>
      <c r="AW6" s="3973" t="e">
        <f>AI6/년간!M12</f>
        <v>#DIV/0!</v>
      </c>
      <c r="AX6" s="3966" t="e">
        <f>AJ6/년간!N12</f>
        <v>#DIV/0!</v>
      </c>
      <c r="AY6" s="3978" t="e">
        <f>AK6/년간!O12</f>
        <v>#DIV/0!</v>
      </c>
      <c r="AZ6" s="4219"/>
      <c r="BA6" s="4909"/>
      <c r="BB6" s="4035">
        <f>AN6/년간!$V$12</f>
        <v>2170.8406380930905</v>
      </c>
    </row>
    <row r="7" spans="2:56" ht="16.5">
      <c r="B7" s="7744"/>
      <c r="C7" s="2399" t="s">
        <v>16</v>
      </c>
      <c r="D7" s="2325" t="s">
        <v>448</v>
      </c>
      <c r="E7" s="2507">
        <v>1153</v>
      </c>
      <c r="F7" s="2507">
        <v>605</v>
      </c>
      <c r="G7" s="2507">
        <v>492</v>
      </c>
      <c r="H7" s="2577">
        <f t="shared" ref="H7:P7" si="2">SUM(H2:H6)</f>
        <v>576.88000000000011</v>
      </c>
      <c r="I7" s="2577">
        <f>SUM(I2:I6)</f>
        <v>318.928</v>
      </c>
      <c r="J7" s="6079">
        <f t="shared" si="2"/>
        <v>223.20599999999999</v>
      </c>
      <c r="K7" s="3918">
        <f t="shared" si="2"/>
        <v>21.167166666666667</v>
      </c>
      <c r="L7" s="3918">
        <f t="shared" si="2"/>
        <v>15.01</v>
      </c>
      <c r="M7" s="3923">
        <f t="shared" si="2"/>
        <v>0.96</v>
      </c>
      <c r="N7" s="3923">
        <f t="shared" si="2"/>
        <v>14.87</v>
      </c>
      <c r="O7" s="3923">
        <f t="shared" si="2"/>
        <v>0</v>
      </c>
      <c r="P7" s="3923">
        <f t="shared" si="2"/>
        <v>0</v>
      </c>
      <c r="Q7" s="3923">
        <f>SUM(Q2:Q6)</f>
        <v>0</v>
      </c>
      <c r="R7" s="3923">
        <f>SUM(R2:R6)</f>
        <v>0</v>
      </c>
      <c r="S7" s="3923">
        <f t="shared" ref="S7:X7" si="3">SUM(S2:S6)</f>
        <v>0</v>
      </c>
      <c r="T7" s="3923">
        <f t="shared" si="3"/>
        <v>0</v>
      </c>
      <c r="U7" s="3923">
        <f t="shared" si="3"/>
        <v>0</v>
      </c>
      <c r="V7" s="3923">
        <f t="shared" si="3"/>
        <v>0</v>
      </c>
      <c r="W7" s="3923">
        <f t="shared" si="3"/>
        <v>0</v>
      </c>
      <c r="X7" s="3923">
        <f t="shared" si="3"/>
        <v>30.839999999999996</v>
      </c>
      <c r="Y7" s="4212">
        <f t="shared" ref="Y7:AF7" si="4">SUM(Y2:Y6)</f>
        <v>58713183.996791005</v>
      </c>
      <c r="Z7" s="4713">
        <f t="shared" si="4"/>
        <v>5379233.3270659177</v>
      </c>
      <c r="AA7" s="4215">
        <f>Y7/년간!E13</f>
        <v>56.410875321648255</v>
      </c>
      <c r="AB7" s="4110">
        <f t="shared" si="4"/>
        <v>4221762.6464213822</v>
      </c>
      <c r="AC7" s="4110">
        <f t="shared" si="4"/>
        <v>15671948.113469966</v>
      </c>
      <c r="AD7" s="4110">
        <f t="shared" si="4"/>
        <v>3274938.4679697976</v>
      </c>
      <c r="AE7" s="4110">
        <f t="shared" si="4"/>
        <v>16842489.701504484</v>
      </c>
      <c r="AF7" s="4110">
        <f t="shared" si="4"/>
        <v>16842489.701504484</v>
      </c>
      <c r="AG7" s="4110">
        <f>SUM(AG2:AG6)</f>
        <v>16842489.701504484</v>
      </c>
      <c r="AH7" s="4110">
        <f>SUM(AH2:AH6)</f>
        <v>16842489.701504484</v>
      </c>
      <c r="AI7" s="4110">
        <f>SUM(AI2:AI6)</f>
        <v>16842489.701504484</v>
      </c>
      <c r="AJ7" s="4110">
        <f>SUM(AJ2:AJ6)</f>
        <v>16842489.701504484</v>
      </c>
      <c r="AK7" s="4110">
        <f>SUM(AK2:AK6)</f>
        <v>16842489.701504484</v>
      </c>
      <c r="AL7" s="5260"/>
      <c r="AM7" s="5260"/>
      <c r="AN7" s="5284">
        <f t="shared" si="1"/>
        <v>141066077.13839254</v>
      </c>
      <c r="AO7" s="3968">
        <f t="shared" si="0"/>
        <v>56.410875321648255</v>
      </c>
      <c r="AP7" s="4122">
        <f>AB7/년간!F13</f>
        <v>243.48826331093341</v>
      </c>
      <c r="AQ7" s="4122">
        <f>AC7/년간!G13</f>
        <v>937.43016436006769</v>
      </c>
      <c r="AR7" s="4122">
        <f>AD7/년간!H13</f>
        <v>35.512440789019905</v>
      </c>
      <c r="AS7" s="4122" t="e">
        <f>AE7/년간!I13</f>
        <v>#DIV/0!</v>
      </c>
      <c r="AT7" s="4122" t="e">
        <f>AF7/년간!J13</f>
        <v>#DIV/0!</v>
      </c>
      <c r="AU7" s="4122" t="e">
        <f>AG7/년간!K13</f>
        <v>#DIV/0!</v>
      </c>
      <c r="AV7" s="4122" t="e">
        <f>AH7/년간!L13</f>
        <v>#DIV/0!</v>
      </c>
      <c r="AW7" s="4122" t="e">
        <f>AI7/년간!M13</f>
        <v>#DIV/0!</v>
      </c>
      <c r="AX7" s="5310" t="e">
        <f>AJ7/년간!N13</f>
        <v>#DIV/0!</v>
      </c>
      <c r="AY7" s="5328" t="e">
        <f>AK7/년간!O13</f>
        <v>#DIV/0!</v>
      </c>
      <c r="AZ7" s="4215"/>
      <c r="BA7" s="5332"/>
      <c r="BB7" s="5338">
        <f>AN7/년간!$V$13</f>
        <v>1117.1238549866277</v>
      </c>
    </row>
    <row r="8" spans="2:56" ht="17.25" thickBot="1">
      <c r="B8" s="7745"/>
      <c r="C8" s="3350" t="s">
        <v>489</v>
      </c>
      <c r="D8" s="3351" t="s">
        <v>490</v>
      </c>
      <c r="E8" s="3352">
        <f t="shared" ref="E8:P8" si="5">E7/12</f>
        <v>96.083333333333329</v>
      </c>
      <c r="F8" s="3352">
        <f t="shared" si="5"/>
        <v>50.416666666666664</v>
      </c>
      <c r="G8" s="3352">
        <f t="shared" si="5"/>
        <v>41</v>
      </c>
      <c r="H8" s="3353">
        <f t="shared" si="5"/>
        <v>48.073333333333345</v>
      </c>
      <c r="I8" s="3353">
        <f>I7/12</f>
        <v>26.577333333333332</v>
      </c>
      <c r="J8" s="3354">
        <f t="shared" si="5"/>
        <v>18.6005</v>
      </c>
      <c r="K8" s="3354">
        <f>K7/((10+10+10+12+12)/5)</f>
        <v>1.9599228395061727</v>
      </c>
      <c r="L8" s="3354">
        <f t="shared" si="5"/>
        <v>1.2508333333333332</v>
      </c>
      <c r="M8" s="3924">
        <f t="shared" si="5"/>
        <v>0.08</v>
      </c>
      <c r="N8" s="3924">
        <f t="shared" si="5"/>
        <v>1.2391666666666665</v>
      </c>
      <c r="O8" s="3924">
        <f t="shared" si="5"/>
        <v>0</v>
      </c>
      <c r="P8" s="3924">
        <f t="shared" si="5"/>
        <v>0</v>
      </c>
      <c r="Q8" s="3924">
        <f>Q7/12</f>
        <v>0</v>
      </c>
      <c r="R8" s="3924">
        <f>R7/12</f>
        <v>0</v>
      </c>
      <c r="S8" s="3924">
        <f t="shared" ref="S8:X8" si="6">S7/12</f>
        <v>0</v>
      </c>
      <c r="T8" s="3924">
        <f t="shared" si="6"/>
        <v>0</v>
      </c>
      <c r="U8" s="3924">
        <f t="shared" si="6"/>
        <v>0</v>
      </c>
      <c r="V8" s="3924">
        <f t="shared" si="6"/>
        <v>0</v>
      </c>
      <c r="W8" s="3924">
        <f t="shared" si="6"/>
        <v>0</v>
      </c>
      <c r="X8" s="3924">
        <f t="shared" si="6"/>
        <v>2.57</v>
      </c>
      <c r="Y8" s="4213"/>
      <c r="Z8" s="4714"/>
      <c r="AA8" s="4220"/>
      <c r="AB8" s="4111"/>
      <c r="AC8" s="4111"/>
      <c r="AD8" s="4111"/>
      <c r="AE8" s="4111"/>
      <c r="AF8" s="4111"/>
      <c r="AG8" s="4111"/>
      <c r="AH8" s="4111"/>
      <c r="AI8" s="4111"/>
      <c r="AJ8" s="4111"/>
      <c r="AK8" s="4111"/>
      <c r="AL8" s="5261"/>
      <c r="AM8" s="5261"/>
      <c r="AN8" s="5284"/>
      <c r="AO8" s="3955"/>
      <c r="AP8" s="4123"/>
      <c r="AQ8" s="4123"/>
      <c r="AR8" s="4123"/>
      <c r="AS8" s="4123"/>
      <c r="AT8" s="4123"/>
      <c r="AU8" s="4123"/>
      <c r="AV8" s="4123"/>
      <c r="AW8" s="4123"/>
      <c r="AX8" s="4123"/>
      <c r="AY8" s="5552"/>
      <c r="AZ8" s="4222"/>
      <c r="BA8" s="5333"/>
      <c r="BB8" s="5339"/>
    </row>
    <row r="9" spans="2:56" s="286" customFormat="1" ht="17.45" customHeight="1" thickBot="1">
      <c r="B9" s="3372" t="s">
        <v>1475</v>
      </c>
      <c r="C9" s="3347" t="s">
        <v>39</v>
      </c>
      <c r="D9" s="2372" t="s">
        <v>1731</v>
      </c>
      <c r="E9" s="4853">
        <f>CPL!H11/CPL!H5*1000</f>
        <v>16.047705402119366</v>
      </c>
      <c r="F9" s="4853">
        <f>CPL!I11/CPL!I5*1000</f>
        <v>16.6461834243925</v>
      </c>
      <c r="G9" s="4853">
        <f>CPL!J11/CPL!J5*1000</f>
        <v>14.97484134515088</v>
      </c>
      <c r="H9" s="4853">
        <f>CPL!K11/년간!C8*1000</f>
        <v>15.672921698496424</v>
      </c>
      <c r="I9" s="4853">
        <f>CPL!L11/년간!D8*1000</f>
        <v>14.412870896150487</v>
      </c>
      <c r="J9" s="4861">
        <f>CPL!M11/년간!E8*1000</f>
        <v>14.049374322802693</v>
      </c>
      <c r="K9" s="4862">
        <f>CPL!N11/(년간!E8/10)*1000</f>
        <v>14.049374322802693</v>
      </c>
      <c r="L9" s="4857" t="e">
        <f>CPL!O11/년간!F8*1000</f>
        <v>#DIV/0!</v>
      </c>
      <c r="M9" s="4857" t="e">
        <f>CPL!P11/년간!G8*1000</f>
        <v>#DIV/0!</v>
      </c>
      <c r="N9" s="4857">
        <f>CPL!Q11/년간!H8*1000</f>
        <v>13.260764582272863</v>
      </c>
      <c r="O9" s="4857" t="e">
        <f>CPL!R11/년간!I8*1000</f>
        <v>#DIV/0!</v>
      </c>
      <c r="P9" s="4857" t="e">
        <f>CPL!S11/년간!J8*1000</f>
        <v>#DIV/0!</v>
      </c>
      <c r="Q9" s="4857" t="e">
        <f>CPL!T11/년간!K8*1000</f>
        <v>#DIV/0!</v>
      </c>
      <c r="R9" s="4857" t="e">
        <f>CPL!U11/년간!L8*1000</f>
        <v>#DIV/0!</v>
      </c>
      <c r="S9" s="4857" t="e">
        <f>CPL!V11/년간!M8*1000</f>
        <v>#DIV/0!</v>
      </c>
      <c r="T9" s="4857" t="e">
        <f>CPL!W11/년간!N8*1000</f>
        <v>#DIV/0!</v>
      </c>
      <c r="U9" s="4857" t="e">
        <f>CPL!X11/년간!O8*1000</f>
        <v>#DIV/0!</v>
      </c>
      <c r="V9" s="4857" t="e">
        <f>CPL!Y11/년간!P8*1000</f>
        <v>#DIV/0!</v>
      </c>
      <c r="W9" s="4857" t="e">
        <f>CPL!Z11/년간!Q8*1000</f>
        <v>#DIV/0!</v>
      </c>
      <c r="X9" s="5025">
        <f>CPL!AA11/년간!V8*1000</f>
        <v>14.555081335299825</v>
      </c>
      <c r="Y9" s="6068">
        <f>($I$9-J9)*년간!$C$213*년간!E8/1000</f>
        <v>49839433.104809172</v>
      </c>
      <c r="Z9" s="4112">
        <f>($I$9-K9)*년간!$C$213*(년간!E8/10)/1000</f>
        <v>4983943.3104809178</v>
      </c>
      <c r="AA9" s="6069">
        <f>Y9/년간!E8</f>
        <v>176.47649587063378</v>
      </c>
      <c r="AB9" s="4112" t="e">
        <f>($I$9-L9)*년간!$C$213*년간!F8/1000</f>
        <v>#DIV/0!</v>
      </c>
      <c r="AC9" s="4112" t="e">
        <f>($I$9-M9)*년간!$C$213*년간!G8/1000</f>
        <v>#DIV/0!</v>
      </c>
      <c r="AD9" s="4112">
        <f>($I$9-N9)*년간!$C$213*년간!H8/1000</f>
        <v>15427897.716730449</v>
      </c>
      <c r="AE9" s="4112" t="e">
        <f>($I$9-O9)*년간!$C$213*년간!I8/1000</f>
        <v>#DIV/0!</v>
      </c>
      <c r="AF9" s="4112" t="e">
        <f>($I$9-P9)*년간!$C$213*년간!J8/1000</f>
        <v>#DIV/0!</v>
      </c>
      <c r="AG9" s="4112" t="e">
        <f>($I$9-Q9)*년간!$C$213*년간!K8/1000</f>
        <v>#DIV/0!</v>
      </c>
      <c r="AH9" s="4112" t="e">
        <f>($I$9-R9)*년간!$C$213*년간!L8/1000</f>
        <v>#DIV/0!</v>
      </c>
      <c r="AI9" s="4112" t="e">
        <f>($I$9-S9)*년간!$C$213*년간!M8/1000</f>
        <v>#DIV/0!</v>
      </c>
      <c r="AJ9" s="4112" t="e">
        <f>($I$9-T9)*년간!$C$213*년간!N8/1000</f>
        <v>#DIV/0!</v>
      </c>
      <c r="AK9" s="4112" t="e">
        <f>($I$9-U9)*년간!$C$213*년간!O8/1000</f>
        <v>#DIV/0!</v>
      </c>
      <c r="AL9" s="5262"/>
      <c r="AM9" s="5262"/>
      <c r="AN9" s="5283" t="e">
        <f t="shared" si="1"/>
        <v>#DIV/0!</v>
      </c>
      <c r="AO9" s="3969">
        <f>AA9</f>
        <v>176.47649587063378</v>
      </c>
      <c r="AP9" s="4124" t="e">
        <f>AB9/년간!F8</f>
        <v>#DIV/0!</v>
      </c>
      <c r="AQ9" s="4124" t="e">
        <f>AC9/년간!G8</f>
        <v>#DIV/0!</v>
      </c>
      <c r="AR9" s="4124">
        <f>AD9/년간!H8</f>
        <v>559.34415906864479</v>
      </c>
      <c r="AS9" s="4124" t="e">
        <f>AE9/년간!I8</f>
        <v>#DIV/0!</v>
      </c>
      <c r="AT9" s="4124" t="e">
        <f>AF9/년간!J8</f>
        <v>#DIV/0!</v>
      </c>
      <c r="AU9" s="4124" t="e">
        <f>AG9/년간!K8</f>
        <v>#DIV/0!</v>
      </c>
      <c r="AV9" s="4124" t="e">
        <f>AH9/년간!L8</f>
        <v>#DIV/0!</v>
      </c>
      <c r="AW9" s="4124" t="e">
        <f>AI9/년간!M8</f>
        <v>#DIV/0!</v>
      </c>
      <c r="AX9" s="5311" t="e">
        <f>AJ9/년간!N8</f>
        <v>#DIV/0!</v>
      </c>
      <c r="AY9" s="5553" t="e">
        <f>AK9/년간!O8</f>
        <v>#DIV/0!</v>
      </c>
      <c r="AZ9" s="4219"/>
      <c r="BA9" s="4909"/>
      <c r="BB9" s="4035" t="e">
        <f>AN9/년간!$V$8</f>
        <v>#DIV/0!</v>
      </c>
      <c r="BC9" s="286" t="s">
        <v>1475</v>
      </c>
    </row>
    <row r="10" spans="2:56" ht="17.45" customHeight="1">
      <c r="B10" s="7732" t="s">
        <v>1214</v>
      </c>
      <c r="C10" s="3342" t="s">
        <v>2</v>
      </c>
      <c r="D10" s="1154" t="s">
        <v>317</v>
      </c>
      <c r="E10" s="4854">
        <f>(종합!F46+종합!F52)/CPL!H5*1000</f>
        <v>1.3320097622003733</v>
      </c>
      <c r="F10" s="4854">
        <f>(종합!G46+종합!G52)/CPL!I5*1000</f>
        <v>0.50114990082865885</v>
      </c>
      <c r="G10" s="4854">
        <f>(종합!H46+종합!H52)/CPL!J5*1000</f>
        <v>0.29049440059505921</v>
      </c>
      <c r="H10" s="4854">
        <f>(종합!I46+종합!I52)/년간!C8*1000</f>
        <v>0.28948299834505609</v>
      </c>
      <c r="I10" s="4854">
        <f>(종합!J46+종합!J52)/년간!D8*1000</f>
        <v>0.18010187219582521</v>
      </c>
      <c r="J10" s="4863">
        <f>(종합!K46+종합!K52)/년간!E8*1000</f>
        <v>8.4981622724085909E-2</v>
      </c>
      <c r="K10" s="4902">
        <f>(종합!L46+종합!L52)/(년간!E8/10)*1000</f>
        <v>8.4981622724085909E-2</v>
      </c>
      <c r="L10" s="1583" t="e">
        <f>(종합!M46+종합!M52)/년간!F8*1000</f>
        <v>#DIV/0!</v>
      </c>
      <c r="M10" s="1583" t="e">
        <f>(종합!N46+종합!N52)/년간!G8*1000</f>
        <v>#DIV/0!</v>
      </c>
      <c r="N10" s="1583">
        <f>(종합!O46+종합!O52)/년간!H8*1000</f>
        <v>0</v>
      </c>
      <c r="O10" s="1583" t="e">
        <f>(종합!P46+종합!P52)/년간!I8*1000</f>
        <v>#DIV/0!</v>
      </c>
      <c r="P10" s="1583" t="e">
        <f>(종합!Q46+종합!Q52)/년간!J8*1000</f>
        <v>#DIV/0!</v>
      </c>
      <c r="Q10" s="1583" t="e">
        <f>(종합!R46+종합!R52)/년간!K8*1000</f>
        <v>#DIV/0!</v>
      </c>
      <c r="R10" s="1583" t="e">
        <f>(종합!S46+종합!S52)/년간!L8*1000</f>
        <v>#DIV/0!</v>
      </c>
      <c r="S10" s="1583" t="e">
        <f>(종합!T46+종합!T52)/년간!M8*1000</f>
        <v>#DIV/0!</v>
      </c>
      <c r="T10" s="1583" t="e">
        <f>(종합!U46+종합!U52)/년간!N8*1000</f>
        <v>#DIV/0!</v>
      </c>
      <c r="U10" s="1583" t="e">
        <f>(종합!V46+종합!V52)/년간!O8*1000</f>
        <v>#DIV/0!</v>
      </c>
      <c r="V10" s="1583" t="e">
        <f>(종합!W46+종합!W52)/년간!P8*1000</f>
        <v>#DIV/0!</v>
      </c>
      <c r="W10" s="1583" t="e">
        <f>(종합!X46+종합!X52)/년간!Q8*1000</f>
        <v>#DIV/0!</v>
      </c>
      <c r="X10" s="5026">
        <f>(종합!Y46+종합!Y52)/년간!V8*1000</f>
        <v>4.85821974525526E-2</v>
      </c>
      <c r="Y10" s="6070">
        <f>($I$10-J10)*년간!$C$213*년간!E8/1000</f>
        <v>13042046.770337969</v>
      </c>
      <c r="Z10" s="4113">
        <f>($I$10-K10)*년간!$C$213*(년간!E8/10)/1000</f>
        <v>1304204.6770337971</v>
      </c>
      <c r="AA10" s="4228">
        <f>Y10/년간!E8</f>
        <v>46.18059575778102</v>
      </c>
      <c r="AB10" s="4113" t="e">
        <f>($I$10-L10)*년간!$C$213*년간!F8/1000</f>
        <v>#DIV/0!</v>
      </c>
      <c r="AC10" s="4113" t="e">
        <f>($I$10-M10)*년간!$C$213*년간!G8/1000</f>
        <v>#DIV/0!</v>
      </c>
      <c r="AD10" s="4113">
        <f>($I$10-N10)*년간!$C$213*년간!H8/1000</f>
        <v>2411750.74674922</v>
      </c>
      <c r="AE10" s="4113" t="e">
        <f>($I$10-O10)*년간!$C$213*년간!I8/1000</f>
        <v>#DIV/0!</v>
      </c>
      <c r="AF10" s="4113" t="e">
        <f>($I$10-P10)*년간!$C$213*년간!J8/1000</f>
        <v>#DIV/0!</v>
      </c>
      <c r="AG10" s="4113" t="e">
        <f>($I$10-Q10)*년간!$C$213*년간!K8/1000</f>
        <v>#DIV/0!</v>
      </c>
      <c r="AH10" s="4113" t="e">
        <f>($I$10-R10)*년간!$C$213*년간!L8/1000</f>
        <v>#DIV/0!</v>
      </c>
      <c r="AI10" s="4113" t="e">
        <f>($I$10-S10)*년간!$C$213*년간!M8/1000</f>
        <v>#DIV/0!</v>
      </c>
      <c r="AJ10" s="4113" t="e">
        <f>($I$10-T10)*년간!$C$213*년간!N8/1000</f>
        <v>#DIV/0!</v>
      </c>
      <c r="AK10" s="4113" t="e">
        <f>($I$10-U10)*년간!$C$213*년간!O8/1000</f>
        <v>#DIV/0!</v>
      </c>
      <c r="AL10" s="5263"/>
      <c r="AM10" s="5263"/>
      <c r="AN10" s="5283" t="e">
        <f t="shared" si="1"/>
        <v>#DIV/0!</v>
      </c>
      <c r="AO10" s="3970">
        <f t="shared" ref="AO10:AO75" si="7">AA10</f>
        <v>46.18059575778102</v>
      </c>
      <c r="AP10" s="3997" t="e">
        <f>AB10/년간!F8</f>
        <v>#DIV/0!</v>
      </c>
      <c r="AQ10" s="3997" t="e">
        <f>AC10/년간!G8</f>
        <v>#DIV/0!</v>
      </c>
      <c r="AR10" s="3997">
        <f>AD10/년간!H8</f>
        <v>87.438918645456553</v>
      </c>
      <c r="AS10" s="3997" t="e">
        <f>AE10/년간!I8</f>
        <v>#DIV/0!</v>
      </c>
      <c r="AT10" s="3997" t="e">
        <f>AF10/년간!J8</f>
        <v>#DIV/0!</v>
      </c>
      <c r="AU10" s="3997" t="e">
        <f>AG10/년간!K8</f>
        <v>#DIV/0!</v>
      </c>
      <c r="AV10" s="3997" t="e">
        <f>AH10/년간!L8</f>
        <v>#DIV/0!</v>
      </c>
      <c r="AW10" s="3997" t="e">
        <f>AI10/년간!M8</f>
        <v>#DIV/0!</v>
      </c>
      <c r="AX10" s="3989" t="e">
        <f>AJ10/년간!N8</f>
        <v>#DIV/0!</v>
      </c>
      <c r="AY10" s="3983" t="e">
        <f>AK10/년간!O8</f>
        <v>#DIV/0!</v>
      </c>
      <c r="AZ10" s="4219"/>
      <c r="BA10" s="4909"/>
      <c r="BB10" s="4035" t="e">
        <f>AN10/년간!$V$8</f>
        <v>#DIV/0!</v>
      </c>
    </row>
    <row r="11" spans="2:56" ht="16.5">
      <c r="B11" s="7731"/>
      <c r="C11" s="3355" t="s">
        <v>42</v>
      </c>
      <c r="D11" s="3356" t="s">
        <v>317</v>
      </c>
      <c r="E11" s="4855">
        <f>(종합!F47+종합!F53)/CGL!H5*1000</f>
        <v>5.7793871902032548</v>
      </c>
      <c r="F11" s="4855">
        <f>(종합!G47+종합!G53)/CGL!I5*1000</f>
        <v>3.5247059874261177</v>
      </c>
      <c r="G11" s="4855">
        <f>(종합!H47+종합!H53)/CGL!J5*1000</f>
        <v>1.6037242317013864</v>
      </c>
      <c r="H11" s="4855">
        <f>(종합!I47+종합!I53)/년간!C10*1000</f>
        <v>1.6719794524789255</v>
      </c>
      <c r="I11" s="4855">
        <f>(종합!J47+종합!J53)/년간!D10*1000</f>
        <v>1.4596654895918522</v>
      </c>
      <c r="J11" s="4864">
        <f>(종합!K47+종합!K53)/년간!E10*1000</f>
        <v>0.86450197716929056</v>
      </c>
      <c r="K11" s="4895">
        <f>(종합!L47+종합!L53)/(년간!E10/10)*1000</f>
        <v>0.86450197716929045</v>
      </c>
      <c r="L11" s="4269" t="e">
        <f>(종합!M47+종합!M53)/년간!F10*1000</f>
        <v>#DIV/0!</v>
      </c>
      <c r="M11" s="4269" t="e">
        <f>(종합!N47+종합!N53)/년간!G10*1000</f>
        <v>#DIV/0!</v>
      </c>
      <c r="N11" s="4269">
        <f>(종합!O47+종합!O53)/년간!H10*1000</f>
        <v>1.7250710175381492</v>
      </c>
      <c r="O11" s="4269" t="e">
        <f>(종합!P47+종합!P53)/년간!I10*1000</f>
        <v>#DIV/0!</v>
      </c>
      <c r="P11" s="4269" t="e">
        <f>(종합!Q47+종합!Q53)/년간!J10*1000</f>
        <v>#DIV/0!</v>
      </c>
      <c r="Q11" s="4269" t="e">
        <f>(종합!R47+종합!R53)/년간!K10*1000</f>
        <v>#DIV/0!</v>
      </c>
      <c r="R11" s="4269" t="e">
        <f>(종합!S47+종합!S53)/년간!L10*1000</f>
        <v>#DIV/0!</v>
      </c>
      <c r="S11" s="4269" t="e">
        <f>(종합!T47+종합!T53)/년간!M10*1000</f>
        <v>#DIV/0!</v>
      </c>
      <c r="T11" s="4269" t="e">
        <f>(종합!U47+종합!U53)/년간!N10*1000</f>
        <v>#DIV/0!</v>
      </c>
      <c r="U11" s="4269" t="e">
        <f>(종합!V47+종합!V53)/년간!O10*1000</f>
        <v>#DIV/0!</v>
      </c>
      <c r="V11" s="4269" t="e">
        <f>(종합!W47+종합!W53)/년간!P10*1000</f>
        <v>#DIV/0!</v>
      </c>
      <c r="W11" s="4269" t="e">
        <f>(종합!X47+종합!X53)/년간!Q10*1000</f>
        <v>#DIV/0!</v>
      </c>
      <c r="X11" s="5027">
        <f>(종합!Y47+종합!Y53)/년간!V10*1000</f>
        <v>2.2688862026256253</v>
      </c>
      <c r="Y11" s="6071">
        <f>($I$11-J11)*년간!$C$214*년간!E10/1000</f>
        <v>77455963.749872625</v>
      </c>
      <c r="Z11" s="4114">
        <f>($I$11-K11)*년간!$C$214*(년간!E10/10)/1000</f>
        <v>7745596.3749872632</v>
      </c>
      <c r="AA11" s="3385">
        <f>Y11/년간!E10</f>
        <v>288.95009979061638</v>
      </c>
      <c r="AB11" s="4114" t="e">
        <f>($I$11-L11)*년간!$C$214*년간!F10/1000</f>
        <v>#DIV/0!</v>
      </c>
      <c r="AC11" s="4114" t="e">
        <f>($I$11-M11)*년간!$C$214*년간!G10/1000</f>
        <v>#DIV/0!</v>
      </c>
      <c r="AD11" s="4114">
        <f>($I$11-N11)*년간!$C$214*년간!H10/1000</f>
        <v>-2945210.3174115331</v>
      </c>
      <c r="AE11" s="4114" t="e">
        <f>($I$11-O11)*년간!$C$214*년간!I10/1000</f>
        <v>#DIV/0!</v>
      </c>
      <c r="AF11" s="4114" t="e">
        <f>($I$11-P11)*년간!$C$214*년간!J10/1000</f>
        <v>#DIV/0!</v>
      </c>
      <c r="AG11" s="4114" t="e">
        <f>($I$11-Q11)*년간!$C$214*년간!K10/1000</f>
        <v>#DIV/0!</v>
      </c>
      <c r="AH11" s="4114" t="e">
        <f>($I$11-R11)*년간!$C$214*년간!L10/1000</f>
        <v>#DIV/0!</v>
      </c>
      <c r="AI11" s="4114" t="e">
        <f>($I$11-S11)*년간!$C$214*년간!M10/1000</f>
        <v>#DIV/0!</v>
      </c>
      <c r="AJ11" s="4114" t="e">
        <f>($I$11-T11)*년간!$C$214*년간!N10/1000</f>
        <v>#DIV/0!</v>
      </c>
      <c r="AK11" s="4114" t="e">
        <f>($I$11-U11)*년간!$C$214*년간!O10/1000</f>
        <v>#DIV/0!</v>
      </c>
      <c r="AL11" s="5264"/>
      <c r="AM11" s="5264"/>
      <c r="AN11" s="5283" t="e">
        <f t="shared" si="1"/>
        <v>#DIV/0!</v>
      </c>
      <c r="AO11" s="3971">
        <f t="shared" si="7"/>
        <v>288.95009979061638</v>
      </c>
      <c r="AP11" s="3974" t="e">
        <f>AB11/년간!F10</f>
        <v>#DIV/0!</v>
      </c>
      <c r="AQ11" s="3974" t="e">
        <f>AC11/년간!G10</f>
        <v>#DIV/0!</v>
      </c>
      <c r="AR11" s="3974">
        <f>AD11/년간!H10</f>
        <v>-128.85358760134335</v>
      </c>
      <c r="AS11" s="3974" t="e">
        <f>AE11/년간!I10</f>
        <v>#DIV/0!</v>
      </c>
      <c r="AT11" s="3974" t="e">
        <f>AF11/년간!J10</f>
        <v>#DIV/0!</v>
      </c>
      <c r="AU11" s="3974" t="e">
        <f>AG11/년간!K10</f>
        <v>#DIV/0!</v>
      </c>
      <c r="AV11" s="3974" t="e">
        <f>AH11/년간!L10</f>
        <v>#DIV/0!</v>
      </c>
      <c r="AW11" s="3974" t="e">
        <f>AI11/년간!M10</f>
        <v>#DIV/0!</v>
      </c>
      <c r="AX11" s="3966" t="e">
        <f>AJ11/년간!N10</f>
        <v>#DIV/0!</v>
      </c>
      <c r="AY11" s="3978" t="e">
        <f>AK11/년간!O10</f>
        <v>#DIV/0!</v>
      </c>
      <c r="AZ11" s="4219"/>
      <c r="BA11" s="4909"/>
      <c r="BB11" s="4035" t="e">
        <f>AN11/년간!$V$9</f>
        <v>#DIV/0!</v>
      </c>
    </row>
    <row r="12" spans="2:56" ht="16.5">
      <c r="B12" s="7731"/>
      <c r="C12" s="3355" t="s">
        <v>1222</v>
      </c>
      <c r="D12" s="3356" t="s">
        <v>317</v>
      </c>
      <c r="E12" s="4855">
        <f>(종합!F48+종합!F54)/CGL!H5*1000</f>
        <v>5.9337282737341113</v>
      </c>
      <c r="F12" s="4855">
        <f>(종합!G48+종합!G54)/CGL!I5*1000</f>
        <v>2.5642489641379616</v>
      </c>
      <c r="G12" s="4855">
        <f>(종합!H48+종합!H54)/CGL!J5*1000</f>
        <v>2.6735481462132107</v>
      </c>
      <c r="H12" s="4855">
        <f>(종합!I48+종합!I54)/년간!C10*1000</f>
        <v>2.1401601398038075</v>
      </c>
      <c r="I12" s="4855">
        <f>(종합!J48+종합!J54)/년간!D10*1000</f>
        <v>1.158198897234149</v>
      </c>
      <c r="J12" s="4864">
        <f>(종합!K48+종합!K54)/년간!E10*1000</f>
        <v>0.97791539207640088</v>
      </c>
      <c r="K12" s="4895">
        <f>(종합!L48+종합!L54)/(년간!E10/10)*1000</f>
        <v>0.97791539207640088</v>
      </c>
      <c r="L12" s="4269" t="e">
        <f>(종합!M48+종합!M54)/년간!F10*1000</f>
        <v>#DIV/0!</v>
      </c>
      <c r="M12" s="4269" t="e">
        <f>(종합!N48+종합!N54)/년간!G10*1000</f>
        <v>#DIV/0!</v>
      </c>
      <c r="N12" s="4269">
        <f>(종합!O48+종합!O54)/년간!H10*1000</f>
        <v>6.6242202070872738</v>
      </c>
      <c r="O12" s="4269" t="e">
        <f>(종합!P48+종합!P54)/년간!I10*1000</f>
        <v>#DIV/0!</v>
      </c>
      <c r="P12" s="4269" t="e">
        <f>(종합!Q48+종합!Q54)/년간!J10*1000</f>
        <v>#DIV/0!</v>
      </c>
      <c r="Q12" s="4269" t="e">
        <f>(종합!R48+종합!R54)/년간!K10*1000</f>
        <v>#DIV/0!</v>
      </c>
      <c r="R12" s="4269" t="e">
        <f>(종합!S48+종합!S54)/년간!L10*1000</f>
        <v>#DIV/0!</v>
      </c>
      <c r="S12" s="4269" t="e">
        <f>(종합!T48+종합!T54)/년간!M10*1000</f>
        <v>#DIV/0!</v>
      </c>
      <c r="T12" s="4269" t="e">
        <f>(종합!U48+종합!U54)/년간!N10*1000</f>
        <v>#DIV/0!</v>
      </c>
      <c r="U12" s="4269" t="e">
        <f>(종합!V48+종합!V54)/년간!O10*1000</f>
        <v>#DIV/0!</v>
      </c>
      <c r="V12" s="4269" t="e">
        <f>(종합!W48+종합!W54)/년간!P10*1000</f>
        <v>#DIV/0!</v>
      </c>
      <c r="W12" s="4269" t="e">
        <f>(종합!X48+종합!X54)/년간!Q10*1000</f>
        <v>#DIV/0!</v>
      </c>
      <c r="X12" s="5027">
        <f>(종합!Y48+종합!Y54)/년간!V10*1000</f>
        <v>6.637345271892281</v>
      </c>
      <c r="Y12" s="6071">
        <f>($I$12-J12)*년간!$C$215*년간!E10/1000</f>
        <v>23462514.668211311</v>
      </c>
      <c r="Z12" s="4114">
        <f>($I$12-$J$12)*년간!$C$215*(년간!E10/10)/1000</f>
        <v>2346251.4668211313</v>
      </c>
      <c r="AA12" s="3385">
        <f>Y12/년간!E10</f>
        <v>87.527100903571252</v>
      </c>
      <c r="AB12" s="4114" t="e">
        <f>($I$12-L12)*년간!$C$215*년간!F10/1000</f>
        <v>#DIV/0!</v>
      </c>
      <c r="AC12" s="4114" t="e">
        <f>($I$12-M12)*년간!$C$215*년간!G10/1000</f>
        <v>#DIV/0!</v>
      </c>
      <c r="AD12" s="4114">
        <f>($I$12-N12)*년간!$C$215*년간!H10/1000</f>
        <v>-60656545.029567607</v>
      </c>
      <c r="AE12" s="4114" t="e">
        <f>($I$12-O12)*년간!$C$215*년간!I10/1000</f>
        <v>#DIV/0!</v>
      </c>
      <c r="AF12" s="4114" t="e">
        <f>($I$12-P12)*년간!$C$215*년간!J10/1000</f>
        <v>#DIV/0!</v>
      </c>
      <c r="AG12" s="4114" t="e">
        <f>($I$12-Q12)*년간!$C$215*년간!K10/1000</f>
        <v>#DIV/0!</v>
      </c>
      <c r="AH12" s="4114" t="e">
        <f>($I$12-R12)*년간!$C$215*년간!L10/1000</f>
        <v>#DIV/0!</v>
      </c>
      <c r="AI12" s="4114" t="e">
        <f>($I$12-S12)*년간!$C$215*년간!M10/1000</f>
        <v>#DIV/0!</v>
      </c>
      <c r="AJ12" s="4114" t="e">
        <f>($I$12-T12)*년간!$C$215*년간!N10/1000</f>
        <v>#DIV/0!</v>
      </c>
      <c r="AK12" s="4114" t="e">
        <f>($I$12-U12)*년간!$C$215*년간!O10/1000</f>
        <v>#DIV/0!</v>
      </c>
      <c r="AL12" s="5264"/>
      <c r="AM12" s="5264"/>
      <c r="AN12" s="5283" t="e">
        <f t="shared" si="1"/>
        <v>#DIV/0!</v>
      </c>
      <c r="AO12" s="3971">
        <f t="shared" si="7"/>
        <v>87.527100903571252</v>
      </c>
      <c r="AP12" s="3974" t="e">
        <f>AB12/년간!F10</f>
        <v>#DIV/0!</v>
      </c>
      <c r="AQ12" s="3974" t="e">
        <f>AC12/년간!G10</f>
        <v>#DIV/0!</v>
      </c>
      <c r="AR12" s="3974">
        <f>AD12/년간!H10</f>
        <v>-2653.7369478697628</v>
      </c>
      <c r="AS12" s="3974" t="e">
        <f>AE12/년간!I10</f>
        <v>#DIV/0!</v>
      </c>
      <c r="AT12" s="3974" t="e">
        <f>AF12/년간!J10</f>
        <v>#DIV/0!</v>
      </c>
      <c r="AU12" s="3974" t="e">
        <f>AG12/년간!K10</f>
        <v>#DIV/0!</v>
      </c>
      <c r="AV12" s="3974" t="e">
        <f>AH12/년간!L10</f>
        <v>#DIV/0!</v>
      </c>
      <c r="AW12" s="3974" t="e">
        <f>AI12/년간!M10</f>
        <v>#DIV/0!</v>
      </c>
      <c r="AX12" s="3966" t="e">
        <f>AJ12/년간!N10</f>
        <v>#DIV/0!</v>
      </c>
      <c r="AY12" s="3978" t="e">
        <f>AK12/년간!O10</f>
        <v>#DIV/0!</v>
      </c>
      <c r="AZ12" s="4219"/>
      <c r="BA12" s="4909"/>
      <c r="BB12" s="4035" t="e">
        <f>AN12/년간!$V$10</f>
        <v>#DIV/0!</v>
      </c>
    </row>
    <row r="13" spans="2:56" ht="16.5">
      <c r="B13" s="7731"/>
      <c r="C13" s="3355" t="s">
        <v>501</v>
      </c>
      <c r="D13" s="3356" t="s">
        <v>317</v>
      </c>
      <c r="E13" s="4855">
        <f>(종합!F49+종합!F55)/'#1CCL'!H5*1000</f>
        <v>4.9024831787199821</v>
      </c>
      <c r="F13" s="4855">
        <f>(종합!G49+종합!G55)/'#1CCL'!I5*1000</f>
        <v>1.6164350932909886</v>
      </c>
      <c r="G13" s="4855">
        <f>(종합!H49+종합!H55)/'#1CCL'!J5*1000</f>
        <v>0.40448129362749535</v>
      </c>
      <c r="H13" s="4855">
        <f>(종합!I49+종합!I55)/년간!C11*1000</f>
        <v>0.23536599392254112</v>
      </c>
      <c r="I13" s="4855">
        <f>(종합!J49+종합!J55)/년간!D11*1000</f>
        <v>0.30624591959697789</v>
      </c>
      <c r="J13" s="4864">
        <f>(종합!K49+종합!K55)/년간!E11*1000</f>
        <v>0.24244177435479689</v>
      </c>
      <c r="K13" s="4895">
        <f>(종합!L49+종합!L55)/(년간!E11/12)*1000</f>
        <v>0.24244177435479689</v>
      </c>
      <c r="L13" s="4269">
        <f>(종합!M49+종합!M55)/년간!F11*1000</f>
        <v>0.21766206754779494</v>
      </c>
      <c r="M13" s="4269">
        <f>(종합!N49+종합!N55)/년간!G11*1000</f>
        <v>0.15895404889426545</v>
      </c>
      <c r="N13" s="4269">
        <f>(종합!O49+종합!O55)/년간!H11*1000</f>
        <v>0.14043327117434445</v>
      </c>
      <c r="O13" s="4269" t="e">
        <f>(종합!P49+종합!P55)/년간!I11*1000</f>
        <v>#DIV/0!</v>
      </c>
      <c r="P13" s="4269" t="e">
        <f>(종합!Q49+종합!Q55)/년간!J11*1000</f>
        <v>#DIV/0!</v>
      </c>
      <c r="Q13" s="4269" t="e">
        <f>(종합!R49+종합!R55)/년간!K11*1000</f>
        <v>#DIV/0!</v>
      </c>
      <c r="R13" s="4269" t="e">
        <f>(종합!S49+종합!S55)/년간!L11*1000</f>
        <v>#DIV/0!</v>
      </c>
      <c r="S13" s="4269" t="e">
        <f>(종합!T49+종합!T55)/년간!M11*1000</f>
        <v>#DIV/0!</v>
      </c>
      <c r="T13" s="4269" t="e">
        <f>(종합!U49+종합!U55)/년간!N11*1000</f>
        <v>#DIV/0!</v>
      </c>
      <c r="U13" s="4269" t="e">
        <f>(종합!V49+종합!V55)/년간!O11*1000</f>
        <v>#DIV/0!</v>
      </c>
      <c r="V13" s="4269" t="e">
        <f>(종합!W49+종합!W55)/년간!P11*1000</f>
        <v>#DIV/0!</v>
      </c>
      <c r="W13" s="4269" t="e">
        <f>(종합!X49+종합!X55)/년간!Q11*1000</f>
        <v>#DIV/0!</v>
      </c>
      <c r="X13" s="5027">
        <f>(종합!Y49+종합!Y55)/년간!V11*1000</f>
        <v>0.17197668071098315</v>
      </c>
      <c r="Y13" s="6071">
        <f>($I$13-J13)*년간!$C$216*년간!E11/1000</f>
        <v>7516531.3259877861</v>
      </c>
      <c r="Z13" s="4114">
        <f>($I$13-K13)*년간!$C$216*(년간!E11/12)/1000</f>
        <v>626377.61049898225</v>
      </c>
      <c r="AA13" s="3385">
        <f>Y13/년간!E11</f>
        <v>46.386315436663246</v>
      </c>
      <c r="AB13" s="4114">
        <f>($I$13-L13)*년간!$C$216*년간!F11/1000</f>
        <v>798870.81881901668</v>
      </c>
      <c r="AC13" s="4114">
        <f>($I$13-M13)*년간!$C$216*년간!G11/1000</f>
        <v>1279975.8220508876</v>
      </c>
      <c r="AD13" s="4114">
        <f>($I$13-N13)*년간!$C$216*년간!H11/1000</f>
        <v>1570868.0824125814</v>
      </c>
      <c r="AE13" s="4114" t="e">
        <f>($I$13-O13)*년간!$C$216*년간!I11/1000</f>
        <v>#DIV/0!</v>
      </c>
      <c r="AF13" s="4114" t="e">
        <f>($I$13-P13)*년간!$C$216*년간!J11/1000</f>
        <v>#DIV/0!</v>
      </c>
      <c r="AG13" s="4114" t="e">
        <f>($I$13-Q13)*년간!$C$216*년간!K11/1000</f>
        <v>#DIV/0!</v>
      </c>
      <c r="AH13" s="4114" t="e">
        <f>($I$13-R13)*년간!$C$216*년간!L11/1000</f>
        <v>#DIV/0!</v>
      </c>
      <c r="AI13" s="4114" t="e">
        <f>($I$13-S13)*년간!$C$216*년간!M11/1000</f>
        <v>#DIV/0!</v>
      </c>
      <c r="AJ13" s="4114" t="e">
        <f>($I$13-T13)*년간!$C$216*년간!N11/1000</f>
        <v>#DIV/0!</v>
      </c>
      <c r="AK13" s="4114" t="e">
        <f>($I$13-U13)*년간!$C$216*년간!O11/1000</f>
        <v>#DIV/0!</v>
      </c>
      <c r="AL13" s="5264"/>
      <c r="AM13" s="5264"/>
      <c r="AN13" s="5283" t="e">
        <f t="shared" si="1"/>
        <v>#DIV/0!</v>
      </c>
      <c r="AO13" s="3971">
        <f t="shared" si="7"/>
        <v>46.386315436663246</v>
      </c>
      <c r="AP13" s="3974">
        <f>AB13/년간!F11</f>
        <v>64.401434862128539</v>
      </c>
      <c r="AQ13" s="3974">
        <f>AC13/년간!G11</f>
        <v>107.08281021144968</v>
      </c>
      <c r="AR13" s="3974">
        <f>AD13/년간!H11</f>
        <v>120.54761934238716</v>
      </c>
      <c r="AS13" s="3974" t="e">
        <f>AE13/년간!I11</f>
        <v>#DIV/0!</v>
      </c>
      <c r="AT13" s="3974" t="e">
        <f>AF13/년간!J11</f>
        <v>#DIV/0!</v>
      </c>
      <c r="AU13" s="3974" t="e">
        <f>AG13/년간!K11</f>
        <v>#DIV/0!</v>
      </c>
      <c r="AV13" s="3974" t="e">
        <f>AH13/년간!L11</f>
        <v>#DIV/0!</v>
      </c>
      <c r="AW13" s="3974" t="e">
        <f>AI13/년간!M11</f>
        <v>#DIV/0!</v>
      </c>
      <c r="AX13" s="3966" t="e">
        <f>AJ13/년간!N11</f>
        <v>#DIV/0!</v>
      </c>
      <c r="AY13" s="3978" t="e">
        <f>AK13/년간!O11</f>
        <v>#DIV/0!</v>
      </c>
      <c r="AZ13" s="4219"/>
      <c r="BA13" s="4909"/>
      <c r="BB13" s="4035" t="e">
        <f>AN13/년간!$V$11</f>
        <v>#DIV/0!</v>
      </c>
    </row>
    <row r="14" spans="2:56" ht="17.25" thickBot="1">
      <c r="B14" s="7731"/>
      <c r="C14" s="3344" t="s">
        <v>488</v>
      </c>
      <c r="D14" s="3084" t="s">
        <v>317</v>
      </c>
      <c r="E14" s="4856">
        <f>(종합!F50+종합!F56)/'#2CCL'!H5*1000</f>
        <v>7.5697612445800431</v>
      </c>
      <c r="F14" s="4856">
        <f>(종합!G50+종합!G56)/'#2CCL'!I5*1000</f>
        <v>4.1547518923465097</v>
      </c>
      <c r="G14" s="4856">
        <f>(종합!H50+종합!H56)/'#2CCL'!J5*1000</f>
        <v>2.3977272727272729</v>
      </c>
      <c r="H14" s="4856">
        <f>(종합!I50+종합!I56)/년간!C12*1000</f>
        <v>2.1509988324319407</v>
      </c>
      <c r="I14" s="4856">
        <f>(종합!J50+종합!J56)/년간!D12*1000</f>
        <v>2.6676841017914397</v>
      </c>
      <c r="J14" s="4865">
        <f>(종합!K50+종합!K56)/년간!E12*1000</f>
        <v>2.0537462852644648</v>
      </c>
      <c r="K14" s="4896">
        <f>(종합!L50+종합!L56)/(년간!E12/12)*1000</f>
        <v>2.0537462852644648</v>
      </c>
      <c r="L14" s="4858">
        <f>(종합!M50+종합!M56)/년간!F12*1000</f>
        <v>2.6821398749929068</v>
      </c>
      <c r="M14" s="4858">
        <f>(종합!N50+종합!N56)/년간!G12*1000</f>
        <v>2.0787642842901666</v>
      </c>
      <c r="N14" s="4858">
        <f>(종합!O50+종합!O56)/년간!H12*1000</f>
        <v>1.2014470746513062</v>
      </c>
      <c r="O14" s="4858" t="e">
        <f>(종합!P50+종합!P56)/년간!I12*1000</f>
        <v>#DIV/0!</v>
      </c>
      <c r="P14" s="4858" t="e">
        <f>(종합!Q50+종합!Q56)/년간!J12*1000</f>
        <v>#DIV/0!</v>
      </c>
      <c r="Q14" s="4858" t="e">
        <f>(종합!R50+종합!R56)/년간!K12*1000</f>
        <v>#DIV/0!</v>
      </c>
      <c r="R14" s="4858" t="e">
        <f>(종합!S50+종합!S56)/년간!L12*1000</f>
        <v>#DIV/0!</v>
      </c>
      <c r="S14" s="4858" t="e">
        <f>(종합!T50+종합!T56)/년간!M12*1000</f>
        <v>#DIV/0!</v>
      </c>
      <c r="T14" s="4858" t="e">
        <f>(종합!U50+종합!U56)/년간!N12*1000</f>
        <v>#DIV/0!</v>
      </c>
      <c r="U14" s="4858" t="e">
        <f>(종합!V50+종합!V56)/년간!O12*1000</f>
        <v>#DIV/0!</v>
      </c>
      <c r="V14" s="4858" t="e">
        <f>(종합!W50+종합!W56)/년간!P12*1000</f>
        <v>#DIV/0!</v>
      </c>
      <c r="W14" s="4858" t="e">
        <f>(종합!X50+종합!X56)/년간!Q12*1000</f>
        <v>#DIV/0!</v>
      </c>
      <c r="X14" s="5028">
        <f>(종합!Y50+종합!Y56)/년간!V12*1000</f>
        <v>1.9549395005887582</v>
      </c>
      <c r="Y14" s="6071">
        <f>($I$14-J14)*년간!$C$217*년간!E12/1000</f>
        <v>45204840.025501154</v>
      </c>
      <c r="Z14" s="4114">
        <f>($I$14-K14)*년간!$C$217*(년간!E12/12)/1000</f>
        <v>3767070.002125096</v>
      </c>
      <c r="AA14" s="3385">
        <f>Y14/년간!E12</f>
        <v>748.58306949159328</v>
      </c>
      <c r="AB14" s="4114">
        <f>($I$14-L14)*년간!$C$217*년간!F12/1000</f>
        <v>-86969.435002207916</v>
      </c>
      <c r="AC14" s="4114">
        <f>($I$14-M14)*년간!$C$217*년간!G12/1000</f>
        <v>3421535.2408533767</v>
      </c>
      <c r="AD14" s="4114">
        <f>($I$14-N14)*년간!$C$217*년간!H12/1000</f>
        <v>9913334.9874998108</v>
      </c>
      <c r="AE14" s="4114" t="e">
        <f>($I$14-O14)*년간!$C$217*년간!I12/1000</f>
        <v>#DIV/0!</v>
      </c>
      <c r="AF14" s="4114" t="e">
        <f>($I$14-P14)*년간!$C$217*년간!J12/1000</f>
        <v>#DIV/0!</v>
      </c>
      <c r="AG14" s="4114" t="e">
        <f>($I$14-Q14)*년간!$C$217*년간!K12/1000</f>
        <v>#DIV/0!</v>
      </c>
      <c r="AH14" s="4114" t="e">
        <f>($I$14-R14)*년간!$C$217*년간!L12/1000</f>
        <v>#DIV/0!</v>
      </c>
      <c r="AI14" s="4114" t="e">
        <f>($I$14-S14)*년간!$C$217*년간!M12/1000</f>
        <v>#DIV/0!</v>
      </c>
      <c r="AJ14" s="4114" t="e">
        <f>($I$14-T14)*년간!$C$217*년간!N12/1000</f>
        <v>#DIV/0!</v>
      </c>
      <c r="AK14" s="4114" t="e">
        <f>($I$14-U14)*년간!$C$217*년간!O12/1000</f>
        <v>#DIV/0!</v>
      </c>
      <c r="AL14" s="5264"/>
      <c r="AM14" s="5264"/>
      <c r="AN14" s="5283" t="e">
        <f t="shared" si="1"/>
        <v>#DIV/0!</v>
      </c>
      <c r="AO14" s="3971">
        <f t="shared" si="7"/>
        <v>748.58306949159328</v>
      </c>
      <c r="AP14" s="3974">
        <f>AB14/년간!F12</f>
        <v>-17.62612887449189</v>
      </c>
      <c r="AQ14" s="3974">
        <f>AC14/년간!G12</f>
        <v>718.07826916972761</v>
      </c>
      <c r="AR14" s="3974">
        <f>AD14/년간!H12</f>
        <v>1787.8035606079391</v>
      </c>
      <c r="AS14" s="3974" t="e">
        <f>AE14/년간!I12</f>
        <v>#DIV/0!</v>
      </c>
      <c r="AT14" s="3974" t="e">
        <f>AF14/년간!J12</f>
        <v>#DIV/0!</v>
      </c>
      <c r="AU14" s="3974" t="e">
        <f>AG14/년간!K12</f>
        <v>#DIV/0!</v>
      </c>
      <c r="AV14" s="3974" t="e">
        <f>AH14/년간!L12</f>
        <v>#DIV/0!</v>
      </c>
      <c r="AW14" s="3974" t="e">
        <f>AI14/년간!M12</f>
        <v>#DIV/0!</v>
      </c>
      <c r="AX14" s="3966" t="e">
        <f>AJ14/년간!N12</f>
        <v>#DIV/0!</v>
      </c>
      <c r="AY14" s="3978" t="e">
        <f>AK14/년간!O12</f>
        <v>#DIV/0!</v>
      </c>
      <c r="AZ14" s="4219"/>
      <c r="BA14" s="4909"/>
      <c r="BB14" s="4035" t="e">
        <f>AN14/년간!$V$12</f>
        <v>#DIV/0!</v>
      </c>
    </row>
    <row r="15" spans="2:56" ht="16.5">
      <c r="B15" s="7731"/>
      <c r="C15" s="4872" t="s">
        <v>16</v>
      </c>
      <c r="D15" s="4873" t="s">
        <v>317</v>
      </c>
      <c r="E15" s="4877">
        <f t="shared" ref="E15:P15" si="8">SUM(E10:E14)</f>
        <v>25.517369649437764</v>
      </c>
      <c r="F15" s="4877">
        <f t="shared" si="8"/>
        <v>12.361291838030237</v>
      </c>
      <c r="G15" s="4877">
        <f t="shared" si="8"/>
        <v>7.3699753448644252</v>
      </c>
      <c r="H15" s="4878">
        <f t="shared" si="8"/>
        <v>6.4879874169822713</v>
      </c>
      <c r="I15" s="4878">
        <f>SUM(I10:I14)</f>
        <v>5.7718962804102443</v>
      </c>
      <c r="J15" s="4879">
        <f t="shared" si="8"/>
        <v>4.223587051589039</v>
      </c>
      <c r="K15" s="4903">
        <f t="shared" si="8"/>
        <v>4.223587051589039</v>
      </c>
      <c r="L15" s="4890" t="e">
        <f t="shared" si="8"/>
        <v>#DIV/0!</v>
      </c>
      <c r="M15" s="4859" t="e">
        <f t="shared" si="8"/>
        <v>#DIV/0!</v>
      </c>
      <c r="N15" s="4859">
        <f t="shared" si="8"/>
        <v>9.6911715704510737</v>
      </c>
      <c r="O15" s="4859" t="e">
        <f t="shared" si="8"/>
        <v>#DIV/0!</v>
      </c>
      <c r="P15" s="4859" t="e">
        <f t="shared" si="8"/>
        <v>#DIV/0!</v>
      </c>
      <c r="Q15" s="4859" t="e">
        <f>SUM(Q10:Q14)</f>
        <v>#DIV/0!</v>
      </c>
      <c r="R15" s="4859" t="e">
        <f>SUM(R10:R14)</f>
        <v>#DIV/0!</v>
      </c>
      <c r="S15" s="4859" t="e">
        <f t="shared" ref="S15:X15" si="9">SUM(S10:S14)</f>
        <v>#DIV/0!</v>
      </c>
      <c r="T15" s="4859" t="e">
        <f t="shared" si="9"/>
        <v>#DIV/0!</v>
      </c>
      <c r="U15" s="4859" t="e">
        <f t="shared" si="9"/>
        <v>#DIV/0!</v>
      </c>
      <c r="V15" s="4859" t="e">
        <f t="shared" si="9"/>
        <v>#DIV/0!</v>
      </c>
      <c r="W15" s="4859" t="e">
        <f t="shared" si="9"/>
        <v>#DIV/0!</v>
      </c>
      <c r="X15" s="4859">
        <f t="shared" si="9"/>
        <v>11.0817298532702</v>
      </c>
      <c r="Y15" s="4876">
        <f t="shared" ref="Y15:AF15" si="10">SUM(Y10:Y14)</f>
        <v>166681896.53991085</v>
      </c>
      <c r="Z15" s="4115">
        <f t="shared" si="10"/>
        <v>15789500.131466268</v>
      </c>
      <c r="AA15" s="4234" t="e">
        <f>Y15/(년간!#REF!+년간!#REF!+년간!#REF!+년간!#REF!+년간!#REF!)</f>
        <v>#REF!</v>
      </c>
      <c r="AB15" s="4115" t="e">
        <f t="shared" si="10"/>
        <v>#DIV/0!</v>
      </c>
      <c r="AC15" s="4115" t="e">
        <f t="shared" si="10"/>
        <v>#DIV/0!</v>
      </c>
      <c r="AD15" s="4115">
        <f t="shared" si="10"/>
        <v>-49705801.53031753</v>
      </c>
      <c r="AE15" s="4115" t="e">
        <f t="shared" si="10"/>
        <v>#DIV/0!</v>
      </c>
      <c r="AF15" s="4115" t="e">
        <f t="shared" si="10"/>
        <v>#DIV/0!</v>
      </c>
      <c r="AG15" s="4115" t="e">
        <f>SUM(AG10:AG14)</f>
        <v>#DIV/0!</v>
      </c>
      <c r="AH15" s="4115" t="e">
        <f>SUM(AH10:AH14)</f>
        <v>#DIV/0!</v>
      </c>
      <c r="AI15" s="4115" t="e">
        <f>SUM(AI10:AI14)</f>
        <v>#DIV/0!</v>
      </c>
      <c r="AJ15" s="4115" t="e">
        <f>SUM(AJ10:AJ14)</f>
        <v>#DIV/0!</v>
      </c>
      <c r="AK15" s="4115" t="e">
        <f>SUM(AK10:AK14)</f>
        <v>#DIV/0!</v>
      </c>
      <c r="AL15" s="5265"/>
      <c r="AM15" s="5265"/>
      <c r="AN15" s="5284" t="e">
        <f t="shared" si="1"/>
        <v>#DIV/0!</v>
      </c>
      <c r="AO15" s="4002" t="e">
        <f t="shared" si="7"/>
        <v>#REF!</v>
      </c>
      <c r="AP15" s="4002" t="e">
        <f>AB15/(년간!F8+년간!F10+년간!F10+년간!F11+년간!F12)</f>
        <v>#DIV/0!</v>
      </c>
      <c r="AQ15" s="4002" t="e">
        <f>AC15/(년간!G8+년간!G10+년간!G10+년간!G11+년간!G12)</f>
        <v>#DIV/0!</v>
      </c>
      <c r="AR15" s="4002">
        <f>AD15/(년간!H8+년간!H10+년간!H10+년간!H11+년간!H12)</f>
        <v>-541.03166211778762</v>
      </c>
      <c r="AS15" s="4002" t="e">
        <f>AE15/(년간!I8+년간!I10+년간!I10+년간!I11+년간!I12)</f>
        <v>#DIV/0!</v>
      </c>
      <c r="AT15" s="4002" t="e">
        <f>AF15/(년간!J8+년간!J10+년간!J10+년간!J11+년간!J12)</f>
        <v>#DIV/0!</v>
      </c>
      <c r="AU15" s="4002" t="e">
        <f>AG15/(년간!K8+년간!K10+년간!K10+년간!K11+년간!K12)</f>
        <v>#DIV/0!</v>
      </c>
      <c r="AV15" s="4002" t="e">
        <f>AH15/(년간!L8+년간!L10+년간!L10+년간!L11+년간!L12)</f>
        <v>#DIV/0!</v>
      </c>
      <c r="AW15" s="4002" t="e">
        <f>AI15/(년간!M8+년간!M10+년간!M10+년간!M11+년간!M12)</f>
        <v>#DIV/0!</v>
      </c>
      <c r="AX15" s="5310" t="e">
        <f>AJ15/(년간!N8+년간!N10+년간!N10+년간!N11+년간!N12)</f>
        <v>#DIV/0!</v>
      </c>
      <c r="AY15" s="5328" t="e">
        <f>AK15/(년간!O8+년간!O10+년간!O10+년간!O11+년간!O12)</f>
        <v>#DIV/0!</v>
      </c>
      <c r="AZ15" s="4215"/>
      <c r="BA15" s="5332"/>
      <c r="BB15" s="5338" t="e">
        <f>AN15/년간!$V$13</f>
        <v>#DIV/0!</v>
      </c>
    </row>
    <row r="16" spans="2:56" ht="17.25" thickBot="1">
      <c r="B16" s="7755"/>
      <c r="C16" s="4874" t="s">
        <v>489</v>
      </c>
      <c r="D16" s="4547" t="str">
        <f>D15</f>
        <v>kg/ton</v>
      </c>
      <c r="E16" s="2131">
        <f t="shared" ref="E16:AV16" si="11">E15</f>
        <v>25.517369649437764</v>
      </c>
      <c r="F16" s="2131">
        <f t="shared" si="11"/>
        <v>12.361291838030237</v>
      </c>
      <c r="G16" s="2131">
        <f t="shared" si="11"/>
        <v>7.3699753448644252</v>
      </c>
      <c r="H16" s="2132">
        <f t="shared" si="11"/>
        <v>6.4879874169822713</v>
      </c>
      <c r="I16" s="2132">
        <f>I15</f>
        <v>5.7718962804102443</v>
      </c>
      <c r="J16" s="4900">
        <f t="shared" si="11"/>
        <v>4.223587051589039</v>
      </c>
      <c r="K16" s="4904">
        <f t="shared" si="11"/>
        <v>4.223587051589039</v>
      </c>
      <c r="L16" s="4891" t="e">
        <f t="shared" si="11"/>
        <v>#DIV/0!</v>
      </c>
      <c r="M16" s="2131" t="e">
        <f t="shared" si="11"/>
        <v>#DIV/0!</v>
      </c>
      <c r="N16" s="2131">
        <f t="shared" si="11"/>
        <v>9.6911715704510737</v>
      </c>
      <c r="O16" s="2131" t="e">
        <f t="shared" si="11"/>
        <v>#DIV/0!</v>
      </c>
      <c r="P16" s="2131" t="e">
        <f t="shared" si="11"/>
        <v>#DIV/0!</v>
      </c>
      <c r="Q16" s="2131" t="e">
        <f t="shared" si="11"/>
        <v>#DIV/0!</v>
      </c>
      <c r="R16" s="2131" t="e">
        <f t="shared" si="11"/>
        <v>#DIV/0!</v>
      </c>
      <c r="S16" s="2131" t="e">
        <f t="shared" ref="S16:X16" si="12">S15</f>
        <v>#DIV/0!</v>
      </c>
      <c r="T16" s="2131" t="e">
        <f t="shared" si="12"/>
        <v>#DIV/0!</v>
      </c>
      <c r="U16" s="2131" t="e">
        <f t="shared" si="12"/>
        <v>#DIV/0!</v>
      </c>
      <c r="V16" s="2131" t="e">
        <f t="shared" si="12"/>
        <v>#DIV/0!</v>
      </c>
      <c r="W16" s="2131" t="e">
        <f t="shared" si="12"/>
        <v>#DIV/0!</v>
      </c>
      <c r="X16" s="2131">
        <f t="shared" si="12"/>
        <v>11.0817298532702</v>
      </c>
      <c r="Y16" s="4875">
        <f t="shared" si="11"/>
        <v>166681896.53991085</v>
      </c>
      <c r="Z16" s="4875">
        <f t="shared" si="11"/>
        <v>15789500.131466268</v>
      </c>
      <c r="AA16" s="4875" t="e">
        <f t="shared" si="11"/>
        <v>#REF!</v>
      </c>
      <c r="AB16" s="4875" t="e">
        <f t="shared" si="11"/>
        <v>#DIV/0!</v>
      </c>
      <c r="AC16" s="4875" t="e">
        <f t="shared" si="11"/>
        <v>#DIV/0!</v>
      </c>
      <c r="AD16" s="4875">
        <f t="shared" si="11"/>
        <v>-49705801.53031753</v>
      </c>
      <c r="AE16" s="4875" t="e">
        <f t="shared" si="11"/>
        <v>#DIV/0!</v>
      </c>
      <c r="AF16" s="4875" t="e">
        <f t="shared" si="11"/>
        <v>#DIV/0!</v>
      </c>
      <c r="AG16" s="4875" t="e">
        <f t="shared" si="11"/>
        <v>#DIV/0!</v>
      </c>
      <c r="AH16" s="4875" t="e">
        <f t="shared" si="11"/>
        <v>#DIV/0!</v>
      </c>
      <c r="AI16" s="4875" t="e">
        <f>AI15</f>
        <v>#DIV/0!</v>
      </c>
      <c r="AJ16" s="4875" t="e">
        <f>AJ15</f>
        <v>#DIV/0!</v>
      </c>
      <c r="AK16" s="4875" t="e">
        <f>AK15</f>
        <v>#DIV/0!</v>
      </c>
      <c r="AL16" s="5021">
        <f t="shared" si="11"/>
        <v>0</v>
      </c>
      <c r="AM16" s="5021">
        <f t="shared" si="11"/>
        <v>0</v>
      </c>
      <c r="AN16" s="5284" t="e">
        <f t="shared" si="1"/>
        <v>#DIV/0!</v>
      </c>
      <c r="AO16" s="5280" t="e">
        <f t="shared" si="7"/>
        <v>#REF!</v>
      </c>
      <c r="AP16" s="4875" t="e">
        <f t="shared" si="11"/>
        <v>#DIV/0!</v>
      </c>
      <c r="AQ16" s="4875" t="e">
        <f t="shared" si="11"/>
        <v>#DIV/0!</v>
      </c>
      <c r="AR16" s="4875">
        <f t="shared" si="11"/>
        <v>-541.03166211778762</v>
      </c>
      <c r="AS16" s="4875" t="e">
        <f t="shared" si="11"/>
        <v>#DIV/0!</v>
      </c>
      <c r="AT16" s="4875" t="e">
        <f t="shared" si="11"/>
        <v>#DIV/0!</v>
      </c>
      <c r="AU16" s="4875" t="e">
        <f t="shared" si="11"/>
        <v>#DIV/0!</v>
      </c>
      <c r="AV16" s="4875" t="e">
        <f t="shared" si="11"/>
        <v>#DIV/0!</v>
      </c>
      <c r="AW16" s="4875" t="e">
        <f>AW15</f>
        <v>#DIV/0!</v>
      </c>
      <c r="AX16" s="5021" t="e">
        <f>AX15</f>
        <v>#DIV/0!</v>
      </c>
      <c r="AY16" s="4875" t="e">
        <f>AY15</f>
        <v>#DIV/0!</v>
      </c>
      <c r="AZ16" s="4222"/>
      <c r="BA16" s="5333"/>
      <c r="BB16" s="5338" t="e">
        <f>AN16/년간!$V$13</f>
        <v>#DIV/0!</v>
      </c>
    </row>
    <row r="17" spans="2:54" ht="16.5">
      <c r="B17" s="7718" t="s">
        <v>1215</v>
      </c>
      <c r="C17" s="3345" t="s">
        <v>39</v>
      </c>
      <c r="D17" s="1152" t="s">
        <v>317</v>
      </c>
      <c r="E17" s="4866">
        <f>종합!F72/CPL!H5*1000</f>
        <v>2.4140251331535829</v>
      </c>
      <c r="F17" s="4889">
        <f>종합!G72/CPL!I5*1000</f>
        <v>2.4714045825677471</v>
      </c>
      <c r="G17" s="6086">
        <f>종합!H72/CPL!J5*1000</f>
        <v>2.7029633942223721</v>
      </c>
      <c r="H17" s="6081">
        <f>종합!I72/년간!C8*1000</f>
        <v>3.0393400020441059</v>
      </c>
      <c r="I17" s="4889">
        <f>종합!J72/년간!D8*1000</f>
        <v>2.2803366911444933</v>
      </c>
      <c r="J17" s="4899">
        <f>종합!K72/년간!E8*1000</f>
        <v>1.4852195712677134</v>
      </c>
      <c r="K17" s="4894">
        <f>종합!L72/(년간!E8/10)*1000</f>
        <v>1.4852195712677132</v>
      </c>
      <c r="L17" s="4871" t="e">
        <f>종합!M72/년간!F8*1000</f>
        <v>#DIV/0!</v>
      </c>
      <c r="M17" s="4871" t="e">
        <f>종합!N72/년간!G8*1000</f>
        <v>#DIV/0!</v>
      </c>
      <c r="N17" s="4871">
        <f>종합!O72/년간!H8*1000</f>
        <v>1.9204470142251575</v>
      </c>
      <c r="O17" s="4871" t="e">
        <f>종합!P72/년간!I8*1000</f>
        <v>#DIV/0!</v>
      </c>
      <c r="P17" s="4871" t="e">
        <f>종합!Q72/년간!J8*1000</f>
        <v>#DIV/0!</v>
      </c>
      <c r="Q17" s="4871" t="e">
        <f>종합!R72/년간!K8*1000</f>
        <v>#DIV/0!</v>
      </c>
      <c r="R17" s="4871" t="e">
        <f>종합!S72/년간!L8*1000</f>
        <v>#DIV/0!</v>
      </c>
      <c r="S17" s="4871" t="e">
        <f>종합!T72/년간!M8*1000</f>
        <v>#DIV/0!</v>
      </c>
      <c r="T17" s="4871" t="e">
        <f>종합!U72/년간!N8*1000</f>
        <v>#DIV/0!</v>
      </c>
      <c r="U17" s="4871" t="e">
        <f>종합!V72/년간!O8*1000</f>
        <v>#DIV/0!</v>
      </c>
      <c r="V17" s="4871" t="e">
        <f>종합!W72/년간!P8*1000</f>
        <v>#DIV/0!</v>
      </c>
      <c r="W17" s="4871" t="e">
        <f>종합!X72/년간!Q8*1000</f>
        <v>#DIV/0!</v>
      </c>
      <c r="X17" s="5029">
        <f>종합!Y72/년간!V8*1000</f>
        <v>2.0741697882541299</v>
      </c>
      <c r="Y17" s="6067">
        <f>($I$17-J17)*년간!$C$213*년간!E8/1000</f>
        <v>109019422.49857479</v>
      </c>
      <c r="Z17" s="4113">
        <f>($I$17-K17)*년간!$C$213*(년간!E8/10)/1000</f>
        <v>10901942.249857485</v>
      </c>
      <c r="AA17" s="6037">
        <f>Y17/년간!E8</f>
        <v>386.02697634881696</v>
      </c>
      <c r="AB17" s="4109" t="e">
        <f>($I$17-L17)*년간!$C$213*년간!F8/1000</f>
        <v>#DIV/0!</v>
      </c>
      <c r="AC17" s="4109" t="e">
        <f>($I$17-M17)*년간!$C$213*년간!G8/1000</f>
        <v>#DIV/0!</v>
      </c>
      <c r="AD17" s="4109">
        <f>($I$17-N17)*년간!$C$213*년간!H8/1000</f>
        <v>4819295.8045089282</v>
      </c>
      <c r="AE17" s="4109" t="e">
        <f>($I$17-O17)*년간!$C$213*년간!I8/1000</f>
        <v>#DIV/0!</v>
      </c>
      <c r="AF17" s="4109" t="e">
        <f>($I$17-P17)*년간!$C$213*년간!J8/1000</f>
        <v>#DIV/0!</v>
      </c>
      <c r="AG17" s="4109" t="e">
        <f>($I$17-Q17)*년간!$C$213*년간!K8/1000</f>
        <v>#DIV/0!</v>
      </c>
      <c r="AH17" s="4109" t="e">
        <f>($I$17-R17)*년간!$C$213*년간!L8/1000</f>
        <v>#DIV/0!</v>
      </c>
      <c r="AI17" s="4109" t="e">
        <f>($I$17-S17)*년간!$C$213*년간!M8/1000</f>
        <v>#DIV/0!</v>
      </c>
      <c r="AJ17" s="4109" t="e">
        <f>($I$17-T17)*년간!$C$213*년간!N8/1000</f>
        <v>#DIV/0!</v>
      </c>
      <c r="AK17" s="4109" t="e">
        <f>($I$17-U17)*년간!$C$213*년간!O8/1000</f>
        <v>#DIV/0!</v>
      </c>
      <c r="AL17" s="5259"/>
      <c r="AM17" s="5259"/>
      <c r="AN17" s="5283" t="e">
        <f t="shared" si="1"/>
        <v>#DIV/0!</v>
      </c>
      <c r="AO17" s="3993">
        <f t="shared" si="7"/>
        <v>386.02697634881696</v>
      </c>
      <c r="AP17" s="3990" t="e">
        <f>AB17/년간!F8</f>
        <v>#DIV/0!</v>
      </c>
      <c r="AQ17" s="3990" t="e">
        <f>AC17/년간!G8</f>
        <v>#DIV/0!</v>
      </c>
      <c r="AR17" s="3990">
        <f>AD17/년간!H8</f>
        <v>174.72535847530676</v>
      </c>
      <c r="AS17" s="3990" t="e">
        <f>AE17/년간!I8</f>
        <v>#DIV/0!</v>
      </c>
      <c r="AT17" s="3990" t="e">
        <f>AF17/년간!J8</f>
        <v>#DIV/0!</v>
      </c>
      <c r="AU17" s="3990" t="e">
        <f>AG17/년간!K8</f>
        <v>#DIV/0!</v>
      </c>
      <c r="AV17" s="3990" t="e">
        <f>AH17/년간!L8</f>
        <v>#DIV/0!</v>
      </c>
      <c r="AW17" s="3990" t="e">
        <f>AI17/년간!M8</f>
        <v>#DIV/0!</v>
      </c>
      <c r="AX17" s="3991" t="e">
        <f>AJ17/년간!N8</f>
        <v>#DIV/0!</v>
      </c>
      <c r="AY17" s="5549" t="e">
        <f>AK17/년간!O8</f>
        <v>#DIV/0!</v>
      </c>
      <c r="AZ17" s="4219"/>
      <c r="BA17" s="4909"/>
      <c r="BB17" s="4035" t="e">
        <f>AN17/년간!$V$8</f>
        <v>#DIV/0!</v>
      </c>
    </row>
    <row r="18" spans="2:54" ht="16.5">
      <c r="B18" s="7719"/>
      <c r="C18" s="2492" t="s">
        <v>42</v>
      </c>
      <c r="D18" s="2493" t="s">
        <v>317</v>
      </c>
      <c r="E18" s="4867">
        <f>종합!F73/CGL!H5*1000</f>
        <v>21.599829365219371</v>
      </c>
      <c r="F18" s="4855">
        <f>종합!G73/CGL!I5*1000</f>
        <v>18.544274928470497</v>
      </c>
      <c r="G18" s="6087">
        <f>종합!H73/CGL!J5*1000</f>
        <v>16.507800391326938</v>
      </c>
      <c r="H18" s="6082">
        <f>종합!I73/년간!C10*1000</f>
        <v>16.790485537659951</v>
      </c>
      <c r="I18" s="4855">
        <f>종합!J73/년간!D10*1000</f>
        <v>16.348472210753698</v>
      </c>
      <c r="J18" s="4864">
        <f>종합!K73/년간!E10*1000</f>
        <v>15.548757740804298</v>
      </c>
      <c r="K18" s="4895">
        <f>종합!L73/(년간!E10/10)*1000</f>
        <v>15.548757740804298</v>
      </c>
      <c r="L18" s="4269" t="e">
        <f>종합!M73/년간!F10*1000</f>
        <v>#DIV/0!</v>
      </c>
      <c r="M18" s="4269" t="e">
        <f>종합!N73/년간!G10*1000</f>
        <v>#DIV/0!</v>
      </c>
      <c r="N18" s="4269">
        <f>종합!O73/년간!H10*1000</f>
        <v>13.74850538324533</v>
      </c>
      <c r="O18" s="4269" t="e">
        <f>종합!P73/년간!I10*1000</f>
        <v>#DIV/0!</v>
      </c>
      <c r="P18" s="4269" t="e">
        <f>종합!Q73/년간!J10*1000</f>
        <v>#DIV/0!</v>
      </c>
      <c r="Q18" s="4269" t="e">
        <f>종합!R73/년간!K10*1000</f>
        <v>#DIV/0!</v>
      </c>
      <c r="R18" s="4269" t="e">
        <f>종합!S73/년간!L10*1000</f>
        <v>#DIV/0!</v>
      </c>
      <c r="S18" s="4269" t="e">
        <f>종합!T73/년간!M10*1000</f>
        <v>#DIV/0!</v>
      </c>
      <c r="T18" s="4269" t="e">
        <f>종합!U73/년간!N10*1000</f>
        <v>#DIV/0!</v>
      </c>
      <c r="U18" s="4269" t="e">
        <f>종합!V73/년간!O10*1000</f>
        <v>#DIV/0!</v>
      </c>
      <c r="V18" s="4269" t="e">
        <f>종합!W73/년간!P10*1000</f>
        <v>#DIV/0!</v>
      </c>
      <c r="W18" s="4269" t="e">
        <f>종합!X73/년간!Q10*1000</f>
        <v>#DIV/0!</v>
      </c>
      <c r="X18" s="5027">
        <f>종합!Y73/년간!V10*1000</f>
        <v>13.916943714909594</v>
      </c>
      <c r="Y18" s="6071">
        <f>($I$18-J18)*년간!$C$214*년간!E10/1000</f>
        <v>104076701.11112343</v>
      </c>
      <c r="Z18" s="4114">
        <f>($I$18-K18)*년간!$C$214*(년간!E10/10)/1000</f>
        <v>10407670.111112343</v>
      </c>
      <c r="AA18" s="3978">
        <f>Y18/년간!E9</f>
        <v>388.47635814685316</v>
      </c>
      <c r="AB18" s="4114" t="e">
        <f>($I$18-L18)*년간!$C$214*년간!F10/1000</f>
        <v>#DIV/0!</v>
      </c>
      <c r="AC18" s="4114" t="e">
        <f>($I$18-M18)*년간!$C$214*년간!G10/1000</f>
        <v>#DIV/0!</v>
      </c>
      <c r="AD18" s="4114">
        <f>($I$18-N18)*년간!$C$214*년간!H10/1000</f>
        <v>28851882.568379696</v>
      </c>
      <c r="AE18" s="4114" t="e">
        <f>($I$18-O18)*년간!$C$214*년간!I10/1000</f>
        <v>#DIV/0!</v>
      </c>
      <c r="AF18" s="4114" t="e">
        <f>($I$18-P18)*년간!$C$214*년간!J10/1000</f>
        <v>#DIV/0!</v>
      </c>
      <c r="AG18" s="4114" t="e">
        <f>($I$18-Q18)*년간!$C$214*년간!K10/1000</f>
        <v>#DIV/0!</v>
      </c>
      <c r="AH18" s="4114" t="e">
        <f>($I$18-R18)*년간!$C$214*년간!L10/1000</f>
        <v>#DIV/0!</v>
      </c>
      <c r="AI18" s="4114" t="e">
        <f>($I$18-S18)*년간!$C$214*년간!M10/1000</f>
        <v>#DIV/0!</v>
      </c>
      <c r="AJ18" s="4114" t="e">
        <f>($I$18-T18)*년간!$C$214*년간!N10/1000</f>
        <v>#DIV/0!</v>
      </c>
      <c r="AK18" s="4114" t="e">
        <f>($I$18-U18)*년간!$C$214*년간!O10/1000</f>
        <v>#DIV/0!</v>
      </c>
      <c r="AL18" s="5264"/>
      <c r="AM18" s="5264"/>
      <c r="AN18" s="5283" t="e">
        <f t="shared" si="1"/>
        <v>#DIV/0!</v>
      </c>
      <c r="AO18" s="3971">
        <f t="shared" si="7"/>
        <v>388.47635814685316</v>
      </c>
      <c r="AP18" s="3973" t="e">
        <f>AB18/년간!F10</f>
        <v>#DIV/0!</v>
      </c>
      <c r="AQ18" s="3973" t="e">
        <f>AC18/년간!G10</f>
        <v>#DIV/0!</v>
      </c>
      <c r="AR18" s="3973">
        <f>AD18/년간!H10</f>
        <v>1262.27609485483</v>
      </c>
      <c r="AS18" s="3973" t="e">
        <f>AE18/년간!I10</f>
        <v>#DIV/0!</v>
      </c>
      <c r="AT18" s="3973" t="e">
        <f>AF18/년간!J10</f>
        <v>#DIV/0!</v>
      </c>
      <c r="AU18" s="3973" t="e">
        <f>AG18/년간!K10</f>
        <v>#DIV/0!</v>
      </c>
      <c r="AV18" s="3973" t="e">
        <f>AH18/년간!L10</f>
        <v>#DIV/0!</v>
      </c>
      <c r="AW18" s="3973" t="e">
        <f>AI18/년간!M10</f>
        <v>#DIV/0!</v>
      </c>
      <c r="AX18" s="3966" t="e">
        <f>AJ18/년간!N10</f>
        <v>#DIV/0!</v>
      </c>
      <c r="AY18" s="3978" t="e">
        <f>AK18/년간!O10</f>
        <v>#DIV/0!</v>
      </c>
      <c r="AZ18" s="4219"/>
      <c r="BA18" s="4909"/>
      <c r="BB18" s="4035" t="e">
        <f>AN18/년간!$V$9</f>
        <v>#DIV/0!</v>
      </c>
    </row>
    <row r="19" spans="2:54" ht="16.5">
      <c r="B19" s="7719"/>
      <c r="C19" s="2492" t="s">
        <v>29</v>
      </c>
      <c r="D19" s="2493" t="s">
        <v>317</v>
      </c>
      <c r="E19" s="4867">
        <f>종합!F74/CGL!H5*1000</f>
        <v>1.9060738925578218</v>
      </c>
      <c r="F19" s="4855">
        <f>종합!G74/CGL!I5*1000</f>
        <v>1.616614621045144</v>
      </c>
      <c r="G19" s="6087">
        <f>종합!H74/CGL!J5*1000</f>
        <v>1.2528499645990618</v>
      </c>
      <c r="H19" s="6082">
        <f>종합!I74/년간!C10*1000</f>
        <v>1.1972605314539384</v>
      </c>
      <c r="I19" s="4855">
        <f>종합!J74/년간!D10*1000</f>
        <v>1.3989875127212563</v>
      </c>
      <c r="J19" s="4864">
        <f>종합!K74/년간!E10*1000</f>
        <v>0.93262702380064166</v>
      </c>
      <c r="K19" s="4895">
        <f>종합!L74/(년간!E10/10)*1000</f>
        <v>0.93262702380064166</v>
      </c>
      <c r="L19" s="4269" t="e">
        <f>종합!M74/년간!F10*1000</f>
        <v>#DIV/0!</v>
      </c>
      <c r="M19" s="4269" t="e">
        <f>종합!N74/년간!G10*1000</f>
        <v>#DIV/0!</v>
      </c>
      <c r="N19" s="4269">
        <f>종합!O74/년간!H10*1000</f>
        <v>0.5411901721264748</v>
      </c>
      <c r="O19" s="4269" t="e">
        <f>종합!P74/년간!I10*1000</f>
        <v>#DIV/0!</v>
      </c>
      <c r="P19" s="4269" t="e">
        <f>종합!Q74/년간!J10*1000</f>
        <v>#DIV/0!</v>
      </c>
      <c r="Q19" s="4269" t="e">
        <f>종합!R74/년간!K10*1000</f>
        <v>#DIV/0!</v>
      </c>
      <c r="R19" s="4269" t="e">
        <f>종합!S74/년간!L10*1000</f>
        <v>#DIV/0!</v>
      </c>
      <c r="S19" s="4269" t="e">
        <f>종합!T74/년간!M10*1000</f>
        <v>#DIV/0!</v>
      </c>
      <c r="T19" s="4269" t="e">
        <f>종합!U74/년간!N10*1000</f>
        <v>#DIV/0!</v>
      </c>
      <c r="U19" s="4269" t="e">
        <f>종합!V74/년간!O10*1000</f>
        <v>#DIV/0!</v>
      </c>
      <c r="V19" s="4269" t="e">
        <f>종합!W74/년간!P10*1000</f>
        <v>#DIV/0!</v>
      </c>
      <c r="W19" s="4269" t="e">
        <f>종합!X74/년간!Q10*1000</f>
        <v>#DIV/0!</v>
      </c>
      <c r="X19" s="5027">
        <f>종합!Y74/년간!V10*1000</f>
        <v>0.6943159281848954</v>
      </c>
      <c r="Y19" s="6071">
        <f>($I$19-J19)*년간!$C$215*년간!E10/1000</f>
        <v>60693238.698681138</v>
      </c>
      <c r="Z19" s="4114">
        <f>($I$19-K19)*년간!$C$215*(년간!E10/10)/1000</f>
        <v>6069323.8698681137</v>
      </c>
      <c r="AA19" s="3978">
        <f>Y19/년간!E10</f>
        <v>226.41661828949168</v>
      </c>
      <c r="AB19" s="4114" t="e">
        <f>($I$19-L19)*년간!$C$215*년간!F10/1000</f>
        <v>#DIV/0!</v>
      </c>
      <c r="AC19" s="4114" t="e">
        <f>($I$19-M19)*년간!$C$215*년간!G10/1000</f>
        <v>#DIV/0!</v>
      </c>
      <c r="AD19" s="4114">
        <f>($I$19-N19)*년간!$C$215*년간!H10/1000</f>
        <v>9518993.810404446</v>
      </c>
      <c r="AE19" s="4114" t="e">
        <f>($I$19-O19)*년간!$C$215*년간!I10/1000</f>
        <v>#DIV/0!</v>
      </c>
      <c r="AF19" s="4114" t="e">
        <f>($I$19-P19)*년간!$C$215*년간!J10/1000</f>
        <v>#DIV/0!</v>
      </c>
      <c r="AG19" s="4114" t="e">
        <f>($I$19-Q19)*년간!$C$215*년간!K10/1000</f>
        <v>#DIV/0!</v>
      </c>
      <c r="AH19" s="4114" t="e">
        <f>($I$19-R19)*년간!$C$215*년간!L10/1000</f>
        <v>#DIV/0!</v>
      </c>
      <c r="AI19" s="4114" t="e">
        <f>($I$19-S19)*년간!$C$215*년간!M10/1000</f>
        <v>#DIV/0!</v>
      </c>
      <c r="AJ19" s="4114" t="e">
        <f>($I$19-T19)*년간!$C$215*년간!N10/1000</f>
        <v>#DIV/0!</v>
      </c>
      <c r="AK19" s="4114" t="e">
        <f>($I$19-U19)*년간!$C$215*년간!O10/1000</f>
        <v>#DIV/0!</v>
      </c>
      <c r="AL19" s="5264"/>
      <c r="AM19" s="5264"/>
      <c r="AN19" s="5283" t="e">
        <f t="shared" si="1"/>
        <v>#DIV/0!</v>
      </c>
      <c r="AO19" s="3971">
        <f t="shared" si="7"/>
        <v>226.41661828949168</v>
      </c>
      <c r="AP19" s="3973" t="e">
        <f>AB19/년간!F10</f>
        <v>#DIV/0!</v>
      </c>
      <c r="AQ19" s="3973" t="e">
        <f>AC19/년간!G10</f>
        <v>#DIV/0!</v>
      </c>
      <c r="AR19" s="3973">
        <f>AD19/년간!H10</f>
        <v>416.45803546674466</v>
      </c>
      <c r="AS19" s="3973" t="e">
        <f>AE19/년간!I10</f>
        <v>#DIV/0!</v>
      </c>
      <c r="AT19" s="3973" t="e">
        <f>AF19/년간!J10</f>
        <v>#DIV/0!</v>
      </c>
      <c r="AU19" s="3973" t="e">
        <f>AG19/년간!K10</f>
        <v>#DIV/0!</v>
      </c>
      <c r="AV19" s="3973" t="e">
        <f>AH19/년간!L10</f>
        <v>#DIV/0!</v>
      </c>
      <c r="AW19" s="3973" t="e">
        <f>AI19/년간!M10</f>
        <v>#DIV/0!</v>
      </c>
      <c r="AX19" s="3966" t="e">
        <f>AJ19/년간!N10</f>
        <v>#DIV/0!</v>
      </c>
      <c r="AY19" s="3978" t="e">
        <f>AK19/년간!O10</f>
        <v>#DIV/0!</v>
      </c>
      <c r="AZ19" s="4219"/>
      <c r="BA19" s="4909"/>
      <c r="BB19" s="4035" t="e">
        <f>AN19/년간!$V$10</f>
        <v>#DIV/0!</v>
      </c>
    </row>
    <row r="20" spans="2:54" ht="16.5">
      <c r="B20" s="7719"/>
      <c r="C20" s="2492" t="s">
        <v>501</v>
      </c>
      <c r="D20" s="2493" t="s">
        <v>317</v>
      </c>
      <c r="E20" s="4867">
        <f>종합!F75/'#1CCL'!H5*1000</f>
        <v>6.9486644032283227</v>
      </c>
      <c r="F20" s="4855">
        <f>종합!G75/'#1CCL'!I5*1000</f>
        <v>3.3509329098848748</v>
      </c>
      <c r="G20" s="6087">
        <f>종합!H75/'#1CCL'!J5*1000</f>
        <v>3.4277214650782906</v>
      </c>
      <c r="H20" s="6082">
        <f>종합!I75/년간!C11*1000</f>
        <v>3.577497104820067</v>
      </c>
      <c r="I20" s="4855">
        <f>종합!J75/년간!D11*1000</f>
        <v>3.1897814731026322</v>
      </c>
      <c r="J20" s="4864">
        <f>종합!K75/년간!E11*1000</f>
        <v>2.9686747880179216</v>
      </c>
      <c r="K20" s="4895">
        <f>종합!L75/(년간!E11/12)*1000</f>
        <v>2.9686747880179212</v>
      </c>
      <c r="L20" s="4269">
        <f>종합!M75/년간!F11*1000</f>
        <v>3.3326481008984605</v>
      </c>
      <c r="M20" s="4269">
        <f>종합!N75/년간!G11*1000</f>
        <v>3.7814331631688414</v>
      </c>
      <c r="N20" s="4269">
        <f>종합!O75/년간!H11*1000</f>
        <v>2.9230072672299348</v>
      </c>
      <c r="O20" s="4269" t="e">
        <f>종합!P75/년간!I11*1000</f>
        <v>#DIV/0!</v>
      </c>
      <c r="P20" s="4269" t="e">
        <f>종합!Q75/년간!J11*1000</f>
        <v>#DIV/0!</v>
      </c>
      <c r="Q20" s="4269" t="e">
        <f>종합!R75/년간!K11*1000</f>
        <v>#DIV/0!</v>
      </c>
      <c r="R20" s="4269" t="e">
        <f>종합!S75/년간!L11*1000</f>
        <v>#DIV/0!</v>
      </c>
      <c r="S20" s="4269" t="e">
        <f>종합!T75/년간!M11*1000</f>
        <v>#DIV/0!</v>
      </c>
      <c r="T20" s="4269" t="e">
        <f>종합!U75/년간!N11*1000</f>
        <v>#DIV/0!</v>
      </c>
      <c r="U20" s="4269" t="e">
        <f>종합!V75/년간!O11*1000</f>
        <v>#DIV/0!</v>
      </c>
      <c r="V20" s="4269" t="e">
        <f>종합!W75/년간!P11*1000</f>
        <v>#DIV/0!</v>
      </c>
      <c r="W20" s="4269" t="e">
        <f>종합!X75/년간!Q11*1000</f>
        <v>#DIV/0!</v>
      </c>
      <c r="X20" s="5027">
        <f>종합!Y75/년간!V11*1000</f>
        <v>3.3333520555225244</v>
      </c>
      <c r="Y20" s="6071">
        <f>($I$20-J20)*년간!$C$216*년간!E11/1000</f>
        <v>26047764.114953186</v>
      </c>
      <c r="Z20" s="4114">
        <f>($I$20-K20)*년간!$C$216*(년간!E11/12)/1000</f>
        <v>2170647.0095794364</v>
      </c>
      <c r="AA20" s="3978">
        <f>Y20/년간!E11</f>
        <v>160.7469922301205</v>
      </c>
      <c r="AB20" s="4114">
        <f>($I$20-L20)*년간!$C$216*년간!F11/1000</f>
        <v>-1288406.1517870941</v>
      </c>
      <c r="AC20" s="4114">
        <f>($I$20-M20)*년간!$C$216*년간!G11/1000</f>
        <v>-5141491.2088990603</v>
      </c>
      <c r="AD20" s="4114">
        <f>($I$20-N20)*년간!$C$216*년간!H11/1000</f>
        <v>2527352.9444402792</v>
      </c>
      <c r="AE20" s="4114" t="e">
        <f>($I$20-O20)*년간!$C$216*년간!I11/1000</f>
        <v>#DIV/0!</v>
      </c>
      <c r="AF20" s="4114" t="e">
        <f>($I$20-P20)*년간!$C$216*년간!J11/1000</f>
        <v>#DIV/0!</v>
      </c>
      <c r="AG20" s="4114" t="e">
        <f>($I$20-Q20)*년간!$C$216*년간!K11/1000</f>
        <v>#DIV/0!</v>
      </c>
      <c r="AH20" s="4114" t="e">
        <f>($I$20-R20)*년간!$C$216*년간!L11/1000</f>
        <v>#DIV/0!</v>
      </c>
      <c r="AI20" s="4114" t="e">
        <f>($I$20-S20)*년간!$C$216*년간!M11/1000</f>
        <v>#DIV/0!</v>
      </c>
      <c r="AJ20" s="4114" t="e">
        <f>($I$20-T20)*년간!$C$216*년간!N11/1000</f>
        <v>#DIV/0!</v>
      </c>
      <c r="AK20" s="4114" t="e">
        <f>($I$20-U20)*년간!$C$216*년간!O11/1000</f>
        <v>#DIV/0!</v>
      </c>
      <c r="AL20" s="5264"/>
      <c r="AM20" s="5264"/>
      <c r="AN20" s="5283" t="e">
        <f t="shared" si="1"/>
        <v>#DIV/0!</v>
      </c>
      <c r="AO20" s="3971">
        <f t="shared" si="7"/>
        <v>160.7469922301205</v>
      </c>
      <c r="AP20" s="3973">
        <f>AB20/년간!F11</f>
        <v>-103.86560994047296</v>
      </c>
      <c r="AQ20" s="3973">
        <f>AC20/년간!G11</f>
        <v>-430.13728684672486</v>
      </c>
      <c r="AR20" s="3973">
        <f>AD20/년간!H11</f>
        <v>193.94778218571565</v>
      </c>
      <c r="AS20" s="3973" t="e">
        <f>AE20/년간!I11</f>
        <v>#DIV/0!</v>
      </c>
      <c r="AT20" s="3973" t="e">
        <f>AF20/년간!J11</f>
        <v>#DIV/0!</v>
      </c>
      <c r="AU20" s="3973" t="e">
        <f>AG20/년간!K11</f>
        <v>#DIV/0!</v>
      </c>
      <c r="AV20" s="3973" t="e">
        <f>AH20/년간!L11</f>
        <v>#DIV/0!</v>
      </c>
      <c r="AW20" s="3973" t="e">
        <f>AI20/년간!M11</f>
        <v>#DIV/0!</v>
      </c>
      <c r="AX20" s="3966" t="e">
        <f>AJ20/년간!N11</f>
        <v>#DIV/0!</v>
      </c>
      <c r="AY20" s="3978" t="e">
        <f>AK20/년간!O11</f>
        <v>#DIV/0!</v>
      </c>
      <c r="AZ20" s="4219"/>
      <c r="BA20" s="4909"/>
      <c r="BB20" s="4035" t="e">
        <f>AN20/년간!$V$11</f>
        <v>#DIV/0!</v>
      </c>
    </row>
    <row r="21" spans="2:54" ht="17.25" thickBot="1">
      <c r="B21" s="7719"/>
      <c r="C21" s="2400" t="s">
        <v>439</v>
      </c>
      <c r="D21" s="1668" t="s">
        <v>317</v>
      </c>
      <c r="E21" s="4868">
        <f>종합!F76/'#2CCL'!H5*1000</f>
        <v>7.7981843885154776</v>
      </c>
      <c r="F21" s="4856">
        <f>종합!G76/'#2CCL'!I5*1000</f>
        <v>6.7283431455004203</v>
      </c>
      <c r="G21" s="6088">
        <f>종합!H76/'#2CCL'!J5*1000</f>
        <v>5.5958132045088576</v>
      </c>
      <c r="H21" s="6083">
        <f>종합!I76/년간!C12*1000</f>
        <v>5.0262406536484958</v>
      </c>
      <c r="I21" s="4856">
        <f>종합!J76/년간!D12*1000</f>
        <v>4.5690483667398576</v>
      </c>
      <c r="J21" s="4865">
        <f>종합!K76/년간!E12*1000</f>
        <v>4.5182418275818224</v>
      </c>
      <c r="K21" s="4896">
        <f>종합!L76/(년간!E12/12)*1000</f>
        <v>4.5182418275818224</v>
      </c>
      <c r="L21" s="4858">
        <f>종합!M76/년간!F12*1000</f>
        <v>3.8953247995589892</v>
      </c>
      <c r="M21" s="4858">
        <f>종합!N76/년간!G12*1000</f>
        <v>4.3149312150434955</v>
      </c>
      <c r="N21" s="4858">
        <f>종합!O76/년간!H12*1000</f>
        <v>3.6573621545974917</v>
      </c>
      <c r="O21" s="4858" t="e">
        <f>종합!P76/년간!I12*1000</f>
        <v>#DIV/0!</v>
      </c>
      <c r="P21" s="4858" t="e">
        <f>종합!Q76/년간!J12*1000</f>
        <v>#DIV/0!</v>
      </c>
      <c r="Q21" s="4858" t="e">
        <f>종합!R76/년간!K12*1000</f>
        <v>#DIV/0!</v>
      </c>
      <c r="R21" s="4858" t="e">
        <f>종합!S76/년간!L12*1000</f>
        <v>#DIV/0!</v>
      </c>
      <c r="S21" s="4858" t="e">
        <f>종합!T76/년간!M12*1000</f>
        <v>#DIV/0!</v>
      </c>
      <c r="T21" s="4858" t="e">
        <f>종합!U76/년간!N12*1000</f>
        <v>#DIV/0!</v>
      </c>
      <c r="U21" s="4858" t="e">
        <f>종합!V76/년간!O12*1000</f>
        <v>#DIV/0!</v>
      </c>
      <c r="V21" s="4858" t="e">
        <f>종합!W76/년간!P12*1000</f>
        <v>#DIV/0!</v>
      </c>
      <c r="W21" s="4858" t="e">
        <f>종합!X76/년간!Q12*1000</f>
        <v>#DIV/0!</v>
      </c>
      <c r="X21" s="5028">
        <f>종합!Y76/년간!V12*1000</f>
        <v>3.9399237074380324</v>
      </c>
      <c r="Y21" s="6071">
        <f>($I$21-J21)*년간!$C$217*년간!E12/1000</f>
        <v>3740935.0150161851</v>
      </c>
      <c r="Z21" s="4114">
        <f>($I$21-K21)*년간!$C$217*(년간!E12/12)/1000</f>
        <v>311744.58458468213</v>
      </c>
      <c r="AA21" s="3978">
        <f>Y21/년간!E12</f>
        <v>61.94913232144215</v>
      </c>
      <c r="AB21" s="4114">
        <f>($I$21-L21)*년간!$C$217*년간!F12/1000</f>
        <v>4053284.2601214368</v>
      </c>
      <c r="AC21" s="4114">
        <f>($I$21-M21)*년간!$C$217*년간!G12/1000</f>
        <v>1476382.2917752408</v>
      </c>
      <c r="AD21" s="4114">
        <f>($I$21-N21)*년간!$C$217*년간!H12/1000</f>
        <v>6163976.6675925804</v>
      </c>
      <c r="AE21" s="4114" t="e">
        <f>($I$21-O21)*년간!$C$217*년간!I12/1000</f>
        <v>#DIV/0!</v>
      </c>
      <c r="AF21" s="4114" t="e">
        <f>($I$21-P21)*년간!$C$217*년간!J12/1000</f>
        <v>#DIV/0!</v>
      </c>
      <c r="AG21" s="4114" t="e">
        <f>($I$21-Q21)*년간!$C$217*년간!K12/1000</f>
        <v>#DIV/0!</v>
      </c>
      <c r="AH21" s="4114" t="e">
        <f>($I$21-R21)*년간!$C$217*년간!L12/1000</f>
        <v>#DIV/0!</v>
      </c>
      <c r="AI21" s="4114" t="e">
        <f>($I$21-S21)*년간!$C$217*년간!M12/1000</f>
        <v>#DIV/0!</v>
      </c>
      <c r="AJ21" s="4114" t="e">
        <f>($I$21-T21)*년간!$C$217*년간!N12/1000</f>
        <v>#DIV/0!</v>
      </c>
      <c r="AK21" s="4114" t="e">
        <f>($I$21-U21)*년간!$C$217*년간!O12/1000</f>
        <v>#DIV/0!</v>
      </c>
      <c r="AL21" s="5264"/>
      <c r="AM21" s="5264"/>
      <c r="AN21" s="5283" t="e">
        <f t="shared" si="1"/>
        <v>#DIV/0!</v>
      </c>
      <c r="AO21" s="3971">
        <f t="shared" si="7"/>
        <v>61.94913232144215</v>
      </c>
      <c r="AP21" s="3973">
        <f>AB21/년간!F12</f>
        <v>821.4806814835141</v>
      </c>
      <c r="AQ21" s="3973">
        <f>AC21/년간!G12</f>
        <v>309.84863988902919</v>
      </c>
      <c r="AR21" s="3973">
        <f>AD21/년간!H12</f>
        <v>1111.6319026565614</v>
      </c>
      <c r="AS21" s="3973" t="e">
        <f>AE21/년간!I12</f>
        <v>#DIV/0!</v>
      </c>
      <c r="AT21" s="3973" t="e">
        <f>AF21/년간!J12</f>
        <v>#DIV/0!</v>
      </c>
      <c r="AU21" s="3973" t="e">
        <f>AG21/년간!K12</f>
        <v>#DIV/0!</v>
      </c>
      <c r="AV21" s="3973" t="e">
        <f>AH21/년간!L12</f>
        <v>#DIV/0!</v>
      </c>
      <c r="AW21" s="3973" t="e">
        <f>AI21/년간!M12</f>
        <v>#DIV/0!</v>
      </c>
      <c r="AX21" s="3966" t="e">
        <f>AJ21/년간!N12</f>
        <v>#DIV/0!</v>
      </c>
      <c r="AY21" s="3978" t="e">
        <f>AK21/년간!O12</f>
        <v>#DIV/0!</v>
      </c>
      <c r="AZ21" s="4219"/>
      <c r="BA21" s="4909"/>
      <c r="BB21" s="4035" t="e">
        <f>AN21/년간!$V$12</f>
        <v>#DIV/0!</v>
      </c>
    </row>
    <row r="22" spans="2:54" ht="16.5">
      <c r="B22" s="7747"/>
      <c r="C22" s="2399" t="s">
        <v>16</v>
      </c>
      <c r="D22" s="2325" t="s">
        <v>317</v>
      </c>
      <c r="E22" s="4869">
        <f t="shared" ref="E22:K22" si="13">SUM(E17:E21)</f>
        <v>40.666777182674579</v>
      </c>
      <c r="F22" s="4869">
        <f t="shared" si="13"/>
        <v>32.711570187468681</v>
      </c>
      <c r="G22" s="6089">
        <f t="shared" si="13"/>
        <v>29.487148419735519</v>
      </c>
      <c r="H22" s="6084">
        <f t="shared" si="13"/>
        <v>29.630823829626561</v>
      </c>
      <c r="I22" s="4869">
        <f t="shared" si="13"/>
        <v>27.786626254461936</v>
      </c>
      <c r="J22" s="4870">
        <f t="shared" si="13"/>
        <v>25.453520951472395</v>
      </c>
      <c r="K22" s="4897">
        <f t="shared" si="13"/>
        <v>25.453520951472395</v>
      </c>
      <c r="L22" s="4892" t="e">
        <f t="shared" ref="L22:Q22" si="14">SUM(L17:L21)</f>
        <v>#DIV/0!</v>
      </c>
      <c r="M22" s="4859" t="e">
        <f t="shared" si="14"/>
        <v>#DIV/0!</v>
      </c>
      <c r="N22" s="4859">
        <f t="shared" si="14"/>
        <v>22.790511991424388</v>
      </c>
      <c r="O22" s="4859" t="e">
        <f t="shared" si="14"/>
        <v>#DIV/0!</v>
      </c>
      <c r="P22" s="4859" t="e">
        <f t="shared" si="14"/>
        <v>#DIV/0!</v>
      </c>
      <c r="Q22" s="4859" t="e">
        <f t="shared" si="14"/>
        <v>#DIV/0!</v>
      </c>
      <c r="R22" s="4859" t="e">
        <f t="shared" ref="R22:X22" si="15">SUM(R17:R21)</f>
        <v>#DIV/0!</v>
      </c>
      <c r="S22" s="4859" t="e">
        <f t="shared" si="15"/>
        <v>#DIV/0!</v>
      </c>
      <c r="T22" s="4859" t="e">
        <f t="shared" si="15"/>
        <v>#DIV/0!</v>
      </c>
      <c r="U22" s="4859" t="e">
        <f t="shared" si="15"/>
        <v>#DIV/0!</v>
      </c>
      <c r="V22" s="4859" t="e">
        <f t="shared" si="15"/>
        <v>#DIV/0!</v>
      </c>
      <c r="W22" s="4859" t="e">
        <f t="shared" si="15"/>
        <v>#DIV/0!</v>
      </c>
      <c r="X22" s="4859">
        <f t="shared" si="15"/>
        <v>23.958705194309179</v>
      </c>
      <c r="Y22" s="4876">
        <f t="shared" ref="Y22:AF22" si="16">SUM(Y17:Y21)</f>
        <v>303578061.43834871</v>
      </c>
      <c r="Z22" s="4115">
        <f t="shared" si="16"/>
        <v>29861327.825002059</v>
      </c>
      <c r="AA22" s="4234">
        <f>Y22/(년간!E8+년간!E10+년간!E10+년간!E11+년간!E12)</f>
        <v>291.63188447829606</v>
      </c>
      <c r="AB22" s="4115" t="e">
        <f t="shared" si="16"/>
        <v>#DIV/0!</v>
      </c>
      <c r="AC22" s="4115" t="e">
        <f t="shared" si="16"/>
        <v>#DIV/0!</v>
      </c>
      <c r="AD22" s="4115">
        <f t="shared" si="16"/>
        <v>51881501.795325927</v>
      </c>
      <c r="AE22" s="4115" t="e">
        <f t="shared" si="16"/>
        <v>#DIV/0!</v>
      </c>
      <c r="AF22" s="4115" t="e">
        <f t="shared" si="16"/>
        <v>#DIV/0!</v>
      </c>
      <c r="AG22" s="4115" t="e">
        <f>SUM(AG17:AG21)</f>
        <v>#DIV/0!</v>
      </c>
      <c r="AH22" s="4115" t="e">
        <f>SUM(AH17:AH21)</f>
        <v>#DIV/0!</v>
      </c>
      <c r="AI22" s="4115" t="e">
        <f>SUM(AI17:AI21)</f>
        <v>#DIV/0!</v>
      </c>
      <c r="AJ22" s="4115" t="e">
        <f>SUM(AJ17:AJ21)</f>
        <v>#DIV/0!</v>
      </c>
      <c r="AK22" s="4115" t="e">
        <f>SUM(AK17:AK21)</f>
        <v>#DIV/0!</v>
      </c>
      <c r="AL22" s="5265"/>
      <c r="AM22" s="5265"/>
      <c r="AN22" s="5284" t="e">
        <f t="shared" si="1"/>
        <v>#DIV/0!</v>
      </c>
      <c r="AO22" s="4002">
        <f t="shared" si="7"/>
        <v>291.63188447829606</v>
      </c>
      <c r="AP22" s="4002" t="e">
        <f>AB22/(년간!F8+년간!F10+년간!F10+년간!F11+년간!F12)</f>
        <v>#DIV/0!</v>
      </c>
      <c r="AQ22" s="4002" t="e">
        <f>AC22/(년간!G8+년간!G10+년간!G10+년간!G11+년간!G12)</f>
        <v>#DIV/0!</v>
      </c>
      <c r="AR22" s="4002">
        <f>AD22/(년간!H8+년간!H10+년간!H10+년간!H11+년간!H12)</f>
        <v>564.71345970291713</v>
      </c>
      <c r="AS22" s="4002" t="e">
        <f>AE22/(년간!I8+년간!I10+년간!I10+년간!I11+년간!I12)</f>
        <v>#DIV/0!</v>
      </c>
      <c r="AT22" s="4002" t="e">
        <f>AF22/(년간!J8+년간!J10+년간!J10+년간!J11+년간!J12)</f>
        <v>#DIV/0!</v>
      </c>
      <c r="AU22" s="4002" t="e">
        <f>AG22/(년간!K8+년간!K10+년간!K10+년간!K11+년간!K12)</f>
        <v>#DIV/0!</v>
      </c>
      <c r="AV22" s="4002" t="e">
        <f>AH22/(년간!L8+년간!L10+년간!L10+년간!L11+년간!L12)</f>
        <v>#DIV/0!</v>
      </c>
      <c r="AW22" s="4002" t="e">
        <f>AI22/(년간!M8+년간!M10+년간!M10+년간!M11+년간!M12)</f>
        <v>#DIV/0!</v>
      </c>
      <c r="AX22" s="5310" t="e">
        <f>AJ22/(년간!N8+년간!N10+년간!N10+년간!N11+년간!N12)</f>
        <v>#DIV/0!</v>
      </c>
      <c r="AY22" s="5328" t="e">
        <f>AK22/(년간!O8+년간!O10+년간!O10+년간!O11+년간!O12)</f>
        <v>#DIV/0!</v>
      </c>
      <c r="AZ22" s="4215"/>
      <c r="BA22" s="5332"/>
      <c r="BB22" s="5338" t="e">
        <f>AN22/년간!$V$13</f>
        <v>#DIV/0!</v>
      </c>
    </row>
    <row r="23" spans="2:54" ht="17.25" thickBot="1">
      <c r="B23" s="7730"/>
      <c r="C23" s="1936" t="s">
        <v>489</v>
      </c>
      <c r="D23" s="1865" t="str">
        <f>D22</f>
        <v>kg/ton</v>
      </c>
      <c r="E23" s="4881">
        <f>E22</f>
        <v>40.666777182674579</v>
      </c>
      <c r="F23" s="4882">
        <f t="shared" ref="F23:Z23" si="17">F22</f>
        <v>32.711570187468681</v>
      </c>
      <c r="G23" s="6080">
        <f t="shared" si="17"/>
        <v>29.487148419735519</v>
      </c>
      <c r="H23" s="6085">
        <f t="shared" si="17"/>
        <v>29.630823829626561</v>
      </c>
      <c r="I23" s="4882">
        <f>I22</f>
        <v>27.786626254461936</v>
      </c>
      <c r="J23" s="4901">
        <f t="shared" si="17"/>
        <v>25.453520951472395</v>
      </c>
      <c r="K23" s="4905">
        <f t="shared" si="17"/>
        <v>25.453520951472395</v>
      </c>
      <c r="L23" s="4893" t="e">
        <f t="shared" si="17"/>
        <v>#DIV/0!</v>
      </c>
      <c r="M23" s="4881" t="e">
        <f t="shared" si="17"/>
        <v>#DIV/0!</v>
      </c>
      <c r="N23" s="4881">
        <f t="shared" si="17"/>
        <v>22.790511991424388</v>
      </c>
      <c r="O23" s="4881" t="e">
        <f t="shared" si="17"/>
        <v>#DIV/0!</v>
      </c>
      <c r="P23" s="4881" t="e">
        <f t="shared" si="17"/>
        <v>#DIV/0!</v>
      </c>
      <c r="Q23" s="4881" t="e">
        <f t="shared" si="17"/>
        <v>#DIV/0!</v>
      </c>
      <c r="R23" s="4881" t="e">
        <f t="shared" si="17"/>
        <v>#DIV/0!</v>
      </c>
      <c r="S23" s="4881" t="e">
        <f t="shared" ref="S23:X23" si="18">S22</f>
        <v>#DIV/0!</v>
      </c>
      <c r="T23" s="4881" t="e">
        <f t="shared" si="18"/>
        <v>#DIV/0!</v>
      </c>
      <c r="U23" s="4881" t="e">
        <f t="shared" si="18"/>
        <v>#DIV/0!</v>
      </c>
      <c r="V23" s="4881" t="e">
        <f t="shared" si="18"/>
        <v>#DIV/0!</v>
      </c>
      <c r="W23" s="4881" t="e">
        <f t="shared" si="18"/>
        <v>#DIV/0!</v>
      </c>
      <c r="X23" s="4881">
        <f t="shared" si="18"/>
        <v>23.958705194309179</v>
      </c>
      <c r="Y23" s="4880">
        <f t="shared" si="17"/>
        <v>303578061.43834871</v>
      </c>
      <c r="Z23" s="4240">
        <f t="shared" si="17"/>
        <v>29861327.825002059</v>
      </c>
      <c r="AA23" s="3979"/>
      <c r="AB23" s="4115"/>
      <c r="AC23" s="4115"/>
      <c r="AD23" s="4115"/>
      <c r="AE23" s="4115"/>
      <c r="AF23" s="4115"/>
      <c r="AG23" s="4115"/>
      <c r="AH23" s="4115"/>
      <c r="AI23" s="4115"/>
      <c r="AJ23" s="4115"/>
      <c r="AK23" s="4115"/>
      <c r="AL23" s="5265"/>
      <c r="AM23" s="5265"/>
      <c r="AN23" s="5284"/>
      <c r="AO23" s="4123">
        <f t="shared" si="7"/>
        <v>0</v>
      </c>
      <c r="AP23" s="4123"/>
      <c r="AQ23" s="4123"/>
      <c r="AR23" s="4123"/>
      <c r="AS23" s="4123"/>
      <c r="AT23" s="4123"/>
      <c r="AU23" s="4123"/>
      <c r="AV23" s="4123"/>
      <c r="AW23" s="4123"/>
      <c r="AX23" s="4123"/>
      <c r="AY23" s="5552"/>
      <c r="AZ23" s="4222"/>
      <c r="BA23" s="5333"/>
      <c r="BB23" s="5339"/>
    </row>
    <row r="24" spans="2:54" s="286" customFormat="1" ht="16.5">
      <c r="B24" s="7756" t="s">
        <v>1090</v>
      </c>
      <c r="C24" s="6431" t="s">
        <v>39</v>
      </c>
      <c r="D24" s="1152" t="s">
        <v>317</v>
      </c>
      <c r="E24" s="6472"/>
      <c r="F24" s="6473"/>
      <c r="G24" s="6472"/>
      <c r="H24" s="6482"/>
      <c r="I24" s="4884">
        <f>종합!J60/년간!D8*1000</f>
        <v>0.15288620997446031</v>
      </c>
      <c r="J24" s="6453">
        <f>종합!K60/년간!E8*1000</f>
        <v>3.5409009468369126E-2</v>
      </c>
      <c r="K24" s="4906">
        <f>종합!L60/(년간!E8/10)*1000</f>
        <v>3.5409009468369126E-2</v>
      </c>
      <c r="L24" s="6486" t="e">
        <f>종합!M60/년간!F8*1000</f>
        <v>#DIV/0!</v>
      </c>
      <c r="M24" s="6486" t="e">
        <f>종합!N60/년간!G8*1000</f>
        <v>#DIV/0!</v>
      </c>
      <c r="N24" s="6486">
        <f>종합!O60/년간!H8*1000</f>
        <v>0</v>
      </c>
      <c r="O24" s="6486" t="e">
        <f>종합!P60/년간!I8*1000</f>
        <v>#DIV/0!</v>
      </c>
      <c r="P24" s="6486" t="e">
        <f>종합!Q60/년간!J8*1000</f>
        <v>#DIV/0!</v>
      </c>
      <c r="Q24" s="6486" t="e">
        <f>종합!R60/년간!K8*1000</f>
        <v>#DIV/0!</v>
      </c>
      <c r="R24" s="6486" t="e">
        <f>종합!S60/년간!L8*1000</f>
        <v>#DIV/0!</v>
      </c>
      <c r="S24" s="6486" t="e">
        <f>종합!T60/년간!M8*1000</f>
        <v>#DIV/0!</v>
      </c>
      <c r="T24" s="6486" t="e">
        <f>종합!U60/년간!N8*1000</f>
        <v>#DIV/0!</v>
      </c>
      <c r="U24" s="6486" t="e">
        <f>종합!V60/년간!O8*1000</f>
        <v>#DIV/0!</v>
      </c>
      <c r="V24" s="6486" t="e">
        <f>종합!W60/년간!P8*1000</f>
        <v>#DIV/0!</v>
      </c>
      <c r="W24" s="6486" t="e">
        <f>종합!X60/년간!Q8*1000</f>
        <v>#DIV/0!</v>
      </c>
      <c r="X24" s="6491">
        <f>종합!Y60/년간!R8*1000</f>
        <v>0</v>
      </c>
      <c r="Y24" s="6462">
        <f>($I$24-J24)*년간!$C$213*년간!E8/1000</f>
        <v>16107434.031741263</v>
      </c>
      <c r="Z24" s="6463">
        <f>($I$24-K24)*년간!$C$213*(년간!E8/10)/1000</f>
        <v>1610743.4031741263</v>
      </c>
      <c r="AA24" s="6464">
        <f>Y24/년간!E8</f>
        <v>57.03482841410576</v>
      </c>
      <c r="AB24" s="6463" t="e">
        <f>($I$24-L24)*년간!$C$213*년간!F8/1000</f>
        <v>#DIV/0!</v>
      </c>
      <c r="AC24" s="6484">
        <f>CPL!AF15</f>
        <v>0</v>
      </c>
      <c r="AD24" s="6484">
        <f>CPL!AG15</f>
        <v>0</v>
      </c>
      <c r="AE24" s="6484">
        <f>CPL!AH15</f>
        <v>0</v>
      </c>
      <c r="AF24" s="6484">
        <f>CPL!AI15</f>
        <v>0</v>
      </c>
      <c r="AG24" s="6484">
        <f>CPL!AJ15</f>
        <v>0</v>
      </c>
      <c r="AH24" s="6484">
        <f>CPL!AK15</f>
        <v>0</v>
      </c>
      <c r="AI24" s="6484">
        <f>CPL!AL15</f>
        <v>0</v>
      </c>
      <c r="AJ24" s="6484">
        <f>CPL!AM15</f>
        <v>0</v>
      </c>
      <c r="AK24" s="6484">
        <f>CPL!AN15</f>
        <v>0</v>
      </c>
      <c r="AL24" s="6484">
        <f>CPL!AO15</f>
        <v>0</v>
      </c>
      <c r="AM24" s="6484"/>
      <c r="AN24" s="5283" t="e">
        <f t="shared" si="1"/>
        <v>#DIV/0!</v>
      </c>
      <c r="AO24" s="6466">
        <f t="shared" si="7"/>
        <v>57.03482841410576</v>
      </c>
      <c r="AP24" s="6484">
        <f>CPL!AS15</f>
        <v>0</v>
      </c>
      <c r="AQ24" s="6484">
        <f>CPL!AT15</f>
        <v>0</v>
      </c>
      <c r="AR24" s="6484">
        <f>CPL!AU15</f>
        <v>0</v>
      </c>
      <c r="AS24" s="6484">
        <f>CPL!AV15</f>
        <v>0</v>
      </c>
      <c r="AT24" s="6484">
        <f>CPL!AW15</f>
        <v>0</v>
      </c>
      <c r="AU24" s="6484">
        <f>CPL!AX15</f>
        <v>0</v>
      </c>
      <c r="AV24" s="6484">
        <f>CPL!AY15</f>
        <v>0</v>
      </c>
      <c r="AW24" s="6484">
        <f>CPL!AZ15</f>
        <v>0</v>
      </c>
      <c r="AX24" s="6484">
        <f>CPL!BA15</f>
        <v>0</v>
      </c>
      <c r="AY24" s="6484">
        <f>CPL!BB15</f>
        <v>0</v>
      </c>
      <c r="AZ24" s="6484">
        <f>CPL!BC15</f>
        <v>0</v>
      </c>
      <c r="BA24" s="6484">
        <f>CPL!BD15</f>
        <v>0</v>
      </c>
      <c r="BB24" s="6471" t="e">
        <f>AN24/년간!$V$7</f>
        <v>#DIV/0!</v>
      </c>
    </row>
    <row r="25" spans="2:54" s="286" customFormat="1" ht="16.5">
      <c r="B25" s="7757"/>
      <c r="C25" s="6433" t="s">
        <v>28</v>
      </c>
      <c r="D25" s="3356" t="s">
        <v>317</v>
      </c>
      <c r="E25" s="6474"/>
      <c r="F25" s="6475"/>
      <c r="G25" s="6474"/>
      <c r="H25" s="6483"/>
      <c r="I25" s="4860">
        <f>종합!J61/년간!D9*1000</f>
        <v>0.40842274814494417</v>
      </c>
      <c r="J25" s="4864">
        <f>종합!K61/년간!E9*1000</f>
        <v>0.14691500877160241</v>
      </c>
      <c r="K25" s="4895">
        <f>종합!L61/(년간!E9/10)*1000</f>
        <v>0.14691500877160241</v>
      </c>
      <c r="L25" s="6486" t="e">
        <f>종합!M61/년간!F9*1000</f>
        <v>#DIV/0!</v>
      </c>
      <c r="M25" s="6486" t="e">
        <f>종합!N61/년간!G9*1000</f>
        <v>#DIV/0!</v>
      </c>
      <c r="N25" s="6486">
        <f>종합!O61/년간!H9*1000</f>
        <v>0</v>
      </c>
      <c r="O25" s="6486" t="e">
        <f>종합!P61/년간!I9*1000</f>
        <v>#DIV/0!</v>
      </c>
      <c r="P25" s="6486" t="e">
        <f>종합!Q61/년간!J9*1000</f>
        <v>#DIV/0!</v>
      </c>
      <c r="Q25" s="6486" t="e">
        <f>종합!R61/년간!K9*1000</f>
        <v>#DIV/0!</v>
      </c>
      <c r="R25" s="6486" t="e">
        <f>종합!S61/년간!L9*1000</f>
        <v>#DIV/0!</v>
      </c>
      <c r="S25" s="6486" t="e">
        <f>종합!T61/년간!M9*1000</f>
        <v>#DIV/0!</v>
      </c>
      <c r="T25" s="6486" t="e">
        <f>종합!U61/년간!N9*1000</f>
        <v>#DIV/0!</v>
      </c>
      <c r="U25" s="6486" t="e">
        <f>종합!V61/년간!O9*1000</f>
        <v>#DIV/0!</v>
      </c>
      <c r="V25" s="6486" t="e">
        <f>종합!W61/년간!P9*1000</f>
        <v>#DIV/0!</v>
      </c>
      <c r="W25" s="6486" t="e">
        <f>종합!X61/년간!Q9*1000</f>
        <v>#DIV/0!</v>
      </c>
      <c r="X25" s="6491">
        <f>종합!Y61/년간!R9*1000</f>
        <v>0</v>
      </c>
      <c r="Y25" s="6462">
        <f>($I$25-J25)*년간!$C$214*년간!E9/1000</f>
        <v>34014181.238535702</v>
      </c>
      <c r="Z25" s="6463">
        <f>($I$25-K25)*년간!$C$214*(년간!E9/10)/1000</f>
        <v>3401418.1238535703</v>
      </c>
      <c r="AA25" s="6464">
        <f>Y25/년간!E9</f>
        <v>126.96122294253929</v>
      </c>
      <c r="AB25" s="6463" t="e">
        <f>($I$25-L25)*년간!$C$214*년간!F9/1000</f>
        <v>#DIV/0!</v>
      </c>
      <c r="AC25" s="6485">
        <f>CRM!AF17</f>
        <v>0</v>
      </c>
      <c r="AD25" s="6485">
        <f>CRM!AG17</f>
        <v>0</v>
      </c>
      <c r="AE25" s="6485">
        <f>CRM!AH17</f>
        <v>0</v>
      </c>
      <c r="AF25" s="6485">
        <f>CRM!AI17</f>
        <v>0</v>
      </c>
      <c r="AG25" s="6485">
        <f>CRM!AJ17</f>
        <v>0</v>
      </c>
      <c r="AH25" s="6485">
        <f>CRM!AK17</f>
        <v>0</v>
      </c>
      <c r="AI25" s="6485">
        <f>CRM!AL17</f>
        <v>0</v>
      </c>
      <c r="AJ25" s="6485">
        <f>CRM!AM17</f>
        <v>0</v>
      </c>
      <c r="AK25" s="6485">
        <f>CRM!AN17</f>
        <v>0</v>
      </c>
      <c r="AL25" s="6485">
        <f>CRM!AO17</f>
        <v>0</v>
      </c>
      <c r="AM25" s="6485"/>
      <c r="AN25" s="5283" t="e">
        <f t="shared" si="1"/>
        <v>#DIV/0!</v>
      </c>
      <c r="AO25" s="6466">
        <f t="shared" si="7"/>
        <v>126.96122294253929</v>
      </c>
      <c r="AP25" s="6485">
        <f>CRM!AS17</f>
        <v>0</v>
      </c>
      <c r="AQ25" s="6485">
        <f>CRM!AT17</f>
        <v>0</v>
      </c>
      <c r="AR25" s="6485">
        <f>CRM!AU17</f>
        <v>0</v>
      </c>
      <c r="AS25" s="6485">
        <f>CRM!AV17</f>
        <v>0</v>
      </c>
      <c r="AT25" s="6485">
        <f>CRM!AW17</f>
        <v>0</v>
      </c>
      <c r="AU25" s="6485">
        <f>CRM!AX17</f>
        <v>0</v>
      </c>
      <c r="AV25" s="6485">
        <f>CRM!AY17</f>
        <v>0</v>
      </c>
      <c r="AW25" s="6485">
        <f>CRM!AZ17</f>
        <v>0</v>
      </c>
      <c r="AX25" s="6485">
        <f>CRM!BA17</f>
        <v>0</v>
      </c>
      <c r="AY25" s="6485">
        <f>CRM!BB17</f>
        <v>0</v>
      </c>
      <c r="AZ25" s="6485">
        <f>CRM!BC17</f>
        <v>0</v>
      </c>
      <c r="BA25" s="6485">
        <f>CRM!BD17</f>
        <v>0</v>
      </c>
      <c r="BB25" s="6471" t="e">
        <f>AN25/년간!$V$8</f>
        <v>#DIV/0!</v>
      </c>
    </row>
    <row r="26" spans="2:54" ht="17.45" customHeight="1">
      <c r="B26" s="7757"/>
      <c r="C26" s="6431" t="s">
        <v>29</v>
      </c>
      <c r="D26" s="1152" t="s">
        <v>317</v>
      </c>
      <c r="E26" s="2066"/>
      <c r="F26" s="2066"/>
      <c r="G26" s="2066"/>
      <c r="H26" s="4884">
        <f>종합!I62/년간!C10*1000</f>
        <v>1.6000280572082093</v>
      </c>
      <c r="I26" s="4884">
        <f>종합!J62/년간!D10*1000</f>
        <v>0.7659227534131795</v>
      </c>
      <c r="J26" s="6453">
        <f>종합!K62/년간!E10*1000</f>
        <v>0.74610161904051331</v>
      </c>
      <c r="K26" s="4906">
        <f>종합!L62/(년간!E10/10)*1000</f>
        <v>0.74610161904051331</v>
      </c>
      <c r="L26" s="6486" t="e">
        <f>종합!M62/년간!F10*1000</f>
        <v>#DIV/0!</v>
      </c>
      <c r="M26" s="6486" t="e">
        <f>종합!N62/년간!G10*1000</f>
        <v>#DIV/0!</v>
      </c>
      <c r="N26" s="6486">
        <f>종합!O62/년간!H10*1000</f>
        <v>0.62912810632002503</v>
      </c>
      <c r="O26" s="6486" t="e">
        <f>종합!P62/년간!I10*1000</f>
        <v>#DIV/0!</v>
      </c>
      <c r="P26" s="6486" t="e">
        <f>종합!Q62/년간!J10*1000</f>
        <v>#DIV/0!</v>
      </c>
      <c r="Q26" s="6486" t="e">
        <f>종합!R62/년간!K10*1000</f>
        <v>#DIV/0!</v>
      </c>
      <c r="R26" s="6486" t="e">
        <f>종합!S62/년간!L10*1000</f>
        <v>#DIV/0!</v>
      </c>
      <c r="S26" s="6486" t="e">
        <f>종합!T62/년간!M10*1000</f>
        <v>#DIV/0!</v>
      </c>
      <c r="T26" s="6486" t="e">
        <f>종합!U62/년간!N10*1000</f>
        <v>#DIV/0!</v>
      </c>
      <c r="U26" s="6486" t="e">
        <f>종합!V62/년간!O10*1000</f>
        <v>#DIV/0!</v>
      </c>
      <c r="V26" s="6486" t="e">
        <f>종합!W62/년간!P10*1000</f>
        <v>#DIV/0!</v>
      </c>
      <c r="W26" s="6486" t="e">
        <f>종합!X62/년간!Q10*1000</f>
        <v>#DIV/0!</v>
      </c>
      <c r="X26" s="6491">
        <f>종합!Y62/년간!R10*1000</f>
        <v>4.0766451284353229</v>
      </c>
      <c r="Y26" s="6462">
        <f>($I$26-J26)*년간!$C$215*년간!E10/1000</f>
        <v>2579568.5276495251</v>
      </c>
      <c r="Z26" s="6463">
        <f>($I$26-K26)*년간!$C$215*(년간!E10/10)/1000</f>
        <v>257956.85276495252</v>
      </c>
      <c r="AA26" s="6464">
        <f>Y26/년간!E10</f>
        <v>9.6231012745263182</v>
      </c>
      <c r="AB26" s="6463" t="e">
        <f>($I$26-L26)*년간!$C$215*년간!F10/1000</f>
        <v>#DIV/0!</v>
      </c>
      <c r="AC26" s="6463" t="e">
        <f>($I$26-M26)*년간!$C$215*년간!G10/1000</f>
        <v>#DIV/0!</v>
      </c>
      <c r="AD26" s="6463">
        <f>($I$26-N26)*년간!$C$215*년간!H10/1000</f>
        <v>1518012.8654552738</v>
      </c>
      <c r="AE26" s="6463" t="e">
        <f>($I$26-O26)*년간!$C$215*년간!I10/1000</f>
        <v>#DIV/0!</v>
      </c>
      <c r="AF26" s="6463" t="e">
        <f>($I$26-P26)*년간!$C$215*년간!J10/1000</f>
        <v>#DIV/0!</v>
      </c>
      <c r="AG26" s="6463" t="e">
        <f>($I$26-Q26)*년간!$C$215*년간!K10/1000</f>
        <v>#DIV/0!</v>
      </c>
      <c r="AH26" s="6463" t="e">
        <f>($I$26-R26)*년간!$C$215*년간!L10/1000</f>
        <v>#DIV/0!</v>
      </c>
      <c r="AI26" s="6463" t="e">
        <f>($I$26-S26)*년간!$C$215*년간!M10/1000</f>
        <v>#DIV/0!</v>
      </c>
      <c r="AJ26" s="6463" t="e">
        <f>($I$26-T26)*년간!$C$215*년간!N10/1000</f>
        <v>#DIV/0!</v>
      </c>
      <c r="AK26" s="6463" t="e">
        <f>($I$26-U26)*년간!$C$215*년간!O10/1000</f>
        <v>#DIV/0!</v>
      </c>
      <c r="AL26" s="6465"/>
      <c r="AM26" s="6465"/>
      <c r="AN26" s="5283" t="e">
        <f t="shared" si="1"/>
        <v>#DIV/0!</v>
      </c>
      <c r="AO26" s="6466">
        <f t="shared" si="7"/>
        <v>9.6231012745263182</v>
      </c>
      <c r="AP26" s="6467" t="e">
        <f>AB26/년간!F10</f>
        <v>#DIV/0!</v>
      </c>
      <c r="AQ26" s="6467" t="e">
        <f>AC26/년간!G10</f>
        <v>#DIV/0!</v>
      </c>
      <c r="AR26" s="6467">
        <f>AD26/년간!H10</f>
        <v>66.413390779785203</v>
      </c>
      <c r="AS26" s="6467" t="e">
        <f>AE26/년간!I10</f>
        <v>#DIV/0!</v>
      </c>
      <c r="AT26" s="6467" t="e">
        <f>AF26/년간!J10</f>
        <v>#DIV/0!</v>
      </c>
      <c r="AU26" s="6467" t="e">
        <f>AG26/년간!K10</f>
        <v>#DIV/0!</v>
      </c>
      <c r="AV26" s="6467" t="e">
        <f>AH26/년간!L10</f>
        <v>#DIV/0!</v>
      </c>
      <c r="AW26" s="6467" t="e">
        <f>AI26/년간!M10</f>
        <v>#DIV/0!</v>
      </c>
      <c r="AX26" s="6468" t="e">
        <f>AJ26/년간!N10</f>
        <v>#DIV/0!</v>
      </c>
      <c r="AY26" s="6464" t="e">
        <f>AK26/년간!O10</f>
        <v>#DIV/0!</v>
      </c>
      <c r="AZ26" s="6469"/>
      <c r="BA26" s="6470"/>
      <c r="BB26" s="6471" t="e">
        <f>AN26/년간!$V$9</f>
        <v>#DIV/0!</v>
      </c>
    </row>
    <row r="27" spans="2:54" ht="16.5">
      <c r="B27" s="7757"/>
      <c r="C27" s="2492" t="s">
        <v>501</v>
      </c>
      <c r="D27" s="2493" t="s">
        <v>317</v>
      </c>
      <c r="E27" s="2500"/>
      <c r="F27" s="2500"/>
      <c r="G27" s="2500"/>
      <c r="H27" s="4860">
        <f>종합!I63/년간!C11*1000</f>
        <v>1.3320817617901037</v>
      </c>
      <c r="I27" s="4860">
        <f>종합!J63/년간!D11*1000</f>
        <v>1.4115263569674605</v>
      </c>
      <c r="J27" s="4864">
        <f>종합!K63/년간!E11*1000</f>
        <v>0.79164661013811233</v>
      </c>
      <c r="K27" s="4895">
        <f>종합!L63/(년간!E11/12)*1000</f>
        <v>0.79164661013811222</v>
      </c>
      <c r="L27" s="6486">
        <f>종합!M63/년간!F11*1000</f>
        <v>0.66266007231217583</v>
      </c>
      <c r="M27" s="6486">
        <f>종합!N63/년간!G11*1000</f>
        <v>1.8003637537918908</v>
      </c>
      <c r="N27" s="6486">
        <f>종합!O63/년간!H11*1000</f>
        <v>1.3974261574233948</v>
      </c>
      <c r="O27" s="6486" t="e">
        <f>종합!P63/년간!I11*1000</f>
        <v>#DIV/0!</v>
      </c>
      <c r="P27" s="6486" t="e">
        <f>종합!Q63/년간!J11*1000</f>
        <v>#DIV/0!</v>
      </c>
      <c r="Q27" s="6486" t="e">
        <f>종합!R63/년간!K11*1000</f>
        <v>#DIV/0!</v>
      </c>
      <c r="R27" s="6486" t="e">
        <f>종합!S63/년간!L11*1000</f>
        <v>#DIV/0!</v>
      </c>
      <c r="S27" s="6486" t="e">
        <f>종합!T63/년간!M11*1000</f>
        <v>#DIV/0!</v>
      </c>
      <c r="T27" s="6486" t="e">
        <f>종합!U63/년간!N11*1000</f>
        <v>#DIV/0!</v>
      </c>
      <c r="U27" s="6486" t="e">
        <f>종합!V63/년간!O11*1000</f>
        <v>#DIV/0!</v>
      </c>
      <c r="V27" s="6486" t="e">
        <f>종합!W63/년간!P11*1000</f>
        <v>#DIV/0!</v>
      </c>
      <c r="W27" s="6486" t="e">
        <f>종합!X63/년간!Q11*1000</f>
        <v>#DIV/0!</v>
      </c>
      <c r="X27" s="6491">
        <f>종합!Y63/년간!R11*1000</f>
        <v>1.2824699595787936</v>
      </c>
      <c r="Y27" s="6072">
        <f>($I$27-J27)*년간!$C$216*년간!E11/1000</f>
        <v>73025749.623362646</v>
      </c>
      <c r="Z27" s="4116">
        <f>($I$27-K27)*년간!$C$216*(년간!E11/12)/1000</f>
        <v>6085479.1352802208</v>
      </c>
      <c r="AA27" s="5329">
        <f>Y27/년간!E11</f>
        <v>450.65939462215135</v>
      </c>
      <c r="AB27" s="4116">
        <f>($I$27-L27)*년간!$C$216*년간!F11/1000</f>
        <v>6753459.1030921433</v>
      </c>
      <c r="AC27" s="4116">
        <f>($I$27-M27)*년간!$C$216*년간!G11/1000</f>
        <v>-3379021.9668607409</v>
      </c>
      <c r="AD27" s="4116">
        <f>($I$27-N27)*년간!$C$216*년간!H11/1000</f>
        <v>133581.80832480962</v>
      </c>
      <c r="AE27" s="4116" t="e">
        <f>($I$27-O27)*년간!$C$216*년간!I11/1000</f>
        <v>#DIV/0!</v>
      </c>
      <c r="AF27" s="4116" t="e">
        <f>($I$27-P27)*년간!$C$216*년간!J11/1000</f>
        <v>#DIV/0!</v>
      </c>
      <c r="AG27" s="4116" t="e">
        <f>($I$27-Q27)*년간!$C$216*년간!K11/1000</f>
        <v>#DIV/0!</v>
      </c>
      <c r="AH27" s="4116" t="e">
        <f>($I$27-R27)*년간!$C$216*년간!L11/1000</f>
        <v>#DIV/0!</v>
      </c>
      <c r="AI27" s="4116" t="e">
        <f>($I$27-S27)*년간!$C$216*년간!M11/1000</f>
        <v>#DIV/0!</v>
      </c>
      <c r="AJ27" s="4116" t="e">
        <f>($I$27-T27)*년간!$C$216*년간!N11/1000</f>
        <v>#DIV/0!</v>
      </c>
      <c r="AK27" s="4116" t="e">
        <f>($I$27-U27)*년간!$C$216*년간!O11/1000</f>
        <v>#DIV/0!</v>
      </c>
      <c r="AL27" s="5266"/>
      <c r="AM27" s="5266"/>
      <c r="AN27" s="5283" t="e">
        <f t="shared" si="1"/>
        <v>#DIV/0!</v>
      </c>
      <c r="AO27" s="3972">
        <f t="shared" si="7"/>
        <v>450.65939462215135</v>
      </c>
      <c r="AP27" s="4125">
        <f>AB27/년간!F11</f>
        <v>544.4340264735232</v>
      </c>
      <c r="AQ27" s="4125">
        <f>AC27/년간!G11</f>
        <v>-282.68906470272589</v>
      </c>
      <c r="AR27" s="4125">
        <f>AD27/년간!H11</f>
        <v>10.251000170730761</v>
      </c>
      <c r="AS27" s="4125" t="e">
        <f>AE27/년간!I11</f>
        <v>#DIV/0!</v>
      </c>
      <c r="AT27" s="4125" t="e">
        <f>AF27/년간!J11</f>
        <v>#DIV/0!</v>
      </c>
      <c r="AU27" s="4125" t="e">
        <f>AG27/년간!K11</f>
        <v>#DIV/0!</v>
      </c>
      <c r="AV27" s="4125" t="e">
        <f>AH27/년간!L11</f>
        <v>#DIV/0!</v>
      </c>
      <c r="AW27" s="4125" t="e">
        <f>AI27/년간!M11</f>
        <v>#DIV/0!</v>
      </c>
      <c r="AX27" s="4034" t="e">
        <f>AJ27/년간!N11</f>
        <v>#DIV/0!</v>
      </c>
      <c r="AY27" s="5329" t="e">
        <f>AK27/년간!O11</f>
        <v>#DIV/0!</v>
      </c>
      <c r="AZ27" s="4223"/>
      <c r="BA27" s="4346"/>
      <c r="BB27" s="4035" t="e">
        <f>AN27/년간!$V$11</f>
        <v>#DIV/0!</v>
      </c>
    </row>
    <row r="28" spans="2:54" ht="17.25" thickBot="1">
      <c r="B28" s="7757"/>
      <c r="C28" s="2400" t="s">
        <v>488</v>
      </c>
      <c r="D28" s="1668" t="s">
        <v>317</v>
      </c>
      <c r="E28" s="2503"/>
      <c r="F28" s="2503"/>
      <c r="G28" s="2503"/>
      <c r="H28" s="4884">
        <f>종합!I64/년간!C12*1000</f>
        <v>2.8719045580662459</v>
      </c>
      <c r="I28" s="4884">
        <f>종합!J64/년간!D12*1000</f>
        <v>1.5451146477741862</v>
      </c>
      <c r="J28" s="6453">
        <f>종합!K64/년간!E12*1000</f>
        <v>1.4376223996851252</v>
      </c>
      <c r="K28" s="4906">
        <f>종합!L64/(년간!E12/12)*1000</f>
        <v>1.4376223996851254</v>
      </c>
      <c r="L28" s="6486">
        <f>종합!M64/년간!F12*1000</f>
        <v>0.77014746297212056</v>
      </c>
      <c r="M28" s="6486">
        <f>종합!N64/년간!G12*1000</f>
        <v>0</v>
      </c>
      <c r="N28" s="6486">
        <f>종합!O64/년간!H12*1000</f>
        <v>1.864749737600496</v>
      </c>
      <c r="O28" s="6486" t="e">
        <f>종합!P64/년간!I12*1000</f>
        <v>#DIV/0!</v>
      </c>
      <c r="P28" s="6486" t="e">
        <f>종합!Q64/년간!J12*1000</f>
        <v>#DIV/0!</v>
      </c>
      <c r="Q28" s="6486" t="e">
        <f>종합!R64/년간!K12*1000</f>
        <v>#DIV/0!</v>
      </c>
      <c r="R28" s="6486" t="e">
        <f>종합!S64/년간!L12*1000</f>
        <v>#DIV/0!</v>
      </c>
      <c r="S28" s="6486" t="e">
        <f>종합!T64/년간!M12*1000</f>
        <v>#DIV/0!</v>
      </c>
      <c r="T28" s="6486" t="e">
        <f>종합!U64/년간!N12*1000</f>
        <v>#DIV/0!</v>
      </c>
      <c r="U28" s="6486" t="e">
        <f>종합!V64/년간!O12*1000</f>
        <v>#DIV/0!</v>
      </c>
      <c r="V28" s="6486" t="e">
        <f>종합!W64/년간!P12*1000</f>
        <v>#DIV/0!</v>
      </c>
      <c r="W28" s="6486" t="e">
        <f>종합!X64/년간!Q12*1000</f>
        <v>#DIV/0!</v>
      </c>
      <c r="X28" s="6491">
        <f>종합!Y64/년간!R12*1000</f>
        <v>0.92758110594694942</v>
      </c>
      <c r="Y28" s="6072">
        <f>($I$28-J28)*년간!$C$217*년간!E12/1000</f>
        <v>7914759.032658455</v>
      </c>
      <c r="Z28" s="4116">
        <f>($I$28-K28)*년간!$C$217*(년간!E12/12)/1000</f>
        <v>659563.25272153667</v>
      </c>
      <c r="AA28" s="5329">
        <f>Y28/년간!E12</f>
        <v>131.06681956205185</v>
      </c>
      <c r="AB28" s="4116">
        <f>($I$28-L28)*년간!$C$217*년간!F12/1000</f>
        <v>4662390.4005803531</v>
      </c>
      <c r="AC28" s="4116">
        <f>($I$28-M28)*년간!$C$217*년간!G12/1000</f>
        <v>8976882.864884574</v>
      </c>
      <c r="AD28" s="4116">
        <f>($I$28-N28)*년간!$C$217*년간!H12/1000</f>
        <v>-2161076.0474301972</v>
      </c>
      <c r="AE28" s="4116" t="e">
        <f>($I$28-O28)*년간!$C$217*년간!I12/1000</f>
        <v>#DIV/0!</v>
      </c>
      <c r="AF28" s="4116" t="e">
        <f>($I$28-P28)*년간!$C$217*년간!J12/1000</f>
        <v>#DIV/0!</v>
      </c>
      <c r="AG28" s="4116" t="e">
        <f>($I$28-Q28)*년간!$C$217*년간!K12/1000</f>
        <v>#DIV/0!</v>
      </c>
      <c r="AH28" s="4116" t="e">
        <f>($I$28-R28)*년간!$C$217*년간!L12/1000</f>
        <v>#DIV/0!</v>
      </c>
      <c r="AI28" s="4116" t="e">
        <f>($I$28-S28)*년간!$C$217*년간!M12/1000</f>
        <v>#DIV/0!</v>
      </c>
      <c r="AJ28" s="4116" t="e">
        <f>($I$28-T28)*년간!$C$217*년간!N12/1000</f>
        <v>#DIV/0!</v>
      </c>
      <c r="AK28" s="4116" t="e">
        <f>($I$28-U28)*년간!$C$217*년간!O12/1000</f>
        <v>#DIV/0!</v>
      </c>
      <c r="AL28" s="5266"/>
      <c r="AM28" s="5266"/>
      <c r="AN28" s="5283" t="e">
        <f t="shared" si="1"/>
        <v>#DIV/0!</v>
      </c>
      <c r="AO28" s="3972">
        <f t="shared" si="7"/>
        <v>131.06681956205185</v>
      </c>
      <c r="AP28" s="4125">
        <f>AB28/년간!F12</f>
        <v>944.92845747171805</v>
      </c>
      <c r="AQ28" s="4125">
        <f>AC28/년간!G12</f>
        <v>1883.9801598968643</v>
      </c>
      <c r="AR28" s="4125">
        <f>AD28/년간!H12</f>
        <v>-389.73558920504621</v>
      </c>
      <c r="AS28" s="4125" t="e">
        <f>AE28/년간!I12</f>
        <v>#DIV/0!</v>
      </c>
      <c r="AT28" s="4125" t="e">
        <f>AF28/년간!J12</f>
        <v>#DIV/0!</v>
      </c>
      <c r="AU28" s="4125" t="e">
        <f>AG28/년간!K12</f>
        <v>#DIV/0!</v>
      </c>
      <c r="AV28" s="4125" t="e">
        <f>AH28/년간!L12</f>
        <v>#DIV/0!</v>
      </c>
      <c r="AW28" s="4125" t="e">
        <f>AI28/년간!M12</f>
        <v>#DIV/0!</v>
      </c>
      <c r="AX28" s="4034" t="e">
        <f>AJ28/년간!N12</f>
        <v>#DIV/0!</v>
      </c>
      <c r="AY28" s="5329" t="e">
        <f>AK28/년간!O12</f>
        <v>#DIV/0!</v>
      </c>
      <c r="AZ28" s="4223"/>
      <c r="BA28" s="4346"/>
      <c r="BB28" s="4035" t="e">
        <f>AN28/년간!$V$12</f>
        <v>#DIV/0!</v>
      </c>
    </row>
    <row r="29" spans="2:54" ht="16.5">
      <c r="B29" s="7757"/>
      <c r="C29" s="2836" t="s">
        <v>16</v>
      </c>
      <c r="D29" s="2325" t="s">
        <v>317</v>
      </c>
      <c r="E29" s="1930"/>
      <c r="F29" s="1930"/>
      <c r="G29" s="1930"/>
      <c r="H29" s="4885">
        <f>SUM(H26:H28)</f>
        <v>5.8040143770645596</v>
      </c>
      <c r="I29" s="4885">
        <f>SUM(I26:I28)</f>
        <v>3.7225637581548261</v>
      </c>
      <c r="J29" s="4886">
        <f>SUM(J26:J28)</f>
        <v>2.9753706288637507</v>
      </c>
      <c r="K29" s="4898">
        <f>SUM(K26:K28)</f>
        <v>2.9753706288637511</v>
      </c>
      <c r="L29" s="6487" t="e">
        <f t="shared" ref="L29:Q29" si="19">SUM(L26:L28)</f>
        <v>#DIV/0!</v>
      </c>
      <c r="M29" s="4908" t="e">
        <f t="shared" si="19"/>
        <v>#DIV/0!</v>
      </c>
      <c r="N29" s="4908">
        <f t="shared" si="19"/>
        <v>3.891304001343916</v>
      </c>
      <c r="O29" s="4908" t="e">
        <f t="shared" si="19"/>
        <v>#DIV/0!</v>
      </c>
      <c r="P29" s="4908" t="e">
        <f t="shared" si="19"/>
        <v>#DIV/0!</v>
      </c>
      <c r="Q29" s="4908" t="e">
        <f t="shared" si="19"/>
        <v>#DIV/0!</v>
      </c>
      <c r="R29" s="4908" t="e">
        <f t="shared" ref="R29:X29" si="20">SUM(R26:R28)</f>
        <v>#DIV/0!</v>
      </c>
      <c r="S29" s="4908" t="e">
        <f t="shared" si="20"/>
        <v>#DIV/0!</v>
      </c>
      <c r="T29" s="4908" t="e">
        <f t="shared" si="20"/>
        <v>#DIV/0!</v>
      </c>
      <c r="U29" s="4908" t="e">
        <f t="shared" si="20"/>
        <v>#DIV/0!</v>
      </c>
      <c r="V29" s="4908" t="e">
        <f t="shared" si="20"/>
        <v>#DIV/0!</v>
      </c>
      <c r="W29" s="4908" t="e">
        <f t="shared" si="20"/>
        <v>#DIV/0!</v>
      </c>
      <c r="X29" s="4908">
        <f t="shared" si="20"/>
        <v>6.286696193961065</v>
      </c>
      <c r="Y29" s="3903">
        <f t="shared" ref="Y29:AF29" si="21">SUM(Y26:Y28)</f>
        <v>83520077.183670625</v>
      </c>
      <c r="Z29" s="4214">
        <f t="shared" si="21"/>
        <v>7002999.2407667106</v>
      </c>
      <c r="AA29" s="4215">
        <f>Y29/(년간!E10+년간!E11+년간!E12)</f>
        <v>170.27913389733317</v>
      </c>
      <c r="AB29" s="4115" t="e">
        <f t="shared" si="21"/>
        <v>#DIV/0!</v>
      </c>
      <c r="AC29" s="4115" t="e">
        <f t="shared" si="21"/>
        <v>#DIV/0!</v>
      </c>
      <c r="AD29" s="4115">
        <f t="shared" si="21"/>
        <v>-509481.37365011382</v>
      </c>
      <c r="AE29" s="4115" t="e">
        <f t="shared" si="21"/>
        <v>#DIV/0!</v>
      </c>
      <c r="AF29" s="4115" t="e">
        <f t="shared" si="21"/>
        <v>#DIV/0!</v>
      </c>
      <c r="AG29" s="4115" t="e">
        <f>SUM(AG26:AG28)</f>
        <v>#DIV/0!</v>
      </c>
      <c r="AH29" s="4115" t="e">
        <f>SUM(AH26:AH28)</f>
        <v>#DIV/0!</v>
      </c>
      <c r="AI29" s="4115" t="e">
        <f>SUM(AI26:AI28)</f>
        <v>#DIV/0!</v>
      </c>
      <c r="AJ29" s="4115" t="e">
        <f>SUM(AJ26:AJ28)</f>
        <v>#DIV/0!</v>
      </c>
      <c r="AK29" s="4115" t="e">
        <f>SUM(AK26:AK28)</f>
        <v>#DIV/0!</v>
      </c>
      <c r="AL29" s="4910"/>
      <c r="AM29" s="4910"/>
      <c r="AN29" s="5284" t="e">
        <f t="shared" si="1"/>
        <v>#DIV/0!</v>
      </c>
      <c r="AO29" s="5294">
        <f t="shared" si="7"/>
        <v>170.27913389733317</v>
      </c>
      <c r="AP29" s="5294" t="e">
        <f>AB29/(년간!F10+년간!F11+년간!F12)</f>
        <v>#DIV/0!</v>
      </c>
      <c r="AQ29" s="5294" t="e">
        <f>AC29/(년간!G10+년간!G11+년간!G12)</f>
        <v>#DIV/0!</v>
      </c>
      <c r="AR29" s="5294">
        <f>AD29/(년간!H10+년간!H11+년간!H12)</f>
        <v>-12.296479160027182</v>
      </c>
      <c r="AS29" s="5294" t="e">
        <f>AE29/(년간!I10+년간!I11+년간!I12)</f>
        <v>#DIV/0!</v>
      </c>
      <c r="AT29" s="5294" t="e">
        <f>AF29/(년간!J10+년간!J11+년간!J12)</f>
        <v>#DIV/0!</v>
      </c>
      <c r="AU29" s="5294" t="e">
        <f>AG29/(년간!K10+년간!K11+년간!K12)</f>
        <v>#DIV/0!</v>
      </c>
      <c r="AV29" s="5294" t="e">
        <f>AH29/(년간!L10+년간!L11+년간!L12)</f>
        <v>#DIV/0!</v>
      </c>
      <c r="AW29" s="5294" t="e">
        <f>AI29/(년간!M10+년간!M11+년간!M12)</f>
        <v>#DIV/0!</v>
      </c>
      <c r="AX29" s="5312" t="e">
        <f>AJ29/(년간!N10+년간!N11+년간!N12)</f>
        <v>#DIV/0!</v>
      </c>
      <c r="AY29" s="5554" t="e">
        <f>AK29/(년간!O10+년간!O11+년간!O12)</f>
        <v>#DIV/0!</v>
      </c>
      <c r="AZ29" s="4215"/>
      <c r="BA29" s="5332"/>
      <c r="BB29" s="5338" t="e">
        <f>AN29/년간!$V$13</f>
        <v>#DIV/0!</v>
      </c>
    </row>
    <row r="30" spans="2:54" ht="17.25" thickBot="1">
      <c r="B30" s="7758"/>
      <c r="C30" s="2837" t="s">
        <v>489</v>
      </c>
      <c r="D30" s="2129" t="s">
        <v>317</v>
      </c>
      <c r="E30" s="2250"/>
      <c r="F30" s="2250"/>
      <c r="G30" s="2250"/>
      <c r="H30" s="4912">
        <f>H29</f>
        <v>5.8040143770645596</v>
      </c>
      <c r="I30" s="4912">
        <f>I29</f>
        <v>3.7225637581548261</v>
      </c>
      <c r="J30" s="6489">
        <f t="shared" ref="J30:AV30" si="22">J29</f>
        <v>2.9753706288637507</v>
      </c>
      <c r="K30" s="6490">
        <f t="shared" si="22"/>
        <v>2.9753706288637511</v>
      </c>
      <c r="L30" s="6488" t="e">
        <f t="shared" si="22"/>
        <v>#DIV/0!</v>
      </c>
      <c r="M30" s="4912" t="e">
        <f t="shared" si="22"/>
        <v>#DIV/0!</v>
      </c>
      <c r="N30" s="4912">
        <f t="shared" si="22"/>
        <v>3.891304001343916</v>
      </c>
      <c r="O30" s="4912" t="e">
        <f t="shared" si="22"/>
        <v>#DIV/0!</v>
      </c>
      <c r="P30" s="4912" t="e">
        <f t="shared" si="22"/>
        <v>#DIV/0!</v>
      </c>
      <c r="Q30" s="4912" t="e">
        <f t="shared" si="22"/>
        <v>#DIV/0!</v>
      </c>
      <c r="R30" s="4912" t="e">
        <f t="shared" si="22"/>
        <v>#DIV/0!</v>
      </c>
      <c r="S30" s="4912" t="e">
        <f t="shared" ref="S30:X30" si="23">S29</f>
        <v>#DIV/0!</v>
      </c>
      <c r="T30" s="4912" t="e">
        <f t="shared" si="23"/>
        <v>#DIV/0!</v>
      </c>
      <c r="U30" s="4912" t="e">
        <f t="shared" si="23"/>
        <v>#DIV/0!</v>
      </c>
      <c r="V30" s="4912" t="e">
        <f t="shared" si="23"/>
        <v>#DIV/0!</v>
      </c>
      <c r="W30" s="4912" t="e">
        <f t="shared" si="23"/>
        <v>#DIV/0!</v>
      </c>
      <c r="X30" s="4912">
        <f t="shared" si="23"/>
        <v>6.286696193961065</v>
      </c>
      <c r="Y30" s="2608">
        <f t="shared" si="22"/>
        <v>83520077.183670625</v>
      </c>
      <c r="Z30" s="2608">
        <f t="shared" si="22"/>
        <v>7002999.2407667106</v>
      </c>
      <c r="AA30" s="2608">
        <f t="shared" si="22"/>
        <v>170.27913389733317</v>
      </c>
      <c r="AB30" s="2608" t="e">
        <f t="shared" si="22"/>
        <v>#DIV/0!</v>
      </c>
      <c r="AC30" s="2608" t="e">
        <f t="shared" si="22"/>
        <v>#DIV/0!</v>
      </c>
      <c r="AD30" s="2608">
        <f t="shared" si="22"/>
        <v>-509481.37365011382</v>
      </c>
      <c r="AE30" s="2608" t="e">
        <f t="shared" si="22"/>
        <v>#DIV/0!</v>
      </c>
      <c r="AF30" s="2608" t="e">
        <f t="shared" si="22"/>
        <v>#DIV/0!</v>
      </c>
      <c r="AG30" s="2608" t="e">
        <f t="shared" si="22"/>
        <v>#DIV/0!</v>
      </c>
      <c r="AH30" s="2608" t="e">
        <f t="shared" si="22"/>
        <v>#DIV/0!</v>
      </c>
      <c r="AI30" s="5021" t="e">
        <f>AI29</f>
        <v>#DIV/0!</v>
      </c>
      <c r="AJ30" s="5021" t="e">
        <f>AJ29</f>
        <v>#DIV/0!</v>
      </c>
      <c r="AK30" s="5021" t="e">
        <f>AK29</f>
        <v>#DIV/0!</v>
      </c>
      <c r="AL30" s="2608">
        <f t="shared" si="22"/>
        <v>0</v>
      </c>
      <c r="AM30" s="2608">
        <f t="shared" si="22"/>
        <v>0</v>
      </c>
      <c r="AN30" s="5284" t="e">
        <f t="shared" si="1"/>
        <v>#DIV/0!</v>
      </c>
      <c r="AO30" s="5295">
        <f t="shared" si="7"/>
        <v>170.27913389733317</v>
      </c>
      <c r="AP30" s="5296" t="e">
        <f t="shared" si="22"/>
        <v>#DIV/0!</v>
      </c>
      <c r="AQ30" s="5296" t="e">
        <f t="shared" si="22"/>
        <v>#DIV/0!</v>
      </c>
      <c r="AR30" s="5296">
        <f t="shared" si="22"/>
        <v>-12.296479160027182</v>
      </c>
      <c r="AS30" s="5296" t="e">
        <f t="shared" si="22"/>
        <v>#DIV/0!</v>
      </c>
      <c r="AT30" s="5296" t="e">
        <f t="shared" si="22"/>
        <v>#DIV/0!</v>
      </c>
      <c r="AU30" s="5296" t="e">
        <f t="shared" si="22"/>
        <v>#DIV/0!</v>
      </c>
      <c r="AV30" s="5296" t="e">
        <f t="shared" si="22"/>
        <v>#DIV/0!</v>
      </c>
      <c r="AW30" s="5296" t="e">
        <f>AW29</f>
        <v>#DIV/0!</v>
      </c>
      <c r="AX30" s="5296" t="e">
        <f>AX29</f>
        <v>#DIV/0!</v>
      </c>
      <c r="AY30" s="5555" t="e">
        <f>AY29</f>
        <v>#DIV/0!</v>
      </c>
      <c r="AZ30" s="4222"/>
      <c r="BA30" s="5333"/>
      <c r="BB30" s="5339"/>
    </row>
    <row r="31" spans="2:54" ht="16.5">
      <c r="B31" s="7718" t="s">
        <v>1091</v>
      </c>
      <c r="C31" s="2835" t="s">
        <v>39</v>
      </c>
      <c r="D31" s="1152" t="s">
        <v>317</v>
      </c>
      <c r="E31" s="2066"/>
      <c r="F31" s="2066"/>
      <c r="G31" s="2066"/>
      <c r="H31" s="4887">
        <f>종합!I66/년간!C8*1000</f>
        <v>8.1613438418505643E-2</v>
      </c>
      <c r="I31" s="4887">
        <f>종합!J66/년간!D8*1000</f>
        <v>0.19172008824519624</v>
      </c>
      <c r="J31" s="4899">
        <f>종합!K66/년간!E8*1000</f>
        <v>7.7899820830412081E-2</v>
      </c>
      <c r="K31" s="4894">
        <f>종합!L66/(년간!E8/10)*1000</f>
        <v>7.7899820830412095E-2</v>
      </c>
      <c r="L31" s="4907" t="e">
        <f>종합!M66/년간!F8*1000</f>
        <v>#DIV/0!</v>
      </c>
      <c r="M31" s="4907" t="e">
        <f>종합!N66/년간!G8*1000</f>
        <v>#DIV/0!</v>
      </c>
      <c r="N31" s="4907">
        <f>종합!O66/년간!H8*1000</f>
        <v>0</v>
      </c>
      <c r="O31" s="4907" t="e">
        <f>종합!P66/년간!I8*1000</f>
        <v>#DIV/0!</v>
      </c>
      <c r="P31" s="4907" t="e">
        <f>종합!Q66/년간!J8*1000</f>
        <v>#DIV/0!</v>
      </c>
      <c r="Q31" s="4907" t="e">
        <f>종합!R66/년간!K8*1000</f>
        <v>#DIV/0!</v>
      </c>
      <c r="R31" s="4907" t="e">
        <f>종합!S66/년간!L8*1000</f>
        <v>#DIV/0!</v>
      </c>
      <c r="S31" s="4907" t="e">
        <f>종합!T66/년간!M8*1000</f>
        <v>#DIV/0!</v>
      </c>
      <c r="T31" s="4907" t="e">
        <f>종합!U66/년간!N8*1000</f>
        <v>#DIV/0!</v>
      </c>
      <c r="U31" s="4907" t="e">
        <f>종합!V66/년간!O8*1000</f>
        <v>#DIV/0!</v>
      </c>
      <c r="V31" s="4907" t="e">
        <f>종합!W66/년간!P8*1000</f>
        <v>#DIV/0!</v>
      </c>
      <c r="W31" s="4907" t="e">
        <f>종합!X66/년간!Q8*1000</f>
        <v>#DIV/0!</v>
      </c>
      <c r="X31" s="5030">
        <f>종합!Y66/년간!R8*1000</f>
        <v>0</v>
      </c>
      <c r="Y31" s="3904">
        <f>($I$31-J31)*년간!$C$213*년간!E8/1000</f>
        <v>15606027.731004078</v>
      </c>
      <c r="Z31" s="4716">
        <f>($I$31-K31)*년간!$C$213*(년간!E8/10)/1000</f>
        <v>1560602.7731004076</v>
      </c>
      <c r="AA31" s="4223">
        <f>Y31/년간!E8</f>
        <v>55.259398369075463</v>
      </c>
      <c r="AB31" s="4116" t="e">
        <f>($I$31-L31)*년간!$C$213*년간!F8/1000</f>
        <v>#DIV/0!</v>
      </c>
      <c r="AC31" s="4116" t="e">
        <f>($I$31-M31)*년간!$C$213*년간!G8/1000</f>
        <v>#DIV/0!</v>
      </c>
      <c r="AD31" s="4116">
        <f>($I$31-N31)*년간!$C$213*년간!H8/1000</f>
        <v>2567330.7020897055</v>
      </c>
      <c r="AE31" s="4116" t="e">
        <f>($I$31-O31)*년간!$C$213*년간!I8/1000</f>
        <v>#DIV/0!</v>
      </c>
      <c r="AF31" s="4116" t="e">
        <f>($I$31-P31)*년간!$C$213*년간!J8/1000</f>
        <v>#DIV/0!</v>
      </c>
      <c r="AG31" s="4116" t="e">
        <f>($I$31-Q31)*년간!$C$213*년간!K8/1000</f>
        <v>#DIV/0!</v>
      </c>
      <c r="AH31" s="4116" t="e">
        <f>($I$31-R31)*년간!$C$213*년간!L8/1000</f>
        <v>#DIV/0!</v>
      </c>
      <c r="AI31" s="4116" t="e">
        <f>($I$31-S31)*년간!$C$213*년간!M8/1000</f>
        <v>#DIV/0!</v>
      </c>
      <c r="AJ31" s="4116" t="e">
        <f>($I$31-T31)*년간!$C$213*년간!N8/1000</f>
        <v>#DIV/0!</v>
      </c>
      <c r="AK31" s="4116" t="e">
        <f>($I$31-U31)*년간!$C$213*년간!O8/1000</f>
        <v>#DIV/0!</v>
      </c>
      <c r="AL31" s="5266"/>
      <c r="AM31" s="5266"/>
      <c r="AN31" s="5283" t="e">
        <f t="shared" si="1"/>
        <v>#DIV/0!</v>
      </c>
      <c r="AO31" s="5297">
        <f t="shared" si="7"/>
        <v>55.259398369075463</v>
      </c>
      <c r="AP31" s="5297" t="e">
        <f>AB31/년간!F8</f>
        <v>#DIV/0!</v>
      </c>
      <c r="AQ31" s="5297" t="e">
        <f>AC31/년간!G8</f>
        <v>#DIV/0!</v>
      </c>
      <c r="AR31" s="5297">
        <f>AD31/년간!H8</f>
        <v>93.079527682778036</v>
      </c>
      <c r="AS31" s="5297" t="e">
        <f>AE31/년간!I8</f>
        <v>#DIV/0!</v>
      </c>
      <c r="AT31" s="5297" t="e">
        <f>AF31/년간!J8</f>
        <v>#DIV/0!</v>
      </c>
      <c r="AU31" s="5297" t="e">
        <f>AG31/년간!K8</f>
        <v>#DIV/0!</v>
      </c>
      <c r="AV31" s="5297" t="e">
        <f>AH31/년간!L8</f>
        <v>#DIV/0!</v>
      </c>
      <c r="AW31" s="5297" t="e">
        <f>AI31/년간!M8</f>
        <v>#DIV/0!</v>
      </c>
      <c r="AX31" s="5302" t="e">
        <f>AJ31/년간!N8</f>
        <v>#DIV/0!</v>
      </c>
      <c r="AY31" s="5556" t="e">
        <f>AK31/년간!O8</f>
        <v>#DIV/0!</v>
      </c>
      <c r="AZ31" s="4223"/>
      <c r="BA31" s="4346"/>
      <c r="BB31" s="4035" t="e">
        <f>AN31/년간!$V$8</f>
        <v>#DIV/0!</v>
      </c>
    </row>
    <row r="32" spans="2:54" ht="16.5">
      <c r="B32" s="7719"/>
      <c r="C32" s="2492" t="s">
        <v>42</v>
      </c>
      <c r="D32" s="2493" t="s">
        <v>317</v>
      </c>
      <c r="E32" s="2500"/>
      <c r="F32" s="2500"/>
      <c r="G32" s="2500"/>
      <c r="H32" s="4887">
        <f>종합!I67/년간!C9*1000</f>
        <v>0</v>
      </c>
      <c r="I32" s="4887">
        <f>종합!J67/년간!D9*1000</f>
        <v>0.18513087999824601</v>
      </c>
      <c r="J32" s="4899">
        <f>종합!K67/년간!E9*1000</f>
        <v>4.9008995558209846E-2</v>
      </c>
      <c r="K32" s="4894">
        <f>종합!L67/(년간!E9/10)*1000</f>
        <v>4.9008995558209853E-2</v>
      </c>
      <c r="L32" s="4907" t="e">
        <f>종합!M67/년간!F9*1000</f>
        <v>#DIV/0!</v>
      </c>
      <c r="M32" s="4907" t="e">
        <f>종합!N67/년간!G9*1000</f>
        <v>#DIV/0!</v>
      </c>
      <c r="N32" s="4907">
        <f>종합!O67/년간!H9*1000</f>
        <v>1.2433072576391211</v>
      </c>
      <c r="O32" s="4907" t="e">
        <f>종합!P67/년간!I9*1000</f>
        <v>#DIV/0!</v>
      </c>
      <c r="P32" s="4907" t="e">
        <f>종합!Q67/년간!J9*1000</f>
        <v>#DIV/0!</v>
      </c>
      <c r="Q32" s="4907" t="e">
        <f>종합!R67/년간!K9*1000</f>
        <v>#DIV/0!</v>
      </c>
      <c r="R32" s="4907" t="e">
        <f>종합!S67/년간!L9*1000</f>
        <v>#DIV/0!</v>
      </c>
      <c r="S32" s="4907" t="e">
        <f>종합!T67/년간!M9*1000</f>
        <v>#DIV/0!</v>
      </c>
      <c r="T32" s="4907" t="e">
        <f>종합!U67/년간!N9*1000</f>
        <v>#DIV/0!</v>
      </c>
      <c r="U32" s="4907" t="e">
        <f>종합!V67/년간!O9*1000</f>
        <v>#DIV/0!</v>
      </c>
      <c r="V32" s="4907" t="e">
        <f>종합!W67/년간!P9*1000</f>
        <v>#DIV/0!</v>
      </c>
      <c r="W32" s="4907" t="e">
        <f>종합!X67/년간!Q9*1000</f>
        <v>#DIV/0!</v>
      </c>
      <c r="X32" s="5030">
        <f>종합!Y67/년간!R9*1000</f>
        <v>0</v>
      </c>
      <c r="Y32" s="3904">
        <f>($I$31-J32)*년간!$C$213*년간!E9/1000</f>
        <v>18562360.651493065</v>
      </c>
      <c r="Z32" s="4716">
        <f>($I$31-K32)*년간!$C$213*(년간!E9/10)/1000</f>
        <v>1856236.0651493066</v>
      </c>
      <c r="AA32" s="4223">
        <f>Y32/년간!E9</f>
        <v>69.285807366253835</v>
      </c>
      <c r="AB32" s="4116" t="e">
        <f>($I$31-L32)*년간!$C$213*년간!F9/1000</f>
        <v>#DIV/0!</v>
      </c>
      <c r="AC32" s="4116" t="e">
        <f>($I$31-M32)*년간!$C$213*년간!G9/1000</f>
        <v>#DIV/0!</v>
      </c>
      <c r="AD32" s="4116">
        <f>($I$31-N32)*년간!$C$213*년간!H9/1000</f>
        <v>-11846748.750562176</v>
      </c>
      <c r="AE32" s="4116" t="e">
        <f>($I$31-O32)*년간!$C$213*년간!I9/1000</f>
        <v>#DIV/0!</v>
      </c>
      <c r="AF32" s="4116" t="e">
        <f>($I$31-P32)*년간!$C$213*년간!J9/1000</f>
        <v>#DIV/0!</v>
      </c>
      <c r="AG32" s="4116" t="e">
        <f>($I$31-Q32)*년간!$C$213*년간!K9/1000</f>
        <v>#DIV/0!</v>
      </c>
      <c r="AH32" s="4116" t="e">
        <f>($I$31-R32)*년간!$C$213*년간!L9/1000</f>
        <v>#DIV/0!</v>
      </c>
      <c r="AI32" s="4116" t="e">
        <f>($I$31-S32)*년간!$C$213*년간!M9/1000</f>
        <v>#DIV/0!</v>
      </c>
      <c r="AJ32" s="4116" t="e">
        <f>($I$31-T32)*년간!$C$213*년간!N9/1000</f>
        <v>#DIV/0!</v>
      </c>
      <c r="AK32" s="4116" t="e">
        <f>($I$31-U32)*년간!$C$213*년간!O9/1000</f>
        <v>#DIV/0!</v>
      </c>
      <c r="AL32" s="5266"/>
      <c r="AM32" s="5266"/>
      <c r="AN32" s="5283" t="e">
        <f>SUM(AB32:AM32)</f>
        <v>#DIV/0!</v>
      </c>
      <c r="AO32" s="5297">
        <f>AA32</f>
        <v>69.285807366253835</v>
      </c>
      <c r="AP32" s="5297" t="e">
        <f>AB32/년간!F9</f>
        <v>#DIV/0!</v>
      </c>
      <c r="AQ32" s="5297" t="e">
        <f>AC32/년간!G9</f>
        <v>#DIV/0!</v>
      </c>
      <c r="AR32" s="5297">
        <f>AD32/년간!H9</f>
        <v>-510.54241597924238</v>
      </c>
      <c r="AS32" s="5297" t="e">
        <f>AE32/년간!I9</f>
        <v>#DIV/0!</v>
      </c>
      <c r="AT32" s="5297" t="e">
        <f>AF32/년간!J9</f>
        <v>#DIV/0!</v>
      </c>
      <c r="AU32" s="5297" t="e">
        <f>AG32/년간!K9</f>
        <v>#DIV/0!</v>
      </c>
      <c r="AV32" s="5297" t="e">
        <f>AH32/년간!L9</f>
        <v>#DIV/0!</v>
      </c>
      <c r="AW32" s="5297" t="e">
        <f>AI32/년간!M9</f>
        <v>#DIV/0!</v>
      </c>
      <c r="AX32" s="5302" t="e">
        <f>AJ32/년간!N9</f>
        <v>#DIV/0!</v>
      </c>
      <c r="AY32" s="5556" t="e">
        <f>AK32/년간!O9</f>
        <v>#DIV/0!</v>
      </c>
      <c r="AZ32" s="4223"/>
      <c r="BA32" s="4346"/>
      <c r="BB32" s="4035" t="e">
        <f>AN32/년간!$V$8</f>
        <v>#DIV/0!</v>
      </c>
    </row>
    <row r="33" spans="2:54" ht="16.5">
      <c r="B33" s="7719"/>
      <c r="C33" s="2492" t="s">
        <v>29</v>
      </c>
      <c r="D33" s="2493" t="s">
        <v>317</v>
      </c>
      <c r="E33" s="2500"/>
      <c r="F33" s="2500"/>
      <c r="G33" s="2500"/>
      <c r="H33" s="4860">
        <f>종합!I68/년간!C10*1000</f>
        <v>1.0527617992342353</v>
      </c>
      <c r="I33" s="4860">
        <f>종합!J68/년간!D10*1000</f>
        <v>0.44009446244863637</v>
      </c>
      <c r="J33" s="6236">
        <f>종합!K68/년간!E10*1000</f>
        <v>0.55957621428038495</v>
      </c>
      <c r="K33" s="4895">
        <f>종합!L68/(년간!E10/10)*1000</f>
        <v>0.55957621428038495</v>
      </c>
      <c r="L33" s="4907" t="e">
        <f>종합!M68/년간!F10*1000</f>
        <v>#DIV/0!</v>
      </c>
      <c r="M33" s="4907" t="e">
        <f>종합!N68/년간!G10*1000</f>
        <v>#DIV/0!</v>
      </c>
      <c r="N33" s="4907">
        <f>종합!O68/년간!H10*1000</f>
        <v>1.0858803615342851</v>
      </c>
      <c r="O33" s="4907" t="e">
        <f>종합!P68/년간!I10*1000</f>
        <v>#DIV/0!</v>
      </c>
      <c r="P33" s="4907" t="e">
        <f>종합!Q68/년간!J10*1000</f>
        <v>#DIV/0!</v>
      </c>
      <c r="Q33" s="4907" t="e">
        <f>종합!R68/년간!K10*1000</f>
        <v>#DIV/0!</v>
      </c>
      <c r="R33" s="4907" t="e">
        <f>종합!S68/년간!L10*1000</f>
        <v>#DIV/0!</v>
      </c>
      <c r="S33" s="4907" t="e">
        <f>종합!T68/년간!M10*1000</f>
        <v>#DIV/0!</v>
      </c>
      <c r="T33" s="4907" t="e">
        <f>종합!U68/년간!N10*1000</f>
        <v>#DIV/0!</v>
      </c>
      <c r="U33" s="4907" t="e">
        <f>종합!V68/년간!O10*1000</f>
        <v>#DIV/0!</v>
      </c>
      <c r="V33" s="4907" t="e">
        <f>종합!W68/년간!P10*1000</f>
        <v>#DIV/0!</v>
      </c>
      <c r="W33" s="4907" t="e">
        <f>종합!X68/년간!Q10*1000</f>
        <v>#DIV/0!</v>
      </c>
      <c r="X33" s="5030">
        <f>종합!Y68/년간!R10*1000</f>
        <v>1.8060089171690286</v>
      </c>
      <c r="Y33" s="6072">
        <f>($I$33-J33)*년간!$C$215*년간!E10/1000</f>
        <v>-15549633.076431807</v>
      </c>
      <c r="Z33" s="4116">
        <f>($I$33-K33)*년간!$C$215*(년간!E10/10)/1000</f>
        <v>-1554963.3076431807</v>
      </c>
      <c r="AA33" s="5329">
        <f>Y33/년간!E10</f>
        <v>-58.008032069058444</v>
      </c>
      <c r="AB33" s="4116" t="e">
        <f>($I$33-L33)*년간!$C$215*년간!F10/1000</f>
        <v>#DIV/0!</v>
      </c>
      <c r="AC33" s="4116" t="e">
        <f>($I$33-M33)*년간!$C$215*년간!G10/1000</f>
        <v>#DIV/0!</v>
      </c>
      <c r="AD33" s="4116">
        <f>($I$33-N33)*년간!$C$215*년간!H10/1000</f>
        <v>-7166298.7110456405</v>
      </c>
      <c r="AE33" s="4116" t="e">
        <f>($I$33-O33)*년간!$C$215*년간!I10/1000</f>
        <v>#DIV/0!</v>
      </c>
      <c r="AF33" s="4116" t="e">
        <f>($I$33-P33)*년간!$C$215*년간!J10/1000</f>
        <v>#DIV/0!</v>
      </c>
      <c r="AG33" s="4116" t="e">
        <f>($I$33-Q33)*년간!$C$215*년간!K10/1000</f>
        <v>#DIV/0!</v>
      </c>
      <c r="AH33" s="4116" t="e">
        <f>($I$33-R33)*년간!$C$215*년간!L10/1000</f>
        <v>#DIV/0!</v>
      </c>
      <c r="AI33" s="4116" t="e">
        <f>($I$33-S33)*년간!$C$215*년간!M10/1000</f>
        <v>#DIV/0!</v>
      </c>
      <c r="AJ33" s="4116" t="e">
        <f>($I$33-T33)*년간!$C$215*년간!N10/1000</f>
        <v>#DIV/0!</v>
      </c>
      <c r="AK33" s="4116" t="e">
        <f>($I$33-U33)*년간!$C$215*년간!O10/1000</f>
        <v>#DIV/0!</v>
      </c>
      <c r="AL33" s="5266"/>
      <c r="AM33" s="5266"/>
      <c r="AN33" s="5283" t="e">
        <f t="shared" si="1"/>
        <v>#DIV/0!</v>
      </c>
      <c r="AO33" s="5297">
        <f t="shared" si="7"/>
        <v>-58.008032069058444</v>
      </c>
      <c r="AP33" s="5297" t="e">
        <f>AB33/년간!F10</f>
        <v>#DIV/0!</v>
      </c>
      <c r="AQ33" s="5297" t="e">
        <f>AC33/년간!G10</f>
        <v>#DIV/0!</v>
      </c>
      <c r="AR33" s="5297">
        <f>AD33/년간!H10</f>
        <v>-313.52711664838523</v>
      </c>
      <c r="AS33" s="5297" t="e">
        <f>AE33/년간!I10</f>
        <v>#DIV/0!</v>
      </c>
      <c r="AT33" s="5297" t="e">
        <f>AF33/년간!J10</f>
        <v>#DIV/0!</v>
      </c>
      <c r="AU33" s="5297" t="e">
        <f>AG33/년간!K10</f>
        <v>#DIV/0!</v>
      </c>
      <c r="AV33" s="5297" t="e">
        <f>AH33/년간!L10</f>
        <v>#DIV/0!</v>
      </c>
      <c r="AW33" s="5297" t="e">
        <f>AI33/년간!M10</f>
        <v>#DIV/0!</v>
      </c>
      <c r="AX33" s="5302" t="e">
        <f>AJ33/년간!N10</f>
        <v>#DIV/0!</v>
      </c>
      <c r="AY33" s="5556" t="e">
        <f>AK33/년간!O10</f>
        <v>#DIV/0!</v>
      </c>
      <c r="AZ33" s="4223"/>
      <c r="BA33" s="4346"/>
      <c r="BB33" s="4035" t="e">
        <f>AN33/년간!$V$10</f>
        <v>#DIV/0!</v>
      </c>
    </row>
    <row r="34" spans="2:54" ht="16.5">
      <c r="B34" s="7719"/>
      <c r="C34" s="2492" t="s">
        <v>501</v>
      </c>
      <c r="D34" s="2493" t="s">
        <v>317</v>
      </c>
      <c r="E34" s="2500"/>
      <c r="F34" s="2500"/>
      <c r="G34" s="2500"/>
      <c r="H34" s="4860">
        <f>종합!I69/년간!C11*1000</f>
        <v>0.53508472033932741</v>
      </c>
      <c r="I34" s="4860">
        <f>종합!J69/년간!D11*1000</f>
        <v>0.27723521838479376</v>
      </c>
      <c r="J34" s="6236">
        <f>종합!K69/년간!E11*1000</f>
        <v>0.26718073092161287</v>
      </c>
      <c r="K34" s="4895">
        <f>종합!L69/(년간!E11/12)*1000</f>
        <v>0.26718073092161287</v>
      </c>
      <c r="L34" s="4907">
        <f>종합!M69/년간!F11*1000</f>
        <v>0.68684474648415283</v>
      </c>
      <c r="M34" s="4907">
        <f>종합!N69/년간!G11*1000</f>
        <v>0</v>
      </c>
      <c r="N34" s="4907">
        <f>종합!O69/년간!H11*1000</f>
        <v>0</v>
      </c>
      <c r="O34" s="4907" t="e">
        <f>종합!P69/년간!I11*1000</f>
        <v>#DIV/0!</v>
      </c>
      <c r="P34" s="4907" t="e">
        <f>종합!Q69/년간!J11*1000</f>
        <v>#DIV/0!</v>
      </c>
      <c r="Q34" s="4907" t="e">
        <f>종합!R69/년간!K11*1000</f>
        <v>#DIV/0!</v>
      </c>
      <c r="R34" s="4907" t="e">
        <f>종합!S69/년간!L11*1000</f>
        <v>#DIV/0!</v>
      </c>
      <c r="S34" s="4907" t="e">
        <f>종합!T69/년간!M11*1000</f>
        <v>#DIV/0!</v>
      </c>
      <c r="T34" s="4907" t="e">
        <f>종합!U69/년간!N11*1000</f>
        <v>#DIV/0!</v>
      </c>
      <c r="U34" s="4907" t="e">
        <f>종합!V69/년간!O11*1000</f>
        <v>#DIV/0!</v>
      </c>
      <c r="V34" s="4907" t="e">
        <f>종합!W69/년간!P11*1000</f>
        <v>#DIV/0!</v>
      </c>
      <c r="W34" s="4907" t="e">
        <f>종합!X69/년간!Q11*1000</f>
        <v>#DIV/0!</v>
      </c>
      <c r="X34" s="5030">
        <f>종합!Y69/년간!R11*1000</f>
        <v>0.22787578843819228</v>
      </c>
      <c r="Y34" s="6072">
        <f>($I$34-J34)*년간!$C$216*년간!E11/1000</f>
        <v>1184482.1319506986</v>
      </c>
      <c r="Z34" s="4116">
        <f>($I$34-K34)*년간!$C$216*(년간!E11/12)/1000</f>
        <v>98706.844329224885</v>
      </c>
      <c r="AA34" s="5329">
        <f>Y34/년간!E11</f>
        <v>7.3097229850945959</v>
      </c>
      <c r="AB34" s="4116">
        <f>($I$34-L34)*년간!$C$216*년간!F11/1000</f>
        <v>-3693958.7920282157</v>
      </c>
      <c r="AC34" s="4116">
        <f>($I$34-M34)*년간!$C$216*년간!G11/1000</f>
        <v>2409191.864157639</v>
      </c>
      <c r="AD34" s="4116">
        <f>($I$34-N34)*년간!$C$216*년간!H11/1000</f>
        <v>2626457.9935501977</v>
      </c>
      <c r="AE34" s="4116" t="e">
        <f>($I$34-O34)*년간!$C$216*년간!I11/1000</f>
        <v>#DIV/0!</v>
      </c>
      <c r="AF34" s="4116" t="e">
        <f>($I$34-P34)*년간!$C$216*년간!J11/1000</f>
        <v>#DIV/0!</v>
      </c>
      <c r="AG34" s="4116" t="e">
        <f>($I$34-Q34)*년간!$C$216*년간!K11/1000</f>
        <v>#DIV/0!</v>
      </c>
      <c r="AH34" s="4116" t="e">
        <f>($I$34-R34)*년간!$C$216*년간!L11/1000</f>
        <v>#DIV/0!</v>
      </c>
      <c r="AI34" s="4116" t="e">
        <f>($I$34-S34)*년간!$C$216*년간!M11/1000</f>
        <v>#DIV/0!</v>
      </c>
      <c r="AJ34" s="4116" t="e">
        <f>($I$34-T34)*년간!$C$216*년간!N11/1000</f>
        <v>#DIV/0!</v>
      </c>
      <c r="AK34" s="4116" t="e">
        <f>($I$34-U34)*년간!$C$216*년간!O11/1000</f>
        <v>#DIV/0!</v>
      </c>
      <c r="AL34" s="5266"/>
      <c r="AM34" s="5266"/>
      <c r="AN34" s="5283" t="e">
        <f t="shared" si="1"/>
        <v>#DIV/0!</v>
      </c>
      <c r="AO34" s="5297">
        <f t="shared" si="7"/>
        <v>7.3097229850945959</v>
      </c>
      <c r="AP34" s="5297">
        <f>AB34/년간!F11</f>
        <v>-297.79063263304317</v>
      </c>
      <c r="AQ34" s="5297">
        <f>AC34/년간!G11</f>
        <v>201.55305335314731</v>
      </c>
      <c r="AR34" s="5297">
        <f>AD34/년간!H11</f>
        <v>201.55305335314728</v>
      </c>
      <c r="AS34" s="5297" t="e">
        <f>AE34/년간!I11</f>
        <v>#DIV/0!</v>
      </c>
      <c r="AT34" s="5297" t="e">
        <f>AF34/년간!J11</f>
        <v>#DIV/0!</v>
      </c>
      <c r="AU34" s="5297" t="e">
        <f>AG34/년간!K11</f>
        <v>#DIV/0!</v>
      </c>
      <c r="AV34" s="5297" t="e">
        <f>AH34/년간!L11</f>
        <v>#DIV/0!</v>
      </c>
      <c r="AW34" s="5297" t="e">
        <f>AI34/년간!M11</f>
        <v>#DIV/0!</v>
      </c>
      <c r="AX34" s="5302" t="e">
        <f>AJ34/년간!N11</f>
        <v>#DIV/0!</v>
      </c>
      <c r="AY34" s="5556" t="e">
        <f>AK34/년간!O11</f>
        <v>#DIV/0!</v>
      </c>
      <c r="AZ34" s="4223"/>
      <c r="BA34" s="4346"/>
      <c r="BB34" s="4035" t="e">
        <f>AN34/년간!$V$11</f>
        <v>#DIV/0!</v>
      </c>
    </row>
    <row r="35" spans="2:54" ht="17.25" thickBot="1">
      <c r="B35" s="7719"/>
      <c r="C35" s="2400" t="s">
        <v>488</v>
      </c>
      <c r="D35" s="1668" t="s">
        <v>317</v>
      </c>
      <c r="E35" s="2503"/>
      <c r="F35" s="2503"/>
      <c r="G35" s="2503"/>
      <c r="H35" s="4888">
        <f>종합!I70/년간!C12*1000</f>
        <v>4.0059482923309782</v>
      </c>
      <c r="I35" s="4888">
        <f>종합!J70/년간!D12*1000</f>
        <v>0.24344020863431806</v>
      </c>
      <c r="J35" s="4865">
        <f>종합!K70/년간!E12*1000</f>
        <v>0.19871758928538605</v>
      </c>
      <c r="K35" s="4896">
        <f>종합!L70/(년간!E12/12)*1000</f>
        <v>0.19871758928538605</v>
      </c>
      <c r="L35" s="4907">
        <f>종합!M70/년간!F12*1000</f>
        <v>0</v>
      </c>
      <c r="M35" s="4907">
        <f>종합!N70/년간!G12*1000</f>
        <v>0</v>
      </c>
      <c r="N35" s="4907">
        <f>종합!O70/년간!H12*1000</f>
        <v>0</v>
      </c>
      <c r="O35" s="4907" t="e">
        <f>종합!P70/년간!I12*1000</f>
        <v>#DIV/0!</v>
      </c>
      <c r="P35" s="4907" t="e">
        <f>종합!Q70/년간!J12*1000</f>
        <v>#DIV/0!</v>
      </c>
      <c r="Q35" s="4907" t="e">
        <f>종합!R70/년간!K12*1000</f>
        <v>#DIV/0!</v>
      </c>
      <c r="R35" s="4907" t="e">
        <f>종합!S70/년간!L12*1000</f>
        <v>#DIV/0!</v>
      </c>
      <c r="S35" s="4907" t="e">
        <f>종합!T70/년간!M12*1000</f>
        <v>#DIV/0!</v>
      </c>
      <c r="T35" s="4907" t="e">
        <f>종합!U70/년간!N12*1000</f>
        <v>#DIV/0!</v>
      </c>
      <c r="U35" s="4907" t="e">
        <f>종합!V70/년간!O12*1000</f>
        <v>#DIV/0!</v>
      </c>
      <c r="V35" s="4907" t="e">
        <f>종합!W70/년간!P12*1000</f>
        <v>#DIV/0!</v>
      </c>
      <c r="W35" s="4907" t="e">
        <f>종합!X70/년간!Q12*1000</f>
        <v>#DIV/0!</v>
      </c>
      <c r="X35" s="5030">
        <f>종합!Y70/년간!R12*1000</f>
        <v>0</v>
      </c>
      <c r="Y35" s="6072">
        <f>($I$35-J35)*년간!$C$217*년간!E12/1000</f>
        <v>3292970.0675980863</v>
      </c>
      <c r="Z35" s="4116">
        <f>($I$35-K35)*년간!$C$217*(년간!E12/12)/1000</f>
        <v>274414.17229984049</v>
      </c>
      <c r="AA35" s="5329">
        <f>Y35/년간!E12</f>
        <v>54.530922785168869</v>
      </c>
      <c r="AB35" s="4116">
        <f>($I$35/12-L35)*년간!$C$217*년간!F12/1000</f>
        <v>122049.60783186975</v>
      </c>
      <c r="AC35" s="4116">
        <f>($I$35/12-M35)*년간!$C$217*년간!G12/1000</f>
        <v>117862.57202453216</v>
      </c>
      <c r="AD35" s="4116">
        <f>($I$35/12-N35)*년간!$C$217*년간!H12/1000</f>
        <v>137159.74366970427</v>
      </c>
      <c r="AE35" s="4116" t="e">
        <f>($I$35/12-O35)*년간!$C$217*년간!I12/1000</f>
        <v>#DIV/0!</v>
      </c>
      <c r="AF35" s="4116" t="e">
        <f>($I$35/12-P35)*년간!$C$217*년간!J12/1000</f>
        <v>#DIV/0!</v>
      </c>
      <c r="AG35" s="4116" t="e">
        <f>($I$35/12-Q35)*년간!$C$217*년간!K12/1000</f>
        <v>#DIV/0!</v>
      </c>
      <c r="AH35" s="4116" t="e">
        <f>($I$35/12-R35)*년간!$C$217*년간!L12/1000</f>
        <v>#DIV/0!</v>
      </c>
      <c r="AI35" s="4116" t="e">
        <f>($I$35/12-S35)*년간!$C$217*년간!M12/1000</f>
        <v>#DIV/0!</v>
      </c>
      <c r="AJ35" s="4116" t="e">
        <f>($I$35/12-T35)*년간!$C$217*년간!N12/1000</f>
        <v>#DIV/0!</v>
      </c>
      <c r="AK35" s="4116" t="e">
        <f>($I$35/12-U35)*년간!$C$217*년간!O12/1000</f>
        <v>#DIV/0!</v>
      </c>
      <c r="AL35" s="5266"/>
      <c r="AM35" s="5266"/>
      <c r="AN35" s="5283" t="e">
        <f t="shared" si="1"/>
        <v>#DIV/0!</v>
      </c>
      <c r="AO35" s="5297">
        <f t="shared" si="7"/>
        <v>54.530922785168869</v>
      </c>
      <c r="AP35" s="5297">
        <f>AB35/년간!F12</f>
        <v>24.73584100748862</v>
      </c>
      <c r="AQ35" s="5297">
        <f>AC35/년간!G12</f>
        <v>24.73584100748862</v>
      </c>
      <c r="AR35" s="5297">
        <f>AD35/년간!H12</f>
        <v>24.735841007488624</v>
      </c>
      <c r="AS35" s="5297" t="e">
        <f>AE35/년간!I12</f>
        <v>#DIV/0!</v>
      </c>
      <c r="AT35" s="5297" t="e">
        <f>AF35/년간!J12</f>
        <v>#DIV/0!</v>
      </c>
      <c r="AU35" s="5297" t="e">
        <f>AG35/년간!K12</f>
        <v>#DIV/0!</v>
      </c>
      <c r="AV35" s="5297" t="e">
        <f>AH35/년간!L12</f>
        <v>#DIV/0!</v>
      </c>
      <c r="AW35" s="5297" t="e">
        <f>AI35/년간!M12</f>
        <v>#DIV/0!</v>
      </c>
      <c r="AX35" s="5302" t="e">
        <f>AJ35/년간!N12</f>
        <v>#DIV/0!</v>
      </c>
      <c r="AY35" s="5556" t="e">
        <f>AK35/년간!O12</f>
        <v>#DIV/0!</v>
      </c>
      <c r="AZ35" s="4223"/>
      <c r="BA35" s="4346"/>
      <c r="BB35" s="4035" t="e">
        <f>AN35/년간!$V$12</f>
        <v>#DIV/0!</v>
      </c>
    </row>
    <row r="36" spans="2:54" ht="16.5">
      <c r="B36" s="7747"/>
      <c r="C36" s="2567" t="s">
        <v>16</v>
      </c>
      <c r="D36" s="2325" t="s">
        <v>317</v>
      </c>
      <c r="E36" s="1930"/>
      <c r="F36" s="1930"/>
      <c r="G36" s="1930"/>
      <c r="H36" s="2054">
        <f>SUM(H31:H35)</f>
        <v>5.6754082503230467</v>
      </c>
      <c r="I36" s="2054">
        <f>SUM(I31:I35)</f>
        <v>1.3376208577111905</v>
      </c>
      <c r="J36" s="4913">
        <f>SUM(J31:J35)</f>
        <v>1.1523833508760057</v>
      </c>
      <c r="K36" s="4913">
        <f>SUM(K31:K35)</f>
        <v>1.1523833508760057</v>
      </c>
      <c r="L36" s="4914" t="e">
        <f t="shared" ref="L36:Q36" si="24">SUM(L31:L35)</f>
        <v>#DIV/0!</v>
      </c>
      <c r="M36" s="4914" t="e">
        <f t="shared" si="24"/>
        <v>#DIV/0!</v>
      </c>
      <c r="N36" s="4914">
        <f t="shared" si="24"/>
        <v>2.329187619173406</v>
      </c>
      <c r="O36" s="4914" t="e">
        <f t="shared" si="24"/>
        <v>#DIV/0!</v>
      </c>
      <c r="P36" s="4914" t="e">
        <f t="shared" si="24"/>
        <v>#DIV/0!</v>
      </c>
      <c r="Q36" s="4914" t="e">
        <f t="shared" si="24"/>
        <v>#DIV/0!</v>
      </c>
      <c r="R36" s="4914" t="e">
        <f t="shared" ref="R36:X36" si="25">SUM(R31:R35)</f>
        <v>#DIV/0!</v>
      </c>
      <c r="S36" s="4914" t="e">
        <f t="shared" si="25"/>
        <v>#DIV/0!</v>
      </c>
      <c r="T36" s="4914" t="e">
        <f t="shared" si="25"/>
        <v>#DIV/0!</v>
      </c>
      <c r="U36" s="4914" t="e">
        <f t="shared" si="25"/>
        <v>#DIV/0!</v>
      </c>
      <c r="V36" s="4914" t="e">
        <f t="shared" si="25"/>
        <v>#DIV/0!</v>
      </c>
      <c r="W36" s="4914" t="e">
        <f t="shared" si="25"/>
        <v>#DIV/0!</v>
      </c>
      <c r="X36" s="4914">
        <f t="shared" si="25"/>
        <v>2.0338847056072207</v>
      </c>
      <c r="Y36" s="3208">
        <f t="shared" ref="Y36:AF36" si="26">SUM(Y31:Y35)</f>
        <v>23096207.505614124</v>
      </c>
      <c r="Z36" s="4717">
        <f t="shared" si="26"/>
        <v>2234996.5472355988</v>
      </c>
      <c r="AA36" s="4215">
        <f>Y36/(년간!E8+년간!E10+년간!E11+년간!E12)</f>
        <v>29.882406136136694</v>
      </c>
      <c r="AB36" s="4117" t="e">
        <f t="shared" si="26"/>
        <v>#DIV/0!</v>
      </c>
      <c r="AC36" s="4117" t="e">
        <f t="shared" si="26"/>
        <v>#DIV/0!</v>
      </c>
      <c r="AD36" s="4117">
        <f t="shared" si="26"/>
        <v>-13682099.022298211</v>
      </c>
      <c r="AE36" s="4117" t="e">
        <f t="shared" si="26"/>
        <v>#DIV/0!</v>
      </c>
      <c r="AF36" s="4117" t="e">
        <f t="shared" si="26"/>
        <v>#DIV/0!</v>
      </c>
      <c r="AG36" s="4117" t="e">
        <f>SUM(AG31:AG35)</f>
        <v>#DIV/0!</v>
      </c>
      <c r="AH36" s="4117" t="e">
        <f>SUM(AH31:AH35)</f>
        <v>#DIV/0!</v>
      </c>
      <c r="AI36" s="4117" t="e">
        <f>SUM(AI31:AI35)</f>
        <v>#DIV/0!</v>
      </c>
      <c r="AJ36" s="4117" t="e">
        <f>SUM(AJ31:AJ35)</f>
        <v>#DIV/0!</v>
      </c>
      <c r="AK36" s="4117" t="e">
        <f>SUM(AK31:AK35)</f>
        <v>#DIV/0!</v>
      </c>
      <c r="AL36" s="5267"/>
      <c r="AM36" s="5267"/>
      <c r="AN36" s="5284" t="e">
        <f t="shared" si="1"/>
        <v>#DIV/0!</v>
      </c>
      <c r="AO36" s="5294">
        <f t="shared" si="7"/>
        <v>29.882406136136694</v>
      </c>
      <c r="AP36" s="5294" t="e">
        <f>AB36/(년간!F8+년간!F10+년간!F11+년간!F12)</f>
        <v>#DIV/0!</v>
      </c>
      <c r="AQ36" s="5294" t="e">
        <f>AC36/(년간!G8+년간!G10+년간!G11+년간!G12)</f>
        <v>#DIV/0!</v>
      </c>
      <c r="AR36" s="5294">
        <f>AD36/(년간!H8+년간!H10+년간!H11+년간!H12)</f>
        <v>-198.24753206354904</v>
      </c>
      <c r="AS36" s="5294" t="e">
        <f>AE36/(년간!I8+년간!I10+년간!I11+년간!I12)</f>
        <v>#DIV/0!</v>
      </c>
      <c r="AT36" s="5294" t="e">
        <f>AF36/(년간!J8+년간!J10+년간!J11+년간!J12)</f>
        <v>#DIV/0!</v>
      </c>
      <c r="AU36" s="5294" t="e">
        <f>AG36/(년간!K8+년간!K10+년간!K11+년간!K12)</f>
        <v>#DIV/0!</v>
      </c>
      <c r="AV36" s="5294" t="e">
        <f>AH36/(년간!L8+년간!L10+년간!L11+년간!L12)</f>
        <v>#DIV/0!</v>
      </c>
      <c r="AW36" s="5294" t="e">
        <f>AI36/(년간!M8+년간!M10+년간!M11+년간!M12)</f>
        <v>#DIV/0!</v>
      </c>
      <c r="AX36" s="5312" t="e">
        <f>AJ36/(년간!N8+년간!N10+년간!N11+년간!N12)</f>
        <v>#DIV/0!</v>
      </c>
      <c r="AY36" s="5554" t="e">
        <f>AK36/(년간!O8+년간!O10+년간!O11+년간!O12)</f>
        <v>#DIV/0!</v>
      </c>
      <c r="AZ36" s="4215"/>
      <c r="BA36" s="5332"/>
      <c r="BB36" s="5338" t="e">
        <f>AN36/년간!$V$13</f>
        <v>#DIV/0!</v>
      </c>
    </row>
    <row r="37" spans="2:54" ht="17.25" thickBot="1">
      <c r="B37" s="7720"/>
      <c r="C37" s="2252" t="s">
        <v>489</v>
      </c>
      <c r="D37" s="2129" t="s">
        <v>317</v>
      </c>
      <c r="E37" s="2250"/>
      <c r="F37" s="2250"/>
      <c r="G37" s="2250"/>
      <c r="H37" s="2132">
        <f>H36</f>
        <v>5.6754082503230467</v>
      </c>
      <c r="I37" s="2132">
        <f>I36</f>
        <v>1.3376208577111905</v>
      </c>
      <c r="J37" s="2132">
        <f t="shared" ref="J37:AV37" si="27">J36</f>
        <v>1.1523833508760057</v>
      </c>
      <c r="K37" s="2132">
        <f t="shared" si="27"/>
        <v>1.1523833508760057</v>
      </c>
      <c r="L37" s="2132" t="e">
        <f t="shared" si="27"/>
        <v>#DIV/0!</v>
      </c>
      <c r="M37" s="2132" t="e">
        <f t="shared" si="27"/>
        <v>#DIV/0!</v>
      </c>
      <c r="N37" s="2132">
        <f t="shared" si="27"/>
        <v>2.329187619173406</v>
      </c>
      <c r="O37" s="2132" t="e">
        <f t="shared" si="27"/>
        <v>#DIV/0!</v>
      </c>
      <c r="P37" s="2132" t="e">
        <f t="shared" si="27"/>
        <v>#DIV/0!</v>
      </c>
      <c r="Q37" s="2132" t="e">
        <f t="shared" si="27"/>
        <v>#DIV/0!</v>
      </c>
      <c r="R37" s="2132" t="e">
        <f t="shared" si="27"/>
        <v>#DIV/0!</v>
      </c>
      <c r="S37" s="2132" t="e">
        <f t="shared" ref="S37:X37" si="28">S36</f>
        <v>#DIV/0!</v>
      </c>
      <c r="T37" s="2132" t="e">
        <f t="shared" si="28"/>
        <v>#DIV/0!</v>
      </c>
      <c r="U37" s="2132" t="e">
        <f t="shared" si="28"/>
        <v>#DIV/0!</v>
      </c>
      <c r="V37" s="2132" t="e">
        <f t="shared" si="28"/>
        <v>#DIV/0!</v>
      </c>
      <c r="W37" s="2132" t="e">
        <f t="shared" si="28"/>
        <v>#DIV/0!</v>
      </c>
      <c r="X37" s="2132">
        <f t="shared" si="28"/>
        <v>2.0338847056072207</v>
      </c>
      <c r="Y37" s="2608">
        <f t="shared" si="27"/>
        <v>23096207.505614124</v>
      </c>
      <c r="Z37" s="2608">
        <f t="shared" si="27"/>
        <v>2234996.5472355988</v>
      </c>
      <c r="AA37" s="2608">
        <f t="shared" si="27"/>
        <v>29.882406136136694</v>
      </c>
      <c r="AB37" s="2608" t="e">
        <f t="shared" si="27"/>
        <v>#DIV/0!</v>
      </c>
      <c r="AC37" s="2608" t="e">
        <f t="shared" si="27"/>
        <v>#DIV/0!</v>
      </c>
      <c r="AD37" s="2608">
        <f t="shared" si="27"/>
        <v>-13682099.022298211</v>
      </c>
      <c r="AE37" s="2608" t="e">
        <f t="shared" si="27"/>
        <v>#DIV/0!</v>
      </c>
      <c r="AF37" s="2608" t="e">
        <f t="shared" si="27"/>
        <v>#DIV/0!</v>
      </c>
      <c r="AG37" s="2608" t="e">
        <f t="shared" si="27"/>
        <v>#DIV/0!</v>
      </c>
      <c r="AH37" s="2608" t="e">
        <f t="shared" si="27"/>
        <v>#DIV/0!</v>
      </c>
      <c r="AI37" s="5021" t="e">
        <f>AI36</f>
        <v>#DIV/0!</v>
      </c>
      <c r="AJ37" s="5021" t="e">
        <f>AJ36</f>
        <v>#DIV/0!</v>
      </c>
      <c r="AK37" s="5021" t="e">
        <f>AK36</f>
        <v>#DIV/0!</v>
      </c>
      <c r="AL37" s="2608">
        <f t="shared" si="27"/>
        <v>0</v>
      </c>
      <c r="AM37" s="2608">
        <f t="shared" si="27"/>
        <v>0</v>
      </c>
      <c r="AN37" s="5284" t="e">
        <f t="shared" si="1"/>
        <v>#DIV/0!</v>
      </c>
      <c r="AO37" s="5295">
        <f t="shared" si="7"/>
        <v>29.882406136136694</v>
      </c>
      <c r="AP37" s="5296" t="e">
        <f t="shared" si="27"/>
        <v>#DIV/0!</v>
      </c>
      <c r="AQ37" s="5296" t="e">
        <f t="shared" si="27"/>
        <v>#DIV/0!</v>
      </c>
      <c r="AR37" s="5296">
        <f t="shared" si="27"/>
        <v>-198.24753206354904</v>
      </c>
      <c r="AS37" s="5296" t="e">
        <f t="shared" si="27"/>
        <v>#DIV/0!</v>
      </c>
      <c r="AT37" s="5296" t="e">
        <f t="shared" si="27"/>
        <v>#DIV/0!</v>
      </c>
      <c r="AU37" s="5296" t="e">
        <f t="shared" si="27"/>
        <v>#DIV/0!</v>
      </c>
      <c r="AV37" s="5296" t="e">
        <f t="shared" si="27"/>
        <v>#DIV/0!</v>
      </c>
      <c r="AW37" s="5296" t="e">
        <f>AW36</f>
        <v>#DIV/0!</v>
      </c>
      <c r="AX37" s="5296" t="e">
        <f>AX36</f>
        <v>#DIV/0!</v>
      </c>
      <c r="AY37" s="5555" t="e">
        <f>AY36</f>
        <v>#DIV/0!</v>
      </c>
      <c r="AZ37" s="4222"/>
      <c r="BA37" s="5333"/>
      <c r="BB37" s="5338" t="e">
        <f>AN37/년간!$V$13</f>
        <v>#DIV/0!</v>
      </c>
    </row>
    <row r="38" spans="2:54" ht="16.5">
      <c r="B38" s="7718" t="s">
        <v>1221</v>
      </c>
      <c r="C38" s="7751"/>
      <c r="D38" s="7751"/>
      <c r="E38" s="1942">
        <f t="shared" ref="E38:H39" si="29">E7+E15+E22+E29+E36</f>
        <v>1219.1841468321124</v>
      </c>
      <c r="F38" s="1942">
        <f t="shared" si="29"/>
        <v>650.07286202549881</v>
      </c>
      <c r="G38" s="1942">
        <f t="shared" si="29"/>
        <v>528.85712376459992</v>
      </c>
      <c r="H38" s="2818">
        <f t="shared" si="29"/>
        <v>624.47823387399649</v>
      </c>
      <c r="I38" s="2818">
        <f>I7+I15+I22+I29+I36</f>
        <v>357.5467071507382</v>
      </c>
      <c r="J38" s="3893">
        <f t="shared" ref="J38:P39" si="30">J7+J15+J22+J29+J36</f>
        <v>257.0108619828012</v>
      </c>
      <c r="K38" s="3893">
        <f t="shared" si="30"/>
        <v>54.972028649467859</v>
      </c>
      <c r="L38" s="3893" t="e">
        <f t="shared" si="30"/>
        <v>#DIV/0!</v>
      </c>
      <c r="M38" s="3927" t="e">
        <f t="shared" si="30"/>
        <v>#DIV/0!</v>
      </c>
      <c r="N38" s="3927">
        <f t="shared" si="30"/>
        <v>53.572175182392783</v>
      </c>
      <c r="O38" s="3927" t="e">
        <f t="shared" si="30"/>
        <v>#DIV/0!</v>
      </c>
      <c r="P38" s="3927" t="e">
        <f t="shared" si="30"/>
        <v>#DIV/0!</v>
      </c>
      <c r="Q38" s="3927" t="e">
        <f>Q7+Q15+Q22+Q29+Q36</f>
        <v>#DIV/0!</v>
      </c>
      <c r="R38" s="3927" t="e">
        <f>R7+R15+R22+R29+R36</f>
        <v>#DIV/0!</v>
      </c>
      <c r="S38" s="3927" t="e">
        <f t="shared" ref="S38:X38" si="31">S7+S15+S22+S29+S36</f>
        <v>#DIV/0!</v>
      </c>
      <c r="T38" s="3927" t="e">
        <f t="shared" si="31"/>
        <v>#DIV/0!</v>
      </c>
      <c r="U38" s="3927" t="e">
        <f t="shared" si="31"/>
        <v>#DIV/0!</v>
      </c>
      <c r="V38" s="3927" t="e">
        <f t="shared" si="31"/>
        <v>#DIV/0!</v>
      </c>
      <c r="W38" s="3927" t="e">
        <f t="shared" si="31"/>
        <v>#DIV/0!</v>
      </c>
      <c r="X38" s="3927">
        <f t="shared" si="31"/>
        <v>74.201015947147653</v>
      </c>
      <c r="Y38" s="3209">
        <f>Y15+Y22+Y29+Y36</f>
        <v>576876242.66754436</v>
      </c>
      <c r="Z38" s="1942">
        <f>Z15+Z22+Z29+Z36</f>
        <v>54888823.744470641</v>
      </c>
      <c r="AA38" s="4215">
        <f>Y38/(년간!E8+년간!E10+년간!E10+년간!E11+년간!E12)</f>
        <v>554.17543996030952</v>
      </c>
      <c r="AB38" s="4118" t="e">
        <f t="shared" ref="AB38:AG38" si="32">AB15+AB22+AB29+AB36</f>
        <v>#DIV/0!</v>
      </c>
      <c r="AC38" s="4118" t="e">
        <f t="shared" si="32"/>
        <v>#DIV/0!</v>
      </c>
      <c r="AD38" s="4118">
        <f t="shared" si="32"/>
        <v>-12015880.130939927</v>
      </c>
      <c r="AE38" s="4118" t="e">
        <f t="shared" si="32"/>
        <v>#DIV/0!</v>
      </c>
      <c r="AF38" s="4118" t="e">
        <f t="shared" si="32"/>
        <v>#DIV/0!</v>
      </c>
      <c r="AG38" s="4118" t="e">
        <f t="shared" si="32"/>
        <v>#DIV/0!</v>
      </c>
      <c r="AH38" s="4118" t="e">
        <f>AH15+AH22+AH29+AH36</f>
        <v>#DIV/0!</v>
      </c>
      <c r="AI38" s="4118" t="e">
        <f>AI15+AI22+AI29+AI36</f>
        <v>#DIV/0!</v>
      </c>
      <c r="AJ38" s="4118" t="e">
        <f>AJ15+AJ22+AJ29+AJ36</f>
        <v>#DIV/0!</v>
      </c>
      <c r="AK38" s="4118" t="e">
        <f>AK15+AK22+AK29+AK36</f>
        <v>#DIV/0!</v>
      </c>
      <c r="AL38" s="2818"/>
      <c r="AM38" s="2818"/>
      <c r="AN38" s="5284" t="e">
        <f t="shared" si="1"/>
        <v>#DIV/0!</v>
      </c>
      <c r="AO38" s="5294">
        <f t="shared" si="7"/>
        <v>554.17543996030952</v>
      </c>
      <c r="AP38" s="5294" t="e">
        <f>AB38/년간!F13</f>
        <v>#DIV/0!</v>
      </c>
      <c r="AQ38" s="5294" t="e">
        <f>AC38/년간!G13</f>
        <v>#DIV/0!</v>
      </c>
      <c r="AR38" s="5294">
        <f>AD38/년간!H13</f>
        <v>-130.29656460766827</v>
      </c>
      <c r="AS38" s="5294" t="e">
        <f>AE38/년간!I13</f>
        <v>#DIV/0!</v>
      </c>
      <c r="AT38" s="5294" t="e">
        <f>AF38/년간!J13</f>
        <v>#DIV/0!</v>
      </c>
      <c r="AU38" s="5294" t="e">
        <f>AG38/년간!K13</f>
        <v>#DIV/0!</v>
      </c>
      <c r="AV38" s="5294" t="e">
        <f>AH38/년간!L13</f>
        <v>#DIV/0!</v>
      </c>
      <c r="AW38" s="5294" t="e">
        <f>AI38/년간!M13</f>
        <v>#DIV/0!</v>
      </c>
      <c r="AX38" s="5312" t="e">
        <f>AJ38/년간!N13</f>
        <v>#DIV/0!</v>
      </c>
      <c r="AY38" s="5554" t="e">
        <f>AK38/년간!O13</f>
        <v>#DIV/0!</v>
      </c>
      <c r="AZ38" s="4215"/>
      <c r="BA38" s="5332"/>
      <c r="BB38" s="5338" t="e">
        <f>AN38/년간!$V$13</f>
        <v>#DIV/0!</v>
      </c>
    </row>
    <row r="39" spans="2:54" ht="17.25" thickBot="1">
      <c r="B39" s="7752" t="s">
        <v>1220</v>
      </c>
      <c r="C39" s="7753"/>
      <c r="D39" s="7753"/>
      <c r="E39" s="1925">
        <f t="shared" si="29"/>
        <v>162.26748016544568</v>
      </c>
      <c r="F39" s="1925">
        <f t="shared" si="29"/>
        <v>95.489528692165578</v>
      </c>
      <c r="G39" s="1925">
        <f t="shared" si="29"/>
        <v>77.857123764599947</v>
      </c>
      <c r="H39" s="3204">
        <f t="shared" si="29"/>
        <v>95.671567207329787</v>
      </c>
      <c r="I39" s="3204">
        <f>I8+I16+I23+I30+I37</f>
        <v>65.196040484071531</v>
      </c>
      <c r="J39" s="3892">
        <f t="shared" si="30"/>
        <v>52.405361982801189</v>
      </c>
      <c r="K39" s="3892">
        <f t="shared" si="30"/>
        <v>35.764784822307369</v>
      </c>
      <c r="L39" s="3892" t="e">
        <f t="shared" si="30"/>
        <v>#DIV/0!</v>
      </c>
      <c r="M39" s="3926" t="e">
        <f t="shared" si="30"/>
        <v>#DIV/0!</v>
      </c>
      <c r="N39" s="3926">
        <f t="shared" si="30"/>
        <v>39.941341849059448</v>
      </c>
      <c r="O39" s="3926" t="e">
        <f t="shared" si="30"/>
        <v>#DIV/0!</v>
      </c>
      <c r="P39" s="3926" t="e">
        <f t="shared" si="30"/>
        <v>#DIV/0!</v>
      </c>
      <c r="Q39" s="3926" t="e">
        <f>Q8+Q16+Q23+Q30+Q37</f>
        <v>#DIV/0!</v>
      </c>
      <c r="R39" s="3926" t="e">
        <f>R8+R16+R23+R30+R37</f>
        <v>#DIV/0!</v>
      </c>
      <c r="S39" s="3926" t="e">
        <f t="shared" ref="S39:X39" si="33">S8+S16+S23+S30+S37</f>
        <v>#DIV/0!</v>
      </c>
      <c r="T39" s="3926" t="e">
        <f t="shared" si="33"/>
        <v>#DIV/0!</v>
      </c>
      <c r="U39" s="3926" t="e">
        <f t="shared" si="33"/>
        <v>#DIV/0!</v>
      </c>
      <c r="V39" s="3926" t="e">
        <f t="shared" si="33"/>
        <v>#DIV/0!</v>
      </c>
      <c r="W39" s="3926" t="e">
        <f t="shared" si="33"/>
        <v>#DIV/0!</v>
      </c>
      <c r="X39" s="3926">
        <f t="shared" si="33"/>
        <v>45.931015947147664</v>
      </c>
      <c r="Y39" s="3210">
        <f>Y8+Y16+Y23+Y30+Y37</f>
        <v>576876242.66754436</v>
      </c>
      <c r="Z39" s="4718">
        <f>Z8+Z16+Z23+Z30+Z37</f>
        <v>54888823.744470641</v>
      </c>
      <c r="AA39" s="4220"/>
      <c r="AB39" s="3980"/>
      <c r="AC39" s="3980"/>
      <c r="AD39" s="3980"/>
      <c r="AE39" s="3980"/>
      <c r="AF39" s="3980"/>
      <c r="AG39" s="3980"/>
      <c r="AH39" s="3980"/>
      <c r="AI39" s="3980"/>
      <c r="AJ39" s="3980"/>
      <c r="AK39" s="3980"/>
      <c r="AL39" s="3204"/>
      <c r="AM39" s="3204"/>
      <c r="AN39" s="5284"/>
      <c r="AO39" s="4105">
        <f t="shared" si="7"/>
        <v>0</v>
      </c>
      <c r="AP39" s="4105"/>
      <c r="AQ39" s="4105"/>
      <c r="AR39" s="4105"/>
      <c r="AS39" s="4105"/>
      <c r="AT39" s="4105"/>
      <c r="AU39" s="4105"/>
      <c r="AV39" s="4105"/>
      <c r="AW39" s="4105"/>
      <c r="AX39" s="4105"/>
      <c r="AY39" s="5558"/>
      <c r="AZ39" s="4222"/>
      <c r="BA39" s="5333"/>
      <c r="BB39" s="5339"/>
    </row>
    <row r="40" spans="2:54" s="286" customFormat="1" ht="16.5">
      <c r="B40" s="7718" t="s">
        <v>1395</v>
      </c>
      <c r="C40" s="2917" t="s">
        <v>1396</v>
      </c>
      <c r="D40" s="1154" t="s">
        <v>1073</v>
      </c>
      <c r="E40" s="2918">
        <f>CPL!H19</f>
        <v>6867</v>
      </c>
      <c r="F40" s="2918">
        <f>CPL!I19</f>
        <v>1908</v>
      </c>
      <c r="G40" s="2918">
        <f>CPL!J19</f>
        <v>1070.9100000000001</v>
      </c>
      <c r="H40" s="3205">
        <f>CPL!K19</f>
        <v>2761.3699999999994</v>
      </c>
      <c r="I40" s="3205">
        <f>CPL!L19</f>
        <v>4115.1500000000005</v>
      </c>
      <c r="J40" s="6162">
        <f>CPL!M19</f>
        <v>1500</v>
      </c>
      <c r="K40" s="6162">
        <f>CPL!N19</f>
        <v>150</v>
      </c>
      <c r="L40" s="4189">
        <f>CPL!O19</f>
        <v>0</v>
      </c>
      <c r="M40" s="2777">
        <f>CPL!P19</f>
        <v>0</v>
      </c>
      <c r="N40" s="2777">
        <f>CPL!Q19</f>
        <v>11.42</v>
      </c>
      <c r="O40" s="2777">
        <f>CPL!R19</f>
        <v>0</v>
      </c>
      <c r="P40" s="2777">
        <f>CPL!S19</f>
        <v>0</v>
      </c>
      <c r="Q40" s="2777">
        <f>CPL!T19</f>
        <v>0</v>
      </c>
      <c r="R40" s="2777">
        <f>CPL!U19</f>
        <v>0</v>
      </c>
      <c r="S40" s="2777">
        <f>CPL!V19</f>
        <v>0</v>
      </c>
      <c r="T40" s="2777">
        <f>CPL!W19</f>
        <v>0</v>
      </c>
      <c r="U40" s="2777">
        <f>CPL!X19</f>
        <v>0</v>
      </c>
      <c r="V40" s="2777">
        <f>CPL!Y19</f>
        <v>0</v>
      </c>
      <c r="W40" s="2777">
        <f>CPL!Z19</f>
        <v>0</v>
      </c>
      <c r="X40" s="5031">
        <f>CPL!AA19</f>
        <v>11.42</v>
      </c>
      <c r="Y40" s="6073">
        <f>($I$40-J40)*년간!$E$213/60</f>
        <v>48726041.415833347</v>
      </c>
      <c r="Z40" s="3984">
        <f>($I$40/10-K40)*년간!$E$213/60</f>
        <v>4872604.1415833347</v>
      </c>
      <c r="AA40" s="6074">
        <f>Y40/년간!E8</f>
        <v>172.53408618493893</v>
      </c>
      <c r="AB40" s="3984">
        <f>($I$40/12-L40)*년간!$E$213/60</f>
        <v>6389530.5346527789</v>
      </c>
      <c r="AC40" s="3984">
        <f>($I$40/12-M40)*년간!$E$213/60</f>
        <v>6389530.5346527789</v>
      </c>
      <c r="AD40" s="3984">
        <f>($I$40/12-N40)*년간!$E$213/60</f>
        <v>6176750.6203194447</v>
      </c>
      <c r="AE40" s="3984">
        <f>($I$40/12-O40)*년간!$E$213/60</f>
        <v>6389530.5346527789</v>
      </c>
      <c r="AF40" s="3984">
        <f>($I$40/12-P40)*년간!$E$213/60</f>
        <v>6389530.5346527789</v>
      </c>
      <c r="AG40" s="3984">
        <f>($I$40/12-Q40)*년간!$E$213/60</f>
        <v>6389530.5346527789</v>
      </c>
      <c r="AH40" s="3984">
        <f>($I$40/12-R40)*년간!$E$213/60</f>
        <v>6389530.5346527789</v>
      </c>
      <c r="AI40" s="3984">
        <f>($I$40/12-S40)*년간!$E$213/60</f>
        <v>6389530.5346527789</v>
      </c>
      <c r="AJ40" s="3984">
        <f>($I$40/12-T40)*년간!$E$213/60</f>
        <v>6389530.5346527789</v>
      </c>
      <c r="AK40" s="3984">
        <f>($I$40/12-U40)*년간!$E$213/60</f>
        <v>6389530.5346527789</v>
      </c>
      <c r="AL40" s="3205"/>
      <c r="AM40" s="3205"/>
      <c r="AN40" s="5283">
        <f t="shared" si="1"/>
        <v>63682525.432194442</v>
      </c>
      <c r="AO40" s="5298">
        <f t="shared" si="7"/>
        <v>172.53408618493893</v>
      </c>
      <c r="AP40" s="5299" t="e">
        <f>AB40/년간!F8</f>
        <v>#DIV/0!</v>
      </c>
      <c r="AQ40" s="5300" t="e">
        <f>AC40/년간!G8</f>
        <v>#DIV/0!</v>
      </c>
      <c r="AR40" s="5300">
        <f>AD40/년간!H8</f>
        <v>223.94038675487761</v>
      </c>
      <c r="AS40" s="5300" t="e">
        <f>AE40/년간!I8</f>
        <v>#DIV/0!</v>
      </c>
      <c r="AT40" s="5300" t="e">
        <f>AF40/년간!J8</f>
        <v>#DIV/0!</v>
      </c>
      <c r="AU40" s="5300" t="e">
        <f>AG40/년간!K8</f>
        <v>#DIV/0!</v>
      </c>
      <c r="AV40" s="5300" t="e">
        <f>AH40/년간!L8</f>
        <v>#DIV/0!</v>
      </c>
      <c r="AW40" s="5300" t="e">
        <f>AI40/년간!M8</f>
        <v>#DIV/0!</v>
      </c>
      <c r="AX40" s="5313" t="e">
        <f>AJ40/년간!N8</f>
        <v>#DIV/0!</v>
      </c>
      <c r="AY40" s="5559" t="e">
        <f>AK40/년간!O8</f>
        <v>#DIV/0!</v>
      </c>
      <c r="AZ40" s="4223"/>
      <c r="BA40" s="4346"/>
      <c r="BB40" s="4035">
        <f>AN40/년간!$V$8</f>
        <v>2308.8336006149798</v>
      </c>
    </row>
    <row r="41" spans="2:54" s="286" customFormat="1" ht="16.5">
      <c r="B41" s="7719"/>
      <c r="C41" s="2915" t="s">
        <v>1397</v>
      </c>
      <c r="D41" s="2493" t="s">
        <v>1073</v>
      </c>
      <c r="E41" s="2916">
        <f>CRM!H9</f>
        <v>538.38</v>
      </c>
      <c r="F41" s="2916">
        <f>CRM!I9</f>
        <v>1238</v>
      </c>
      <c r="G41" s="2916">
        <f>CRM!J9</f>
        <v>926.96999999999991</v>
      </c>
      <c r="H41" s="3206">
        <f>CRM!K9</f>
        <v>387.37</v>
      </c>
      <c r="I41" s="3206">
        <f>CRM!L9</f>
        <v>326.14999999999998</v>
      </c>
      <c r="J41" s="6163">
        <f>CRM!M9</f>
        <v>198</v>
      </c>
      <c r="K41" s="6163">
        <f>CRM!N9</f>
        <v>19.8</v>
      </c>
      <c r="L41" s="4190">
        <f>CRM!O9</f>
        <v>0</v>
      </c>
      <c r="M41" s="3928">
        <f>CRM!P9</f>
        <v>0</v>
      </c>
      <c r="N41" s="3928">
        <f>CRM!Q9</f>
        <v>0</v>
      </c>
      <c r="O41" s="3928">
        <f>CRM!R9</f>
        <v>0</v>
      </c>
      <c r="P41" s="3928">
        <f>CRM!S9</f>
        <v>0</v>
      </c>
      <c r="Q41" s="3928">
        <f>CRM!T9</f>
        <v>0</v>
      </c>
      <c r="R41" s="3928">
        <f>CRM!U9</f>
        <v>0</v>
      </c>
      <c r="S41" s="3928">
        <f>CRM!V9</f>
        <v>0</v>
      </c>
      <c r="T41" s="3928">
        <f>CRM!W9</f>
        <v>0</v>
      </c>
      <c r="U41" s="3928">
        <f>CRM!X9</f>
        <v>0</v>
      </c>
      <c r="V41" s="3928">
        <f>CRM!Y9</f>
        <v>0</v>
      </c>
      <c r="W41" s="3928">
        <f>CRM!Z9</f>
        <v>0</v>
      </c>
      <c r="X41" s="5032">
        <f>CRM!AA9</f>
        <v>0</v>
      </c>
      <c r="Y41" s="3951">
        <f>($I$41-J41)*년간!$E$214/48</f>
        <v>3297993.6458333326</v>
      </c>
      <c r="Z41" s="3981">
        <f>($I$41/10-K41)*년간!$E$214/48</f>
        <v>329799.3645833332</v>
      </c>
      <c r="AA41" s="5335">
        <f>Y41/년간!E9</f>
        <v>12.310080421907852</v>
      </c>
      <c r="AB41" s="3981">
        <f>($I$41/12-L41)*년간!$E$214/48</f>
        <v>699467.17881944438</v>
      </c>
      <c r="AC41" s="3981">
        <f>($I$41/12-M41)*년간!$E$214/48</f>
        <v>699467.17881944438</v>
      </c>
      <c r="AD41" s="3981">
        <f>($I$41/12-N41)*년간!$E$214/48</f>
        <v>699467.17881944438</v>
      </c>
      <c r="AE41" s="3981">
        <f>($I$41/12-O41)*년간!$E$214/48</f>
        <v>699467.17881944438</v>
      </c>
      <c r="AF41" s="3981">
        <f>($I$41/12-P41)*년간!$E$214/48</f>
        <v>699467.17881944438</v>
      </c>
      <c r="AG41" s="3981">
        <f>($I$41/12-Q41)*년간!$E$214/48</f>
        <v>699467.17881944438</v>
      </c>
      <c r="AH41" s="3981">
        <f>($I$41/12-R41)*년간!$E$214/48</f>
        <v>699467.17881944438</v>
      </c>
      <c r="AI41" s="3981">
        <f>($I$41/12-S41)*년간!$E$214/48</f>
        <v>699467.17881944438</v>
      </c>
      <c r="AJ41" s="3981">
        <f>($I$41/12-T41)*년간!$E$214/48</f>
        <v>699467.17881944438</v>
      </c>
      <c r="AK41" s="3981">
        <f>($I$41/12-U41)*년간!$E$214/48</f>
        <v>699467.17881944438</v>
      </c>
      <c r="AL41" s="4263"/>
      <c r="AM41" s="4263"/>
      <c r="AN41" s="5283">
        <f t="shared" si="1"/>
        <v>6994671.7881944422</v>
      </c>
      <c r="AO41" s="5301">
        <f t="shared" si="7"/>
        <v>12.310080421907852</v>
      </c>
      <c r="AP41" s="5302" t="e">
        <f>AB41/년간!F9</f>
        <v>#DIV/0!</v>
      </c>
      <c r="AQ41" s="5303" t="e">
        <f>AC41/년간!G9</f>
        <v>#DIV/0!</v>
      </c>
      <c r="AR41" s="5303">
        <f>AD41/년간!H9</f>
        <v>30.14393829832153</v>
      </c>
      <c r="AS41" s="5303" t="e">
        <f>AE41/년간!I9</f>
        <v>#DIV/0!</v>
      </c>
      <c r="AT41" s="5303" t="e">
        <f>AF41/년간!J9</f>
        <v>#DIV/0!</v>
      </c>
      <c r="AU41" s="5303" t="e">
        <f>AG41/년간!K9</f>
        <v>#DIV/0!</v>
      </c>
      <c r="AV41" s="5303" t="e">
        <f>AH41/년간!L9</f>
        <v>#DIV/0!</v>
      </c>
      <c r="AW41" s="5303" t="e">
        <f>AI41/년간!M9</f>
        <v>#DIV/0!</v>
      </c>
      <c r="AX41" s="5314" t="e">
        <f>AJ41/년간!N9</f>
        <v>#DIV/0!</v>
      </c>
      <c r="AY41" s="5556" t="e">
        <f>AK41/년간!O9</f>
        <v>#DIV/0!</v>
      </c>
      <c r="AZ41" s="4223"/>
      <c r="BA41" s="4346"/>
      <c r="BB41" s="4035">
        <f>AN41/년간!$V$9</f>
        <v>301.43938298321518</v>
      </c>
    </row>
    <row r="42" spans="2:54" s="286" customFormat="1" ht="16.5">
      <c r="B42" s="7719"/>
      <c r="C42" s="2915" t="s">
        <v>1398</v>
      </c>
      <c r="D42" s="2493" t="s">
        <v>1073</v>
      </c>
      <c r="E42" s="2500"/>
      <c r="F42" s="2500"/>
      <c r="G42" s="2500"/>
      <c r="H42" s="3207"/>
      <c r="I42" s="3207"/>
      <c r="J42" s="3894"/>
      <c r="K42" s="3894"/>
      <c r="L42" s="3894"/>
      <c r="M42" s="3915"/>
      <c r="N42" s="3915"/>
      <c r="O42" s="3915"/>
      <c r="P42" s="3915"/>
      <c r="Q42" s="3915"/>
      <c r="R42" s="3915"/>
      <c r="S42" s="3915"/>
      <c r="T42" s="3915"/>
      <c r="U42" s="3915"/>
      <c r="V42" s="3915"/>
      <c r="W42" s="3915"/>
      <c r="X42" s="3915"/>
      <c r="Y42" s="6075"/>
      <c r="Z42" s="4119"/>
      <c r="AA42" s="6076"/>
      <c r="AB42" s="4119"/>
      <c r="AC42" s="4119"/>
      <c r="AD42" s="4119"/>
      <c r="AE42" s="4119"/>
      <c r="AF42" s="4119"/>
      <c r="AG42" s="4119"/>
      <c r="AH42" s="4119"/>
      <c r="AI42" s="4119"/>
      <c r="AJ42" s="4119"/>
      <c r="AK42" s="4119"/>
      <c r="AL42" s="4264"/>
      <c r="AM42" s="4264"/>
      <c r="AN42" s="5285"/>
      <c r="AO42" s="5304">
        <f t="shared" si="7"/>
        <v>0</v>
      </c>
      <c r="AP42" s="5305"/>
      <c r="AQ42" s="5306"/>
      <c r="AR42" s="5306"/>
      <c r="AS42" s="5306"/>
      <c r="AT42" s="5306"/>
      <c r="AU42" s="5306"/>
      <c r="AV42" s="5306"/>
      <c r="AW42" s="5306"/>
      <c r="AX42" s="5315"/>
      <c r="AY42" s="5557"/>
      <c r="AZ42" s="4224"/>
      <c r="BA42" s="4347"/>
      <c r="BB42" s="5340"/>
    </row>
    <row r="43" spans="2:54" s="286" customFormat="1" ht="16.5">
      <c r="B43" s="7719"/>
      <c r="C43" s="2915" t="s">
        <v>1399</v>
      </c>
      <c r="D43" s="2493" t="s">
        <v>1073</v>
      </c>
      <c r="E43" s="2916">
        <f>'#1CCL'!H9</f>
        <v>420.60000000000008</v>
      </c>
      <c r="F43" s="2916">
        <f>'#1CCL'!I9</f>
        <v>1029.94</v>
      </c>
      <c r="G43" s="2916">
        <f>'#1CCL'!J9</f>
        <v>384</v>
      </c>
      <c r="H43" s="3206">
        <f>'#1CCL'!K9</f>
        <v>1686.7099999999998</v>
      </c>
      <c r="I43" s="3206">
        <f>'#1CCL'!L9</f>
        <v>216.29</v>
      </c>
      <c r="J43" s="6163">
        <f>'#1CCL'!M9</f>
        <v>36</v>
      </c>
      <c r="K43" s="6163">
        <f>'#1CCL'!N9</f>
        <v>3</v>
      </c>
      <c r="L43" s="4190">
        <f>'#1CCL'!O9</f>
        <v>0</v>
      </c>
      <c r="M43" s="3928">
        <f>'#1CCL'!P9</f>
        <v>0</v>
      </c>
      <c r="N43" s="3928">
        <f>'#1CCL'!Q9</f>
        <v>0</v>
      </c>
      <c r="O43" s="3928">
        <f>'#1CCL'!R9</f>
        <v>0</v>
      </c>
      <c r="P43" s="3928">
        <f>'#1CCL'!S9</f>
        <v>0</v>
      </c>
      <c r="Q43" s="3928">
        <f>'#1CCL'!T9</f>
        <v>0</v>
      </c>
      <c r="R43" s="3928">
        <f>'#1CCL'!U9</f>
        <v>0</v>
      </c>
      <c r="S43" s="3928">
        <f>'#1CCL'!V9</f>
        <v>0</v>
      </c>
      <c r="T43" s="3928">
        <f>'#1CCL'!W9</f>
        <v>0</v>
      </c>
      <c r="U43" s="3928">
        <f>'#1CCL'!X9</f>
        <v>0</v>
      </c>
      <c r="V43" s="3928">
        <f>'#1CCL'!Y9</f>
        <v>0</v>
      </c>
      <c r="W43" s="3928">
        <f>'#1CCL'!Z9</f>
        <v>0</v>
      </c>
      <c r="X43" s="5032">
        <f>'#1CCL'!AA9</f>
        <v>0</v>
      </c>
      <c r="Y43" s="3951">
        <f>($I$43-J43)*년간!$E$216/24.5</f>
        <v>10662144.554285714</v>
      </c>
      <c r="Z43" s="3981">
        <f>($I$43/12-K43)*년간!$E$216/24.5</f>
        <v>888512.04619047605</v>
      </c>
      <c r="AA43" s="5335">
        <f>Y43/년간!E11</f>
        <v>65.798648216423615</v>
      </c>
      <c r="AB43" s="3981">
        <f>($I$43/12-L43)*년간!$E$216/24.5</f>
        <v>1065928.6176190474</v>
      </c>
      <c r="AC43" s="3981">
        <f>($I$43/12-M43)*년간!$E$216/24.5</f>
        <v>1065928.6176190474</v>
      </c>
      <c r="AD43" s="3981">
        <f>($I$43/12-N43)*년간!$E$216/24.5</f>
        <v>1065928.6176190474</v>
      </c>
      <c r="AE43" s="3981">
        <f>($I$43/12-O43)*년간!$E$216/24.5</f>
        <v>1065928.6176190474</v>
      </c>
      <c r="AF43" s="3981">
        <f>($I$43/12-P43)*년간!$E$216/24.5</f>
        <v>1065928.6176190474</v>
      </c>
      <c r="AG43" s="3981">
        <f>($I$43/12-Q43)*년간!$E$216/24.5</f>
        <v>1065928.6176190474</v>
      </c>
      <c r="AH43" s="3981">
        <f>($I$43/12-R43)*년간!$E$216/24.5</f>
        <v>1065928.6176190474</v>
      </c>
      <c r="AI43" s="3981">
        <f>($I$43/12-S43)*년간!$E$216/24.5</f>
        <v>1065928.6176190474</v>
      </c>
      <c r="AJ43" s="3981">
        <f>($I$43/12-T43)*년간!$E$216/24.5</f>
        <v>1065928.6176190474</v>
      </c>
      <c r="AK43" s="3981">
        <f>($I$43/12-U43)*년간!$E$216/24.5</f>
        <v>1065928.6176190474</v>
      </c>
      <c r="AL43" s="4263"/>
      <c r="AM43" s="4263"/>
      <c r="AN43" s="5283">
        <f t="shared" si="1"/>
        <v>10659286.176190471</v>
      </c>
      <c r="AO43" s="5301">
        <f t="shared" si="7"/>
        <v>65.798648216423615</v>
      </c>
      <c r="AP43" s="5302">
        <f>AB43/년간!F11</f>
        <v>85.930454359009175</v>
      </c>
      <c r="AQ43" s="5303">
        <f>AC43/년간!G11</f>
        <v>89.175615580428868</v>
      </c>
      <c r="AR43" s="5303">
        <f>AD43/년간!H11</f>
        <v>81.79882109868295</v>
      </c>
      <c r="AS43" s="5303" t="e">
        <f>AE43/년간!I11</f>
        <v>#DIV/0!</v>
      </c>
      <c r="AT43" s="5303" t="e">
        <f>AF43/년간!J11</f>
        <v>#DIV/0!</v>
      </c>
      <c r="AU43" s="5303" t="e">
        <f>AG43/년간!K11</f>
        <v>#DIV/0!</v>
      </c>
      <c r="AV43" s="5303" t="e">
        <f>AH43/년간!L11</f>
        <v>#DIV/0!</v>
      </c>
      <c r="AW43" s="5303" t="e">
        <f>AI43/년간!M11</f>
        <v>#DIV/0!</v>
      </c>
      <c r="AX43" s="5314" t="e">
        <f>AJ43/년간!N11</f>
        <v>#DIV/0!</v>
      </c>
      <c r="AY43" s="5556" t="e">
        <f>AK43/년간!O11</f>
        <v>#DIV/0!</v>
      </c>
      <c r="AZ43" s="4223"/>
      <c r="BA43" s="4346"/>
      <c r="BB43" s="4035">
        <f>AN43/년간!$V$11</f>
        <v>285.09310347273799</v>
      </c>
    </row>
    <row r="44" spans="2:54" s="286" customFormat="1" ht="16.5">
      <c r="B44" s="7719"/>
      <c r="C44" s="2915" t="s">
        <v>1400</v>
      </c>
      <c r="D44" s="2493" t="s">
        <v>1073</v>
      </c>
      <c r="E44" s="2916">
        <f>'#2CCL'!H9</f>
        <v>401.6500000000002</v>
      </c>
      <c r="F44" s="2916">
        <f>'#2CCL'!I9</f>
        <v>321.48</v>
      </c>
      <c r="G44" s="2916">
        <f>'#2CCL'!J9</f>
        <v>171.09</v>
      </c>
      <c r="H44" s="3206">
        <f>'#2CCL'!K9</f>
        <v>226.51299999999998</v>
      </c>
      <c r="I44" s="3206">
        <f>'#2CCL'!L9</f>
        <v>68.7</v>
      </c>
      <c r="J44" s="6163">
        <f>'#2CCL'!M9</f>
        <v>48</v>
      </c>
      <c r="K44" s="6163">
        <f>'#2CCL'!N9</f>
        <v>4</v>
      </c>
      <c r="L44" s="4190">
        <f>'#2CCL'!O9</f>
        <v>0</v>
      </c>
      <c r="M44" s="3928">
        <f>'#2CCL'!P9</f>
        <v>0</v>
      </c>
      <c r="N44" s="3928">
        <f>'#2CCL'!Q9</f>
        <v>0</v>
      </c>
      <c r="O44" s="3928">
        <f>'#2CCL'!R9</f>
        <v>0</v>
      </c>
      <c r="P44" s="3928">
        <f>'#2CCL'!S9</f>
        <v>0</v>
      </c>
      <c r="Q44" s="3928">
        <f>'#2CCL'!T9</f>
        <v>0</v>
      </c>
      <c r="R44" s="3928">
        <f>'#2CCL'!U9</f>
        <v>0</v>
      </c>
      <c r="S44" s="3928">
        <f>'#2CCL'!V9</f>
        <v>0</v>
      </c>
      <c r="T44" s="3928">
        <f>'#2CCL'!W9</f>
        <v>0</v>
      </c>
      <c r="U44" s="3928">
        <f>'#2CCL'!X9</f>
        <v>0</v>
      </c>
      <c r="V44" s="3928">
        <f>'#2CCL'!Y9</f>
        <v>0</v>
      </c>
      <c r="W44" s="3928">
        <f>'#2CCL'!Z9</f>
        <v>0</v>
      </c>
      <c r="X44" s="5032">
        <f>'#2CCL'!AA9</f>
        <v>0</v>
      </c>
      <c r="Y44" s="3951">
        <f>($I$44-J44)*년간!$E$217/9.5</f>
        <v>3476730.6</v>
      </c>
      <c r="Z44" s="3981">
        <f>($I$44/12-K44)*년간!$E$217/9.5</f>
        <v>289727.5500000001</v>
      </c>
      <c r="AA44" s="5335">
        <f>Y44/년간!E12</f>
        <v>57.573960285561157</v>
      </c>
      <c r="AB44" s="3981">
        <f>($I$44/12-L44)*년간!$E$217/9.5</f>
        <v>961559.55000000016</v>
      </c>
      <c r="AC44" s="3981">
        <f>($I$44/12-M44)*년간!$E$217/9.5</f>
        <v>961559.55000000016</v>
      </c>
      <c r="AD44" s="3981">
        <f>($I$44/12-N44)*년간!$E$217/9.5</f>
        <v>961559.55000000016</v>
      </c>
      <c r="AE44" s="3981">
        <f>($I$44/12-O44)*년간!$E$217/9.5</f>
        <v>961559.55000000016</v>
      </c>
      <c r="AF44" s="3981">
        <f>($I$44/12-P44)*년간!$E$217/9.5</f>
        <v>961559.55000000016</v>
      </c>
      <c r="AG44" s="3981">
        <f>($I$44/12-Q44)*년간!$E$217/9.5</f>
        <v>961559.55000000016</v>
      </c>
      <c r="AH44" s="3981">
        <f>($I$44/12-R44)*년간!$E$217/9.5</f>
        <v>961559.55000000016</v>
      </c>
      <c r="AI44" s="3981">
        <f>($I$44/12-S44)*년간!$E$217/9.5</f>
        <v>961559.55000000016</v>
      </c>
      <c r="AJ44" s="3981">
        <f>($I$44/12-T44)*년간!$E$217/9.5</f>
        <v>961559.55000000016</v>
      </c>
      <c r="AK44" s="3981">
        <f>($I$44/12-U44)*년간!$E$217/9.5</f>
        <v>961559.55000000016</v>
      </c>
      <c r="AL44" s="4263"/>
      <c r="AM44" s="4263"/>
      <c r="AN44" s="5283">
        <f t="shared" si="1"/>
        <v>9615595.5000000019</v>
      </c>
      <c r="AO44" s="5301">
        <f t="shared" si="7"/>
        <v>57.573960285561157</v>
      </c>
      <c r="AP44" s="5302">
        <f>AB44/년간!F12</f>
        <v>194.87964419187213</v>
      </c>
      <c r="AQ44" s="5303">
        <f>AC44/년간!G12</f>
        <v>201.80269053590357</v>
      </c>
      <c r="AR44" s="5303">
        <f>AD44/년간!H12</f>
        <v>173.41082384426997</v>
      </c>
      <c r="AS44" s="5303" t="e">
        <f>AE44/년간!I12</f>
        <v>#DIV/0!</v>
      </c>
      <c r="AT44" s="5303" t="e">
        <f>AF44/년간!J12</f>
        <v>#DIV/0!</v>
      </c>
      <c r="AU44" s="5303" t="e">
        <f>AG44/년간!K12</f>
        <v>#DIV/0!</v>
      </c>
      <c r="AV44" s="5303" t="e">
        <f>AH44/년간!L12</f>
        <v>#DIV/0!</v>
      </c>
      <c r="AW44" s="5303" t="e">
        <f>AI44/년간!M12</f>
        <v>#DIV/0!</v>
      </c>
      <c r="AX44" s="5314" t="e">
        <f>AJ44/년간!N12</f>
        <v>#DIV/0!</v>
      </c>
      <c r="AY44" s="5556" t="e">
        <f>AK44/년간!O12</f>
        <v>#DIV/0!</v>
      </c>
      <c r="AZ44" s="4223"/>
      <c r="BA44" s="4346"/>
      <c r="BB44" s="4035">
        <f>AN44/년간!$V$12</f>
        <v>630.78109676297822</v>
      </c>
    </row>
    <row r="45" spans="2:54" s="286" customFormat="1" ht="17.25" thickBot="1">
      <c r="B45" s="7754"/>
      <c r="C45" s="2919" t="s">
        <v>1401</v>
      </c>
      <c r="D45" s="2806" t="s">
        <v>1073</v>
      </c>
      <c r="E45" s="2250">
        <f t="shared" ref="E45:P45" si="34">SUM(E40:E44)</f>
        <v>8227.630000000001</v>
      </c>
      <c r="F45" s="2250">
        <f t="shared" si="34"/>
        <v>4497.42</v>
      </c>
      <c r="G45" s="2250">
        <f t="shared" si="34"/>
        <v>2552.9700000000003</v>
      </c>
      <c r="H45" s="2229">
        <f t="shared" si="34"/>
        <v>5061.9629999999988</v>
      </c>
      <c r="I45" s="2229">
        <f>SUM(I40:I44)</f>
        <v>4726.29</v>
      </c>
      <c r="J45" s="4187">
        <f t="shared" si="34"/>
        <v>1782</v>
      </c>
      <c r="K45" s="4187">
        <f t="shared" si="34"/>
        <v>176.8</v>
      </c>
      <c r="L45" s="4187">
        <f t="shared" si="34"/>
        <v>0</v>
      </c>
      <c r="M45" s="3925">
        <f t="shared" si="34"/>
        <v>0</v>
      </c>
      <c r="N45" s="3925">
        <f t="shared" si="34"/>
        <v>11.42</v>
      </c>
      <c r="O45" s="3925">
        <f t="shared" si="34"/>
        <v>0</v>
      </c>
      <c r="P45" s="3925">
        <f t="shared" si="34"/>
        <v>0</v>
      </c>
      <c r="Q45" s="3925">
        <f>SUM(Q40:Q44)</f>
        <v>0</v>
      </c>
      <c r="R45" s="3925">
        <f>SUM(R40:R44)</f>
        <v>0</v>
      </c>
      <c r="S45" s="3925">
        <f t="shared" ref="S45:X45" si="35">SUM(S40:S44)</f>
        <v>0</v>
      </c>
      <c r="T45" s="3925">
        <f t="shared" si="35"/>
        <v>0</v>
      </c>
      <c r="U45" s="3925">
        <f t="shared" si="35"/>
        <v>0</v>
      </c>
      <c r="V45" s="3925">
        <f t="shared" si="35"/>
        <v>0</v>
      </c>
      <c r="W45" s="3925">
        <f t="shared" si="35"/>
        <v>0</v>
      </c>
      <c r="X45" s="3925">
        <f t="shared" si="35"/>
        <v>11.42</v>
      </c>
      <c r="Y45" s="6077">
        <f>SUM(Y40:Y44)</f>
        <v>66162910.215952396</v>
      </c>
      <c r="Z45" s="4240">
        <f>SUM(Z40:Z44)</f>
        <v>6380643.1023571435</v>
      </c>
      <c r="AA45" s="6078">
        <f>Y45/(년간!E8+년간!E9+년간!E11+년간!E12)</f>
        <v>85.619716233118282</v>
      </c>
      <c r="AB45" s="4240">
        <f t="shared" ref="AB45:AG45" si="36">SUM(AB40:AB44)</f>
        <v>9116485.8810912706</v>
      </c>
      <c r="AC45" s="4240">
        <f t="shared" si="36"/>
        <v>9116485.8810912706</v>
      </c>
      <c r="AD45" s="4240">
        <f t="shared" si="36"/>
        <v>8903705.9667579364</v>
      </c>
      <c r="AE45" s="4240">
        <f t="shared" si="36"/>
        <v>9116485.8810912706</v>
      </c>
      <c r="AF45" s="4240">
        <f t="shared" si="36"/>
        <v>9116485.8810912706</v>
      </c>
      <c r="AG45" s="4240">
        <f t="shared" si="36"/>
        <v>9116485.8810912706</v>
      </c>
      <c r="AH45" s="4240">
        <f>SUM(AH40:AH44)</f>
        <v>9116485.8810912706</v>
      </c>
      <c r="AI45" s="4240">
        <f>SUM(AI40:AI44)</f>
        <v>9116485.8810912706</v>
      </c>
      <c r="AJ45" s="4240">
        <f>SUM(AJ40:AJ44)</f>
        <v>9116485.8810912706</v>
      </c>
      <c r="AK45" s="4240">
        <f>SUM(AK40:AK44)</f>
        <v>9116485.8810912706</v>
      </c>
      <c r="AL45" s="2229"/>
      <c r="AM45" s="2229"/>
      <c r="AN45" s="5284">
        <f t="shared" si="1"/>
        <v>90952078.896579355</v>
      </c>
      <c r="AO45" s="5307">
        <f t="shared" si="7"/>
        <v>85.619716233118282</v>
      </c>
      <c r="AP45" s="5308">
        <f>AB45/년간!F13</f>
        <v>525.78922611084181</v>
      </c>
      <c r="AQ45" s="5309">
        <f>AC45/년간!G13</f>
        <v>545.30992548095026</v>
      </c>
      <c r="AR45" s="5309">
        <f>AD45/년간!H13</f>
        <v>96.549090628670243</v>
      </c>
      <c r="AS45" s="5309" t="e">
        <f>AE45/년간!I13</f>
        <v>#DIV/0!</v>
      </c>
      <c r="AT45" s="5309" t="e">
        <f>AF45/년간!J13</f>
        <v>#DIV/0!</v>
      </c>
      <c r="AU45" s="5309" t="e">
        <f>AG45/년간!K13</f>
        <v>#DIV/0!</v>
      </c>
      <c r="AV45" s="5309" t="e">
        <f>AH45/년간!L13</f>
        <v>#DIV/0!</v>
      </c>
      <c r="AW45" s="5309" t="e">
        <f>AI45/년간!M13</f>
        <v>#DIV/0!</v>
      </c>
      <c r="AX45" s="5316" t="e">
        <f>AJ45/년간!N13</f>
        <v>#DIV/0!</v>
      </c>
      <c r="AY45" s="5560" t="e">
        <f>AK45/년간!O13</f>
        <v>#DIV/0!</v>
      </c>
      <c r="AZ45" s="4215"/>
      <c r="BA45" s="5332"/>
      <c r="BB45" s="5338">
        <f>AN45/년간!$V$13</f>
        <v>720.26343297485721</v>
      </c>
    </row>
    <row r="46" spans="2:54" ht="16.5">
      <c r="B46" s="7737" t="s">
        <v>1216</v>
      </c>
      <c r="C46" s="7651" t="s">
        <v>39</v>
      </c>
      <c r="D46" s="1152" t="s">
        <v>1218</v>
      </c>
      <c r="E46" s="2506">
        <f>비가동!H4+비가동!H6+비가동!H8</f>
        <v>105</v>
      </c>
      <c r="F46" s="2506">
        <f>비가동!I4+비가동!I6+비가동!I8</f>
        <v>46</v>
      </c>
      <c r="G46" s="2506">
        <f>비가동!J4+비가동!J6+비가동!J8</f>
        <v>28</v>
      </c>
      <c r="H46" s="2578">
        <f>(비가동!K4+비가동!K6+비가동!K8)</f>
        <v>30</v>
      </c>
      <c r="I46" s="6240">
        <f>(비가동!L4+비가동!L6+비가동!L8)</f>
        <v>20</v>
      </c>
      <c r="J46" s="6164">
        <f>비가동!M4+비가동!M6+비가동!M8</f>
        <v>16</v>
      </c>
      <c r="K46" s="6164">
        <f>비가동!N4+비가동!N6+비가동!N8</f>
        <v>1.6</v>
      </c>
      <c r="L46" s="4188">
        <f>비가동!O4+비가동!O6+비가동!O8</f>
        <v>0</v>
      </c>
      <c r="M46" s="1685">
        <f>비가동!P4+비가동!P6+비가동!P8</f>
        <v>0</v>
      </c>
      <c r="N46" s="1685">
        <f>비가동!Q4+비가동!Q6+비가동!Q8</f>
        <v>1</v>
      </c>
      <c r="O46" s="1685">
        <f>비가동!R4+비가동!R6+비가동!R8</f>
        <v>0</v>
      </c>
      <c r="P46" s="1685">
        <f>비가동!S4+비가동!S6+비가동!S8</f>
        <v>0</v>
      </c>
      <c r="Q46" s="1685">
        <f>비가동!T4+비가동!T6+비가동!T8</f>
        <v>0</v>
      </c>
      <c r="R46" s="1685">
        <f>비가동!U4+비가동!U6+비가동!U8</f>
        <v>0</v>
      </c>
      <c r="S46" s="1685">
        <f>비가동!V4+비가동!V6+비가동!V8</f>
        <v>0</v>
      </c>
      <c r="T46" s="1685">
        <f>비가동!W4+비가동!W6+비가동!W8</f>
        <v>0</v>
      </c>
      <c r="U46" s="1685">
        <f>비가동!X4+비가동!X6+비가동!X8</f>
        <v>0</v>
      </c>
      <c r="V46" s="1685">
        <f>비가동!Y4+비가동!Y6+비가동!Y8</f>
        <v>0</v>
      </c>
      <c r="W46" s="1685">
        <f>비가동!Z4+비가동!Z6+비가동!Z8</f>
        <v>0</v>
      </c>
      <c r="X46" s="5033">
        <f>비가동!AA4+비가동!AA6+비가동!AA8</f>
        <v>1</v>
      </c>
      <c r="Y46" s="3905"/>
      <c r="Z46" s="4720"/>
      <c r="AA46" s="4225"/>
      <c r="AB46" s="4120"/>
      <c r="AC46" s="4120"/>
      <c r="AD46" s="4120"/>
      <c r="AE46" s="4120"/>
      <c r="AF46" s="4120"/>
      <c r="AG46" s="4120"/>
      <c r="AH46" s="4120"/>
      <c r="AI46" s="4120"/>
      <c r="AJ46" s="4120"/>
      <c r="AK46" s="4120"/>
      <c r="AL46" s="5268"/>
      <c r="AM46" s="5268"/>
      <c r="AN46" s="5284"/>
      <c r="AO46" s="4105"/>
      <c r="AP46" s="4105"/>
      <c r="AQ46" s="4105"/>
      <c r="AR46" s="4105"/>
      <c r="AS46" s="4105"/>
      <c r="AT46" s="4105"/>
      <c r="AU46" s="4105"/>
      <c r="AV46" s="4105"/>
      <c r="AW46" s="4105"/>
      <c r="AX46" s="4105"/>
      <c r="AY46" s="5558"/>
      <c r="AZ46" s="4222"/>
      <c r="BA46" s="5333"/>
      <c r="BB46" s="5339"/>
    </row>
    <row r="47" spans="2:54" ht="16.5">
      <c r="B47" s="7719"/>
      <c r="C47" s="7746"/>
      <c r="D47" s="2493" t="s">
        <v>1219</v>
      </c>
      <c r="E47" s="2495">
        <f>비가동!H5+비가동!H7+비가동!H9</f>
        <v>166.75</v>
      </c>
      <c r="F47" s="2495">
        <f>비가동!I5+비가동!I7+비가동!I9</f>
        <v>58.35</v>
      </c>
      <c r="G47" s="2495">
        <f>비가동!J5+비가동!J7+비가동!J9</f>
        <v>39.266666666666673</v>
      </c>
      <c r="H47" s="6237">
        <f>(비가동!K5+비가동!K7+비가동!K9)</f>
        <v>33.616666666666667</v>
      </c>
      <c r="I47" s="2853">
        <f>(비가동!L5+비가동!L7+비가동!L9)</f>
        <v>31.383333333333333</v>
      </c>
      <c r="J47" s="6165">
        <f>비가동!M5+비가동!M7+비가동!M9</f>
        <v>23.5</v>
      </c>
      <c r="K47" s="6165">
        <f>비가동!N5+비가동!N7+비가동!N9</f>
        <v>2.3499999999999996</v>
      </c>
      <c r="L47" s="4191">
        <f>비가동!O5+비가동!O7+비가동!O9</f>
        <v>0</v>
      </c>
      <c r="M47" s="3287">
        <f>비가동!P5+비가동!P7+비가동!P9</f>
        <v>0</v>
      </c>
      <c r="N47" s="3287">
        <f>비가동!Q5+비가동!Q7+비가동!Q9</f>
        <v>0.66666666666666663</v>
      </c>
      <c r="O47" s="3287">
        <f>비가동!R5+비가동!R7+비가동!R9</f>
        <v>0</v>
      </c>
      <c r="P47" s="3287">
        <f>비가동!S5+비가동!S7+비가동!S9</f>
        <v>0</v>
      </c>
      <c r="Q47" s="3287">
        <f>비가동!T5+비가동!T7+비가동!T9</f>
        <v>0</v>
      </c>
      <c r="R47" s="3287">
        <f>비가동!U5+비가동!U7+비가동!U9</f>
        <v>0</v>
      </c>
      <c r="S47" s="3287">
        <f>비가동!V5+비가동!V7+비가동!V9</f>
        <v>0</v>
      </c>
      <c r="T47" s="3287">
        <f>비가동!W5+비가동!W7+비가동!W9</f>
        <v>0</v>
      </c>
      <c r="U47" s="3287">
        <f>비가동!X5+비가동!X7+비가동!X9</f>
        <v>0</v>
      </c>
      <c r="V47" s="3287">
        <f>비가동!Y5+비가동!Y7+비가동!Y9</f>
        <v>0</v>
      </c>
      <c r="W47" s="3287">
        <f>비가동!Z5+비가동!Z7+비가동!Z9</f>
        <v>0</v>
      </c>
      <c r="X47" s="5034">
        <f>비가동!AA5+비가동!AA7+비가동!AA9</f>
        <v>0.66666666666666663</v>
      </c>
      <c r="Y47" s="3902">
        <f>($I$47-J47)*년간!$E$213</f>
        <v>8813038.4833333325</v>
      </c>
      <c r="Z47" s="4715">
        <f>($I$47/10-K47)*년간!$E$213</f>
        <v>881303.84833333362</v>
      </c>
      <c r="AA47" s="4221">
        <f>Y47/년간!$E$8</f>
        <v>31.206096310145149</v>
      </c>
      <c r="AB47" s="4114">
        <f>($I$47/12-L47)*년간!$E$213</f>
        <v>2923705.3319444442</v>
      </c>
      <c r="AC47" s="4114">
        <f>($I$47/12-M47)*년간!$E$213</f>
        <v>2923705.3319444442</v>
      </c>
      <c r="AD47" s="4114">
        <f>($I$47/12-N47)*년간!$E$213</f>
        <v>2178416.6652777777</v>
      </c>
      <c r="AE47" s="4114">
        <f>($I$47/12-O47)*년간!$E$213</f>
        <v>2923705.3319444442</v>
      </c>
      <c r="AF47" s="4114">
        <f>($I$47/12-P47)*년간!$E$213</f>
        <v>2923705.3319444442</v>
      </c>
      <c r="AG47" s="4114">
        <f>($I$47/12-Q47)*년간!$E$213</f>
        <v>2923705.3319444442</v>
      </c>
      <c r="AH47" s="4114">
        <f>($I$47/12-R47)*년간!$E$213</f>
        <v>2923705.3319444442</v>
      </c>
      <c r="AI47" s="4114">
        <f>($I$47/12-S47)*년간!$E$213</f>
        <v>2923705.3319444442</v>
      </c>
      <c r="AJ47" s="4114">
        <f>($I$47/12-T47)*년간!$E$213</f>
        <v>2923705.3319444442</v>
      </c>
      <c r="AK47" s="4114">
        <f>($I$47/12-U47)*년간!$E$213</f>
        <v>2923705.3319444442</v>
      </c>
      <c r="AL47" s="5264"/>
      <c r="AM47" s="5264"/>
      <c r="AN47" s="5283">
        <f t="shared" si="1"/>
        <v>28491764.652777769</v>
      </c>
      <c r="AO47" s="3994">
        <f t="shared" si="7"/>
        <v>31.206096310145149</v>
      </c>
      <c r="AP47" s="3994" t="e">
        <f>AB47/년간!#REF!</f>
        <v>#REF!</v>
      </c>
      <c r="AQ47" s="3994" t="e">
        <f>AC47/년간!#REF!</f>
        <v>#REF!</v>
      </c>
      <c r="AR47" s="3994" t="e">
        <f>AD47/년간!#REF!</f>
        <v>#REF!</v>
      </c>
      <c r="AS47" s="3994" t="e">
        <f>AE47/년간!#REF!</f>
        <v>#REF!</v>
      </c>
      <c r="AT47" s="3994" t="e">
        <f>AF47/년간!#REF!</f>
        <v>#REF!</v>
      </c>
      <c r="AU47" s="3994" t="e">
        <f>AG47/년간!#REF!</f>
        <v>#REF!</v>
      </c>
      <c r="AV47" s="3994" t="e">
        <f>AH47/년간!#REF!</f>
        <v>#REF!</v>
      </c>
      <c r="AW47" s="3994" t="e">
        <f>AI47/년간!#REF!</f>
        <v>#REF!</v>
      </c>
      <c r="AX47" s="5317" t="e">
        <f>AJ47/년간!#REF!</f>
        <v>#REF!</v>
      </c>
      <c r="AY47" s="4221" t="e">
        <f>AK47/년간!#REF!</f>
        <v>#REF!</v>
      </c>
      <c r="AZ47" s="4219"/>
      <c r="BA47" s="4909"/>
      <c r="BB47" s="4035">
        <f>AN47/년간!$V$8</f>
        <v>1032.9795045767971</v>
      </c>
    </row>
    <row r="48" spans="2:54" ht="16.5">
      <c r="B48" s="7719"/>
      <c r="C48" s="7746" t="s">
        <v>42</v>
      </c>
      <c r="D48" s="2493" t="s">
        <v>1218</v>
      </c>
      <c r="E48" s="2494">
        <f>비가동!H10+비가동!H12+비가동!H14</f>
        <v>347</v>
      </c>
      <c r="F48" s="2494">
        <f>비가동!I10+비가동!I12+비가동!I14</f>
        <v>242</v>
      </c>
      <c r="G48" s="2494">
        <f>비가동!J10+비가동!J12+비가동!J14</f>
        <v>175</v>
      </c>
      <c r="H48" s="6238">
        <f>(비가동!K10+비가동!K12+비가동!K14)</f>
        <v>77</v>
      </c>
      <c r="I48" s="6241">
        <f>(비가동!L10+비가동!L12+비가동!L14)</f>
        <v>66</v>
      </c>
      <c r="J48" s="6166">
        <f>비가동!M10+비가동!M12+비가동!M14</f>
        <v>30</v>
      </c>
      <c r="K48" s="6166">
        <f>비가동!N10+비가동!N12+비가동!N14</f>
        <v>3</v>
      </c>
      <c r="L48" s="4186">
        <f>비가동!O10+비가동!O12+비가동!O14</f>
        <v>0</v>
      </c>
      <c r="M48" s="3285">
        <f>비가동!P10+비가동!P12+비가동!P14</f>
        <v>1</v>
      </c>
      <c r="N48" s="3285">
        <f>비가동!Q10+비가동!Q12+비가동!Q14</f>
        <v>6</v>
      </c>
      <c r="O48" s="3285">
        <f>비가동!R10+비가동!R12+비가동!R14</f>
        <v>0</v>
      </c>
      <c r="P48" s="3285">
        <f>비가동!S10+비가동!S12+비가동!S14</f>
        <v>0</v>
      </c>
      <c r="Q48" s="3285">
        <f>비가동!T10+비가동!T12+비가동!T14</f>
        <v>0</v>
      </c>
      <c r="R48" s="3285">
        <f>비가동!U10+비가동!U12+비가동!U14</f>
        <v>0</v>
      </c>
      <c r="S48" s="3285">
        <f>비가동!V10+비가동!V12+비가동!V14</f>
        <v>0</v>
      </c>
      <c r="T48" s="3285">
        <f>비가동!W10+비가동!W12+비가동!W14</f>
        <v>0</v>
      </c>
      <c r="U48" s="3285">
        <f>비가동!X10+비가동!X12+비가동!X14</f>
        <v>0</v>
      </c>
      <c r="V48" s="3285">
        <f>비가동!Y10+비가동!Y12+비가동!Y14</f>
        <v>0</v>
      </c>
      <c r="W48" s="3285">
        <f>비가동!Z10+비가동!Z12+비가동!Z14</f>
        <v>0</v>
      </c>
      <c r="X48" s="5035">
        <f>비가동!AA10+비가동!AA12+비가동!AA14</f>
        <v>7</v>
      </c>
      <c r="Y48" s="3906"/>
      <c r="Z48" s="4721"/>
      <c r="AA48" s="4226"/>
      <c r="AB48" s="4121"/>
      <c r="AC48" s="4121"/>
      <c r="AD48" s="4121"/>
      <c r="AE48" s="4121"/>
      <c r="AF48" s="4121"/>
      <c r="AG48" s="4121"/>
      <c r="AH48" s="4121"/>
      <c r="AI48" s="4121"/>
      <c r="AJ48" s="4121"/>
      <c r="AK48" s="4121"/>
      <c r="AL48" s="5269"/>
      <c r="AM48" s="5269"/>
      <c r="AN48" s="5284"/>
      <c r="AO48" s="3995"/>
      <c r="AP48" s="3995"/>
      <c r="AQ48" s="3995"/>
      <c r="AR48" s="3995"/>
      <c r="AS48" s="3995"/>
      <c r="AT48" s="3995"/>
      <c r="AU48" s="3995"/>
      <c r="AV48" s="3995"/>
      <c r="AW48" s="3995"/>
      <c r="AX48" s="5318"/>
      <c r="AY48" s="4226"/>
      <c r="AZ48" s="4222"/>
      <c r="BA48" s="5333"/>
      <c r="BB48" s="5339"/>
    </row>
    <row r="49" spans="2:61" ht="16.5">
      <c r="B49" s="7719"/>
      <c r="C49" s="7746"/>
      <c r="D49" s="2493" t="s">
        <v>1219</v>
      </c>
      <c r="E49" s="2495">
        <f>비가동!H11+비가동!H13+비가동!H15</f>
        <v>365.26666666666665</v>
      </c>
      <c r="F49" s="2495">
        <f>비가동!I11+비가동!I13+비가동!I15</f>
        <v>211.08333333333331</v>
      </c>
      <c r="G49" s="2495">
        <f>비가동!J11+비가동!J13+비가동!J15</f>
        <v>154.65</v>
      </c>
      <c r="H49" s="6239">
        <f>(비가동!K11+비가동!K13+비가동!K15)</f>
        <v>66.083333333333329</v>
      </c>
      <c r="I49" s="6242">
        <f>(비가동!L11+비가동!L13+비가동!L15)</f>
        <v>99.166666666666671</v>
      </c>
      <c r="J49" s="6165">
        <f>비가동!M11+비가동!M13+비가동!M15</f>
        <v>40.25</v>
      </c>
      <c r="K49" s="6165">
        <f>비가동!N11+비가동!N13+비가동!N15</f>
        <v>4.0250000000000004</v>
      </c>
      <c r="L49" s="4191">
        <f>비가동!O11+비가동!O13+비가동!O15</f>
        <v>0</v>
      </c>
      <c r="M49" s="3287">
        <f>비가동!P11+비가동!P13+비가동!P15</f>
        <v>0.25</v>
      </c>
      <c r="N49" s="3287">
        <f>비가동!Q11+비가동!Q13+비가동!Q15</f>
        <v>4.25</v>
      </c>
      <c r="O49" s="3287">
        <f>비가동!R11+비가동!R13+비가동!R15</f>
        <v>0</v>
      </c>
      <c r="P49" s="3287">
        <f>비가동!S11+비가동!S13+비가동!S15</f>
        <v>0</v>
      </c>
      <c r="Q49" s="3287">
        <f>비가동!T11+비가동!T13+비가동!T15</f>
        <v>0</v>
      </c>
      <c r="R49" s="3287">
        <f>비가동!U11+비가동!U13+비가동!U15</f>
        <v>0</v>
      </c>
      <c r="S49" s="3287">
        <f>비가동!V11+비가동!V13+비가동!V15</f>
        <v>0</v>
      </c>
      <c r="T49" s="3287">
        <f>비가동!W11+비가동!W13+비가동!W15</f>
        <v>0</v>
      </c>
      <c r="U49" s="3287">
        <f>비가동!X11+비가동!X13+비가동!X15</f>
        <v>0</v>
      </c>
      <c r="V49" s="3287">
        <f>비가동!Y11+비가동!Y13+비가동!Y15</f>
        <v>0</v>
      </c>
      <c r="W49" s="3287">
        <f>비가동!Z11+비가동!Z13+비가동!Z15</f>
        <v>0</v>
      </c>
      <c r="X49" s="5034">
        <f>비가동!AA11+비가동!AA13+비가동!AA15</f>
        <v>4.5</v>
      </c>
      <c r="Y49" s="3902">
        <f>($I$49-J49)*년간!$E$214</f>
        <v>72779758.333333343</v>
      </c>
      <c r="Z49" s="4715">
        <f>($I$49/10-K49)*년간!$E$214</f>
        <v>7277975.833333334</v>
      </c>
      <c r="AA49" s="4221">
        <f>Y49/년간!$E$9</f>
        <v>271.65749069961311</v>
      </c>
      <c r="AB49" s="4114">
        <f>($I$49/12-L49)*년간!$E$214</f>
        <v>10208381.944444444</v>
      </c>
      <c r="AC49" s="4114">
        <f>($I$49/12-M49)*년간!$E$214</f>
        <v>9899556.944444444</v>
      </c>
      <c r="AD49" s="4114">
        <f>($I$49/12-N49)*년간!$E$214</f>
        <v>4958356.944444445</v>
      </c>
      <c r="AE49" s="4114">
        <f>($I$49/12-O49)*년간!$E$214</f>
        <v>10208381.944444444</v>
      </c>
      <c r="AF49" s="4114">
        <f>($I$49/12-P49)*년간!$E$214</f>
        <v>10208381.944444444</v>
      </c>
      <c r="AG49" s="4114">
        <f>($I$49/12-Q49)*년간!$E$214</f>
        <v>10208381.944444444</v>
      </c>
      <c r="AH49" s="4114">
        <f>($I$49/12-R49)*년간!$E$214</f>
        <v>10208381.944444444</v>
      </c>
      <c r="AI49" s="4114">
        <f>($I$49/12-S49)*년간!$E$214</f>
        <v>10208381.944444444</v>
      </c>
      <c r="AJ49" s="4114">
        <f>($I$49/12-T49)*년간!$E$214</f>
        <v>10208381.944444444</v>
      </c>
      <c r="AK49" s="4114">
        <f>($I$49/12-U49)*년간!$E$214</f>
        <v>10208381.944444444</v>
      </c>
      <c r="AL49" s="5264"/>
      <c r="AM49" s="5264"/>
      <c r="AN49" s="5283">
        <f t="shared" si="1"/>
        <v>96524969.444444463</v>
      </c>
      <c r="AO49" s="3994">
        <f t="shared" si="7"/>
        <v>271.65749069961311</v>
      </c>
      <c r="AP49" s="3994" t="e">
        <f>AB49/년간!#REF!</f>
        <v>#REF!</v>
      </c>
      <c r="AQ49" s="3994" t="e">
        <f>AC49/년간!#REF!</f>
        <v>#REF!</v>
      </c>
      <c r="AR49" s="3994" t="e">
        <f>AD49/년간!#REF!</f>
        <v>#REF!</v>
      </c>
      <c r="AS49" s="3994" t="e">
        <f>AE49/년간!#REF!</f>
        <v>#REF!</v>
      </c>
      <c r="AT49" s="3994" t="e">
        <f>AF49/년간!#REF!</f>
        <v>#REF!</v>
      </c>
      <c r="AU49" s="3994" t="e">
        <f>AG49/년간!#REF!</f>
        <v>#REF!</v>
      </c>
      <c r="AV49" s="3994" t="e">
        <f>AH49/년간!#REF!</f>
        <v>#REF!</v>
      </c>
      <c r="AW49" s="3994" t="e">
        <f>AI49/년간!#REF!</f>
        <v>#REF!</v>
      </c>
      <c r="AX49" s="5317" t="e">
        <f>AJ49/년간!#REF!</f>
        <v>#REF!</v>
      </c>
      <c r="AY49" s="4221" t="e">
        <f>AK49/년간!#REF!</f>
        <v>#REF!</v>
      </c>
      <c r="AZ49" s="4219"/>
      <c r="BA49" s="4909"/>
      <c r="BB49" s="4035">
        <f>AN49/년간!$V$9</f>
        <v>4159.7987886888113</v>
      </c>
    </row>
    <row r="50" spans="2:61" ht="16.5">
      <c r="B50" s="7719"/>
      <c r="C50" s="7746" t="s">
        <v>29</v>
      </c>
      <c r="D50" s="2493" t="s">
        <v>1218</v>
      </c>
      <c r="E50" s="2494">
        <f>비가동!H16+비가동!H18+비가동!H20</f>
        <v>101</v>
      </c>
      <c r="F50" s="2494">
        <f>비가동!I16+비가동!I18+비가동!I20</f>
        <v>56</v>
      </c>
      <c r="G50" s="2494">
        <f>비가동!J16+비가동!J18+비가동!J20</f>
        <v>49</v>
      </c>
      <c r="H50" s="6238">
        <f>(비가동!K16+비가동!K18+비가동!K20)</f>
        <v>50</v>
      </c>
      <c r="I50" s="6241">
        <f>(비가동!L16+비가동!L18+비가동!L20)</f>
        <v>14</v>
      </c>
      <c r="J50" s="6166">
        <f>비가동!M16+비가동!M18+비가동!M20</f>
        <v>15</v>
      </c>
      <c r="K50" s="6166">
        <f>비가동!N16+비가동!N18+비가동!N20</f>
        <v>1.5</v>
      </c>
      <c r="L50" s="4186">
        <f>비가동!O16+비가동!O18+비가동!O20</f>
        <v>0</v>
      </c>
      <c r="M50" s="3285">
        <f>비가동!P16+비가동!P18+비가동!P20</f>
        <v>0</v>
      </c>
      <c r="N50" s="3285">
        <f>비가동!Q16+비가동!Q18+비가동!Q20</f>
        <v>8</v>
      </c>
      <c r="O50" s="3285">
        <f>비가동!R16+비가동!R18+비가동!R20</f>
        <v>0</v>
      </c>
      <c r="P50" s="3285">
        <f>비가동!S16+비가동!S18+비가동!S20</f>
        <v>0</v>
      </c>
      <c r="Q50" s="3285">
        <f>비가동!T16+비가동!T18+비가동!T20</f>
        <v>0</v>
      </c>
      <c r="R50" s="3285">
        <f>비가동!U16+비가동!U18+비가동!U20</f>
        <v>0</v>
      </c>
      <c r="S50" s="3285">
        <f>비가동!V16+비가동!V18+비가동!V20</f>
        <v>0</v>
      </c>
      <c r="T50" s="3285">
        <f>비가동!W16+비가동!W18+비가동!W20</f>
        <v>0</v>
      </c>
      <c r="U50" s="3285">
        <f>비가동!X16+비가동!X18+비가동!X20</f>
        <v>0</v>
      </c>
      <c r="V50" s="3285">
        <f>비가동!Y16+비가동!Y18+비가동!Y20</f>
        <v>0</v>
      </c>
      <c r="W50" s="3285">
        <f>비가동!Z16+비가동!Z18+비가동!Z20</f>
        <v>0</v>
      </c>
      <c r="X50" s="5035">
        <f>비가동!AA16+비가동!AA18+비가동!AA20</f>
        <v>8</v>
      </c>
      <c r="Y50" s="3906"/>
      <c r="Z50" s="4721"/>
      <c r="AA50" s="4226"/>
      <c r="AB50" s="4121"/>
      <c r="AC50" s="4121"/>
      <c r="AD50" s="4121"/>
      <c r="AE50" s="4121"/>
      <c r="AF50" s="4121"/>
      <c r="AG50" s="4121"/>
      <c r="AH50" s="4121"/>
      <c r="AI50" s="4121"/>
      <c r="AJ50" s="4121"/>
      <c r="AK50" s="4121"/>
      <c r="AL50" s="5269"/>
      <c r="AM50" s="5269"/>
      <c r="AN50" s="5284"/>
      <c r="AO50" s="3995"/>
      <c r="AP50" s="3995"/>
      <c r="AQ50" s="3995"/>
      <c r="AR50" s="3995"/>
      <c r="AS50" s="3995"/>
      <c r="AT50" s="3995"/>
      <c r="AU50" s="3995"/>
      <c r="AV50" s="3995"/>
      <c r="AW50" s="3995"/>
      <c r="AX50" s="5318"/>
      <c r="AY50" s="4226"/>
      <c r="AZ50" s="4222"/>
      <c r="BA50" s="5333"/>
      <c r="BB50" s="5339"/>
    </row>
    <row r="51" spans="2:61" ht="16.5">
      <c r="B51" s="7719"/>
      <c r="C51" s="7746"/>
      <c r="D51" s="2493" t="s">
        <v>1219</v>
      </c>
      <c r="E51" s="2495">
        <f>비가동!H17+비가동!H19+비가동!H21</f>
        <v>141.85</v>
      </c>
      <c r="F51" s="2495">
        <f>비가동!I17+비가동!I19+비가동!I21</f>
        <v>95.483333333333334</v>
      </c>
      <c r="G51" s="2495">
        <f>비가동!J17+비가동!J19+비가동!J21</f>
        <v>81.05</v>
      </c>
      <c r="H51" s="6239">
        <f>(비가동!K17+비가동!K19+비가동!K21)</f>
        <v>127.65000000000002</v>
      </c>
      <c r="I51" s="6242">
        <f>(비가동!L17+비가동!L19+비가동!L21)</f>
        <v>24.183333333333334</v>
      </c>
      <c r="J51" s="6165">
        <f>비가동!M17+비가동!M19+비가동!M21</f>
        <v>24</v>
      </c>
      <c r="K51" s="6165">
        <f>비가동!N17+비가동!N19+비가동!N21</f>
        <v>2.4000000000000004</v>
      </c>
      <c r="L51" s="4191">
        <f>비가동!O17+비가동!O19+비가동!O21</f>
        <v>0</v>
      </c>
      <c r="M51" s="3287">
        <f>비가동!P17+비가동!P19+비가동!P21</f>
        <v>0</v>
      </c>
      <c r="N51" s="3287">
        <f>비가동!Q17+비가동!Q19+비가동!Q21</f>
        <v>7.9333333333333336</v>
      </c>
      <c r="O51" s="3287">
        <f>비가동!R17+비가동!R19+비가동!R21</f>
        <v>0</v>
      </c>
      <c r="P51" s="3287">
        <f>비가동!S17+비가동!S19+비가동!S21</f>
        <v>0</v>
      </c>
      <c r="Q51" s="3287">
        <f>비가동!T17+비가동!T19+비가동!T21</f>
        <v>0</v>
      </c>
      <c r="R51" s="3287">
        <f>비가동!U17+비가동!U19+비가동!U21</f>
        <v>0</v>
      </c>
      <c r="S51" s="3287">
        <f>비가동!V17+비가동!V19+비가동!V21</f>
        <v>0</v>
      </c>
      <c r="T51" s="3287">
        <f>비가동!W17+비가동!W19+비가동!W21</f>
        <v>0</v>
      </c>
      <c r="U51" s="3287">
        <f>비가동!X17+비가동!X19+비가동!X21</f>
        <v>0</v>
      </c>
      <c r="V51" s="3287">
        <f>비가동!Y17+비가동!Y19+비가동!Y21</f>
        <v>0</v>
      </c>
      <c r="W51" s="3287">
        <f>비가동!Z17+비가동!Z19+비가동!Z21</f>
        <v>0</v>
      </c>
      <c r="X51" s="5034">
        <f>비가동!AA17+비가동!AA19+비가동!AA21</f>
        <v>7.9333333333333336</v>
      </c>
      <c r="Y51" s="3902">
        <f>($I$51-J51)*년간!$E$215</f>
        <v>415369.90000000055</v>
      </c>
      <c r="Z51" s="4715">
        <f>($I$51/10-K51)*년간!$E$215</f>
        <v>41536.989999999452</v>
      </c>
      <c r="AA51" s="4221">
        <f>Y51/년간!$E$10</f>
        <v>1.5495407744534826</v>
      </c>
      <c r="AB51" s="4114">
        <f>($I$51/12-L51)*년간!$E$215</f>
        <v>4565922.1583333341</v>
      </c>
      <c r="AC51" s="4114">
        <f>($I$51/12-M51)*년간!$E$215</f>
        <v>4565922.1583333341</v>
      </c>
      <c r="AD51" s="4114">
        <f>($I$51/12-N51)*년간!$E$215</f>
        <v>-13408266.241666667</v>
      </c>
      <c r="AE51" s="4114">
        <f>($I$51/12-O51)*년간!$E$215</f>
        <v>4565922.1583333341</v>
      </c>
      <c r="AF51" s="4114">
        <f>($I$51/12-P51)*년간!$E$215</f>
        <v>4565922.1583333341</v>
      </c>
      <c r="AG51" s="4114">
        <f>($I$51/12-Q51)*년간!$E$215</f>
        <v>4565922.1583333341</v>
      </c>
      <c r="AH51" s="4114">
        <f>($I$51/12-R51)*년간!$E$215</f>
        <v>4565922.1583333341</v>
      </c>
      <c r="AI51" s="4114">
        <f>($I$51/12-S51)*년간!$E$215</f>
        <v>4565922.1583333341</v>
      </c>
      <c r="AJ51" s="4114">
        <f>($I$51/12-T51)*년간!$E$215</f>
        <v>4565922.1583333341</v>
      </c>
      <c r="AK51" s="4114">
        <f>($I$51/12-U51)*년간!$E$215</f>
        <v>4565922.1583333341</v>
      </c>
      <c r="AL51" s="5264"/>
      <c r="AM51" s="5264"/>
      <c r="AN51" s="5284">
        <f t="shared" si="1"/>
        <v>27685033.183333345</v>
      </c>
      <c r="AO51" s="3994">
        <f t="shared" si="7"/>
        <v>1.5495407744534826</v>
      </c>
      <c r="AP51" s="3973" t="e">
        <f>AB51/년간!#REF!</f>
        <v>#REF!</v>
      </c>
      <c r="AQ51" s="3973" t="e">
        <f>AC51/년간!#REF!</f>
        <v>#REF!</v>
      </c>
      <c r="AR51" s="3973" t="e">
        <f>AD51/년간!#REF!</f>
        <v>#REF!</v>
      </c>
      <c r="AS51" s="3973" t="e">
        <f>AE51/년간!#REF!</f>
        <v>#REF!</v>
      </c>
      <c r="AT51" s="3973" t="e">
        <f>AF51/년간!#REF!</f>
        <v>#REF!</v>
      </c>
      <c r="AU51" s="3973" t="e">
        <f>AG51/년간!#REF!</f>
        <v>#REF!</v>
      </c>
      <c r="AV51" s="3973" t="e">
        <f>AH51/년간!#REF!</f>
        <v>#REF!</v>
      </c>
      <c r="AW51" s="3973" t="e">
        <f>AI51/년간!#REF!</f>
        <v>#REF!</v>
      </c>
      <c r="AX51" s="3966" t="e">
        <f>AJ51/년간!#REF!</f>
        <v>#REF!</v>
      </c>
      <c r="AY51" s="3978" t="e">
        <f>AK51/년간!#REF!</f>
        <v>#REF!</v>
      </c>
      <c r="AZ51" s="4219"/>
      <c r="BA51" s="4909"/>
      <c r="BB51" s="4035">
        <f>AN51/년간!$V$10</f>
        <v>1211.2261822001085</v>
      </c>
    </row>
    <row r="52" spans="2:61" ht="16.5">
      <c r="B52" s="7719"/>
      <c r="C52" s="7746" t="s">
        <v>501</v>
      </c>
      <c r="D52" s="2493" t="s">
        <v>1218</v>
      </c>
      <c r="E52" s="2494">
        <f>비가동!H22+비가동!H24+비가동!H26</f>
        <v>183</v>
      </c>
      <c r="F52" s="2494">
        <f>비가동!I22+비가동!I24+비가동!I26</f>
        <v>145</v>
      </c>
      <c r="G52" s="2494">
        <f>비가동!J22+비가동!J24+비가동!J26</f>
        <v>56</v>
      </c>
      <c r="H52" s="6238">
        <f>(비가동!K22+비가동!K24+비가동!K26)</f>
        <v>61</v>
      </c>
      <c r="I52" s="6241">
        <f>(비가동!L22+비가동!L24+비가동!L26)</f>
        <v>35</v>
      </c>
      <c r="J52" s="6166">
        <f>비가동!M22+비가동!M24+비가동!M26</f>
        <v>33</v>
      </c>
      <c r="K52" s="6166">
        <f>비가동!N22+비가동!N24+비가동!N26</f>
        <v>2.75</v>
      </c>
      <c r="L52" s="4186">
        <f>비가동!O22+비가동!O24+비가동!O26</f>
        <v>13</v>
      </c>
      <c r="M52" s="3285">
        <f>비가동!P22+비가동!P24+비가동!P26</f>
        <v>9</v>
      </c>
      <c r="N52" s="3285">
        <f>비가동!Q22+비가동!Q24+비가동!Q26</f>
        <v>13</v>
      </c>
      <c r="O52" s="3285">
        <f>비가동!R22+비가동!R24+비가동!R26</f>
        <v>0</v>
      </c>
      <c r="P52" s="3285">
        <f>비가동!S22+비가동!S24+비가동!S26</f>
        <v>0</v>
      </c>
      <c r="Q52" s="3285">
        <f>비가동!T22+비가동!T24+비가동!T26</f>
        <v>0</v>
      </c>
      <c r="R52" s="3285">
        <f>비가동!U22+비가동!U24+비가동!U26</f>
        <v>0</v>
      </c>
      <c r="S52" s="3285">
        <f>비가동!V22+비가동!V24+비가동!V26</f>
        <v>0</v>
      </c>
      <c r="T52" s="3285">
        <f>비가동!W22+비가동!W24+비가동!W26</f>
        <v>0</v>
      </c>
      <c r="U52" s="3285">
        <f>비가동!X22+비가동!X24+비가동!X26</f>
        <v>0</v>
      </c>
      <c r="V52" s="3285">
        <f>비가동!Y22+비가동!Y24+비가동!Y26</f>
        <v>0</v>
      </c>
      <c r="W52" s="3285">
        <f>비가동!Z22+비가동!Z24+비가동!Z26</f>
        <v>0</v>
      </c>
      <c r="X52" s="5035">
        <f>비가동!AA22+비가동!AA24+비가동!AA26</f>
        <v>35</v>
      </c>
      <c r="Y52" s="3906"/>
      <c r="Z52" s="4721"/>
      <c r="AA52" s="4226"/>
      <c r="AB52" s="4121"/>
      <c r="AC52" s="4121"/>
      <c r="AD52" s="4121"/>
      <c r="AE52" s="4121"/>
      <c r="AF52" s="4121"/>
      <c r="AG52" s="4121"/>
      <c r="AH52" s="4121"/>
      <c r="AI52" s="4121"/>
      <c r="AJ52" s="4121"/>
      <c r="AK52" s="4121"/>
      <c r="AL52" s="5269"/>
      <c r="AM52" s="5269"/>
      <c r="AN52" s="5284"/>
      <c r="AO52" s="3995"/>
      <c r="AP52" s="3977"/>
      <c r="AQ52" s="3977"/>
      <c r="AR52" s="3977"/>
      <c r="AS52" s="3977"/>
      <c r="AT52" s="3977"/>
      <c r="AU52" s="3977"/>
      <c r="AV52" s="3977"/>
      <c r="AW52" s="3977"/>
      <c r="AX52" s="5258"/>
      <c r="AY52" s="3979"/>
      <c r="AZ52" s="4222"/>
      <c r="BA52" s="5333"/>
      <c r="BB52" s="5339"/>
    </row>
    <row r="53" spans="2:61" ht="16.5">
      <c r="B53" s="7719"/>
      <c r="C53" s="7746"/>
      <c r="D53" s="2493" t="s">
        <v>1219</v>
      </c>
      <c r="E53" s="2495">
        <f>비가동!H23+비가동!H25+비가동!H27</f>
        <v>149.81666666666666</v>
      </c>
      <c r="F53" s="2495">
        <f>비가동!I23+비가동!I25+비가동!I27</f>
        <v>138.06666666666666</v>
      </c>
      <c r="G53" s="2495">
        <f>비가동!J23+비가동!J25+비가동!J27</f>
        <v>30.799999999999997</v>
      </c>
      <c r="H53" s="6239">
        <f>(비가동!K23+비가동!K25+비가동!K27)</f>
        <v>47.3</v>
      </c>
      <c r="I53" s="6242">
        <f>(비가동!L23+비가동!L25+비가동!L27)</f>
        <v>28.249999999999996</v>
      </c>
      <c r="J53" s="6165">
        <f>비가동!M23+비가동!M25+비가동!M27</f>
        <v>21.5</v>
      </c>
      <c r="K53" s="6165">
        <f>비가동!N23+비가동!N25+비가동!N27</f>
        <v>1.7916666666666667</v>
      </c>
      <c r="L53" s="4191">
        <f>비가동!O23+비가동!O25+비가동!O27</f>
        <v>11.366666666666665</v>
      </c>
      <c r="M53" s="3287">
        <f>비가동!P23+비가동!P25+비가동!P27</f>
        <v>6.0333333333333332</v>
      </c>
      <c r="N53" s="3287">
        <f>비가동!Q23+비가동!Q25+비가동!Q27</f>
        <v>10.333333333333334</v>
      </c>
      <c r="O53" s="3287">
        <f>비가동!R23+비가동!R25+비가동!R27</f>
        <v>0</v>
      </c>
      <c r="P53" s="3287">
        <f>비가동!S23+비가동!S25+비가동!S27</f>
        <v>0</v>
      </c>
      <c r="Q53" s="3287">
        <f>비가동!T23+비가동!T25+비가동!T27</f>
        <v>0</v>
      </c>
      <c r="R53" s="3287">
        <f>비가동!U23+비가동!U25+비가동!U27</f>
        <v>0</v>
      </c>
      <c r="S53" s="3287">
        <f>비가동!V23+비가동!V25+비가동!V27</f>
        <v>0</v>
      </c>
      <c r="T53" s="3287">
        <f>비가동!W23+비가동!W25+비가동!W27</f>
        <v>0</v>
      </c>
      <c r="U53" s="3287">
        <f>비가동!X23+비가동!X25+비가동!X27</f>
        <v>0</v>
      </c>
      <c r="V53" s="3287">
        <f>비가동!Y23+비가동!Y25+비가동!Y27</f>
        <v>0</v>
      </c>
      <c r="W53" s="3287">
        <f>비가동!Z23+비가동!Z25+비가동!Z27</f>
        <v>0</v>
      </c>
      <c r="X53" s="5034">
        <f>비가동!AA23+비가동!AA25+비가동!AA27</f>
        <v>27.733333333333331</v>
      </c>
      <c r="Y53" s="3902">
        <f>($I$53-J53)*년간!$E$216</f>
        <v>9780088.4999999944</v>
      </c>
      <c r="Z53" s="4715">
        <f>($I$53/12-K53)*년간!$E$216</f>
        <v>815007.37499999965</v>
      </c>
      <c r="AA53" s="4221">
        <f>Y53/년간!$E$11</f>
        <v>60.355269004332179</v>
      </c>
      <c r="AB53" s="4114">
        <f>($I$53/12-L53)*년간!$E$216</f>
        <v>-13058229.274999999</v>
      </c>
      <c r="AC53" s="4114">
        <f>($I$53/12-M53)*년간!$E$216</f>
        <v>-5330751.9416666664</v>
      </c>
      <c r="AD53" s="4114">
        <f>($I$53/12-N53)*년간!$E$216</f>
        <v>-11561030.541666668</v>
      </c>
      <c r="AE53" s="4114">
        <f>($I$53/12-O53)*년간!$E$216</f>
        <v>3410956.7916666665</v>
      </c>
      <c r="AF53" s="4114">
        <f>($I$53/12-P53)*년간!$E$216</f>
        <v>3410956.7916666665</v>
      </c>
      <c r="AG53" s="4114">
        <f>($I$53/12-Q53)*년간!$E$216</f>
        <v>3410956.7916666665</v>
      </c>
      <c r="AH53" s="4114">
        <f>($I$53/12-R53)*년간!$E$216</f>
        <v>3410956.7916666665</v>
      </c>
      <c r="AI53" s="4114">
        <f>($I$53/12-S53)*년간!$E$216</f>
        <v>3410956.7916666665</v>
      </c>
      <c r="AJ53" s="4114">
        <f>($I$53/12-T53)*년간!$E$216</f>
        <v>3410956.7916666665</v>
      </c>
      <c r="AK53" s="4114">
        <f>($I$53/12-U53)*년간!$E$216</f>
        <v>3410956.7916666665</v>
      </c>
      <c r="AL53" s="5264"/>
      <c r="AM53" s="5264"/>
      <c r="AN53" s="5283">
        <f t="shared" si="1"/>
        <v>-6073314.2166666649</v>
      </c>
      <c r="AO53" s="3994">
        <f t="shared" si="7"/>
        <v>60.355269004332179</v>
      </c>
      <c r="AP53" s="3973" t="e">
        <f>AB53/년간!#REF!</f>
        <v>#REF!</v>
      </c>
      <c r="AQ53" s="3973" t="e">
        <f>AC53/년간!#REF!</f>
        <v>#REF!</v>
      </c>
      <c r="AR53" s="3973" t="e">
        <f>AD53/년간!#REF!</f>
        <v>#REF!</v>
      </c>
      <c r="AS53" s="3973" t="e">
        <f>AE53/년간!#REF!</f>
        <v>#REF!</v>
      </c>
      <c r="AT53" s="3973" t="e">
        <f>AF53/년간!#REF!</f>
        <v>#REF!</v>
      </c>
      <c r="AU53" s="3973" t="e">
        <f>AG53/년간!#REF!</f>
        <v>#REF!</v>
      </c>
      <c r="AV53" s="3973" t="e">
        <f>AH53/년간!#REF!</f>
        <v>#REF!</v>
      </c>
      <c r="AW53" s="3973" t="e">
        <f>AI53/년간!#REF!</f>
        <v>#REF!</v>
      </c>
      <c r="AX53" s="3966" t="e">
        <f>AJ53/년간!#REF!</f>
        <v>#REF!</v>
      </c>
      <c r="AY53" s="3978" t="e">
        <f>AK53/년간!#REF!</f>
        <v>#REF!</v>
      </c>
      <c r="AZ53" s="4219"/>
      <c r="BA53" s="4909"/>
      <c r="BB53" s="4035">
        <f>AN53/년간!$V$11</f>
        <v>-162.43676825772283</v>
      </c>
      <c r="BE53" t="s">
        <v>1977</v>
      </c>
      <c r="BG53" t="s">
        <v>1978</v>
      </c>
    </row>
    <row r="54" spans="2:61" ht="16.5">
      <c r="B54" s="7719"/>
      <c r="C54" s="7746" t="s">
        <v>488</v>
      </c>
      <c r="D54" s="2493" t="s">
        <v>1218</v>
      </c>
      <c r="E54" s="2494">
        <f>비가동!H28+비가동!H30+비가동!H32</f>
        <v>275</v>
      </c>
      <c r="F54" s="2494">
        <f>비가동!I28+비가동!I30+비가동!I32</f>
        <v>213</v>
      </c>
      <c r="G54" s="2494">
        <f>비가동!J28+비가동!J30+비가동!J32</f>
        <v>204</v>
      </c>
      <c r="H54" s="6238">
        <f>(비가동!K28+비가동!K30+비가동!K32)</f>
        <v>125</v>
      </c>
      <c r="I54" s="6241">
        <f>(비가동!L28+비가동!L30+비가동!L32)</f>
        <v>61</v>
      </c>
      <c r="J54" s="6166">
        <f>비가동!M28+비가동!M30+비가동!M32</f>
        <v>44</v>
      </c>
      <c r="K54" s="6166">
        <f>비가동!N28+비가동!N30+비가동!N32</f>
        <v>3.666666666666667</v>
      </c>
      <c r="L54" s="4186">
        <f>비가동!O28+비가동!O30+비가동!O32</f>
        <v>6</v>
      </c>
      <c r="M54" s="3285">
        <f>비가동!P28+비가동!P30+비가동!P32</f>
        <v>5</v>
      </c>
      <c r="N54" s="3285">
        <f>비가동!Q28+비가동!Q30+비가동!Q32</f>
        <v>8</v>
      </c>
      <c r="O54" s="3285">
        <f>비가동!R28+비가동!R30+비가동!R32</f>
        <v>0</v>
      </c>
      <c r="P54" s="3285">
        <f>비가동!S28+비가동!S30+비가동!S32</f>
        <v>0</v>
      </c>
      <c r="Q54" s="3285">
        <f>비가동!T28+비가동!T30+비가동!T32</f>
        <v>0</v>
      </c>
      <c r="R54" s="3285">
        <f>비가동!U28+비가동!U30+비가동!U32</f>
        <v>0</v>
      </c>
      <c r="S54" s="3285">
        <f>비가동!V28+비가동!V30+비가동!V32</f>
        <v>0</v>
      </c>
      <c r="T54" s="3285">
        <f>비가동!W28+비가동!W30+비가동!W32</f>
        <v>0</v>
      </c>
      <c r="U54" s="3285">
        <f>비가동!X28+비가동!X30+비가동!X32</f>
        <v>0</v>
      </c>
      <c r="V54" s="3285">
        <f>비가동!Y28+비가동!Y30+비가동!Y32</f>
        <v>0</v>
      </c>
      <c r="W54" s="3285">
        <f>비가동!Z28+비가동!Z30+비가동!Z32</f>
        <v>0</v>
      </c>
      <c r="X54" s="5035">
        <f>비가동!AA28+비가동!AA30+비가동!AA32</f>
        <v>19</v>
      </c>
      <c r="Y54" s="3906"/>
      <c r="Z54" s="4721"/>
      <c r="AA54" s="4226"/>
      <c r="AB54" s="4121"/>
      <c r="AC54" s="4121"/>
      <c r="AD54" s="4121"/>
      <c r="AE54" s="4121"/>
      <c r="AF54" s="4121"/>
      <c r="AG54" s="4121"/>
      <c r="AH54" s="4121"/>
      <c r="AI54" s="4121"/>
      <c r="AJ54" s="4121"/>
      <c r="AK54" s="4121"/>
      <c r="AL54" s="5269"/>
      <c r="AM54" s="5269"/>
      <c r="AN54" s="5284"/>
      <c r="AO54" s="3995"/>
      <c r="AP54" s="3977"/>
      <c r="AQ54" s="3977"/>
      <c r="AR54" s="3977"/>
      <c r="AS54" s="3977"/>
      <c r="AT54" s="3977"/>
      <c r="AU54" s="3977"/>
      <c r="AV54" s="3977"/>
      <c r="AW54" s="3977"/>
      <c r="AX54" s="5258"/>
      <c r="AY54" s="3979"/>
      <c r="AZ54" s="4222"/>
      <c r="BA54" s="5333"/>
      <c r="BB54" s="5339"/>
      <c r="BD54" s="2594" t="s">
        <v>1268</v>
      </c>
      <c r="BE54" s="2595">
        <f>BE55+BE60</f>
        <v>114136529</v>
      </c>
      <c r="BF54" s="7766"/>
      <c r="BG54" s="2596"/>
    </row>
    <row r="55" spans="2:61" ht="18" customHeight="1" thickBot="1">
      <c r="B55" s="7719"/>
      <c r="C55" s="7649"/>
      <c r="D55" s="1668" t="s">
        <v>1219</v>
      </c>
      <c r="E55" s="2501">
        <f>비가동!H29+비가동!H31+비가동!H33</f>
        <v>136.38333333333333</v>
      </c>
      <c r="F55" s="2501">
        <f>비가동!I29+비가동!I31+비가동!I33</f>
        <v>137.19999999999999</v>
      </c>
      <c r="G55" s="2501">
        <f>비가동!J29+비가동!J31+비가동!J33</f>
        <v>83.98</v>
      </c>
      <c r="H55" s="6239">
        <f>(비가동!K29+비가동!K31+비가동!K33)</f>
        <v>74.75</v>
      </c>
      <c r="I55" s="6242">
        <f>(비가동!L29+비가동!L31+비가동!L33)</f>
        <v>46.400000000000006</v>
      </c>
      <c r="J55" s="6167">
        <f>비가동!M29+비가동!M31+비가동!M33</f>
        <v>34</v>
      </c>
      <c r="K55" s="6167">
        <f>비가동!N29+비가동!N31+비가동!N33</f>
        <v>2.8333333333333335</v>
      </c>
      <c r="L55" s="4192">
        <f>비가동!O29+비가동!O31+비가동!O33</f>
        <v>2.95</v>
      </c>
      <c r="M55" s="3929">
        <f>비가동!P29+비가동!P31+비가동!P33</f>
        <v>3.0833333333333335</v>
      </c>
      <c r="N55" s="3929">
        <f>비가동!Q29+비가동!Q31+비가동!Q33</f>
        <v>5.5</v>
      </c>
      <c r="O55" s="3929">
        <f>비가동!R29+비가동!R31+비가동!R33</f>
        <v>0</v>
      </c>
      <c r="P55" s="3929">
        <f>비가동!S29+비가동!S31+비가동!S33</f>
        <v>0</v>
      </c>
      <c r="Q55" s="3929">
        <f>비가동!T29+비가동!T31+비가동!T33</f>
        <v>0</v>
      </c>
      <c r="R55" s="3929">
        <f>비가동!U29+비가동!U31+비가동!U33</f>
        <v>0</v>
      </c>
      <c r="S55" s="3929">
        <f>비가동!V29+비가동!V31+비가동!V33</f>
        <v>0</v>
      </c>
      <c r="T55" s="3929">
        <f>비가동!W29+비가동!W31+비가동!W33</f>
        <v>0</v>
      </c>
      <c r="U55" s="3929">
        <f>비가동!X29+비가동!X31+비가동!X33</f>
        <v>0</v>
      </c>
      <c r="V55" s="3929">
        <f>비가동!Y29+비가동!Y31+비가동!Y33</f>
        <v>0</v>
      </c>
      <c r="W55" s="3929">
        <f>비가동!Z29+비가동!Z31+비가동!Z33</f>
        <v>0</v>
      </c>
      <c r="X55" s="5036">
        <f>비가동!AA29+비가동!AA31+비가동!AA33</f>
        <v>11.533333333333333</v>
      </c>
      <c r="Y55" s="3902">
        <f>($I$55-J55)*년간!$E$217</f>
        <v>19785452.40000001</v>
      </c>
      <c r="Z55" s="4715">
        <f>($I$55/12-K55)*년간!$E$217</f>
        <v>1648787.7000000004</v>
      </c>
      <c r="AA55" s="4221">
        <f>Y55/년간!$E$12</f>
        <v>327.64311698739647</v>
      </c>
      <c r="AB55" s="4114">
        <f>($I$55/12-L55)*년간!$E$217</f>
        <v>1462634.2500000005</v>
      </c>
      <c r="AC55" s="4114">
        <f>($I$55/12-M55)*년간!$E$217</f>
        <v>1249887.4500000004</v>
      </c>
      <c r="AD55" s="4114">
        <f>($I$55/12-N55)*년간!$E$217</f>
        <v>-2606148.2999999993</v>
      </c>
      <c r="AE55" s="4114">
        <f>($I$55/12-O55)*년간!$E$217</f>
        <v>6169657.2000000011</v>
      </c>
      <c r="AF55" s="4114">
        <f>($I$55/12-P55)*년간!$E$217</f>
        <v>6169657.2000000011</v>
      </c>
      <c r="AG55" s="4114">
        <f>($I$55/12-Q55)*년간!$E$217</f>
        <v>6169657.2000000011</v>
      </c>
      <c r="AH55" s="4114">
        <f>($I$55/12-R55)*년간!$E$217</f>
        <v>6169657.2000000011</v>
      </c>
      <c r="AI55" s="4114">
        <f>($I$55/12-S55)*년간!$E$217</f>
        <v>6169657.2000000011</v>
      </c>
      <c r="AJ55" s="4114">
        <f>($I$55/12-T55)*년간!$E$217</f>
        <v>6169657.2000000011</v>
      </c>
      <c r="AK55" s="4114">
        <f>($I$55/12-U55)*년간!$E$217</f>
        <v>6169657.2000000011</v>
      </c>
      <c r="AL55" s="5264"/>
      <c r="AM55" s="5264"/>
      <c r="AN55" s="5283">
        <f t="shared" si="1"/>
        <v>43293973.800000019</v>
      </c>
      <c r="AO55" s="3994">
        <f t="shared" si="7"/>
        <v>327.64311698739647</v>
      </c>
      <c r="AP55" s="3973" t="e">
        <f>AB55/년간!#REF!</f>
        <v>#REF!</v>
      </c>
      <c r="AQ55" s="3973" t="e">
        <f>AC55/년간!#REF!</f>
        <v>#REF!</v>
      </c>
      <c r="AR55" s="3973" t="e">
        <f>AD55/년간!#REF!</f>
        <v>#REF!</v>
      </c>
      <c r="AS55" s="3973" t="e">
        <f>AE55/년간!#REF!</f>
        <v>#REF!</v>
      </c>
      <c r="AT55" s="3973" t="e">
        <f>AF55/년간!#REF!</f>
        <v>#REF!</v>
      </c>
      <c r="AU55" s="3973" t="e">
        <f>AG55/년간!#REF!</f>
        <v>#REF!</v>
      </c>
      <c r="AV55" s="3973" t="e">
        <f>AH55/년간!#REF!</f>
        <v>#REF!</v>
      </c>
      <c r="AW55" s="3973" t="e">
        <f>AI55/년간!#REF!</f>
        <v>#REF!</v>
      </c>
      <c r="AX55" s="3966" t="e">
        <f>AJ55/년간!#REF!</f>
        <v>#REF!</v>
      </c>
      <c r="AY55" s="3978" t="e">
        <f>AK55/년간!#REF!</f>
        <v>#REF!</v>
      </c>
      <c r="AZ55" s="4219"/>
      <c r="BA55" s="4909"/>
      <c r="BB55" s="4035">
        <f>AN55/년간!$V$12</f>
        <v>2840.0758202434422</v>
      </c>
      <c r="BD55" s="2597" t="s">
        <v>1270</v>
      </c>
      <c r="BE55" s="2598">
        <f>(BE56+BE57+BE58+BE59)</f>
        <v>104175711</v>
      </c>
      <c r="BF55" s="7767"/>
      <c r="BG55" s="2599">
        <f>BG56+BG57+BG58+BG59</f>
        <v>93758139.899999991</v>
      </c>
    </row>
    <row r="56" spans="2:61" ht="16.5">
      <c r="B56" s="7747"/>
      <c r="C56" s="7750" t="s">
        <v>16</v>
      </c>
      <c r="D56" s="2509" t="s">
        <v>1218</v>
      </c>
      <c r="E56" s="1930">
        <f t="shared" ref="E56:J57" si="37">E46+E48+E50+E52+E54</f>
        <v>1011</v>
      </c>
      <c r="F56" s="1930">
        <f t="shared" si="37"/>
        <v>702</v>
      </c>
      <c r="G56" s="1930">
        <f t="shared" si="37"/>
        <v>512</v>
      </c>
      <c r="H56" s="2577">
        <f t="shared" si="37"/>
        <v>343</v>
      </c>
      <c r="I56" s="2502">
        <f>I46+I48+I50+I52+I54</f>
        <v>196</v>
      </c>
      <c r="J56" s="2577">
        <f t="shared" si="37"/>
        <v>138</v>
      </c>
      <c r="K56" s="2577">
        <f t="shared" ref="K56:P57" si="38">K46+K48+K50+K52+K54</f>
        <v>12.516666666666666</v>
      </c>
      <c r="L56" s="4193">
        <f t="shared" si="38"/>
        <v>19</v>
      </c>
      <c r="M56" s="3930">
        <f t="shared" si="38"/>
        <v>15</v>
      </c>
      <c r="N56" s="3930">
        <f t="shared" si="38"/>
        <v>36</v>
      </c>
      <c r="O56" s="3930">
        <f t="shared" si="38"/>
        <v>0</v>
      </c>
      <c r="P56" s="3930">
        <f t="shared" si="38"/>
        <v>0</v>
      </c>
      <c r="Q56" s="3930">
        <f>Q46+Q48+Q50+Q52+Q54</f>
        <v>0</v>
      </c>
      <c r="R56" s="3930">
        <f>R46+R48+R50+R52+R54</f>
        <v>0</v>
      </c>
      <c r="S56" s="3930">
        <f t="shared" ref="S56:X56" si="39">S46+S48+S50+S52+S54</f>
        <v>0</v>
      </c>
      <c r="T56" s="3930">
        <f t="shared" si="39"/>
        <v>0</v>
      </c>
      <c r="U56" s="3930">
        <f t="shared" si="39"/>
        <v>0</v>
      </c>
      <c r="V56" s="3930">
        <f t="shared" si="39"/>
        <v>0</v>
      </c>
      <c r="W56" s="3930">
        <f t="shared" si="39"/>
        <v>0</v>
      </c>
      <c r="X56" s="3930">
        <f t="shared" si="39"/>
        <v>70</v>
      </c>
      <c r="Y56" s="7726">
        <f>Y47+Y49+Y51+Y53+Y55</f>
        <v>111573707.61666669</v>
      </c>
      <c r="Z56" s="7727">
        <f>Z47+Z49+Z51+Z53+Z55</f>
        <v>10664611.746666668</v>
      </c>
      <c r="AA56" s="4222"/>
      <c r="AB56" s="7725">
        <f t="shared" ref="AB56:AG56" si="40">AB47+AB49+AB51+AB53+AB55</f>
        <v>6102414.4097222239</v>
      </c>
      <c r="AC56" s="7725">
        <f t="shared" si="40"/>
        <v>13308319.943055557</v>
      </c>
      <c r="AD56" s="7725">
        <f t="shared" si="40"/>
        <v>-20438671.473611113</v>
      </c>
      <c r="AE56" s="7725">
        <f t="shared" si="40"/>
        <v>27278623.42638889</v>
      </c>
      <c r="AF56" s="7725">
        <f t="shared" si="40"/>
        <v>27278623.42638889</v>
      </c>
      <c r="AG56" s="7725">
        <f t="shared" si="40"/>
        <v>27278623.42638889</v>
      </c>
      <c r="AH56" s="7725">
        <f>AH47+AH49+AH51+AH53+AH55</f>
        <v>27278623.42638889</v>
      </c>
      <c r="AI56" s="7764">
        <f>AI47+AI49+AI51+AI53+AI55</f>
        <v>27278623.42638889</v>
      </c>
      <c r="AJ56" s="7764">
        <f>AJ47+AJ49+AJ51+AJ53+AJ55</f>
        <v>27278623.42638889</v>
      </c>
      <c r="AK56" s="7764">
        <f>AK47+AK49+AK51+AK53+AK55</f>
        <v>27278623.42638889</v>
      </c>
      <c r="AL56" s="3895"/>
      <c r="AM56" s="3895"/>
      <c r="AN56" s="5284"/>
      <c r="AO56" s="3955"/>
      <c r="AP56" s="4123"/>
      <c r="AQ56" s="4123"/>
      <c r="AR56" s="4123"/>
      <c r="AS56" s="4123"/>
      <c r="AT56" s="4123"/>
      <c r="AU56" s="4123"/>
      <c r="AV56" s="4123"/>
      <c r="AW56" s="4123"/>
      <c r="AX56" s="4123"/>
      <c r="AY56" s="5552"/>
      <c r="AZ56" s="4222"/>
      <c r="BA56" s="5333"/>
      <c r="BB56" s="5339"/>
      <c r="BD56" s="2597" t="s">
        <v>1271</v>
      </c>
      <c r="BE56" s="2598">
        <v>2620364</v>
      </c>
      <c r="BF56" s="7767"/>
      <c r="BG56" s="2600">
        <f>BE56*0.9</f>
        <v>2358327.6</v>
      </c>
    </row>
    <row r="57" spans="2:61" ht="16.5">
      <c r="B57" s="7747"/>
      <c r="C57" s="7748"/>
      <c r="D57" s="2510" t="s">
        <v>1219</v>
      </c>
      <c r="E57" s="2496">
        <f t="shared" si="37"/>
        <v>960.06666666666672</v>
      </c>
      <c r="F57" s="2496">
        <f t="shared" si="37"/>
        <v>640.18333333333339</v>
      </c>
      <c r="G57" s="2496">
        <f t="shared" si="37"/>
        <v>389.74666666666673</v>
      </c>
      <c r="H57" s="3895">
        <f t="shared" si="37"/>
        <v>349.40000000000003</v>
      </c>
      <c r="I57" s="6243">
        <f>I47+I49+I51+I53+I55</f>
        <v>229.38333333333335</v>
      </c>
      <c r="J57" s="3895">
        <f t="shared" si="37"/>
        <v>143.25</v>
      </c>
      <c r="K57" s="3895">
        <f t="shared" si="38"/>
        <v>13.4</v>
      </c>
      <c r="L57" s="4194">
        <f t="shared" si="38"/>
        <v>14.316666666666666</v>
      </c>
      <c r="M57" s="3916">
        <f t="shared" si="38"/>
        <v>9.3666666666666671</v>
      </c>
      <c r="N57" s="3916">
        <f t="shared" si="38"/>
        <v>28.683333333333337</v>
      </c>
      <c r="O57" s="3916">
        <f t="shared" si="38"/>
        <v>0</v>
      </c>
      <c r="P57" s="3916">
        <f t="shared" si="38"/>
        <v>0</v>
      </c>
      <c r="Q57" s="3916">
        <f>Q47+Q49+Q51+Q53+Q55</f>
        <v>0</v>
      </c>
      <c r="R57" s="3916">
        <f>R47+R49+R51+R53+R55</f>
        <v>0</v>
      </c>
      <c r="S57" s="3916">
        <f t="shared" ref="S57:X57" si="41">S47+S49+S51+S53+S55</f>
        <v>0</v>
      </c>
      <c r="T57" s="3916">
        <f t="shared" si="41"/>
        <v>0</v>
      </c>
      <c r="U57" s="3916">
        <f t="shared" si="41"/>
        <v>0</v>
      </c>
      <c r="V57" s="3916">
        <f t="shared" si="41"/>
        <v>0</v>
      </c>
      <c r="W57" s="3916">
        <f t="shared" si="41"/>
        <v>0</v>
      </c>
      <c r="X57" s="3916">
        <f t="shared" si="41"/>
        <v>52.36666666666666</v>
      </c>
      <c r="Y57" s="7726"/>
      <c r="Z57" s="7727"/>
      <c r="AA57" s="4215">
        <f>Y56/년간!E13</f>
        <v>107.19858950047438</v>
      </c>
      <c r="AB57" s="7725"/>
      <c r="AC57" s="7725"/>
      <c r="AD57" s="7725"/>
      <c r="AE57" s="7725"/>
      <c r="AF57" s="7725"/>
      <c r="AG57" s="7725"/>
      <c r="AH57" s="7725"/>
      <c r="AI57" s="7765"/>
      <c r="AJ57" s="7765"/>
      <c r="AK57" s="7765"/>
      <c r="AL57" s="3895"/>
      <c r="AM57" s="3895"/>
      <c r="AN57" s="5284">
        <f>SUM(AB56:AM56)</f>
        <v>189922426.86388889</v>
      </c>
      <c r="AO57" s="3968">
        <f>AA57</f>
        <v>107.19858950047438</v>
      </c>
      <c r="AP57" s="4122">
        <f>AB56/년간!F13</f>
        <v>351.95400856710597</v>
      </c>
      <c r="AQ57" s="4122">
        <f>AC56/년간!G13</f>
        <v>796.04784684376284</v>
      </c>
      <c r="AR57" s="4122">
        <f>AD56/년간!H13</f>
        <v>-221.63076271866572</v>
      </c>
      <c r="AS57" s="4122" t="e">
        <f>AE56/년간!I13</f>
        <v>#DIV/0!</v>
      </c>
      <c r="AT57" s="4122" t="e">
        <f>AF56/년간!J13</f>
        <v>#DIV/0!</v>
      </c>
      <c r="AU57" s="4122" t="e">
        <f>AG56/년간!K13</f>
        <v>#DIV/0!</v>
      </c>
      <c r="AV57" s="4122" t="e">
        <f>AH56/년간!L13</f>
        <v>#DIV/0!</v>
      </c>
      <c r="AW57" s="4122" t="e">
        <f>AI56/년간!M13</f>
        <v>#DIV/0!</v>
      </c>
      <c r="AX57" s="5310" t="e">
        <f>AJ56/년간!N13</f>
        <v>#DIV/0!</v>
      </c>
      <c r="AY57" s="5328" t="e">
        <f>AK56/년간!O13</f>
        <v>#DIV/0!</v>
      </c>
      <c r="AZ57" s="4215"/>
      <c r="BA57" s="5332"/>
      <c r="BB57" s="5338">
        <f>AN57/년간!$V$13</f>
        <v>1504.0247659148954</v>
      </c>
      <c r="BD57" s="2597" t="s">
        <v>1272</v>
      </c>
      <c r="BE57" s="2598">
        <v>15394250</v>
      </c>
      <c r="BF57" s="7767"/>
      <c r="BG57" s="2600">
        <f>BE57*0.9</f>
        <v>13854825</v>
      </c>
    </row>
    <row r="58" spans="2:61" ht="16.5">
      <c r="B58" s="7747"/>
      <c r="C58" s="7748" t="s">
        <v>489</v>
      </c>
      <c r="D58" s="2510" t="s">
        <v>1218</v>
      </c>
      <c r="E58" s="2496">
        <f t="shared" ref="E58:H59" si="42">E56/12</f>
        <v>84.25</v>
      </c>
      <c r="F58" s="2496">
        <f t="shared" si="42"/>
        <v>58.5</v>
      </c>
      <c r="G58" s="2496">
        <f t="shared" si="42"/>
        <v>42.666666666666664</v>
      </c>
      <c r="H58" s="3895">
        <f t="shared" si="42"/>
        <v>28.583333333333332</v>
      </c>
      <c r="I58" s="6243">
        <f>I56/12</f>
        <v>16.333333333333332</v>
      </c>
      <c r="J58" s="3895">
        <f t="shared" ref="J58:P59" si="43">J56/12</f>
        <v>11.5</v>
      </c>
      <c r="K58" s="3895">
        <f t="shared" si="43"/>
        <v>1.0430555555555554</v>
      </c>
      <c r="L58" s="4194">
        <f t="shared" si="43"/>
        <v>1.5833333333333333</v>
      </c>
      <c r="M58" s="3916">
        <f t="shared" si="43"/>
        <v>1.25</v>
      </c>
      <c r="N58" s="3916">
        <f t="shared" si="43"/>
        <v>3</v>
      </c>
      <c r="O58" s="3916">
        <f t="shared" si="43"/>
        <v>0</v>
      </c>
      <c r="P58" s="3916">
        <f t="shared" si="43"/>
        <v>0</v>
      </c>
      <c r="Q58" s="3916">
        <f>Q56/12</f>
        <v>0</v>
      </c>
      <c r="R58" s="3916">
        <f>R56/12</f>
        <v>0</v>
      </c>
      <c r="S58" s="3916">
        <f t="shared" ref="S58:X58" si="44">S56/12</f>
        <v>0</v>
      </c>
      <c r="T58" s="3916">
        <f t="shared" si="44"/>
        <v>0</v>
      </c>
      <c r="U58" s="3916">
        <f t="shared" si="44"/>
        <v>0</v>
      </c>
      <c r="V58" s="3916">
        <f t="shared" si="44"/>
        <v>0</v>
      </c>
      <c r="W58" s="3916">
        <f t="shared" si="44"/>
        <v>0</v>
      </c>
      <c r="X58" s="3916">
        <f t="shared" si="44"/>
        <v>5.833333333333333</v>
      </c>
      <c r="Y58" s="7726">
        <f>Y56/12</f>
        <v>9297808.9680555575</v>
      </c>
      <c r="Z58" s="7727">
        <f>Z56/12</f>
        <v>888717.6455555557</v>
      </c>
      <c r="AA58" s="4222"/>
      <c r="AB58" s="7725"/>
      <c r="AC58" s="7725"/>
      <c r="AD58" s="7725"/>
      <c r="AE58" s="7725"/>
      <c r="AF58" s="7725"/>
      <c r="AG58" s="7725"/>
      <c r="AH58" s="7725"/>
      <c r="AI58" s="7725"/>
      <c r="AJ58" s="7725"/>
      <c r="AK58" s="7725"/>
      <c r="AL58" s="3895"/>
      <c r="AM58" s="3895"/>
      <c r="AN58" s="5284"/>
      <c r="AO58" s="3955"/>
      <c r="AP58" s="4123"/>
      <c r="AQ58" s="4123"/>
      <c r="AR58" s="4123"/>
      <c r="AS58" s="4123"/>
      <c r="AT58" s="4123"/>
      <c r="AU58" s="4123"/>
      <c r="AV58" s="4123"/>
      <c r="AW58" s="4123"/>
      <c r="AX58" s="4123"/>
      <c r="AY58" s="5552"/>
      <c r="AZ58" s="4222"/>
      <c r="BA58" s="5333"/>
      <c r="BB58" s="5339"/>
      <c r="BD58" s="2597" t="s">
        <v>1273</v>
      </c>
      <c r="BE58" s="2598">
        <v>58319400</v>
      </c>
      <c r="BF58" s="7767"/>
      <c r="BG58" s="2600">
        <f>BE58*0.9</f>
        <v>52487460</v>
      </c>
      <c r="BH58" s="2605">
        <v>0</v>
      </c>
    </row>
    <row r="59" spans="2:61" ht="17.25" thickBot="1">
      <c r="B59" s="7730"/>
      <c r="C59" s="7749"/>
      <c r="D59" s="2153" t="s">
        <v>1219</v>
      </c>
      <c r="E59" s="1827">
        <f t="shared" si="42"/>
        <v>80.00555555555556</v>
      </c>
      <c r="F59" s="1827">
        <f t="shared" si="42"/>
        <v>53.348611111111119</v>
      </c>
      <c r="G59" s="1827">
        <f t="shared" si="42"/>
        <v>32.478888888888896</v>
      </c>
      <c r="H59" s="3353">
        <f t="shared" si="42"/>
        <v>29.116666666666671</v>
      </c>
      <c r="I59" s="6243">
        <f>I57/12</f>
        <v>19.115277777777781</v>
      </c>
      <c r="J59" s="3353">
        <f t="shared" si="43"/>
        <v>11.9375</v>
      </c>
      <c r="K59" s="3353">
        <f t="shared" si="43"/>
        <v>1.1166666666666667</v>
      </c>
      <c r="L59" s="4195">
        <f t="shared" si="43"/>
        <v>1.1930555555555555</v>
      </c>
      <c r="M59" s="3931">
        <f t="shared" si="43"/>
        <v>0.78055555555555556</v>
      </c>
      <c r="N59" s="3931">
        <f t="shared" si="43"/>
        <v>2.3902777777777779</v>
      </c>
      <c r="O59" s="3931">
        <f t="shared" si="43"/>
        <v>0</v>
      </c>
      <c r="P59" s="3931">
        <f t="shared" si="43"/>
        <v>0</v>
      </c>
      <c r="Q59" s="3931">
        <f>Q57/12</f>
        <v>0</v>
      </c>
      <c r="R59" s="3931">
        <f>R57/12</f>
        <v>0</v>
      </c>
      <c r="S59" s="3931">
        <f t="shared" ref="S59:X59" si="45">S57/12</f>
        <v>0</v>
      </c>
      <c r="T59" s="3931">
        <f t="shared" si="45"/>
        <v>0</v>
      </c>
      <c r="U59" s="3931">
        <f t="shared" si="45"/>
        <v>0</v>
      </c>
      <c r="V59" s="3931">
        <f t="shared" si="45"/>
        <v>0</v>
      </c>
      <c r="W59" s="3931">
        <f t="shared" si="45"/>
        <v>0</v>
      </c>
      <c r="X59" s="3931">
        <f t="shared" si="45"/>
        <v>4.363888888888888</v>
      </c>
      <c r="Y59" s="7726"/>
      <c r="Z59" s="7727"/>
      <c r="AA59" s="4222"/>
      <c r="AB59" s="7725"/>
      <c r="AC59" s="7725"/>
      <c r="AD59" s="7725"/>
      <c r="AE59" s="7725"/>
      <c r="AF59" s="7725"/>
      <c r="AG59" s="7725"/>
      <c r="AH59" s="7725"/>
      <c r="AI59" s="7725"/>
      <c r="AJ59" s="7725"/>
      <c r="AK59" s="7725"/>
      <c r="AL59" s="3895"/>
      <c r="AM59" s="3895"/>
      <c r="AN59" s="5284"/>
      <c r="AO59" s="3955"/>
      <c r="AP59" s="4123"/>
      <c r="AQ59" s="4123"/>
      <c r="AR59" s="4123"/>
      <c r="AS59" s="4123"/>
      <c r="AT59" s="4123"/>
      <c r="AU59" s="4123"/>
      <c r="AV59" s="4123"/>
      <c r="AW59" s="4123"/>
      <c r="AX59" s="4123"/>
      <c r="AY59" s="5552"/>
      <c r="AZ59" s="4222"/>
      <c r="BA59" s="5333"/>
      <c r="BB59" s="5339"/>
      <c r="BD59" s="2597" t="s">
        <v>1274</v>
      </c>
      <c r="BE59" s="2598">
        <v>27841697</v>
      </c>
      <c r="BF59" s="7767"/>
      <c r="BG59" s="2600">
        <f>BE59*0.9</f>
        <v>25057527.300000001</v>
      </c>
      <c r="BH59" s="2605">
        <v>0</v>
      </c>
      <c r="BI59">
        <v>0.52513796740770902</v>
      </c>
    </row>
    <row r="60" spans="2:61" ht="16.5">
      <c r="B60" s="7718" t="s">
        <v>1223</v>
      </c>
      <c r="C60" s="2244" t="s">
        <v>39</v>
      </c>
      <c r="D60" s="1154" t="s">
        <v>1218</v>
      </c>
      <c r="E60" s="1165">
        <v>5</v>
      </c>
      <c r="F60" s="1165">
        <v>3</v>
      </c>
      <c r="G60" s="1165">
        <v>0</v>
      </c>
      <c r="H60" s="2854">
        <f>종합!BH212</f>
        <v>3</v>
      </c>
      <c r="I60" s="2854">
        <f>종합!BI212</f>
        <v>1</v>
      </c>
      <c r="J60" s="6168">
        <f>I60*0.9</f>
        <v>0.9</v>
      </c>
      <c r="K60" s="6169">
        <f>J60/12</f>
        <v>7.4999999999999997E-2</v>
      </c>
      <c r="L60" s="4196">
        <f>종합!AT212</f>
        <v>0</v>
      </c>
      <c r="M60" s="3964">
        <f>종합!AU212</f>
        <v>0</v>
      </c>
      <c r="N60" s="3964">
        <f>종합!AV212</f>
        <v>0</v>
      </c>
      <c r="O60" s="3964">
        <f>종합!AW212</f>
        <v>0</v>
      </c>
      <c r="P60" s="3964">
        <f>종합!AX212</f>
        <v>0</v>
      </c>
      <c r="Q60" s="3964">
        <f>종합!AY212</f>
        <v>0</v>
      </c>
      <c r="R60" s="3964">
        <f>종합!AZ212</f>
        <v>0</v>
      </c>
      <c r="S60" s="3964">
        <f>종합!BA212</f>
        <v>0</v>
      </c>
      <c r="T60" s="3964">
        <f>종합!BB212</f>
        <v>0</v>
      </c>
      <c r="U60" s="3964">
        <f>종합!BC212</f>
        <v>0</v>
      </c>
      <c r="V60" s="3964">
        <f>종합!BD212</f>
        <v>0</v>
      </c>
      <c r="W60" s="3964">
        <f>종합!BE212</f>
        <v>0</v>
      </c>
      <c r="X60" s="5037">
        <f>종합!BF212</f>
        <v>0</v>
      </c>
      <c r="Y60" s="3907">
        <f>$BE$56-BG56</f>
        <v>262036.39999999991</v>
      </c>
      <c r="Z60" s="3455">
        <f>$BE$56/12</f>
        <v>218363.66666666666</v>
      </c>
      <c r="AA60" s="3978">
        <f>Y60/년간!E8</f>
        <v>0.92784493686573577</v>
      </c>
      <c r="AB60" s="3978">
        <f>$Y$60/12-종합!BL212</f>
        <v>21836.366666666658</v>
      </c>
      <c r="AC60" s="3978">
        <f>$Y$60/12-종합!BM212</f>
        <v>21836.366666666658</v>
      </c>
      <c r="AD60" s="3978">
        <f>$Y$60/12-종합!BN212</f>
        <v>21836.366666666658</v>
      </c>
      <c r="AE60" s="3978">
        <f>$Y$60/12-종합!BO212</f>
        <v>21836.366666666658</v>
      </c>
      <c r="AF60" s="3978">
        <f>$Y$60/12-종합!BP212</f>
        <v>21836.366666666658</v>
      </c>
      <c r="AG60" s="3978">
        <f>$Y$60/12-종합!BQ212</f>
        <v>21836.366666666658</v>
      </c>
      <c r="AH60" s="3978">
        <f>$Y$60/12-종합!BR212</f>
        <v>21836.366666666658</v>
      </c>
      <c r="AI60" s="3978">
        <f>$Y$60/12-종합!BS212</f>
        <v>21836.366666666658</v>
      </c>
      <c r="AJ60" s="3978">
        <f>$Y$60/12-종합!BT212</f>
        <v>21836.366666666658</v>
      </c>
      <c r="AK60" s="3978">
        <f>$Y$60/12-종합!BU212</f>
        <v>21836.366666666658</v>
      </c>
      <c r="AL60" s="5270"/>
      <c r="AM60" s="5270"/>
      <c r="AN60" s="5283">
        <f t="shared" si="1"/>
        <v>218363.6666666666</v>
      </c>
      <c r="AO60" s="3973">
        <f t="shared" si="7"/>
        <v>0.92784493686573577</v>
      </c>
      <c r="AP60" s="3973" t="e">
        <f>AB60/년간!F8</f>
        <v>#DIV/0!</v>
      </c>
      <c r="AQ60" s="3973" t="e">
        <f>AC60/년간!G8</f>
        <v>#DIV/0!</v>
      </c>
      <c r="AR60" s="3973">
        <f>AD60/년간!H8</f>
        <v>0.7916855798853264</v>
      </c>
      <c r="AS60" s="3973" t="e">
        <f>AE60/년간!I8</f>
        <v>#DIV/0!</v>
      </c>
      <c r="AT60" s="3973" t="e">
        <f>AF60/년간!J8</f>
        <v>#DIV/0!</v>
      </c>
      <c r="AU60" s="3973" t="e">
        <f>AG60/년간!K8</f>
        <v>#DIV/0!</v>
      </c>
      <c r="AV60" s="3973" t="e">
        <f>AH60/년간!L8</f>
        <v>#DIV/0!</v>
      </c>
      <c r="AW60" s="3973" t="e">
        <f>AI60/년간!M8</f>
        <v>#DIV/0!</v>
      </c>
      <c r="AX60" s="3966" t="e">
        <f>AJ60/년간!N8</f>
        <v>#DIV/0!</v>
      </c>
      <c r="AY60" s="3978" t="e">
        <f>AK60/년간!O8</f>
        <v>#DIV/0!</v>
      </c>
      <c r="AZ60" s="4219"/>
      <c r="BA60" s="4909"/>
      <c r="BB60" s="4035">
        <f>AN60/년간!$V$8</f>
        <v>7.9168557988532644</v>
      </c>
      <c r="BD60" s="2597" t="s">
        <v>1275</v>
      </c>
      <c r="BE60" s="2598">
        <f>BE61+BE62+BE63</f>
        <v>9960818</v>
      </c>
      <c r="BF60" s="7767"/>
      <c r="BG60" s="2601">
        <f>BG61+BG62+BG63</f>
        <v>8964736.1999999993</v>
      </c>
    </row>
    <row r="61" spans="2:61" ht="16.5">
      <c r="B61" s="7719"/>
      <c r="C61" s="2492" t="s">
        <v>42</v>
      </c>
      <c r="D61" s="2493" t="s">
        <v>1218</v>
      </c>
      <c r="E61" s="2498">
        <v>0</v>
      </c>
      <c r="F61" s="2498">
        <v>0</v>
      </c>
      <c r="G61" s="2498">
        <v>0</v>
      </c>
      <c r="H61" s="2854">
        <f>종합!BH213</f>
        <v>0</v>
      </c>
      <c r="I61" s="2854">
        <f>종합!BI213</f>
        <v>0</v>
      </c>
      <c r="J61" s="6170">
        <f>I61*0.9</f>
        <v>0</v>
      </c>
      <c r="K61" s="6171">
        <f>J61/12</f>
        <v>0</v>
      </c>
      <c r="L61" s="4197">
        <f>종합!AT213</f>
        <v>0</v>
      </c>
      <c r="M61" s="3965">
        <f>종합!AU213</f>
        <v>0</v>
      </c>
      <c r="N61" s="3965">
        <f>종합!AV213</f>
        <v>0</v>
      </c>
      <c r="O61" s="3965">
        <f>종합!AW213</f>
        <v>0</v>
      </c>
      <c r="P61" s="3965">
        <f>종합!AX213</f>
        <v>0</v>
      </c>
      <c r="Q61" s="3965">
        <f>종합!AY213</f>
        <v>0</v>
      </c>
      <c r="R61" s="3965">
        <f>종합!AZ213</f>
        <v>0</v>
      </c>
      <c r="S61" s="3965">
        <f>종합!BA213</f>
        <v>0</v>
      </c>
      <c r="T61" s="3965">
        <f>종합!BB213</f>
        <v>0</v>
      </c>
      <c r="U61" s="3965">
        <f>종합!BC213</f>
        <v>0</v>
      </c>
      <c r="V61" s="3965">
        <f>종합!BD213</f>
        <v>0</v>
      </c>
      <c r="W61" s="3965">
        <f>종합!BE213</f>
        <v>0</v>
      </c>
      <c r="X61" s="5038">
        <f>종합!BF213</f>
        <v>0</v>
      </c>
      <c r="Y61" s="3908"/>
      <c r="Z61" s="4222"/>
      <c r="AA61" s="3978">
        <f>Y61/년간!E9</f>
        <v>0</v>
      </c>
      <c r="AB61" s="3979"/>
      <c r="AC61" s="3979"/>
      <c r="AD61" s="3979"/>
      <c r="AE61" s="3979"/>
      <c r="AF61" s="3979"/>
      <c r="AG61" s="3979"/>
      <c r="AH61" s="3979"/>
      <c r="AI61" s="3979"/>
      <c r="AJ61" s="3979"/>
      <c r="AK61" s="3979"/>
      <c r="AL61" s="5271"/>
      <c r="AM61" s="5271"/>
      <c r="AN61" s="5284"/>
      <c r="AO61" s="3977"/>
      <c r="AP61" s="3977"/>
      <c r="AQ61" s="3977"/>
      <c r="AR61" s="3977"/>
      <c r="AS61" s="3977"/>
      <c r="AT61" s="3977"/>
      <c r="AU61" s="3977"/>
      <c r="AV61" s="3977"/>
      <c r="AW61" s="3977"/>
      <c r="AX61" s="5258"/>
      <c r="AY61" s="3979"/>
      <c r="AZ61" s="5396"/>
      <c r="BA61" s="5397"/>
      <c r="BB61" s="5339"/>
      <c r="BD61" s="2597" t="s">
        <v>1276</v>
      </c>
      <c r="BE61" s="2598">
        <v>2497364</v>
      </c>
      <c r="BF61" s="7767"/>
      <c r="BG61" s="2600">
        <f>BE61*0.9</f>
        <v>2247627.6</v>
      </c>
    </row>
    <row r="62" spans="2:61" ht="16.5">
      <c r="B62" s="7719"/>
      <c r="C62" s="2492" t="s">
        <v>29</v>
      </c>
      <c r="D62" s="2493" t="s">
        <v>1218</v>
      </c>
      <c r="E62" s="2498">
        <v>16</v>
      </c>
      <c r="F62" s="2498">
        <v>8</v>
      </c>
      <c r="G62" s="2498">
        <v>5</v>
      </c>
      <c r="H62" s="2854">
        <f>종합!BH214</f>
        <v>9</v>
      </c>
      <c r="I62" s="2854">
        <f>종합!BI214</f>
        <v>6</v>
      </c>
      <c r="J62" s="6172">
        <f>I62*0.9</f>
        <v>5.4</v>
      </c>
      <c r="K62" s="6171">
        <f>J62/12</f>
        <v>0.45</v>
      </c>
      <c r="L62" s="4197">
        <f>종합!AT214</f>
        <v>0</v>
      </c>
      <c r="M62" s="3965">
        <f>종합!AU214</f>
        <v>0</v>
      </c>
      <c r="N62" s="3965">
        <f>종합!AV214</f>
        <v>0</v>
      </c>
      <c r="O62" s="3965">
        <f>종합!AW214</f>
        <v>0</v>
      </c>
      <c r="P62" s="3965">
        <f>종합!AX214</f>
        <v>0</v>
      </c>
      <c r="Q62" s="3965">
        <f>종합!AY214</f>
        <v>0</v>
      </c>
      <c r="R62" s="3965">
        <f>종합!AZ214</f>
        <v>0</v>
      </c>
      <c r="S62" s="3965">
        <f>종합!BA214</f>
        <v>0</v>
      </c>
      <c r="T62" s="3965">
        <f>종합!BB214</f>
        <v>0</v>
      </c>
      <c r="U62" s="3965">
        <f>종합!BC214</f>
        <v>0</v>
      </c>
      <c r="V62" s="3965">
        <f>종합!BD214</f>
        <v>0</v>
      </c>
      <c r="W62" s="3965">
        <f>종합!BE214</f>
        <v>0</v>
      </c>
      <c r="X62" s="5038">
        <f>종합!BF214</f>
        <v>0</v>
      </c>
      <c r="Y62" s="3907">
        <f>$BE$57-BG57</f>
        <v>1539425</v>
      </c>
      <c r="Z62" s="3455">
        <f>$BE$57/12</f>
        <v>1282854.1666666667</v>
      </c>
      <c r="AA62" s="3978">
        <f>Y62/년간!E10</f>
        <v>5.7428374244572113</v>
      </c>
      <c r="AB62" s="3978">
        <f>$Y$62/12-종합!BL214</f>
        <v>128285.41666666667</v>
      </c>
      <c r="AC62" s="3978">
        <f>$Y$62/12-종합!BM214</f>
        <v>128285.41666666667</v>
      </c>
      <c r="AD62" s="3978">
        <f>$Y$62/12-종합!BN214</f>
        <v>128285.41666666667</v>
      </c>
      <c r="AE62" s="3978">
        <f>$Y$62/12-종합!BO214</f>
        <v>128285.41666666667</v>
      </c>
      <c r="AF62" s="3978">
        <f>$Y$62/12-종합!BP214</f>
        <v>128285.41666666667</v>
      </c>
      <c r="AG62" s="3978">
        <f>$Y$62/12-종합!BQ214</f>
        <v>128285.41666666667</v>
      </c>
      <c r="AH62" s="3978">
        <f>$Y$62/12-종합!BR214</f>
        <v>128285.41666666667</v>
      </c>
      <c r="AI62" s="3978">
        <f>$Y$62/12-종합!BS214</f>
        <v>128285.41666666667</v>
      </c>
      <c r="AJ62" s="3978">
        <f>$Y$62/12-종합!BT214</f>
        <v>128285.41666666667</v>
      </c>
      <c r="AK62" s="3978">
        <f>$Y$62/12-종합!BU214</f>
        <v>128285.41666666667</v>
      </c>
      <c r="AL62" s="5270"/>
      <c r="AM62" s="5270"/>
      <c r="AN62" s="5283">
        <f t="shared" si="1"/>
        <v>1282854.1666666667</v>
      </c>
      <c r="AO62" s="3973">
        <f t="shared" si="7"/>
        <v>5.7428374244572113</v>
      </c>
      <c r="AP62" s="3973" t="e">
        <f>AB62/년간!F10</f>
        <v>#DIV/0!</v>
      </c>
      <c r="AQ62" s="3973" t="e">
        <f>AC62/년간!G10</f>
        <v>#DIV/0!</v>
      </c>
      <c r="AR62" s="3973">
        <f>AD62/년간!H10</f>
        <v>5.612514690957954</v>
      </c>
      <c r="AS62" s="3973" t="e">
        <f>AE62/년간!I10</f>
        <v>#DIV/0!</v>
      </c>
      <c r="AT62" s="3973" t="e">
        <f>AF62/년간!J10</f>
        <v>#DIV/0!</v>
      </c>
      <c r="AU62" s="3973" t="e">
        <f>AG62/년간!K10</f>
        <v>#DIV/0!</v>
      </c>
      <c r="AV62" s="3973" t="e">
        <f>AH62/년간!L10</f>
        <v>#DIV/0!</v>
      </c>
      <c r="AW62" s="3973" t="e">
        <f>AI62/년간!M10</f>
        <v>#DIV/0!</v>
      </c>
      <c r="AX62" s="3966" t="e">
        <f>AJ62/년간!N10</f>
        <v>#DIV/0!</v>
      </c>
      <c r="AY62" s="3978" t="e">
        <f>AK62/년간!O10</f>
        <v>#DIV/0!</v>
      </c>
      <c r="AZ62" s="4219"/>
      <c r="BA62" s="4909"/>
      <c r="BB62" s="4035">
        <f>AN62/년간!$V$10</f>
        <v>56.125146909579541</v>
      </c>
      <c r="BD62" s="2597" t="s">
        <v>1277</v>
      </c>
      <c r="BE62" s="2598">
        <v>4072909</v>
      </c>
      <c r="BF62" s="7767"/>
      <c r="BG62" s="2600">
        <f>BE62*0.9</f>
        <v>3665618.1</v>
      </c>
    </row>
    <row r="63" spans="2:61" ht="16.5">
      <c r="B63" s="7719"/>
      <c r="C63" s="2492" t="s">
        <v>501</v>
      </c>
      <c r="D63" s="2493" t="s">
        <v>1225</v>
      </c>
      <c r="E63" s="2811">
        <f>64/2</f>
        <v>32</v>
      </c>
      <c r="F63" s="2811">
        <f>24/2</f>
        <v>12</v>
      </c>
      <c r="G63" s="2498">
        <v>7</v>
      </c>
      <c r="H63" s="2854">
        <f>종합!BH215</f>
        <v>20</v>
      </c>
      <c r="I63" s="2854">
        <f>종합!BI215</f>
        <v>8</v>
      </c>
      <c r="J63" s="6172">
        <f>I63*0.9</f>
        <v>7.2</v>
      </c>
      <c r="K63" s="6171">
        <f>J63/12</f>
        <v>0.6</v>
      </c>
      <c r="L63" s="4197">
        <f>종합!AT215</f>
        <v>0</v>
      </c>
      <c r="M63" s="3965">
        <f>종합!AU215</f>
        <v>0</v>
      </c>
      <c r="N63" s="3965">
        <f>종합!AV215</f>
        <v>0</v>
      </c>
      <c r="O63" s="3965">
        <f>종합!AW215</f>
        <v>0</v>
      </c>
      <c r="P63" s="3965">
        <f>종합!AX215</f>
        <v>0</v>
      </c>
      <c r="Q63" s="3965">
        <f>종합!AY215</f>
        <v>0</v>
      </c>
      <c r="R63" s="3965">
        <f>종합!AZ215</f>
        <v>0</v>
      </c>
      <c r="S63" s="3965">
        <f>종합!BA215</f>
        <v>0</v>
      </c>
      <c r="T63" s="3965">
        <f>종합!BB215</f>
        <v>0</v>
      </c>
      <c r="U63" s="3965">
        <f>종합!BC215</f>
        <v>0</v>
      </c>
      <c r="V63" s="3965">
        <f>종합!BD215</f>
        <v>0</v>
      </c>
      <c r="W63" s="3965">
        <f>종합!BE215</f>
        <v>0</v>
      </c>
      <c r="X63" s="5038">
        <f>종합!BF215</f>
        <v>0</v>
      </c>
      <c r="Y63" s="3907">
        <f>(BE58+BH58)-BG58</f>
        <v>5831940</v>
      </c>
      <c r="Z63" s="3455">
        <f>(BE58+BH58-BG58)/12</f>
        <v>485995</v>
      </c>
      <c r="AA63" s="3978">
        <f>Y63/년간!E11</f>
        <v>35.990298811419258</v>
      </c>
      <c r="AB63" s="3978">
        <f>$Y$63/12-종합!BL215</f>
        <v>485995</v>
      </c>
      <c r="AC63" s="3978">
        <f>$Y$63/12-종합!BM215</f>
        <v>485995</v>
      </c>
      <c r="AD63" s="3978">
        <f>$Y$63/12-종합!BN215</f>
        <v>485995</v>
      </c>
      <c r="AE63" s="3978">
        <f>$Y$63/12-종합!BO215</f>
        <v>485995</v>
      </c>
      <c r="AF63" s="3978">
        <f>$Y$63/12-종합!BP215</f>
        <v>485995</v>
      </c>
      <c r="AG63" s="3978">
        <f>$Y$63/12-종합!BQ215</f>
        <v>485995</v>
      </c>
      <c r="AH63" s="3978">
        <f>$Y$63/12-종합!BR215</f>
        <v>485995</v>
      </c>
      <c r="AI63" s="3978">
        <f>$Y$63/12-종합!BS215</f>
        <v>485995</v>
      </c>
      <c r="AJ63" s="3978">
        <f>$Y$63/12-종합!BT215</f>
        <v>485995</v>
      </c>
      <c r="AK63" s="3978">
        <f>$Y$63/12-종합!BU215</f>
        <v>485995</v>
      </c>
      <c r="AL63" s="5270"/>
      <c r="AM63" s="5270"/>
      <c r="AN63" s="5283">
        <f t="shared" si="1"/>
        <v>4859950</v>
      </c>
      <c r="AO63" s="3973">
        <f t="shared" si="7"/>
        <v>35.990298811419258</v>
      </c>
      <c r="AP63" s="3973">
        <f>AB63/년간!F11</f>
        <v>39.178769080700221</v>
      </c>
      <c r="AQ63" s="3973">
        <f>AC63/년간!G11</f>
        <v>40.658354206509756</v>
      </c>
      <c r="AR63" s="3973">
        <f>AD63/년간!H11</f>
        <v>37.295009630806298</v>
      </c>
      <c r="AS63" s="3973" t="e">
        <f>AE63/년간!I11</f>
        <v>#DIV/0!</v>
      </c>
      <c r="AT63" s="3973" t="e">
        <f>AF63/년간!J11</f>
        <v>#DIV/0!</v>
      </c>
      <c r="AU63" s="3973" t="e">
        <f>AG63/년간!K11</f>
        <v>#DIV/0!</v>
      </c>
      <c r="AV63" s="3973" t="e">
        <f>AH63/년간!L11</f>
        <v>#DIV/0!</v>
      </c>
      <c r="AW63" s="3973" t="e">
        <f>AI63/년간!M11</f>
        <v>#DIV/0!</v>
      </c>
      <c r="AX63" s="3966" t="e">
        <f>AJ63/년간!N11</f>
        <v>#DIV/0!</v>
      </c>
      <c r="AY63" s="3978" t="e">
        <f>AK63/년간!O11</f>
        <v>#DIV/0!</v>
      </c>
      <c r="AZ63" s="4219"/>
      <c r="BA63" s="4909"/>
      <c r="BB63" s="4035">
        <f>AN63/년간!$V$11</f>
        <v>129.98414765495218</v>
      </c>
      <c r="BD63" s="2597" t="s">
        <v>1278</v>
      </c>
      <c r="BE63" s="2598">
        <v>3390545</v>
      </c>
      <c r="BF63" s="7767"/>
      <c r="BG63" s="2600">
        <f>BE63*0.9</f>
        <v>3051490.5</v>
      </c>
      <c r="BI63">
        <f>J64/I64</f>
        <v>0.89999999999999991</v>
      </c>
    </row>
    <row r="64" spans="2:61" ht="17.25" thickBot="1">
      <c r="B64" s="7719"/>
      <c r="C64" s="2400" t="s">
        <v>439</v>
      </c>
      <c r="D64" s="1668" t="s">
        <v>1218</v>
      </c>
      <c r="E64" s="2811">
        <f>64/2</f>
        <v>32</v>
      </c>
      <c r="F64" s="2811">
        <f>24/2</f>
        <v>12</v>
      </c>
      <c r="G64" s="2504">
        <v>8</v>
      </c>
      <c r="H64" s="2855">
        <f>종합!BH216</f>
        <v>21</v>
      </c>
      <c r="I64" s="2855">
        <f>종합!BI216</f>
        <v>9</v>
      </c>
      <c r="J64" s="6172">
        <f>I64*0.9</f>
        <v>8.1</v>
      </c>
      <c r="K64" s="6173">
        <f>J64/12</f>
        <v>0.67499999999999993</v>
      </c>
      <c r="L64" s="4197">
        <f>종합!AT216</f>
        <v>0</v>
      </c>
      <c r="M64" s="3965">
        <f>종합!AU216</f>
        <v>1</v>
      </c>
      <c r="N64" s="3965">
        <f>종합!AV216</f>
        <v>1</v>
      </c>
      <c r="O64" s="3965">
        <f>종합!AW216</f>
        <v>0</v>
      </c>
      <c r="P64" s="3965">
        <f>종합!AX216</f>
        <v>0</v>
      </c>
      <c r="Q64" s="3965">
        <f>종합!AY216</f>
        <v>0</v>
      </c>
      <c r="R64" s="3965">
        <f>종합!AZ216</f>
        <v>0</v>
      </c>
      <c r="S64" s="3965">
        <f>종합!BA216</f>
        <v>0</v>
      </c>
      <c r="T64" s="3965">
        <f>종합!BB216</f>
        <v>0</v>
      </c>
      <c r="U64" s="3965">
        <f>종합!BC216</f>
        <v>0</v>
      </c>
      <c r="V64" s="3965">
        <f>종합!BD216</f>
        <v>0</v>
      </c>
      <c r="W64" s="3965">
        <f>종합!BE216</f>
        <v>0</v>
      </c>
      <c r="X64" s="5038">
        <f>종합!BF216</f>
        <v>2</v>
      </c>
      <c r="Y64" s="3907">
        <f>($BE$59+BH59)-BG59</f>
        <v>2784169.6999999993</v>
      </c>
      <c r="Z64" s="3455">
        <f>(BE59+BH59-BG59)/12</f>
        <v>232014.1416666666</v>
      </c>
      <c r="AA64" s="3978">
        <f>Y64/년간!E12</f>
        <v>46.105290912118029</v>
      </c>
      <c r="AB64" s="3978">
        <f>$Y$64/12-종합!BL216</f>
        <v>232014.1416666666</v>
      </c>
      <c r="AC64" s="3978">
        <f>$Y$64/12-종합!BM216</f>
        <v>232014.1416666666</v>
      </c>
      <c r="AD64" s="3978">
        <f>$Y$64/12-종합!BN216</f>
        <v>232014.1416666666</v>
      </c>
      <c r="AE64" s="3978">
        <f>$Y$64/12-종합!BO216</f>
        <v>232014.1416666666</v>
      </c>
      <c r="AF64" s="3978">
        <f>$Y$64/12-종합!BP216</f>
        <v>232014.1416666666</v>
      </c>
      <c r="AG64" s="3978">
        <f>$Y$64/12-종합!BQ216</f>
        <v>232014.1416666666</v>
      </c>
      <c r="AH64" s="3978">
        <f>$Y$64/12-종합!BR216</f>
        <v>232014.1416666666</v>
      </c>
      <c r="AI64" s="3978">
        <f>$Y$64/12-종합!BS216</f>
        <v>232014.1416666666</v>
      </c>
      <c r="AJ64" s="3978">
        <f>$Y$64/12-종합!BT216</f>
        <v>232014.1416666666</v>
      </c>
      <c r="AK64" s="3978">
        <f>$Y$64/12-종합!BU216</f>
        <v>232014.1416666666</v>
      </c>
      <c r="AL64" s="5270"/>
      <c r="AM64" s="5270"/>
      <c r="AN64" s="5283">
        <f t="shared" si="1"/>
        <v>2320141.416666666</v>
      </c>
      <c r="AO64" s="3973">
        <f t="shared" si="7"/>
        <v>46.105290912118029</v>
      </c>
      <c r="AP64" s="3973">
        <f>AB64/년간!F12</f>
        <v>47.022395415325654</v>
      </c>
      <c r="AQ64" s="3973">
        <f>AC64/년간!G12</f>
        <v>48.69285322028324</v>
      </c>
      <c r="AR64" s="3973">
        <f>AD64/년간!H12</f>
        <v>41.842196304885967</v>
      </c>
      <c r="AS64" s="3973" t="e">
        <f>AE64/년간!I12</f>
        <v>#DIV/0!</v>
      </c>
      <c r="AT64" s="3973" t="e">
        <f>AF64/년간!J12</f>
        <v>#DIV/0!</v>
      </c>
      <c r="AU64" s="3973" t="e">
        <f>AG64/년간!K12</f>
        <v>#DIV/0!</v>
      </c>
      <c r="AV64" s="3973" t="e">
        <f>AH64/년간!L12</f>
        <v>#DIV/0!</v>
      </c>
      <c r="AW64" s="3973" t="e">
        <f>AI64/년간!M12</f>
        <v>#DIV/0!</v>
      </c>
      <c r="AX64" s="3966" t="e">
        <f>AJ64/년간!N12</f>
        <v>#DIV/0!</v>
      </c>
      <c r="AY64" s="3978" t="e">
        <f>AK64/년간!O12</f>
        <v>#DIV/0!</v>
      </c>
      <c r="AZ64" s="4219"/>
      <c r="BA64" s="4909"/>
      <c r="BB64" s="4035">
        <f>AN64/년간!$V$12</f>
        <v>152.20080206683085</v>
      </c>
      <c r="BD64" s="2602" t="s">
        <v>1279</v>
      </c>
      <c r="BE64" s="2595" t="e">
        <f>SUM(BE65:BE68)</f>
        <v>#REF!</v>
      </c>
      <c r="BF64" s="7767"/>
      <c r="BG64" s="2603"/>
    </row>
    <row r="65" spans="2:82" ht="17.25" thickBot="1">
      <c r="B65" s="7720"/>
      <c r="C65" s="2898" t="s">
        <v>16</v>
      </c>
      <c r="D65" s="2790" t="s">
        <v>448</v>
      </c>
      <c r="E65" s="2791">
        <f t="shared" ref="E65:P65" si="46">SUM(E60:E64)</f>
        <v>85</v>
      </c>
      <c r="F65" s="2791">
        <f t="shared" si="46"/>
        <v>35</v>
      </c>
      <c r="G65" s="2791">
        <f t="shared" si="46"/>
        <v>20</v>
      </c>
      <c r="H65" s="2914">
        <f t="shared" si="46"/>
        <v>53</v>
      </c>
      <c r="I65" s="2914">
        <f>SUM(I60:I64)</f>
        <v>24</v>
      </c>
      <c r="J65" s="2606">
        <f t="shared" si="46"/>
        <v>21.6</v>
      </c>
      <c r="K65" s="2606">
        <f t="shared" si="46"/>
        <v>1.7999999999999998</v>
      </c>
      <c r="L65" s="4187">
        <f t="shared" si="46"/>
        <v>0</v>
      </c>
      <c r="M65" s="3925">
        <f t="shared" si="46"/>
        <v>1</v>
      </c>
      <c r="N65" s="3925">
        <f t="shared" si="46"/>
        <v>1</v>
      </c>
      <c r="O65" s="3925">
        <f t="shared" si="46"/>
        <v>0</v>
      </c>
      <c r="P65" s="3925">
        <f t="shared" si="46"/>
        <v>0</v>
      </c>
      <c r="Q65" s="3925">
        <f>SUM(Q60:Q64)</f>
        <v>0</v>
      </c>
      <c r="R65" s="3925">
        <f>SUM(R60:R64)</f>
        <v>0</v>
      </c>
      <c r="S65" s="3925">
        <f t="shared" ref="S65:X65" si="47">SUM(S60:S64)</f>
        <v>0</v>
      </c>
      <c r="T65" s="3925">
        <f t="shared" si="47"/>
        <v>0</v>
      </c>
      <c r="U65" s="3925">
        <f t="shared" si="47"/>
        <v>0</v>
      </c>
      <c r="V65" s="3925">
        <f t="shared" si="47"/>
        <v>0</v>
      </c>
      <c r="W65" s="3925">
        <f t="shared" si="47"/>
        <v>0</v>
      </c>
      <c r="X65" s="3925">
        <f t="shared" si="47"/>
        <v>2</v>
      </c>
      <c r="Y65" s="3210">
        <f>SUM(Y60:Y64)</f>
        <v>10417571.1</v>
      </c>
      <c r="Z65" s="4718">
        <f>SUM(Z60:Z64)</f>
        <v>2219226.9750000001</v>
      </c>
      <c r="AA65" s="4227">
        <f>Y65/(년간!E8+년간!E10+년간!E11+년간!E12)</f>
        <v>13.478493838722672</v>
      </c>
      <c r="AB65" s="3980">
        <f t="shared" ref="AB65:AG65" si="48">SUM(AB60:AB64)</f>
        <v>868130.92499999993</v>
      </c>
      <c r="AC65" s="3980">
        <f t="shared" si="48"/>
        <v>868130.92499999993</v>
      </c>
      <c r="AD65" s="3980">
        <f t="shared" si="48"/>
        <v>868130.92499999993</v>
      </c>
      <c r="AE65" s="3980">
        <f t="shared" si="48"/>
        <v>868130.92499999993</v>
      </c>
      <c r="AF65" s="3980">
        <f t="shared" si="48"/>
        <v>868130.92499999993</v>
      </c>
      <c r="AG65" s="3980">
        <f t="shared" si="48"/>
        <v>868130.92499999993</v>
      </c>
      <c r="AH65" s="3980">
        <f>SUM(AH60:AH64)</f>
        <v>868130.92499999993</v>
      </c>
      <c r="AI65" s="3980">
        <f>SUM(AI60:AI64)</f>
        <v>868130.92499999993</v>
      </c>
      <c r="AJ65" s="3980">
        <f>SUM(AJ60:AJ64)</f>
        <v>868130.92499999993</v>
      </c>
      <c r="AK65" s="3980">
        <f>SUM(AK60:AK64)</f>
        <v>868130.92499999993</v>
      </c>
      <c r="AL65" s="5272"/>
      <c r="AM65" s="5272"/>
      <c r="AN65" s="5284">
        <f t="shared" si="1"/>
        <v>8681309.25</v>
      </c>
      <c r="AO65" s="3996">
        <f t="shared" si="7"/>
        <v>13.478493838722672</v>
      </c>
      <c r="AP65" s="3996">
        <f>AB65/년간!F13</f>
        <v>50.069060948734815</v>
      </c>
      <c r="AQ65" s="3996">
        <f>AC65/년간!G13</f>
        <v>51.927948575157664</v>
      </c>
      <c r="AR65" s="3996">
        <f>AD65/년간!H13</f>
        <v>9.413748799467184</v>
      </c>
      <c r="AS65" s="3996" t="e">
        <f>AE65/년간!I13</f>
        <v>#DIV/0!</v>
      </c>
      <c r="AT65" s="3996" t="e">
        <f>AF65/년간!J13</f>
        <v>#DIV/0!</v>
      </c>
      <c r="AU65" s="3996" t="e">
        <f>AG65/년간!K13</f>
        <v>#DIV/0!</v>
      </c>
      <c r="AV65" s="3996" t="e">
        <f>AH65/년간!L13</f>
        <v>#DIV/0!</v>
      </c>
      <c r="AW65" s="3996" t="e">
        <f>AI65/년간!M13</f>
        <v>#DIV/0!</v>
      </c>
      <c r="AX65" s="5319" t="e">
        <f>AJ65/년간!N13</f>
        <v>#DIV/0!</v>
      </c>
      <c r="AY65" s="4227" t="e">
        <f>AK65/년간!O13</f>
        <v>#DIV/0!</v>
      </c>
      <c r="AZ65" s="4215"/>
      <c r="BA65" s="5332"/>
      <c r="BB65" s="5338">
        <f>AN65/년간!$V$13</f>
        <v>68.74861662295163</v>
      </c>
      <c r="BD65" s="2604" t="s">
        <v>1280</v>
      </c>
      <c r="BE65" s="2598" t="e">
        <f>#REF!*#REF!/58.56</f>
        <v>#REF!</v>
      </c>
      <c r="BF65" s="7767"/>
      <c r="BG65" s="2603"/>
    </row>
    <row r="66" spans="2:82" ht="16.5">
      <c r="B66" s="7718" t="s">
        <v>1224</v>
      </c>
      <c r="C66" s="2886" t="s">
        <v>39</v>
      </c>
      <c r="D66" s="1154" t="s">
        <v>448</v>
      </c>
      <c r="E66" s="1165">
        <v>204</v>
      </c>
      <c r="F66" s="1165">
        <v>52</v>
      </c>
      <c r="G66" s="1165">
        <v>0</v>
      </c>
      <c r="H66" s="2580">
        <f>종합!BH227</f>
        <v>0</v>
      </c>
      <c r="I66" s="2580">
        <f>종합!BI227</f>
        <v>0</v>
      </c>
      <c r="J66" s="6174">
        <f>I66*0.9</f>
        <v>0</v>
      </c>
      <c r="K66" s="6174">
        <f>J66-(J66*0.2)</f>
        <v>0</v>
      </c>
      <c r="L66" s="4198">
        <f>종합!AT227</f>
        <v>0</v>
      </c>
      <c r="M66" s="4126">
        <f>종합!AU227</f>
        <v>0</v>
      </c>
      <c r="N66" s="4126">
        <f>종합!AV227</f>
        <v>0</v>
      </c>
      <c r="O66" s="4126">
        <f>종합!AW227</f>
        <v>0</v>
      </c>
      <c r="P66" s="4126">
        <f>종합!AX227</f>
        <v>0</v>
      </c>
      <c r="Q66" s="4126">
        <f>종합!AY227</f>
        <v>0</v>
      </c>
      <c r="R66" s="4126">
        <f>종합!AZ227</f>
        <v>0</v>
      </c>
      <c r="S66" s="4126">
        <f>종합!BA227</f>
        <v>0</v>
      </c>
      <c r="T66" s="4126">
        <f>종합!BB227</f>
        <v>0</v>
      </c>
      <c r="U66" s="4126">
        <f>종합!BC227</f>
        <v>0</v>
      </c>
      <c r="V66" s="4126">
        <f>종합!BD227</f>
        <v>0</v>
      </c>
      <c r="W66" s="4126">
        <f>종합!BE227</f>
        <v>0</v>
      </c>
      <c r="X66" s="5039">
        <f>종합!BF227</f>
        <v>0</v>
      </c>
      <c r="Y66" s="3909">
        <v>0</v>
      </c>
      <c r="Z66" s="4722">
        <v>0</v>
      </c>
      <c r="AA66" s="4228">
        <f>Y66/년간!E8</f>
        <v>0</v>
      </c>
      <c r="AB66" s="3983">
        <f>-종합!BL228</f>
        <v>0</v>
      </c>
      <c r="AC66" s="3983">
        <f>-종합!BM228</f>
        <v>0</v>
      </c>
      <c r="AD66" s="3983">
        <f>-종합!BN228</f>
        <v>0</v>
      </c>
      <c r="AE66" s="3983">
        <f>-종합!BO228</f>
        <v>0</v>
      </c>
      <c r="AF66" s="3983">
        <f>-종합!BP228</f>
        <v>0</v>
      </c>
      <c r="AG66" s="3983">
        <f>-종합!BQ228</f>
        <v>0</v>
      </c>
      <c r="AH66" s="3983">
        <f>-종합!BR228</f>
        <v>0</v>
      </c>
      <c r="AI66" s="3983">
        <f>-종합!BS228</f>
        <v>0</v>
      </c>
      <c r="AJ66" s="3983">
        <f>-종합!BT228</f>
        <v>0</v>
      </c>
      <c r="AK66" s="3983">
        <f>-종합!BU228</f>
        <v>0</v>
      </c>
      <c r="AL66" s="5273"/>
      <c r="AM66" s="5273"/>
      <c r="AN66" s="5283">
        <f t="shared" si="1"/>
        <v>0</v>
      </c>
      <c r="AO66" s="3997">
        <f t="shared" si="7"/>
        <v>0</v>
      </c>
      <c r="AP66" s="3997" t="e">
        <f>AB66/년간!F8</f>
        <v>#DIV/0!</v>
      </c>
      <c r="AQ66" s="3997" t="e">
        <f>AC66/년간!G8</f>
        <v>#DIV/0!</v>
      </c>
      <c r="AR66" s="3997">
        <f>AD66/년간!H8</f>
        <v>0</v>
      </c>
      <c r="AS66" s="3997" t="e">
        <f>AE66/년간!I8</f>
        <v>#DIV/0!</v>
      </c>
      <c r="AT66" s="3997" t="e">
        <f>AF66/년간!J8</f>
        <v>#DIV/0!</v>
      </c>
      <c r="AU66" s="3997" t="e">
        <f>AG66/년간!K8</f>
        <v>#DIV/0!</v>
      </c>
      <c r="AV66" s="3997" t="e">
        <f>AH66/년간!L8</f>
        <v>#DIV/0!</v>
      </c>
      <c r="AW66" s="3997" t="e">
        <f>AI66/년간!M8</f>
        <v>#DIV/0!</v>
      </c>
      <c r="AX66" s="3989" t="e">
        <f>AJ66/년간!N8</f>
        <v>#DIV/0!</v>
      </c>
      <c r="AY66" s="3983" t="e">
        <f>AK66/년간!O8</f>
        <v>#DIV/0!</v>
      </c>
      <c r="AZ66" s="4219"/>
      <c r="BA66" s="4909"/>
      <c r="BB66" s="4035">
        <f>AN66/년간!$V$8</f>
        <v>0</v>
      </c>
      <c r="BD66" s="2604" t="s">
        <v>1281</v>
      </c>
      <c r="BE66" s="2598" t="e">
        <f>#REF!*#REF!/46.99</f>
        <v>#REF!</v>
      </c>
      <c r="BF66" s="7767"/>
      <c r="BG66" s="2603"/>
    </row>
    <row r="67" spans="2:82" ht="16.5">
      <c r="B67" s="7719"/>
      <c r="C67" s="2889" t="s">
        <v>42</v>
      </c>
      <c r="D67" s="2493" t="s">
        <v>448</v>
      </c>
      <c r="E67" s="2498">
        <v>0</v>
      </c>
      <c r="F67" s="2498">
        <v>0</v>
      </c>
      <c r="G67" s="2498">
        <v>0</v>
      </c>
      <c r="H67" s="2579">
        <f>종합!BH228</f>
        <v>0</v>
      </c>
      <c r="I67" s="2579">
        <f>종합!BI228</f>
        <v>0</v>
      </c>
      <c r="J67" s="6170">
        <f>I67*0.9</f>
        <v>0</v>
      </c>
      <c r="K67" s="6170">
        <f>J67-(J67*0.2)</f>
        <v>0</v>
      </c>
      <c r="L67" s="4199">
        <f>종합!AT228</f>
        <v>0</v>
      </c>
      <c r="M67" s="4127">
        <f>종합!AU228</f>
        <v>0</v>
      </c>
      <c r="N67" s="4127">
        <f>종합!AV228</f>
        <v>0</v>
      </c>
      <c r="O67" s="4127">
        <f>종합!AW228</f>
        <v>0</v>
      </c>
      <c r="P67" s="4127">
        <f>종합!AX228</f>
        <v>0</v>
      </c>
      <c r="Q67" s="4127">
        <f>종합!AY228</f>
        <v>0</v>
      </c>
      <c r="R67" s="4127">
        <f>종합!AZ228</f>
        <v>0</v>
      </c>
      <c r="S67" s="4127">
        <f>종합!BA228</f>
        <v>0</v>
      </c>
      <c r="T67" s="4127">
        <f>종합!BB228</f>
        <v>0</v>
      </c>
      <c r="U67" s="4127">
        <f>종합!BC228</f>
        <v>0</v>
      </c>
      <c r="V67" s="4127">
        <f>종합!BD228</f>
        <v>0</v>
      </c>
      <c r="W67" s="4127">
        <f>종합!BE228</f>
        <v>0</v>
      </c>
      <c r="X67" s="5040">
        <f>종합!BF228</f>
        <v>0</v>
      </c>
      <c r="Y67" s="3907">
        <v>0</v>
      </c>
      <c r="Z67" s="3455">
        <v>0</v>
      </c>
      <c r="AA67" s="3385">
        <f>Y67/년간!E9</f>
        <v>0</v>
      </c>
      <c r="AB67" s="3978">
        <f>-종합!BL229</f>
        <v>0</v>
      </c>
      <c r="AC67" s="3978">
        <f>-종합!BM229</f>
        <v>0</v>
      </c>
      <c r="AD67" s="3978">
        <f>-종합!BN229</f>
        <v>0</v>
      </c>
      <c r="AE67" s="3978">
        <f>-종합!BO229</f>
        <v>0</v>
      </c>
      <c r="AF67" s="3978">
        <f>-종합!BP229</f>
        <v>0</v>
      </c>
      <c r="AG67" s="3978">
        <f>-종합!BQ229</f>
        <v>0</v>
      </c>
      <c r="AH67" s="3978">
        <f>-종합!BR229</f>
        <v>0</v>
      </c>
      <c r="AI67" s="3978">
        <f>-종합!BS229</f>
        <v>0</v>
      </c>
      <c r="AJ67" s="3978">
        <f>-종합!BT229</f>
        <v>0</v>
      </c>
      <c r="AK67" s="3978">
        <f>-종합!BU229</f>
        <v>0</v>
      </c>
      <c r="AL67" s="5270"/>
      <c r="AM67" s="5270"/>
      <c r="AN67" s="5283">
        <f t="shared" si="1"/>
        <v>0</v>
      </c>
      <c r="AO67" s="3974">
        <f t="shared" si="7"/>
        <v>0</v>
      </c>
      <c r="AP67" s="3974" t="e">
        <f>AB67/년간!F9</f>
        <v>#DIV/0!</v>
      </c>
      <c r="AQ67" s="3974" t="e">
        <f>AC67/년간!G9</f>
        <v>#DIV/0!</v>
      </c>
      <c r="AR67" s="3974">
        <f>AD67/년간!H9</f>
        <v>0</v>
      </c>
      <c r="AS67" s="3974" t="e">
        <f>AE67/년간!I9</f>
        <v>#DIV/0!</v>
      </c>
      <c r="AT67" s="3974" t="e">
        <f>AF67/년간!J9</f>
        <v>#DIV/0!</v>
      </c>
      <c r="AU67" s="3974" t="e">
        <f>AG67/년간!K9</f>
        <v>#DIV/0!</v>
      </c>
      <c r="AV67" s="3974" t="e">
        <f>AH67/년간!L9</f>
        <v>#DIV/0!</v>
      </c>
      <c r="AW67" s="3974" t="e">
        <f>AI67/년간!M9</f>
        <v>#DIV/0!</v>
      </c>
      <c r="AX67" s="3966" t="e">
        <f>AJ67/년간!N9</f>
        <v>#DIV/0!</v>
      </c>
      <c r="AY67" s="3978" t="e">
        <f>AK67/년간!O9</f>
        <v>#DIV/0!</v>
      </c>
      <c r="AZ67" s="4219"/>
      <c r="BA67" s="4909"/>
      <c r="BB67" s="4035">
        <f>AN67/년간!$V$9</f>
        <v>0</v>
      </c>
      <c r="BD67" s="2604" t="s">
        <v>1282</v>
      </c>
      <c r="BE67" s="2598" t="e">
        <f>#REF!*#REF!/23.3</f>
        <v>#REF!</v>
      </c>
      <c r="BF67" s="7767"/>
      <c r="BG67" s="2603"/>
    </row>
    <row r="68" spans="2:82" ht="16.5">
      <c r="B68" s="7719"/>
      <c r="C68" s="2889" t="s">
        <v>29</v>
      </c>
      <c r="D68" s="2493" t="s">
        <v>448</v>
      </c>
      <c r="E68" s="2498">
        <v>431</v>
      </c>
      <c r="F68" s="2498">
        <v>104</v>
      </c>
      <c r="G68" s="2498">
        <v>122</v>
      </c>
      <c r="H68" s="2579">
        <f>종합!BH229</f>
        <v>68.194000000000003</v>
      </c>
      <c r="I68" s="2579">
        <f>종합!BI229</f>
        <v>72.98</v>
      </c>
      <c r="J68" s="6170">
        <f>I68*0.9</f>
        <v>65.682000000000002</v>
      </c>
      <c r="K68" s="6170">
        <f>J68/12</f>
        <v>5.4735000000000005</v>
      </c>
      <c r="L68" s="4199">
        <f>종합!AT229</f>
        <v>0</v>
      </c>
      <c r="M68" s="4127">
        <f>종합!AU229</f>
        <v>0</v>
      </c>
      <c r="N68" s="4127">
        <f>종합!AV229</f>
        <v>0</v>
      </c>
      <c r="O68" s="4127">
        <f>종합!AW229</f>
        <v>0</v>
      </c>
      <c r="P68" s="4127">
        <f>종합!AX229</f>
        <v>0</v>
      </c>
      <c r="Q68" s="4127">
        <f>종합!AY229</f>
        <v>0</v>
      </c>
      <c r="R68" s="4127">
        <f>종합!AZ229</f>
        <v>0</v>
      </c>
      <c r="S68" s="4127">
        <f>종합!BA229</f>
        <v>0</v>
      </c>
      <c r="T68" s="4127">
        <f>종합!BB229</f>
        <v>0</v>
      </c>
      <c r="U68" s="4127">
        <f>종합!BC229</f>
        <v>0</v>
      </c>
      <c r="V68" s="4127">
        <f>종합!BD229</f>
        <v>0</v>
      </c>
      <c r="W68" s="4127">
        <f>종합!BE229</f>
        <v>0</v>
      </c>
      <c r="X68" s="5040">
        <f>종합!BF229</f>
        <v>0</v>
      </c>
      <c r="Y68" s="3907">
        <f>$BE$61-BG61</f>
        <v>249736.39999999991</v>
      </c>
      <c r="Z68" s="3455">
        <f>(BE61-BG61)/12</f>
        <v>20811.366666666658</v>
      </c>
      <c r="AA68" s="3385">
        <f>Y68/년간!E10</f>
        <v>0.93164366186674585</v>
      </c>
      <c r="AB68" s="3978">
        <f>$Y$68/12-종합!BL230</f>
        <v>20811.366666666658</v>
      </c>
      <c r="AC68" s="3978">
        <f>$Y$68/12-종합!BM230</f>
        <v>20811.366666666658</v>
      </c>
      <c r="AD68" s="3978">
        <f>$Y$68/12-종합!BN230</f>
        <v>20811.366666666658</v>
      </c>
      <c r="AE68" s="3978">
        <f>$Y$68/12-종합!BO230</f>
        <v>20811.366666666658</v>
      </c>
      <c r="AF68" s="3978">
        <f>$Y$68/12-종합!BP230</f>
        <v>20811.366666666658</v>
      </c>
      <c r="AG68" s="3978">
        <f>$Y$68/12-종합!BQ230</f>
        <v>20811.366666666658</v>
      </c>
      <c r="AH68" s="3978">
        <f>$Y$68/12-종합!BR230</f>
        <v>20811.366666666658</v>
      </c>
      <c r="AI68" s="3978">
        <f>$Y$68/12-종합!BS230</f>
        <v>20811.366666666658</v>
      </c>
      <c r="AJ68" s="3978">
        <f>$Y$68/12-종합!BT230</f>
        <v>20811.366666666658</v>
      </c>
      <c r="AK68" s="3978">
        <f>$Y$68/12-종합!BU230</f>
        <v>20811.366666666658</v>
      </c>
      <c r="AL68" s="5270"/>
      <c r="AM68" s="5270"/>
      <c r="AN68" s="5283">
        <f t="shared" si="1"/>
        <v>208113.6666666666</v>
      </c>
      <c r="AO68" s="3974">
        <f t="shared" si="7"/>
        <v>0.93164366186674585</v>
      </c>
      <c r="AP68" s="3974" t="e">
        <f>AB68/년간!F10</f>
        <v>#DIV/0!</v>
      </c>
      <c r="AQ68" s="3974" t="e">
        <f>AC68/년간!G10</f>
        <v>#DIV/0!</v>
      </c>
      <c r="AR68" s="3974">
        <f>AD68/년간!H10</f>
        <v>0.91050178726924091</v>
      </c>
      <c r="AS68" s="3974" t="e">
        <f>AE68/년간!I10</f>
        <v>#DIV/0!</v>
      </c>
      <c r="AT68" s="3974" t="e">
        <f>AF68/년간!J10</f>
        <v>#DIV/0!</v>
      </c>
      <c r="AU68" s="3974" t="e">
        <f>AG68/년간!K10</f>
        <v>#DIV/0!</v>
      </c>
      <c r="AV68" s="3974" t="e">
        <f>AH68/년간!L10</f>
        <v>#DIV/0!</v>
      </c>
      <c r="AW68" s="3974" t="e">
        <f>AI68/년간!M10</f>
        <v>#DIV/0!</v>
      </c>
      <c r="AX68" s="3966" t="e">
        <f>AJ68/년간!N10</f>
        <v>#DIV/0!</v>
      </c>
      <c r="AY68" s="3978" t="e">
        <f>AK68/년간!O10</f>
        <v>#DIV/0!</v>
      </c>
      <c r="AZ68" s="4219"/>
      <c r="BA68" s="4909"/>
      <c r="BB68" s="4035">
        <f>AN68/년간!$V$10</f>
        <v>9.1050178726924109</v>
      </c>
      <c r="BD68" s="2604" t="s">
        <v>1283</v>
      </c>
      <c r="BE68" s="2598" t="e">
        <f>#REF!*#REF!/9.25</f>
        <v>#REF!</v>
      </c>
      <c r="BF68" s="7767"/>
      <c r="BG68" s="2603"/>
    </row>
    <row r="69" spans="2:82" ht="16.5">
      <c r="B69" s="7719"/>
      <c r="C69" s="2889" t="s">
        <v>501</v>
      </c>
      <c r="D69" s="2493" t="s">
        <v>448</v>
      </c>
      <c r="E69" s="7721">
        <v>332</v>
      </c>
      <c r="F69" s="7721">
        <v>86</v>
      </c>
      <c r="G69" s="7721">
        <v>101</v>
      </c>
      <c r="H69" s="2579">
        <f>종합!BH230</f>
        <v>308.73</v>
      </c>
      <c r="I69" s="2579">
        <f>종합!BI230</f>
        <v>44.61</v>
      </c>
      <c r="J69" s="6170">
        <f>I69*0.9</f>
        <v>40.149000000000001</v>
      </c>
      <c r="K69" s="6170">
        <f>J69/12</f>
        <v>3.3457500000000002</v>
      </c>
      <c r="L69" s="4199">
        <f>종합!AT230</f>
        <v>0</v>
      </c>
      <c r="M69" s="4127">
        <f>종합!AU230</f>
        <v>0</v>
      </c>
      <c r="N69" s="4127">
        <f>종합!AV230</f>
        <v>0</v>
      </c>
      <c r="O69" s="4127">
        <f>종합!AW230</f>
        <v>0</v>
      </c>
      <c r="P69" s="4127">
        <f>종합!AX230</f>
        <v>0</v>
      </c>
      <c r="Q69" s="4127">
        <f>종합!AY230</f>
        <v>0</v>
      </c>
      <c r="R69" s="4127">
        <f>종합!AZ230</f>
        <v>0</v>
      </c>
      <c r="S69" s="4127">
        <f>종합!BA230</f>
        <v>0</v>
      </c>
      <c r="T69" s="4127">
        <f>종합!BB230</f>
        <v>0</v>
      </c>
      <c r="U69" s="4127">
        <f>종합!BC230</f>
        <v>0</v>
      </c>
      <c r="V69" s="4127">
        <f>종합!BD230</f>
        <v>0</v>
      </c>
      <c r="W69" s="4127">
        <f>종합!BE230</f>
        <v>0</v>
      </c>
      <c r="X69" s="5040">
        <f>종합!BF230</f>
        <v>0</v>
      </c>
      <c r="Y69" s="3907">
        <f>$BE$62-BG62</f>
        <v>407290.89999999991</v>
      </c>
      <c r="Z69" s="3455">
        <f>(BE62-BG62)/12</f>
        <v>33940.908333333326</v>
      </c>
      <c r="AA69" s="3385">
        <f>Y69/년간!E11</f>
        <v>2.5134897125436608</v>
      </c>
      <c r="AB69" s="3978">
        <f>$Y$69/12-종합!BL231</f>
        <v>33940.908333333326</v>
      </c>
      <c r="AC69" s="3978">
        <f>$Y$69/12-종합!BM231</f>
        <v>33940.908333333326</v>
      </c>
      <c r="AD69" s="3978">
        <f>$Y$69/12-종합!BN231</f>
        <v>33940.908333333326</v>
      </c>
      <c r="AE69" s="3978">
        <f>$Y$69/12-종합!BO231</f>
        <v>33940.908333333326</v>
      </c>
      <c r="AF69" s="3978">
        <f>$Y$69/12-종합!BP231</f>
        <v>33940.908333333326</v>
      </c>
      <c r="AG69" s="3978">
        <f>$Y$69/12-종합!BQ231</f>
        <v>33940.908333333326</v>
      </c>
      <c r="AH69" s="3978">
        <f>$Y$69/12-종합!BR231</f>
        <v>33940.908333333326</v>
      </c>
      <c r="AI69" s="3978">
        <f>$Y$69/12-종합!BS231</f>
        <v>33940.908333333326</v>
      </c>
      <c r="AJ69" s="3978">
        <f>$Y$69/12-종합!BT231</f>
        <v>33940.908333333326</v>
      </c>
      <c r="AK69" s="3978">
        <f>$Y$69/12-종합!BU231</f>
        <v>33940.908333333326</v>
      </c>
      <c r="AL69" s="5270"/>
      <c r="AM69" s="5270"/>
      <c r="AN69" s="5283">
        <f t="shared" ref="AN69:AN107" si="49">SUM(AB69:AM69)</f>
        <v>339409.08333333326</v>
      </c>
      <c r="AO69" s="3974">
        <f t="shared" si="7"/>
        <v>2.5134897125436608</v>
      </c>
      <c r="AP69" s="3974">
        <f>AB69/년간!F11</f>
        <v>2.7361660304753759</v>
      </c>
      <c r="AQ69" s="3974">
        <f>AC69/년간!G11</f>
        <v>2.8394972645960248</v>
      </c>
      <c r="AR69" s="3974">
        <f>AD69/년간!H11</f>
        <v>2.6046080786221673</v>
      </c>
      <c r="AS69" s="3974" t="e">
        <f>AE69/년간!I11</f>
        <v>#DIV/0!</v>
      </c>
      <c r="AT69" s="3974" t="e">
        <f>AF69/년간!J11</f>
        <v>#DIV/0!</v>
      </c>
      <c r="AU69" s="3974" t="e">
        <f>AG69/년간!K11</f>
        <v>#DIV/0!</v>
      </c>
      <c r="AV69" s="3974" t="e">
        <f>AH69/년간!L11</f>
        <v>#DIV/0!</v>
      </c>
      <c r="AW69" s="3974" t="e">
        <f>AI69/년간!M11</f>
        <v>#DIV/0!</v>
      </c>
      <c r="AX69" s="3966" t="e">
        <f>AJ69/년간!N11</f>
        <v>#DIV/0!</v>
      </c>
      <c r="AY69" s="3978" t="e">
        <f>AK69/년간!O11</f>
        <v>#DIV/0!</v>
      </c>
      <c r="AZ69" s="4219"/>
      <c r="BA69" s="4909"/>
      <c r="BB69" s="4035">
        <f>AN69/년간!$V$11</f>
        <v>9.0778301018389005</v>
      </c>
      <c r="BD69" s="2594" t="s">
        <v>1284</v>
      </c>
      <c r="BE69" s="2595" t="e">
        <f>BE54+BE64</f>
        <v>#REF!</v>
      </c>
      <c r="BF69" s="7767"/>
      <c r="BG69" s="2603"/>
    </row>
    <row r="70" spans="2:82" ht="17.25" thickBot="1">
      <c r="B70" s="7719"/>
      <c r="C70" s="2890" t="s">
        <v>439</v>
      </c>
      <c r="D70" s="1668" t="s">
        <v>448</v>
      </c>
      <c r="E70" s="7722"/>
      <c r="F70" s="7722"/>
      <c r="G70" s="7722"/>
      <c r="H70" s="2579">
        <f>종합!BH231</f>
        <v>229.05600000000001</v>
      </c>
      <c r="I70" s="2579">
        <f>종합!BI231</f>
        <v>65.621000000000009</v>
      </c>
      <c r="J70" s="6170">
        <f>I70*0.9</f>
        <v>59.058900000000008</v>
      </c>
      <c r="K70" s="6170">
        <f>J70/12</f>
        <v>4.9215750000000007</v>
      </c>
      <c r="L70" s="4200">
        <f>종합!AT231</f>
        <v>0</v>
      </c>
      <c r="M70" s="4237">
        <f>종합!AU231</f>
        <v>1.66</v>
      </c>
      <c r="N70" s="4237">
        <f>종합!AV231</f>
        <v>71.199999999999989</v>
      </c>
      <c r="O70" s="4237">
        <f>종합!AW231</f>
        <v>0</v>
      </c>
      <c r="P70" s="4237">
        <f>종합!AX231</f>
        <v>0</v>
      </c>
      <c r="Q70" s="4237">
        <f>종합!AY231</f>
        <v>0</v>
      </c>
      <c r="R70" s="4237">
        <f>종합!AZ231</f>
        <v>0</v>
      </c>
      <c r="S70" s="4237">
        <f>종합!BA231</f>
        <v>0</v>
      </c>
      <c r="T70" s="4237">
        <f>종합!BB231</f>
        <v>0</v>
      </c>
      <c r="U70" s="4237">
        <f>종합!BC231</f>
        <v>0</v>
      </c>
      <c r="V70" s="4237">
        <f>종합!BD231</f>
        <v>0</v>
      </c>
      <c r="W70" s="4237">
        <f>종합!BE231</f>
        <v>0</v>
      </c>
      <c r="X70" s="5041">
        <f>종합!BF231</f>
        <v>72.859999999999985</v>
      </c>
      <c r="Y70" s="3907">
        <f>$BE$63-BG63</f>
        <v>339054.5</v>
      </c>
      <c r="Z70" s="3455">
        <f>(BE63-BG63)/12</f>
        <v>28254.541666666668</v>
      </c>
      <c r="AA70" s="3385">
        <f>Y70/년간!E12</f>
        <v>5.6146744063634939</v>
      </c>
      <c r="AB70" s="3978">
        <f>$Y$70/12-종합!BL232</f>
        <v>28254.541666666668</v>
      </c>
      <c r="AC70" s="3978">
        <f>$Y$70/12-종합!BM232</f>
        <v>-281245.45833333331</v>
      </c>
      <c r="AD70" s="3978">
        <f>$Y$70/12-종합!BN232</f>
        <v>-1676245.4583333333</v>
      </c>
      <c r="AE70" s="3978">
        <f>$Y$70/12-종합!BO232</f>
        <v>28254.541666666668</v>
      </c>
      <c r="AF70" s="3978">
        <f>$Y$70/12-종합!BP232</f>
        <v>28254.541666666668</v>
      </c>
      <c r="AG70" s="3978">
        <f>$Y$70/12-종합!BQ232</f>
        <v>28254.541666666668</v>
      </c>
      <c r="AH70" s="3978">
        <f>$Y$70/12-종합!BR232</f>
        <v>28254.541666666668</v>
      </c>
      <c r="AI70" s="3978">
        <f>$Y$70/12-종합!BS232</f>
        <v>28254.541666666668</v>
      </c>
      <c r="AJ70" s="3978">
        <f>$Y$70/12-종합!BT232</f>
        <v>28254.541666666668</v>
      </c>
      <c r="AK70" s="3978">
        <f>$Y$70/12-종합!BU232</f>
        <v>28254.541666666668</v>
      </c>
      <c r="AL70" s="5270"/>
      <c r="AM70" s="5270"/>
      <c r="AN70" s="5283">
        <f t="shared" si="49"/>
        <v>-1731454.5833333328</v>
      </c>
      <c r="AO70" s="3974">
        <f t="shared" si="7"/>
        <v>5.6146744063634939</v>
      </c>
      <c r="AP70" s="3974">
        <f>AB70/년간!F12</f>
        <v>5.7263588373745815</v>
      </c>
      <c r="AQ70" s="3974">
        <f>AC70/년간!G12</f>
        <v>-59.025039263215696</v>
      </c>
      <c r="AR70" s="3974">
        <f>AD70/년간!H12</f>
        <v>-302.29964009488458</v>
      </c>
      <c r="AS70" s="3974" t="e">
        <f>AE70/년간!I12</f>
        <v>#DIV/0!</v>
      </c>
      <c r="AT70" s="3974" t="e">
        <f>AF70/년간!J12</f>
        <v>#DIV/0!</v>
      </c>
      <c r="AU70" s="3974" t="e">
        <f>AG70/년간!K12</f>
        <v>#DIV/0!</v>
      </c>
      <c r="AV70" s="3974" t="e">
        <f>AH70/년간!L12</f>
        <v>#DIV/0!</v>
      </c>
      <c r="AW70" s="3974" t="e">
        <f>AI70/년간!M12</f>
        <v>#DIV/0!</v>
      </c>
      <c r="AX70" s="3966" t="e">
        <f>AJ70/년간!N12</f>
        <v>#DIV/0!</v>
      </c>
      <c r="AY70" s="3978" t="e">
        <f>AK70/년간!O12</f>
        <v>#DIV/0!</v>
      </c>
      <c r="AZ70" s="4219"/>
      <c r="BA70" s="4909"/>
      <c r="BB70" s="4035">
        <f>AN70/년간!$V$12</f>
        <v>-113.5830662874998</v>
      </c>
      <c r="BD70" s="2594" t="s">
        <v>1285</v>
      </c>
      <c r="BE70" s="2595">
        <v>350431000000</v>
      </c>
      <c r="BF70" s="7768"/>
      <c r="BG70" s="2603"/>
    </row>
    <row r="71" spans="2:82" ht="17.25" thickBot="1">
      <c r="B71" s="7720"/>
      <c r="C71" s="2898" t="s">
        <v>16</v>
      </c>
      <c r="D71" s="2790" t="s">
        <v>448</v>
      </c>
      <c r="E71" s="2791">
        <f t="shared" ref="E71:K71" si="50">SUM(E66:E70)</f>
        <v>967</v>
      </c>
      <c r="F71" s="2791">
        <f t="shared" si="50"/>
        <v>242</v>
      </c>
      <c r="G71" s="2791">
        <f t="shared" si="50"/>
        <v>223</v>
      </c>
      <c r="H71" s="2792">
        <f t="shared" si="50"/>
        <v>605.98</v>
      </c>
      <c r="I71" s="2792">
        <f t="shared" si="50"/>
        <v>183.21100000000001</v>
      </c>
      <c r="J71" s="6065">
        <f t="shared" si="50"/>
        <v>164.88990000000001</v>
      </c>
      <c r="K71" s="4928">
        <f t="shared" si="50"/>
        <v>13.740825000000001</v>
      </c>
      <c r="L71" s="3896">
        <f t="shared" ref="L71:Q71" si="51">SUM(L66:L70)</f>
        <v>0</v>
      </c>
      <c r="M71" s="3933">
        <f t="shared" si="51"/>
        <v>1.66</v>
      </c>
      <c r="N71" s="3933">
        <f t="shared" si="51"/>
        <v>71.199999999999989</v>
      </c>
      <c r="O71" s="3933">
        <f t="shared" si="51"/>
        <v>0</v>
      </c>
      <c r="P71" s="3933">
        <f t="shared" si="51"/>
        <v>0</v>
      </c>
      <c r="Q71" s="3933">
        <f t="shared" si="51"/>
        <v>0</v>
      </c>
      <c r="R71" s="3933">
        <f t="shared" ref="R71:X71" si="52">SUM(R66:R70)</f>
        <v>0</v>
      </c>
      <c r="S71" s="3933">
        <f t="shared" si="52"/>
        <v>0</v>
      </c>
      <c r="T71" s="3933">
        <f t="shared" si="52"/>
        <v>0</v>
      </c>
      <c r="U71" s="3933">
        <f t="shared" si="52"/>
        <v>0</v>
      </c>
      <c r="V71" s="3933">
        <f t="shared" si="52"/>
        <v>0</v>
      </c>
      <c r="W71" s="3933">
        <f t="shared" si="52"/>
        <v>0</v>
      </c>
      <c r="X71" s="3933">
        <f t="shared" si="52"/>
        <v>72.859999999999985</v>
      </c>
      <c r="Y71" s="3210">
        <f>SUM(Y66:Y70)</f>
        <v>996081.79999999981</v>
      </c>
      <c r="Z71" s="4718">
        <f>SUM(Z66:Z70)</f>
        <v>83006.816666666651</v>
      </c>
      <c r="AA71" s="4229">
        <f>Y71/(년간!E8+년간!E10+년간!E11+년간!E12)</f>
        <v>1.2887536139939362</v>
      </c>
      <c r="AB71" s="3980">
        <f t="shared" ref="AB71:AG71" si="53">SUM(AB66:AB70)</f>
        <v>83006.816666666651</v>
      </c>
      <c r="AC71" s="3980">
        <f t="shared" si="53"/>
        <v>-226493.18333333335</v>
      </c>
      <c r="AD71" s="3980">
        <f t="shared" si="53"/>
        <v>-1621493.1833333333</v>
      </c>
      <c r="AE71" s="3980">
        <f t="shared" si="53"/>
        <v>83006.816666666651</v>
      </c>
      <c r="AF71" s="3980">
        <f t="shared" si="53"/>
        <v>83006.816666666651</v>
      </c>
      <c r="AG71" s="3980">
        <f t="shared" si="53"/>
        <v>83006.816666666651</v>
      </c>
      <c r="AH71" s="3980">
        <f>SUM(AH66:AH70)</f>
        <v>83006.816666666651</v>
      </c>
      <c r="AI71" s="3980">
        <f>SUM(AI66:AI70)</f>
        <v>83006.816666666651</v>
      </c>
      <c r="AJ71" s="3980">
        <f>SUM(AJ66:AJ70)</f>
        <v>83006.816666666651</v>
      </c>
      <c r="AK71" s="3980">
        <f>SUM(AK66:AK70)</f>
        <v>83006.816666666651</v>
      </c>
      <c r="AL71" s="5272"/>
      <c r="AM71" s="5272"/>
      <c r="AN71" s="5284">
        <f t="shared" si="49"/>
        <v>-1183931.8333333335</v>
      </c>
      <c r="AO71" s="3998">
        <f t="shared" si="7"/>
        <v>1.2887536139939362</v>
      </c>
      <c r="AP71" s="3998">
        <f>AB71/년간!F13</f>
        <v>4.7873808467815948</v>
      </c>
      <c r="AQ71" s="3998">
        <f>AC71/년간!G13</f>
        <v>-13.547871683936489</v>
      </c>
      <c r="AR71" s="3998">
        <f>AD71/년간!H13</f>
        <v>-17.582980940286614</v>
      </c>
      <c r="AS71" s="3998" t="e">
        <f>AE71/년간!I13</f>
        <v>#DIV/0!</v>
      </c>
      <c r="AT71" s="3998" t="e">
        <f>AF71/년간!J13</f>
        <v>#DIV/0!</v>
      </c>
      <c r="AU71" s="3998" t="e">
        <f>AG71/년간!K13</f>
        <v>#DIV/0!</v>
      </c>
      <c r="AV71" s="3998" t="e">
        <f>AH71/년간!L13</f>
        <v>#DIV/0!</v>
      </c>
      <c r="AW71" s="3998" t="e">
        <f>AI71/년간!M13</f>
        <v>#DIV/0!</v>
      </c>
      <c r="AX71" s="5319" t="e">
        <f>AJ71/년간!N13</f>
        <v>#DIV/0!</v>
      </c>
      <c r="AY71" s="4227" t="e">
        <f>AK71/년간!O13</f>
        <v>#DIV/0!</v>
      </c>
      <c r="AZ71" s="4215"/>
      <c r="BA71" s="5332"/>
      <c r="BB71" s="5338">
        <f>AN71/년간!$V$13</f>
        <v>-9.3757373886365816</v>
      </c>
    </row>
    <row r="72" spans="2:82" s="286" customFormat="1" ht="16.5">
      <c r="B72" s="7718" t="s">
        <v>1392</v>
      </c>
      <c r="C72" s="2886" t="s">
        <v>27</v>
      </c>
      <c r="D72" s="1154" t="s">
        <v>1402</v>
      </c>
      <c r="E72" s="2795">
        <f>CPL!H6</f>
        <v>54.062042613628726</v>
      </c>
      <c r="F72" s="2795">
        <f>CPL!I6</f>
        <v>58.04</v>
      </c>
      <c r="G72" s="2795">
        <f>CPL!J6</f>
        <v>60.206775876441782</v>
      </c>
      <c r="H72" s="2795">
        <f>CPL!K6</f>
        <v>58.694362011852682</v>
      </c>
      <c r="I72" s="3211">
        <f>CPL!L6</f>
        <v>60.293596370134956</v>
      </c>
      <c r="J72" s="6175">
        <f>CPL!M6</f>
        <v>62</v>
      </c>
      <c r="K72" s="6176">
        <f>CPL!N6</f>
        <v>62</v>
      </c>
      <c r="L72" s="4201">
        <f>CPL!O6</f>
        <v>0</v>
      </c>
      <c r="M72" s="3934">
        <f>CPL!P6</f>
        <v>0</v>
      </c>
      <c r="N72" s="3934">
        <f>CPL!Q6</f>
        <v>59.686486096584552</v>
      </c>
      <c r="O72" s="3934" t="e">
        <f>CPL!R6</f>
        <v>#DIV/0!</v>
      </c>
      <c r="P72" s="3934" t="e">
        <f>CPL!S6</f>
        <v>#DIV/0!</v>
      </c>
      <c r="Q72" s="3934" t="e">
        <f>CPL!T6</f>
        <v>#DIV/0!</v>
      </c>
      <c r="R72" s="3934" t="e">
        <f>CPL!U6</f>
        <v>#DIV/0!</v>
      </c>
      <c r="S72" s="3934" t="e">
        <f>CPL!V6</f>
        <v>#DIV/0!</v>
      </c>
      <c r="T72" s="3934" t="e">
        <f>CPL!W6</f>
        <v>#DIV/0!</v>
      </c>
      <c r="U72" s="3934" t="e">
        <f>CPL!X6</f>
        <v>#DIV/0!</v>
      </c>
      <c r="V72" s="3934" t="e">
        <f>CPL!Y6</f>
        <v>#DIV/0!</v>
      </c>
      <c r="W72" s="3934" t="e">
        <f>CPL!Z6</f>
        <v>#DIV/0!</v>
      </c>
      <c r="X72" s="5042">
        <f>CPL!AA6</f>
        <v>59.686486096584552</v>
      </c>
      <c r="Y72" s="3948">
        <f>(년간!$E$14/성과개선!$I$72-년간!$E$14/성과개선!J72)*년간!$E$213</f>
        <v>144116841.1802302</v>
      </c>
      <c r="Z72" s="2918">
        <f>Y72/10</f>
        <v>14411684.118023019</v>
      </c>
      <c r="AA72" s="4230">
        <f>Y72/년간!E8</f>
        <v>510.30345939022214</v>
      </c>
      <c r="AB72" s="3984" t="e">
        <f>(년간!F8/성과개선!$I$72-년간!F14/성과개선!L72)*년간!$E$213</f>
        <v>#DIV/0!</v>
      </c>
      <c r="AC72" s="3984" t="e">
        <f>(년간!G8/성과개선!$I$72-년간!G14/성과개선!M72)*년간!$E$213</f>
        <v>#DIV/0!</v>
      </c>
      <c r="AD72" s="3984">
        <f>(년간!H8/성과개선!$I$72-년간!H14/성과개선!N72)*년간!$E$213</f>
        <v>-5201921.5823093839</v>
      </c>
      <c r="AE72" s="3984" t="e">
        <f>(년간!I8/성과개선!$I$72-년간!I14/성과개선!O72)*년간!$E$213</f>
        <v>#DIV/0!</v>
      </c>
      <c r="AF72" s="3984" t="e">
        <f>(년간!J8/성과개선!$I$72-년간!J14/성과개선!P72)*년간!$E$213</f>
        <v>#DIV/0!</v>
      </c>
      <c r="AG72" s="3984" t="e">
        <f>(년간!K8/성과개선!$I$72-년간!K14/성과개선!Q72)*년간!$E$213</f>
        <v>#DIV/0!</v>
      </c>
      <c r="AH72" s="3984" t="e">
        <f>(년간!L8/성과개선!$I$72-년간!L14/성과개선!R72)*년간!$E$213</f>
        <v>#DIV/0!</v>
      </c>
      <c r="AI72" s="3984" t="e">
        <f>(년간!M8/성과개선!$I$72-년간!M14/성과개선!S72)*년간!$E$213</f>
        <v>#DIV/0!</v>
      </c>
      <c r="AJ72" s="3984" t="e">
        <f>(년간!N8/성과개선!$I$72-년간!N14/성과개선!T72)*년간!$E$213</f>
        <v>#DIV/0!</v>
      </c>
      <c r="AK72" s="3984" t="e">
        <f>(년간!O8/성과개선!$I$72-년간!O14/성과개선!U72)*년간!$E$213</f>
        <v>#DIV/0!</v>
      </c>
      <c r="AL72" s="5274"/>
      <c r="AM72" s="5274"/>
      <c r="AN72" s="5283" t="e">
        <f t="shared" si="49"/>
        <v>#DIV/0!</v>
      </c>
      <c r="AO72" s="3999">
        <f t="shared" si="7"/>
        <v>510.30345939022214</v>
      </c>
      <c r="AP72" s="3999" t="e">
        <f>AB72/년간!F8</f>
        <v>#DIV/0!</v>
      </c>
      <c r="AQ72" s="3999" t="e">
        <f>AC72/년간!G8</f>
        <v>#DIV/0!</v>
      </c>
      <c r="AR72" s="3999">
        <f>AD72/년간!H8</f>
        <v>-188.59759809287263</v>
      </c>
      <c r="AS72" s="3999" t="e">
        <f>AE72/년간!I8</f>
        <v>#DIV/0!</v>
      </c>
      <c r="AT72" s="3999" t="e">
        <f>AF72/년간!J8</f>
        <v>#DIV/0!</v>
      </c>
      <c r="AU72" s="3999" t="e">
        <f>AG72/년간!K8</f>
        <v>#DIV/0!</v>
      </c>
      <c r="AV72" s="3999" t="e">
        <f>AH72/년간!L8</f>
        <v>#DIV/0!</v>
      </c>
      <c r="AW72" s="3999" t="e">
        <f>AI72/년간!M8</f>
        <v>#DIV/0!</v>
      </c>
      <c r="AX72" s="4348" t="e">
        <f>AJ72/년간!N8</f>
        <v>#DIV/0!</v>
      </c>
      <c r="AY72" s="5561" t="e">
        <f>AK72/년간!O8</f>
        <v>#DIV/0!</v>
      </c>
      <c r="AZ72" s="4223"/>
      <c r="BA72" s="4346"/>
      <c r="BB72" s="4035" t="e">
        <f>AN72/년간!$V$8</f>
        <v>#DIV/0!</v>
      </c>
      <c r="BD72" s="3377"/>
    </row>
    <row r="73" spans="2:82" s="286" customFormat="1" ht="16.5">
      <c r="B73" s="7719"/>
      <c r="C73" s="2889" t="s">
        <v>28</v>
      </c>
      <c r="D73" s="2493" t="s">
        <v>1402</v>
      </c>
      <c r="E73" s="2796">
        <f>CRM!H6</f>
        <v>44.110170695309336</v>
      </c>
      <c r="F73" s="2796">
        <f>CRM!I6</f>
        <v>44.71</v>
      </c>
      <c r="G73" s="2796">
        <f>CRM!J6</f>
        <v>46.04272455659865</v>
      </c>
      <c r="H73" s="2796">
        <f>CRM!K6</f>
        <v>46.906486455981941</v>
      </c>
      <c r="I73" s="3384">
        <f>CRM!L6</f>
        <v>49.260056236092275</v>
      </c>
      <c r="J73" s="6177">
        <f>CRM!M6</f>
        <v>50.07</v>
      </c>
      <c r="K73" s="6178">
        <f>CRM!N6</f>
        <v>50.07</v>
      </c>
      <c r="L73" s="4202">
        <f>CRM!O6</f>
        <v>0</v>
      </c>
      <c r="M73" s="3935">
        <f>CRM!P6</f>
        <v>0</v>
      </c>
      <c r="N73" s="3935">
        <f>CRM!Q6</f>
        <v>48.552899738448126</v>
      </c>
      <c r="O73" s="3935" t="e">
        <f>CRM!R6</f>
        <v>#DIV/0!</v>
      </c>
      <c r="P73" s="3935" t="e">
        <f>CRM!S6</f>
        <v>#DIV/0!</v>
      </c>
      <c r="Q73" s="3935" t="e">
        <f>CRM!T6</f>
        <v>#DIV/0!</v>
      </c>
      <c r="R73" s="3935" t="e">
        <f>CRM!U6</f>
        <v>#DIV/0!</v>
      </c>
      <c r="S73" s="3935" t="e">
        <f>CRM!V6</f>
        <v>#DIV/0!</v>
      </c>
      <c r="T73" s="3935" t="e">
        <f>CRM!W6</f>
        <v>#DIV/0!</v>
      </c>
      <c r="U73" s="3935" t="e">
        <f>CRM!X6</f>
        <v>#DIV/0!</v>
      </c>
      <c r="V73" s="3935" t="e">
        <f>CRM!Y6</f>
        <v>#DIV/0!</v>
      </c>
      <c r="W73" s="3935" t="e">
        <f>CRM!Z6</f>
        <v>#DIV/0!</v>
      </c>
      <c r="X73" s="5043">
        <f>CRM!AA6</f>
        <v>48.552899738448126</v>
      </c>
      <c r="Y73" s="3949">
        <f>(년간!$E$15/성과개선!$I$73-년간!$E$15/성과개선!J73)*년간!$E$214</f>
        <v>108678525.39062555</v>
      </c>
      <c r="Z73" s="4719">
        <f>Y73/10</f>
        <v>10867852.539062556</v>
      </c>
      <c r="AA73" s="4231">
        <f>Y73/년간!E9</f>
        <v>405.65311257745344</v>
      </c>
      <c r="AB73" s="3981" t="e">
        <f>(년간!F9/성과개선!$I$73-년간!F9/성과개선!L73)*년간!$E$214</f>
        <v>#DIV/0!</v>
      </c>
      <c r="AC73" s="3981" t="e">
        <f>(년간!G9/성과개선!$I$73-년간!G9/성과개선!M73)*년간!$E$214</f>
        <v>#DIV/0!</v>
      </c>
      <c r="AD73" s="3981">
        <f>(년간!H9/성과개선!$I$73-년간!H9/성과개선!N73)*년간!$E$214</f>
        <v>-8475108.18149825</v>
      </c>
      <c r="AE73" s="3981" t="e">
        <f>(년간!I9/성과개선!$I$73-년간!I9/성과개선!O73)*년간!$E$214</f>
        <v>#DIV/0!</v>
      </c>
      <c r="AF73" s="3981" t="e">
        <f>(년간!J9/성과개선!$I$73-년간!J9/성과개선!P73)*년간!$E$214</f>
        <v>#DIV/0!</v>
      </c>
      <c r="AG73" s="3981" t="e">
        <f>(년간!K9/성과개선!$I$73-년간!K9/성과개선!Q73)*년간!$E$214</f>
        <v>#DIV/0!</v>
      </c>
      <c r="AH73" s="3981" t="e">
        <f>(년간!L9/성과개선!$I$73-년간!L9/성과개선!R73)*년간!$E$214</f>
        <v>#DIV/0!</v>
      </c>
      <c r="AI73" s="3981" t="e">
        <f>(년간!M9/성과개선!$I$73-년간!M9/성과개선!S73)*년간!$E$214</f>
        <v>#DIV/0!</v>
      </c>
      <c r="AJ73" s="3981" t="e">
        <f>(년간!N9/성과개선!$I$73-년간!N9/성과개선!T73)*년간!$E$214</f>
        <v>#DIV/0!</v>
      </c>
      <c r="AK73" s="3981" t="e">
        <f>(년간!O9/성과개선!$I$73-년간!O9/성과개선!U73)*년간!$E$214</f>
        <v>#DIV/0!</v>
      </c>
      <c r="AL73" s="5275"/>
      <c r="AM73" s="5275"/>
      <c r="AN73" s="5283" t="e">
        <f t="shared" si="49"/>
        <v>#DIV/0!</v>
      </c>
      <c r="AO73" s="3976">
        <f t="shared" si="7"/>
        <v>405.65311257745344</v>
      </c>
      <c r="AP73" s="3976" t="e">
        <f>AB73/년간!F9</f>
        <v>#DIV/0!</v>
      </c>
      <c r="AQ73" s="3976" t="e">
        <f>AC73/년간!G9</f>
        <v>#DIV/0!</v>
      </c>
      <c r="AR73" s="3976">
        <f>AD73/년간!H9</f>
        <v>-365.23963644136802</v>
      </c>
      <c r="AS73" s="3976" t="e">
        <f>AE73/년간!I9</f>
        <v>#DIV/0!</v>
      </c>
      <c r="AT73" s="3976" t="e">
        <f>AF73/년간!J9</f>
        <v>#DIV/0!</v>
      </c>
      <c r="AU73" s="3976" t="e">
        <f>AG73/년간!K9</f>
        <v>#DIV/0!</v>
      </c>
      <c r="AV73" s="3976" t="e">
        <f>AH73/년간!L9</f>
        <v>#DIV/0!</v>
      </c>
      <c r="AW73" s="3976" t="e">
        <f>AI73/년간!M9</f>
        <v>#DIV/0!</v>
      </c>
      <c r="AX73" s="4034" t="e">
        <f>AJ73/년간!N9</f>
        <v>#DIV/0!</v>
      </c>
      <c r="AY73" s="5329" t="e">
        <f>AK73/년간!O9</f>
        <v>#DIV/0!</v>
      </c>
      <c r="AZ73" s="4223"/>
      <c r="BA73" s="4346"/>
      <c r="BB73" s="4035" t="e">
        <f>AN73/년간!$V$9</f>
        <v>#DIV/0!</v>
      </c>
    </row>
    <row r="74" spans="2:82" s="286" customFormat="1" ht="16.5">
      <c r="B74" s="7719"/>
      <c r="C74" s="2889" t="s">
        <v>29</v>
      </c>
      <c r="D74" s="2493" t="s">
        <v>1402</v>
      </c>
      <c r="E74" s="2796">
        <f>CGL!H6</f>
        <v>39.166384432747506</v>
      </c>
      <c r="F74" s="2796">
        <f>CGL!I6</f>
        <v>39.29</v>
      </c>
      <c r="G74" s="2796">
        <f>CGL!J6</f>
        <v>39.056847287531163</v>
      </c>
      <c r="H74" s="2796">
        <f>CGL!K6</f>
        <v>39.078220717254119</v>
      </c>
      <c r="I74" s="3384">
        <f>CGL!L6</f>
        <v>39.517993080100453</v>
      </c>
      <c r="J74" s="6177">
        <f>CGL!M6</f>
        <v>40.049999999999997</v>
      </c>
      <c r="K74" s="6178">
        <f>CGL!N6</f>
        <v>40.049999999999997</v>
      </c>
      <c r="L74" s="4202">
        <f>CGL!O6</f>
        <v>0</v>
      </c>
      <c r="M74" s="3935">
        <f>CGL!P6</f>
        <v>0</v>
      </c>
      <c r="N74" s="3935">
        <f>CGL!Q6</f>
        <v>37.159860185335717</v>
      </c>
      <c r="O74" s="3935" t="e">
        <f>CGL!R6</f>
        <v>#DIV/0!</v>
      </c>
      <c r="P74" s="3935" t="e">
        <f>CGL!S6</f>
        <v>#DIV/0!</v>
      </c>
      <c r="Q74" s="3935" t="e">
        <f>CGL!T6</f>
        <v>#DIV/0!</v>
      </c>
      <c r="R74" s="3935" t="e">
        <f>CGL!U6</f>
        <v>#DIV/0!</v>
      </c>
      <c r="S74" s="3935" t="e">
        <f>CGL!V6</f>
        <v>#DIV/0!</v>
      </c>
      <c r="T74" s="3935" t="e">
        <f>CGL!W6</f>
        <v>#DIV/0!</v>
      </c>
      <c r="U74" s="3935" t="e">
        <f>CGL!X6</f>
        <v>#DIV/0!</v>
      </c>
      <c r="V74" s="3935" t="e">
        <f>CGL!Y6</f>
        <v>#DIV/0!</v>
      </c>
      <c r="W74" s="3935" t="e">
        <f>CGL!Z6</f>
        <v>#DIV/0!</v>
      </c>
      <c r="X74" s="5043">
        <f>CGL!AA6</f>
        <v>37.159860185335717</v>
      </c>
      <c r="Y74" s="3949">
        <f>(년간!$E$16/성과개선!$I$74-년간!$E$16/성과개선!J74)*년간!$E$215</f>
        <v>204033928.47362828</v>
      </c>
      <c r="Z74" s="4719">
        <f>Y74/10</f>
        <v>20403392.847362828</v>
      </c>
      <c r="AA74" s="4231">
        <f>Y74/년간!E10</f>
        <v>761.15022186685178</v>
      </c>
      <c r="AB74" s="3981" t="e">
        <f>(년간!F16/성과개선!$I$74-년간!F16/성과개선!L74)*년간!$E$215</f>
        <v>#DIV/0!</v>
      </c>
      <c r="AC74" s="3981" t="e">
        <f>(년간!G16/성과개선!$I$74-년간!G16/성과개선!M74)*년간!$E$215</f>
        <v>#DIV/0!</v>
      </c>
      <c r="AD74" s="3981">
        <f>(년간!H16/성과개선!$I$74-년간!H16/성과개선!N74)*년간!$E$215</f>
        <v>-82985424.98418653</v>
      </c>
      <c r="AE74" s="3981" t="e">
        <f>(년간!I16/성과개선!$I$74-년간!I16/성과개선!O74)*년간!$E$215</f>
        <v>#DIV/0!</v>
      </c>
      <c r="AF74" s="3981" t="e">
        <f>(년간!J16/성과개선!$I$74-년간!J16/성과개선!P74)*년간!$E$215</f>
        <v>#DIV/0!</v>
      </c>
      <c r="AG74" s="3981" t="e">
        <f>(년간!K16/성과개선!$I$74-년간!K16/성과개선!Q74)*년간!$E$215</f>
        <v>#DIV/0!</v>
      </c>
      <c r="AH74" s="3981" t="e">
        <f>(년간!L16/성과개선!$I$74-년간!L16/성과개선!R74)*년간!$E$215</f>
        <v>#DIV/0!</v>
      </c>
      <c r="AI74" s="3981" t="e">
        <f>(년간!M16/성과개선!$I$74-년간!M16/성과개선!S74)*년간!$E$215</f>
        <v>#DIV/0!</v>
      </c>
      <c r="AJ74" s="3981" t="e">
        <f>(년간!N16/성과개선!$I$74-년간!N16/성과개선!T74)*년간!$E$215</f>
        <v>#DIV/0!</v>
      </c>
      <c r="AK74" s="3981" t="e">
        <f>(년간!O16/성과개선!$I$74-년간!O16/성과개선!U74)*년간!$E$215</f>
        <v>#DIV/0!</v>
      </c>
      <c r="AL74" s="5275"/>
      <c r="AM74" s="5275"/>
      <c r="AN74" s="5283" t="e">
        <f t="shared" si="49"/>
        <v>#DIV/0!</v>
      </c>
      <c r="AO74" s="3976">
        <f t="shared" si="7"/>
        <v>761.15022186685178</v>
      </c>
      <c r="AP74" s="3976" t="e">
        <f>AB74/년간!F10</f>
        <v>#DIV/0!</v>
      </c>
      <c r="AQ74" s="3976" t="e">
        <f>AC74/년간!G10</f>
        <v>#DIV/0!</v>
      </c>
      <c r="AR74" s="3976">
        <f>AD74/년간!H10</f>
        <v>-3630.6302692951153</v>
      </c>
      <c r="AS74" s="3976" t="e">
        <f>AE74/년간!I10</f>
        <v>#DIV/0!</v>
      </c>
      <c r="AT74" s="3976" t="e">
        <f>AF74/년간!J10</f>
        <v>#DIV/0!</v>
      </c>
      <c r="AU74" s="3976" t="e">
        <f>AG74/년간!K10</f>
        <v>#DIV/0!</v>
      </c>
      <c r="AV74" s="3976" t="e">
        <f>AH74/년간!L10</f>
        <v>#DIV/0!</v>
      </c>
      <c r="AW74" s="3976" t="e">
        <f>AI74/년간!M10</f>
        <v>#DIV/0!</v>
      </c>
      <c r="AX74" s="4034" t="e">
        <f>AJ74/년간!N10</f>
        <v>#DIV/0!</v>
      </c>
      <c r="AY74" s="5329" t="e">
        <f>AK74/년간!O10</f>
        <v>#DIV/0!</v>
      </c>
      <c r="AZ74" s="4223"/>
      <c r="BA74" s="4346"/>
      <c r="BB74" s="4035" t="e">
        <f>AN74/년간!$V$10</f>
        <v>#DIV/0!</v>
      </c>
    </row>
    <row r="75" spans="2:82" s="286" customFormat="1" ht="16.5">
      <c r="B75" s="7719"/>
      <c r="C75" s="2889" t="s">
        <v>501</v>
      </c>
      <c r="D75" s="2493" t="s">
        <v>1402</v>
      </c>
      <c r="E75" s="2796">
        <f>'#1CCL'!H6</f>
        <v>19.959255318262262</v>
      </c>
      <c r="F75" s="2796">
        <f>'#1CCL'!I6</f>
        <v>22.3</v>
      </c>
      <c r="G75" s="2796">
        <f>'#1CCL'!J6</f>
        <v>23.635136290988044</v>
      </c>
      <c r="H75" s="2796">
        <f>'#1CCL'!K6</f>
        <v>23.126629659404287</v>
      </c>
      <c r="I75" s="3384">
        <f>'#1CCL'!L6</f>
        <v>22.529190340300044</v>
      </c>
      <c r="J75" s="6177">
        <f>'#1CCL'!M6</f>
        <v>24</v>
      </c>
      <c r="K75" s="6178">
        <f>'#1CCL'!N6</f>
        <v>24</v>
      </c>
      <c r="L75" s="4202">
        <f>'#1CCL'!O6</f>
        <v>21.081832087015638</v>
      </c>
      <c r="M75" s="3935">
        <f>'#1CCL'!P6</f>
        <v>21.265148550080056</v>
      </c>
      <c r="N75" s="3935">
        <f>'#1CCL'!Q6</f>
        <v>21.541975478716076</v>
      </c>
      <c r="O75" s="3935" t="e">
        <f>'#1CCL'!R6</f>
        <v>#DIV/0!</v>
      </c>
      <c r="P75" s="3935" t="e">
        <f>'#1CCL'!S6</f>
        <v>#DIV/0!</v>
      </c>
      <c r="Q75" s="3935" t="e">
        <f>'#1CCL'!T6</f>
        <v>#DIV/0!</v>
      </c>
      <c r="R75" s="3935" t="e">
        <f>'#1CCL'!U6</f>
        <v>#DIV/0!</v>
      </c>
      <c r="S75" s="3935" t="e">
        <f>'#1CCL'!V6</f>
        <v>#DIV/0!</v>
      </c>
      <c r="T75" s="3935" t="e">
        <f>'#1CCL'!W6</f>
        <v>#DIV/0!</v>
      </c>
      <c r="U75" s="3935" t="e">
        <f>'#1CCL'!X6</f>
        <v>#DIV/0!</v>
      </c>
      <c r="V75" s="3935" t="e">
        <f>'#1CCL'!Y6</f>
        <v>#DIV/0!</v>
      </c>
      <c r="W75" s="3935" t="e">
        <f>'#1CCL'!Z6</f>
        <v>#DIV/0!</v>
      </c>
      <c r="X75" s="5043">
        <f>'#1CCL'!AA6</f>
        <v>21.299097080465227</v>
      </c>
      <c r="Y75" s="3949">
        <f>(년간!$E$17/성과개선!$I$75-년간!$E$17/성과개선!J75)*년간!$E$216</f>
        <v>638528786.98715091</v>
      </c>
      <c r="Z75" s="4719">
        <f>Y75/12</f>
        <v>53210732.24892924</v>
      </c>
      <c r="AA75" s="4231">
        <f>Y75/년간!E11</f>
        <v>3940.5141073743284</v>
      </c>
      <c r="AB75" s="3981">
        <f>(년간!F17/성과개선!$I$75-년간!F17/성과개선!L75)*년간!$E$216</f>
        <v>-54718970.751226053</v>
      </c>
      <c r="AC75" s="3981">
        <f>(년간!G17/성과개선!$I$75-년간!G17/성과개선!M75)*년간!$E$216</f>
        <v>-45694975.128547385</v>
      </c>
      <c r="AD75" s="3981">
        <f>(년간!H17/성과개선!$I$75-년간!H17/성과개선!N75)*년간!$E$216</f>
        <v>-38378819.003076844</v>
      </c>
      <c r="AE75" s="3981" t="e">
        <f>(년간!I17/성과개선!$I$75-년간!I17/성과개선!O75)*년간!$E$216</f>
        <v>#DIV/0!</v>
      </c>
      <c r="AF75" s="3981" t="e">
        <f>(년간!J17/성과개선!$I$75-년간!J17/성과개선!P75)*년간!$E$216</f>
        <v>#DIV/0!</v>
      </c>
      <c r="AG75" s="3981" t="e">
        <f>(년간!K17/성과개선!$I$75-년간!K17/성과개선!Q75)*년간!$E$216</f>
        <v>#DIV/0!</v>
      </c>
      <c r="AH75" s="3981" t="e">
        <f>(년간!L17/성과개선!$I$75-년간!L17/성과개선!R75)*년간!$E$216</f>
        <v>#DIV/0!</v>
      </c>
      <c r="AI75" s="3981" t="e">
        <f>(년간!M17/성과개선!$I$75-년간!M17/성과개선!S75)*년간!$E$216</f>
        <v>#DIV/0!</v>
      </c>
      <c r="AJ75" s="3981" t="e">
        <f>(년간!N17/성과개선!$I$75-년간!N17/성과개선!T75)*년간!$E$216</f>
        <v>#DIV/0!</v>
      </c>
      <c r="AK75" s="3981" t="e">
        <f>(년간!O17/성과개선!$I$75-년간!O17/성과개선!U75)*년간!$E$216</f>
        <v>#DIV/0!</v>
      </c>
      <c r="AL75" s="5275"/>
      <c r="AM75" s="5275"/>
      <c r="AN75" s="5283" t="e">
        <f t="shared" si="49"/>
        <v>#DIV/0!</v>
      </c>
      <c r="AO75" s="3976">
        <f t="shared" si="7"/>
        <v>3940.5141073743284</v>
      </c>
      <c r="AP75" s="3976">
        <f>AB75/년간!F11</f>
        <v>-4411.2015954811777</v>
      </c>
      <c r="AQ75" s="3976">
        <f>AC75/년간!G11</f>
        <v>-3822.8427951607182</v>
      </c>
      <c r="AR75" s="3976">
        <f>AD75/년간!H11</f>
        <v>-2945.1710909345215</v>
      </c>
      <c r="AS75" s="3976" t="e">
        <f>AE75/년간!I11</f>
        <v>#DIV/0!</v>
      </c>
      <c r="AT75" s="3976" t="e">
        <f>AF75/년간!J11</f>
        <v>#DIV/0!</v>
      </c>
      <c r="AU75" s="3976" t="e">
        <f>AG75/년간!K11</f>
        <v>#DIV/0!</v>
      </c>
      <c r="AV75" s="3976" t="e">
        <f>AH75/년간!L11</f>
        <v>#DIV/0!</v>
      </c>
      <c r="AW75" s="3976" t="e">
        <f>AI75/년간!M11</f>
        <v>#DIV/0!</v>
      </c>
      <c r="AX75" s="4034" t="e">
        <f>AJ75/년간!N11</f>
        <v>#DIV/0!</v>
      </c>
      <c r="AY75" s="5329" t="e">
        <f>AK75/년간!O11</f>
        <v>#DIV/0!</v>
      </c>
      <c r="AZ75" s="4223"/>
      <c r="BA75" s="4346"/>
      <c r="BB75" s="4035" t="e">
        <f>AN75/년간!$V$11</f>
        <v>#DIV/0!</v>
      </c>
    </row>
    <row r="76" spans="2:82" s="286" customFormat="1" ht="17.25" thickBot="1">
      <c r="B76" s="7719"/>
      <c r="C76" s="2890" t="s">
        <v>439</v>
      </c>
      <c r="D76" s="1668" t="s">
        <v>1402</v>
      </c>
      <c r="E76" s="2922">
        <f>'#2CCL'!H6</f>
        <v>9.6301471114610937</v>
      </c>
      <c r="F76" s="2922">
        <f>'#2CCL'!I6</f>
        <v>9.7799999999999994</v>
      </c>
      <c r="G76" s="2922">
        <f>'#2CCL'!J6</f>
        <v>9.9899535671630861</v>
      </c>
      <c r="H76" s="2922">
        <f>'#2CCL'!K6</f>
        <v>9.3511203248380532</v>
      </c>
      <c r="I76" s="3212">
        <f>'#2CCL'!L6</f>
        <v>9.5212979035692769</v>
      </c>
      <c r="J76" s="6179">
        <f>'#2CCL'!M6</f>
        <v>9.6999999999999993</v>
      </c>
      <c r="K76" s="6180">
        <f>'#2CCL'!N6</f>
        <v>9.6999999999999993</v>
      </c>
      <c r="L76" s="4203">
        <f>'#2CCL'!O6</f>
        <v>9.2332969466363082</v>
      </c>
      <c r="M76" s="3936">
        <f>'#2CCL'!P6</f>
        <v>9.9368709346114343</v>
      </c>
      <c r="N76" s="3936">
        <f>'#2CCL'!Q6</f>
        <v>10.335309367438645</v>
      </c>
      <c r="O76" s="3936" t="e">
        <f>'#2CCL'!R6</f>
        <v>#DIV/0!</v>
      </c>
      <c r="P76" s="3936" t="e">
        <f>'#2CCL'!S6</f>
        <v>#DIV/0!</v>
      </c>
      <c r="Q76" s="3936" t="e">
        <f>'#2CCL'!T6</f>
        <v>#DIV/0!</v>
      </c>
      <c r="R76" s="3936" t="e">
        <f>'#2CCL'!U6</f>
        <v>#DIV/0!</v>
      </c>
      <c r="S76" s="3936" t="e">
        <f>'#2CCL'!V6</f>
        <v>#DIV/0!</v>
      </c>
      <c r="T76" s="3936" t="e">
        <f>'#2CCL'!W6</f>
        <v>#DIV/0!</v>
      </c>
      <c r="U76" s="3936" t="e">
        <f>'#2CCL'!X6</f>
        <v>#DIV/0!</v>
      </c>
      <c r="V76" s="3936" t="e">
        <f>'#2CCL'!Y6</f>
        <v>#DIV/0!</v>
      </c>
      <c r="W76" s="3936" t="e">
        <f>'#2CCL'!Z6</f>
        <v>#DIV/0!</v>
      </c>
      <c r="X76" s="5044">
        <f>'#2CCL'!AA6</f>
        <v>9.52856056423132</v>
      </c>
      <c r="Y76" s="3949">
        <f>(년간!$E$18/성과개선!$I$76-년간!$E$18/성과개선!J76)*년간!$E$217</f>
        <v>186321655.26925617</v>
      </c>
      <c r="Z76" s="4719">
        <f>Y76/12</f>
        <v>15526804.605771348</v>
      </c>
      <c r="AA76" s="4232">
        <f>Y76/년간!E12</f>
        <v>3085.4491805641114</v>
      </c>
      <c r="AB76" s="3981">
        <f>(년간!F18/성과개선!$I$76-년간!F18/성과개선!L76)*년간!$E$217</f>
        <v>-25773265.613504175</v>
      </c>
      <c r="AC76" s="3981">
        <f>(년간!G18/성과개선!$I$76-년간!G18/성과개선!M76)*년간!$E$217</f>
        <v>33387782.676533714</v>
      </c>
      <c r="AD76" s="3981">
        <f>(년간!H18/성과개선!$I$76-년간!H18/성과개선!N76)*년간!$E$217</f>
        <v>73113293.045505911</v>
      </c>
      <c r="AE76" s="3981" t="e">
        <f>(년간!I18/성과개선!$I$76-년간!I18/성과개선!O76)*년간!$E$217</f>
        <v>#DIV/0!</v>
      </c>
      <c r="AF76" s="3981" t="e">
        <f>(년간!J18/성과개선!$I$76-년간!J18/성과개선!P76)*년간!$E$217</f>
        <v>#DIV/0!</v>
      </c>
      <c r="AG76" s="3981" t="e">
        <f>(년간!K18/성과개선!$I$76-년간!K18/성과개선!Q76)*년간!$E$217</f>
        <v>#DIV/0!</v>
      </c>
      <c r="AH76" s="3981" t="e">
        <f>(년간!L18/성과개선!$I$76-년간!L18/성과개선!R76)*년간!$E$217</f>
        <v>#DIV/0!</v>
      </c>
      <c r="AI76" s="3981" t="e">
        <f>(년간!M18/성과개선!$I$76-년간!M18/성과개선!S76)*년간!$E$217</f>
        <v>#DIV/0!</v>
      </c>
      <c r="AJ76" s="3981" t="e">
        <f>(년간!N18/성과개선!$I$76-년간!N18/성과개선!T76)*년간!$E$217</f>
        <v>#DIV/0!</v>
      </c>
      <c r="AK76" s="3981" t="e">
        <f>(년간!O18/성과개선!$I$76-년간!O18/성과개선!U76)*년간!$E$217</f>
        <v>#DIV/0!</v>
      </c>
      <c r="AL76" s="5276"/>
      <c r="AM76" s="5276"/>
      <c r="AN76" s="5283" t="e">
        <f t="shared" si="49"/>
        <v>#DIV/0!</v>
      </c>
      <c r="AO76" s="4000">
        <f t="shared" ref="AO76:AO106" si="54">AA76</f>
        <v>3085.4491805641114</v>
      </c>
      <c r="AP76" s="4000">
        <f>AB76/년간!F12</f>
        <v>-5223.4776644070625</v>
      </c>
      <c r="AQ76" s="4000">
        <f>AC76/년간!G12</f>
        <v>7007.1004704311181</v>
      </c>
      <c r="AR76" s="4000">
        <f>AD76/년간!H12</f>
        <v>13185.492652003417</v>
      </c>
      <c r="AS76" s="4000" t="e">
        <f>AE76/년간!I12</f>
        <v>#DIV/0!</v>
      </c>
      <c r="AT76" s="4000" t="e">
        <f>AF76/년간!J12</f>
        <v>#DIV/0!</v>
      </c>
      <c r="AU76" s="4000" t="e">
        <f>AG76/년간!K12</f>
        <v>#DIV/0!</v>
      </c>
      <c r="AV76" s="4000" t="e">
        <f>AH76/년간!L12</f>
        <v>#DIV/0!</v>
      </c>
      <c r="AW76" s="4000" t="e">
        <f>AI76/년간!M12</f>
        <v>#DIV/0!</v>
      </c>
      <c r="AX76" s="5320" t="e">
        <f>AJ76/년간!N12</f>
        <v>#DIV/0!</v>
      </c>
      <c r="AY76" s="5562" t="e">
        <f>AK76/년간!O12</f>
        <v>#DIV/0!</v>
      </c>
      <c r="AZ76" s="4223"/>
      <c r="BA76" s="4346"/>
      <c r="BB76" s="4035" t="e">
        <f>AN76/년간!$V$12</f>
        <v>#DIV/0!</v>
      </c>
    </row>
    <row r="77" spans="2:82" s="286" customFormat="1" ht="17.25" thickBot="1">
      <c r="B77" s="7728"/>
      <c r="C77" s="2255" t="s">
        <v>1403</v>
      </c>
      <c r="D77" s="1850" t="s">
        <v>1402</v>
      </c>
      <c r="E77" s="2923">
        <f t="shared" ref="E77:P77" si="55">(E72+E73+E74+E75+E76)/5</f>
        <v>33.385600034281786</v>
      </c>
      <c r="F77" s="2923">
        <f t="shared" si="55"/>
        <v>34.823999999999998</v>
      </c>
      <c r="G77" s="2923">
        <f t="shared" si="55"/>
        <v>35.786287515744547</v>
      </c>
      <c r="H77" s="2923">
        <f t="shared" si="55"/>
        <v>35.431363833866214</v>
      </c>
      <c r="I77" s="3897">
        <f>(I72+I73+I74+I75+I76)/5</f>
        <v>36.224426786039395</v>
      </c>
      <c r="J77" s="4204">
        <f t="shared" si="55"/>
        <v>37.164000000000001</v>
      </c>
      <c r="K77" s="3897">
        <f t="shared" si="55"/>
        <v>37.164000000000001</v>
      </c>
      <c r="L77" s="4204">
        <f t="shared" si="55"/>
        <v>6.0630258067303888</v>
      </c>
      <c r="M77" s="3937">
        <f t="shared" si="55"/>
        <v>6.2404038969382984</v>
      </c>
      <c r="N77" s="3937">
        <f t="shared" si="55"/>
        <v>35.455306173304621</v>
      </c>
      <c r="O77" s="3937" t="e">
        <f t="shared" si="55"/>
        <v>#DIV/0!</v>
      </c>
      <c r="P77" s="3937" t="e">
        <f t="shared" si="55"/>
        <v>#DIV/0!</v>
      </c>
      <c r="Q77" s="3937" t="e">
        <f>(Q72+Q73+Q74+Q75+Q76)/5</f>
        <v>#DIV/0!</v>
      </c>
      <c r="R77" s="3937" t="e">
        <f>(R72+R73+R74+R75+R76)/5</f>
        <v>#DIV/0!</v>
      </c>
      <c r="S77" s="3937" t="e">
        <f t="shared" ref="S77:X77" si="56">(S72+S73+S74+S75+S76)/5</f>
        <v>#DIV/0!</v>
      </c>
      <c r="T77" s="3937" t="e">
        <f t="shared" si="56"/>
        <v>#DIV/0!</v>
      </c>
      <c r="U77" s="3937" t="e">
        <f t="shared" si="56"/>
        <v>#DIV/0!</v>
      </c>
      <c r="V77" s="3937" t="e">
        <f t="shared" si="56"/>
        <v>#DIV/0!</v>
      </c>
      <c r="W77" s="3937" t="e">
        <f t="shared" si="56"/>
        <v>#DIV/0!</v>
      </c>
      <c r="X77" s="3937">
        <f t="shared" si="56"/>
        <v>35.245380733012993</v>
      </c>
      <c r="Y77" s="3210">
        <f>SUM(Y72:Y76)</f>
        <v>1281679737.3008909</v>
      </c>
      <c r="Z77" s="4718">
        <f>SUM(Z72:Z76)</f>
        <v>114420466.35914899</v>
      </c>
      <c r="AA77" s="4731">
        <f>Y77/년간!E13</f>
        <v>1231.4214788132606</v>
      </c>
      <c r="AB77" s="3980" t="e">
        <f t="shared" ref="AB77:AG77" si="57">SUM(AB72:AB76)</f>
        <v>#DIV/0!</v>
      </c>
      <c r="AC77" s="3980" t="e">
        <f t="shared" si="57"/>
        <v>#DIV/0!</v>
      </c>
      <c r="AD77" s="3980">
        <f t="shared" si="57"/>
        <v>-61927980.705565095</v>
      </c>
      <c r="AE77" s="3980" t="e">
        <f t="shared" si="57"/>
        <v>#DIV/0!</v>
      </c>
      <c r="AF77" s="3980" t="e">
        <f t="shared" si="57"/>
        <v>#DIV/0!</v>
      </c>
      <c r="AG77" s="3980" t="e">
        <f t="shared" si="57"/>
        <v>#DIV/0!</v>
      </c>
      <c r="AH77" s="3980" t="e">
        <f>SUM(AH72:AH76)</f>
        <v>#DIV/0!</v>
      </c>
      <c r="AI77" s="3980" t="e">
        <f>SUM(AI72:AI76)</f>
        <v>#DIV/0!</v>
      </c>
      <c r="AJ77" s="3980" t="e">
        <f>SUM(AJ72:AJ76)</f>
        <v>#DIV/0!</v>
      </c>
      <c r="AK77" s="3980" t="e">
        <f>SUM(AK72:AK76)</f>
        <v>#DIV/0!</v>
      </c>
      <c r="AL77" s="5277"/>
      <c r="AM77" s="5277"/>
      <c r="AN77" s="5284" t="e">
        <f t="shared" si="49"/>
        <v>#DIV/0!</v>
      </c>
      <c r="AO77" s="5281">
        <f t="shared" si="54"/>
        <v>1231.4214788132606</v>
      </c>
      <c r="AP77" s="4001" t="e">
        <f>AB77/년간!F13</f>
        <v>#DIV/0!</v>
      </c>
      <c r="AQ77" s="4001" t="e">
        <f>AC77/년간!G13</f>
        <v>#DIV/0!</v>
      </c>
      <c r="AR77" s="4001">
        <f>AD77/년간!H13</f>
        <v>-671.52826518700545</v>
      </c>
      <c r="AS77" s="4001" t="e">
        <f>AE77/년간!I13</f>
        <v>#DIV/0!</v>
      </c>
      <c r="AT77" s="4001" t="e">
        <f>AF77/년간!J13</f>
        <v>#DIV/0!</v>
      </c>
      <c r="AU77" s="4001" t="e">
        <f>AG77/년간!K13</f>
        <v>#DIV/0!</v>
      </c>
      <c r="AV77" s="4001" t="e">
        <f>AH77/년간!L13</f>
        <v>#DIV/0!</v>
      </c>
      <c r="AW77" s="4001" t="e">
        <f>AI77/년간!M13</f>
        <v>#DIV/0!</v>
      </c>
      <c r="AX77" s="5321" t="e">
        <f>AJ77/년간!N13</f>
        <v>#DIV/0!</v>
      </c>
      <c r="AY77" s="5355" t="e">
        <f>AK77/년간!O13</f>
        <v>#DIV/0!</v>
      </c>
      <c r="AZ77" s="4215"/>
      <c r="BA77" s="5332"/>
      <c r="BB77" s="5338" t="e">
        <f>AN77/년간!$V$13</f>
        <v>#DIV/0!</v>
      </c>
    </row>
    <row r="78" spans="2:82" s="286" customFormat="1" ht="16.5">
      <c r="B78" s="7731" t="s">
        <v>1294</v>
      </c>
      <c r="C78" s="2887" t="s">
        <v>39</v>
      </c>
      <c r="D78" s="1152" t="s">
        <v>453</v>
      </c>
      <c r="E78" s="2634">
        <f>종합!F83</f>
        <v>3.7</v>
      </c>
      <c r="F78" s="2634">
        <f>종합!G83</f>
        <v>3.48</v>
      </c>
      <c r="G78" s="2634">
        <f>종합!H83</f>
        <v>6</v>
      </c>
      <c r="H78" s="1197">
        <f>종합!I83</f>
        <v>7.1107920973624523</v>
      </c>
      <c r="I78" s="1197">
        <f>종합!J83</f>
        <v>6.1230810370318052</v>
      </c>
      <c r="J78" s="6181">
        <f>종합!K83</f>
        <v>5.8169269851802143</v>
      </c>
      <c r="K78" s="6181">
        <f>종합!L83</f>
        <v>5.8169269851802143</v>
      </c>
      <c r="L78" s="4205">
        <f>종합!M83</f>
        <v>0</v>
      </c>
      <c r="M78" s="3938">
        <f>종합!N83</f>
        <v>0</v>
      </c>
      <c r="N78" s="3938">
        <f>종합!O83</f>
        <v>6.3064038956499386</v>
      </c>
      <c r="O78" s="3938">
        <f>종합!P83</f>
        <v>0</v>
      </c>
      <c r="P78" s="3938">
        <f>종합!Q83</f>
        <v>0</v>
      </c>
      <c r="Q78" s="3938">
        <f>종합!R83</f>
        <v>0</v>
      </c>
      <c r="R78" s="3938">
        <f>종합!S83</f>
        <v>0</v>
      </c>
      <c r="S78" s="3938">
        <f>종합!T83</f>
        <v>0</v>
      </c>
      <c r="T78" s="3938">
        <f>종합!U83</f>
        <v>0</v>
      </c>
      <c r="U78" s="3938">
        <f>종합!V83</f>
        <v>0</v>
      </c>
      <c r="V78" s="3938">
        <f>종합!W83</f>
        <v>0</v>
      </c>
      <c r="W78" s="3938">
        <f>종합!X83</f>
        <v>0</v>
      </c>
      <c r="X78" s="5045">
        <f>종합!Y83</f>
        <v>7.2375593070792732</v>
      </c>
      <c r="Y78" s="3910">
        <f>종합!AL83*1000</f>
        <v>43602882.618525937</v>
      </c>
      <c r="Z78" s="4723">
        <f>Y78/10</f>
        <v>4360288.2618525941</v>
      </c>
      <c r="AA78" s="3986">
        <f>Y78/년간!E8</f>
        <v>154.39348834875727</v>
      </c>
      <c r="AB78" s="3978">
        <f>종합!Z83*1000</f>
        <v>0</v>
      </c>
      <c r="AC78" s="3978">
        <f>종합!AA83*1000</f>
        <v>0</v>
      </c>
      <c r="AD78" s="3978">
        <f>종합!AB83*1000</f>
        <v>11188768.900306119</v>
      </c>
      <c r="AE78" s="3978">
        <f>종합!AC83*1000</f>
        <v>0</v>
      </c>
      <c r="AF78" s="3978">
        <f>종합!AD83*1000</f>
        <v>0</v>
      </c>
      <c r="AG78" s="3978">
        <f>종합!AE83*1000</f>
        <v>0</v>
      </c>
      <c r="AH78" s="3978">
        <f>종합!AF83*1000</f>
        <v>0</v>
      </c>
      <c r="AI78" s="3978">
        <f>종합!AG83*1000</f>
        <v>0</v>
      </c>
      <c r="AJ78" s="3978">
        <f>종합!AH83*1000</f>
        <v>0</v>
      </c>
      <c r="AK78" s="3978">
        <f>종합!AI83*1000</f>
        <v>0</v>
      </c>
      <c r="AL78" s="5278"/>
      <c r="AM78" s="5278"/>
      <c r="AN78" s="5283">
        <f t="shared" si="49"/>
        <v>11188768.900306119</v>
      </c>
      <c r="AO78" s="3990">
        <f t="shared" si="54"/>
        <v>154.39348834875727</v>
      </c>
      <c r="AP78" s="3990" t="e">
        <f>AB78/년간!F8</f>
        <v>#DIV/0!</v>
      </c>
      <c r="AQ78" s="3990" t="e">
        <f>AC78/년간!G8</f>
        <v>#DIV/0!</v>
      </c>
      <c r="AR78" s="3990">
        <f>AD78/년간!H8</f>
        <v>405.65297012362061</v>
      </c>
      <c r="AS78" s="3990" t="e">
        <f>AE78/년간!I8</f>
        <v>#DIV/0!</v>
      </c>
      <c r="AT78" s="3990" t="e">
        <f>AF78/년간!J8</f>
        <v>#DIV/0!</v>
      </c>
      <c r="AU78" s="3990" t="e">
        <f>AG78/년간!K8</f>
        <v>#DIV/0!</v>
      </c>
      <c r="AV78" s="3990" t="e">
        <f>AH78/년간!L8</f>
        <v>#DIV/0!</v>
      </c>
      <c r="AW78" s="3990" t="e">
        <f>AI78/년간!M8</f>
        <v>#DIV/0!</v>
      </c>
      <c r="AX78" s="3991" t="e">
        <f>AJ78/년간!N8</f>
        <v>#DIV/0!</v>
      </c>
      <c r="AY78" s="5549" t="e">
        <f>AK78/년간!O8</f>
        <v>#DIV/0!</v>
      </c>
      <c r="AZ78" s="4219"/>
      <c r="BA78" s="4909"/>
      <c r="BB78" s="4035">
        <f>AN78/년간!$V$8</f>
        <v>405.65297012362061</v>
      </c>
    </row>
    <row r="79" spans="2:82" s="286" customFormat="1" ht="17.25" thickBot="1">
      <c r="B79" s="7731"/>
      <c r="C79" s="2767" t="s">
        <v>29</v>
      </c>
      <c r="D79" s="2493" t="s">
        <v>453</v>
      </c>
      <c r="E79" s="2630">
        <f>종합!F84</f>
        <v>19.101947616711083</v>
      </c>
      <c r="F79" s="2630">
        <f>종합!G84</f>
        <v>20.55</v>
      </c>
      <c r="G79" s="2630">
        <f>종합!H84</f>
        <v>20.22</v>
      </c>
      <c r="H79" s="2043">
        <f>종합!I84</f>
        <v>19.778588486790369</v>
      </c>
      <c r="I79" s="2043">
        <f>종합!J84</f>
        <v>19.756643880855766</v>
      </c>
      <c r="J79" s="6182">
        <f>종합!K84</f>
        <v>19.03</v>
      </c>
      <c r="K79" s="6182">
        <f>종합!L84</f>
        <v>19.03</v>
      </c>
      <c r="L79" s="4206">
        <f>종합!M84</f>
        <v>0</v>
      </c>
      <c r="M79" s="3939">
        <f>종합!N84</f>
        <v>0</v>
      </c>
      <c r="N79" s="3939">
        <f>종합!O84</f>
        <v>20.529526364536427</v>
      </c>
      <c r="O79" s="3939">
        <f>종합!P84</f>
        <v>0</v>
      </c>
      <c r="P79" s="3939">
        <f>종합!Q84</f>
        <v>0</v>
      </c>
      <c r="Q79" s="3939">
        <f>종합!R84</f>
        <v>0</v>
      </c>
      <c r="R79" s="3939">
        <f>종합!S84</f>
        <v>0</v>
      </c>
      <c r="S79" s="3939">
        <f>종합!T84</f>
        <v>0</v>
      </c>
      <c r="T79" s="3939">
        <f>종합!U84</f>
        <v>0</v>
      </c>
      <c r="U79" s="3939">
        <f>종합!V84</f>
        <v>0</v>
      </c>
      <c r="V79" s="3939">
        <f>종합!W84</f>
        <v>0</v>
      </c>
      <c r="W79" s="3939">
        <f>종합!X84</f>
        <v>0</v>
      </c>
      <c r="X79" s="4969">
        <f>종합!Y84</f>
        <v>2.0529526364536426</v>
      </c>
      <c r="Y79" s="3907">
        <f>종합!AL84*1000</f>
        <v>98229651.233517557</v>
      </c>
      <c r="Z79" s="3455">
        <f>Y79/10</f>
        <v>9822965.1233517565</v>
      </c>
      <c r="AA79" s="3978">
        <f>Y79/년간!E10</f>
        <v>366.44650911556204</v>
      </c>
      <c r="AB79" s="3978">
        <f>종합!Z84*1000</f>
        <v>0</v>
      </c>
      <c r="AC79" s="3978">
        <f>종합!AA84*1000</f>
        <v>0</v>
      </c>
      <c r="AD79" s="3978">
        <f>종합!AB84*1000</f>
        <v>-8908861.9898803309</v>
      </c>
      <c r="AE79" s="3978">
        <f>종합!AC84*1000</f>
        <v>0</v>
      </c>
      <c r="AF79" s="3978">
        <f>종합!AD84*1000</f>
        <v>0</v>
      </c>
      <c r="AG79" s="3978">
        <f>종합!AE84*1000</f>
        <v>0</v>
      </c>
      <c r="AH79" s="3978">
        <f>종합!AF84*1000</f>
        <v>0</v>
      </c>
      <c r="AI79" s="3978">
        <f>종합!AG84*1000</f>
        <v>0</v>
      </c>
      <c r="AJ79" s="3978">
        <f>종합!AH84*1000</f>
        <v>0</v>
      </c>
      <c r="AK79" s="3978">
        <f>종합!AI84*1000</f>
        <v>0</v>
      </c>
      <c r="AL79" s="5270"/>
      <c r="AM79" s="5270"/>
      <c r="AN79" s="5283">
        <f t="shared" si="49"/>
        <v>-8908861.9898803309</v>
      </c>
      <c r="AO79" s="3973">
        <f t="shared" si="54"/>
        <v>366.44650911556204</v>
      </c>
      <c r="AP79" s="3973" t="e">
        <f>AB79/년간!F10</f>
        <v>#DIV/0!</v>
      </c>
      <c r="AQ79" s="3973" t="e">
        <f>AC79/년간!G10</f>
        <v>#DIV/0!</v>
      </c>
      <c r="AR79" s="3973">
        <f>AD79/년간!H10</f>
        <v>-389.7646365201573</v>
      </c>
      <c r="AS79" s="3973" t="e">
        <f>AE79/년간!I10</f>
        <v>#DIV/0!</v>
      </c>
      <c r="AT79" s="3973" t="e">
        <f>AF79/년간!J10</f>
        <v>#DIV/0!</v>
      </c>
      <c r="AU79" s="3973" t="e">
        <f>AG79/년간!K10</f>
        <v>#DIV/0!</v>
      </c>
      <c r="AV79" s="3973" t="e">
        <f>AH79/년간!L10</f>
        <v>#DIV/0!</v>
      </c>
      <c r="AW79" s="3973" t="e">
        <f>AI79/년간!M10</f>
        <v>#DIV/0!</v>
      </c>
      <c r="AX79" s="3966" t="e">
        <f>AJ79/년간!N10</f>
        <v>#DIV/0!</v>
      </c>
      <c r="AY79" s="3978" t="e">
        <f>AK79/년간!O10</f>
        <v>#DIV/0!</v>
      </c>
      <c r="AZ79" s="4219"/>
      <c r="BA79" s="4909"/>
      <c r="BB79" s="4035">
        <f>AN79/년간!$V$10</f>
        <v>-389.7646365201573</v>
      </c>
    </row>
    <row r="80" spans="2:82" s="286" customFormat="1" ht="16.5">
      <c r="B80" s="7731"/>
      <c r="C80" s="2767" t="s">
        <v>501</v>
      </c>
      <c r="D80" s="2493" t="s">
        <v>453</v>
      </c>
      <c r="E80" s="2630">
        <f>종합!F85</f>
        <v>36.084247210762676</v>
      </c>
      <c r="F80" s="2630">
        <f>종합!G85</f>
        <v>27.81</v>
      </c>
      <c r="G80" s="2630">
        <f>종합!H85</f>
        <v>24.83</v>
      </c>
      <c r="H80" s="2043">
        <f>종합!I85</f>
        <v>23.751775128874105</v>
      </c>
      <c r="I80" s="2043">
        <f>종합!J85</f>
        <v>25.514762264233507</v>
      </c>
      <c r="J80" s="6182">
        <f>종합!K85</f>
        <v>24</v>
      </c>
      <c r="K80" s="6182">
        <f>종합!L85</f>
        <v>24</v>
      </c>
      <c r="L80" s="4206">
        <f>종합!M85</f>
        <v>26.291804217001022</v>
      </c>
      <c r="M80" s="3939">
        <f>종합!N85</f>
        <v>27.79980825122102</v>
      </c>
      <c r="N80" s="3939">
        <f>종합!O85</f>
        <v>30.39789426832731</v>
      </c>
      <c r="O80" s="3939">
        <f>종합!P85</f>
        <v>0</v>
      </c>
      <c r="P80" s="3939">
        <f>종합!Q85</f>
        <v>0</v>
      </c>
      <c r="Q80" s="3939">
        <f>종합!R85</f>
        <v>0</v>
      </c>
      <c r="R80" s="3939">
        <f>종합!S85</f>
        <v>0</v>
      </c>
      <c r="S80" s="3939">
        <f>종합!T85</f>
        <v>0</v>
      </c>
      <c r="T80" s="3939">
        <f>종합!U85</f>
        <v>0</v>
      </c>
      <c r="U80" s="3939">
        <f>종합!V85</f>
        <v>0</v>
      </c>
      <c r="V80" s="3939">
        <f>종합!W85</f>
        <v>0</v>
      </c>
      <c r="W80" s="3939">
        <f>종합!X85</f>
        <v>0</v>
      </c>
      <c r="X80" s="4969">
        <f>종합!Y85</f>
        <v>8.4489506736549345</v>
      </c>
      <c r="Y80" s="3907">
        <f>종합!AL85*1000</f>
        <v>123783010.36979298</v>
      </c>
      <c r="Z80" s="3455">
        <f>Y80/12</f>
        <v>10315250.864149416</v>
      </c>
      <c r="AA80" s="3978">
        <f>Y80/년간!E11</f>
        <v>763.89460985295773</v>
      </c>
      <c r="AB80" s="3978">
        <f>종합!Z85*1000</f>
        <v>-4860874.9573485106</v>
      </c>
      <c r="AC80" s="3978">
        <f>종합!AA85*1000</f>
        <v>-13774185.235182226</v>
      </c>
      <c r="AD80" s="3978">
        <f>종합!AB85*1000</f>
        <v>-38456350.604472727</v>
      </c>
      <c r="AE80" s="3978">
        <f>종합!AC85*1000</f>
        <v>0</v>
      </c>
      <c r="AF80" s="3978">
        <f>종합!AD85*1000</f>
        <v>0</v>
      </c>
      <c r="AG80" s="3978">
        <f>종합!AE85*1000</f>
        <v>0</v>
      </c>
      <c r="AH80" s="3978">
        <f>종합!AF85*1000</f>
        <v>0</v>
      </c>
      <c r="AI80" s="3978">
        <f>종합!AG85*1000</f>
        <v>0</v>
      </c>
      <c r="AJ80" s="3978">
        <f>종합!AH85*1000</f>
        <v>0</v>
      </c>
      <c r="AK80" s="3978">
        <f>종합!AI85*1000</f>
        <v>0</v>
      </c>
      <c r="AL80" s="5270"/>
      <c r="AM80" s="5270"/>
      <c r="AN80" s="5283">
        <f t="shared" si="49"/>
        <v>-57091410.797003463</v>
      </c>
      <c r="AO80" s="3973">
        <f t="shared" si="54"/>
        <v>763.89460985295773</v>
      </c>
      <c r="AP80" s="3973">
        <f>AB80/년간!F11</f>
        <v>-391.8622567806579</v>
      </c>
      <c r="AQ80" s="3973">
        <f>AC80/년간!G11</f>
        <v>-1152.3486912378025</v>
      </c>
      <c r="AR80" s="3973">
        <f>AD80/년간!H11</f>
        <v>-2951.1208266740891</v>
      </c>
      <c r="AS80" s="3973" t="e">
        <f>AE80/년간!I11</f>
        <v>#DIV/0!</v>
      </c>
      <c r="AT80" s="3973" t="e">
        <f>AF80/년간!J11</f>
        <v>#DIV/0!</v>
      </c>
      <c r="AU80" s="3973" t="e">
        <f>AG80/년간!K11</f>
        <v>#DIV/0!</v>
      </c>
      <c r="AV80" s="3973" t="e">
        <f>AH80/년간!L11</f>
        <v>#DIV/0!</v>
      </c>
      <c r="AW80" s="3973" t="e">
        <f>AI80/년간!M11</f>
        <v>#DIV/0!</v>
      </c>
      <c r="AX80" s="3966" t="e">
        <f>AJ80/년간!N11</f>
        <v>#DIV/0!</v>
      </c>
      <c r="AY80" s="3978" t="e">
        <f>AK80/년간!O11</f>
        <v>#DIV/0!</v>
      </c>
      <c r="AZ80" s="4219"/>
      <c r="BA80" s="4909"/>
      <c r="BB80" s="4035">
        <f>AN80/년간!$V$11</f>
        <v>-1526.965991598109</v>
      </c>
      <c r="BZ80" s="7759" t="s">
        <v>1382</v>
      </c>
      <c r="CA80" s="7760"/>
      <c r="CB80" s="2874" t="s">
        <v>1383</v>
      </c>
      <c r="CC80" s="2874" t="s">
        <v>1384</v>
      </c>
      <c r="CD80" s="2875" t="s">
        <v>1385</v>
      </c>
    </row>
    <row r="81" spans="2:76" s="286" customFormat="1" ht="17.25" thickBot="1">
      <c r="B81" s="7731"/>
      <c r="C81" s="2793" t="s">
        <v>439</v>
      </c>
      <c r="D81" s="1668" t="s">
        <v>453</v>
      </c>
      <c r="E81" s="1555">
        <f>종합!F86</f>
        <v>42.62</v>
      </c>
      <c r="F81" s="1555">
        <f>종합!G86</f>
        <v>48.67</v>
      </c>
      <c r="G81" s="1555">
        <f>종합!H86</f>
        <v>52.269771847106512</v>
      </c>
      <c r="H81" s="1201">
        <f>종합!I86</f>
        <v>61.248628266089717</v>
      </c>
      <c r="I81" s="1201">
        <f>종합!J86</f>
        <v>61.837961468484707</v>
      </c>
      <c r="J81" s="6183">
        <f>종합!K86</f>
        <v>59.298818010126638</v>
      </c>
      <c r="K81" s="6183">
        <f>종합!L86</f>
        <v>59.298818010126638</v>
      </c>
      <c r="L81" s="4207">
        <f>종합!M86</f>
        <v>61.085392846963899</v>
      </c>
      <c r="M81" s="3940">
        <f>종합!N86</f>
        <v>69.439136382552405</v>
      </c>
      <c r="N81" s="3940">
        <f>종합!O86</f>
        <v>62.254912617202976</v>
      </c>
      <c r="O81" s="3940">
        <f>종합!P86</f>
        <v>0</v>
      </c>
      <c r="P81" s="3940">
        <f>종합!Q86</f>
        <v>0</v>
      </c>
      <c r="Q81" s="3940">
        <f>종합!R86</f>
        <v>0</v>
      </c>
      <c r="R81" s="3940">
        <f>종합!S86</f>
        <v>0</v>
      </c>
      <c r="S81" s="3940">
        <f>종합!T86</f>
        <v>0</v>
      </c>
      <c r="T81" s="3940">
        <f>종합!U86</f>
        <v>0</v>
      </c>
      <c r="U81" s="3940">
        <f>종합!V86</f>
        <v>0</v>
      </c>
      <c r="V81" s="3940">
        <f>종합!W86</f>
        <v>0</v>
      </c>
      <c r="W81" s="3940">
        <f>종합!X86</f>
        <v>0</v>
      </c>
      <c r="X81" s="5046">
        <f>종합!Y86</f>
        <v>19.277944184671931</v>
      </c>
      <c r="Y81" s="3911">
        <f>종합!AL86*1000</f>
        <v>77325216.191769272</v>
      </c>
      <c r="Z81" s="4724">
        <f>Y81/12</f>
        <v>6443768.0159807727</v>
      </c>
      <c r="AA81" s="3978">
        <f>Y81/년간!E12</f>
        <v>1280.4900460499741</v>
      </c>
      <c r="AB81" s="3978">
        <f>종합!Z86*1000</f>
        <v>1872598.9781224437</v>
      </c>
      <c r="AC81" s="3978">
        <f>종합!AA86*1000</f>
        <v>-18543839.090333413</v>
      </c>
      <c r="AD81" s="3978">
        <f>종합!AB86*1000</f>
        <v>-1257407.5191904085</v>
      </c>
      <c r="AE81" s="3978">
        <f>종합!AC86*1000</f>
        <v>0</v>
      </c>
      <c r="AF81" s="3978">
        <f>종합!AD86*1000</f>
        <v>0</v>
      </c>
      <c r="AG81" s="3978">
        <f>종합!AE86*1000</f>
        <v>0</v>
      </c>
      <c r="AH81" s="3978">
        <f>종합!AF86*1000</f>
        <v>0</v>
      </c>
      <c r="AI81" s="3978">
        <f>종합!AG86*1000</f>
        <v>0</v>
      </c>
      <c r="AJ81" s="3978">
        <f>종합!AH86*1000</f>
        <v>0</v>
      </c>
      <c r="AK81" s="3978">
        <f>종합!AI86*1000</f>
        <v>0</v>
      </c>
      <c r="AL81" s="5270"/>
      <c r="AM81" s="5270"/>
      <c r="AN81" s="5283">
        <f t="shared" si="49"/>
        <v>-17928647.631401379</v>
      </c>
      <c r="AO81" s="3973">
        <f t="shared" si="54"/>
        <v>1280.4900460499741</v>
      </c>
      <c r="AP81" s="3973">
        <f>AB81/년간!F12</f>
        <v>379.52035583294361</v>
      </c>
      <c r="AQ81" s="3973">
        <f>AC81/년간!G12</f>
        <v>-3891.7991312073646</v>
      </c>
      <c r="AR81" s="3973">
        <f>AD81/년간!H12</f>
        <v>-226.76502335272778</v>
      </c>
      <c r="AS81" s="3973" t="e">
        <f>AE81/년간!I12</f>
        <v>#DIV/0!</v>
      </c>
      <c r="AT81" s="3973" t="e">
        <f>AF81/년간!J12</f>
        <v>#DIV/0!</v>
      </c>
      <c r="AU81" s="3973" t="e">
        <f>AG81/년간!K12</f>
        <v>#DIV/0!</v>
      </c>
      <c r="AV81" s="3973" t="e">
        <f>AH81/년간!L12</f>
        <v>#DIV/0!</v>
      </c>
      <c r="AW81" s="3973" t="e">
        <f>AI81/년간!M12</f>
        <v>#DIV/0!</v>
      </c>
      <c r="AX81" s="3966" t="e">
        <f>AJ81/년간!N12</f>
        <v>#DIV/0!</v>
      </c>
      <c r="AY81" s="3978" t="e">
        <f>AK81/년간!O12</f>
        <v>#DIV/0!</v>
      </c>
      <c r="AZ81" s="3978"/>
      <c r="BA81" s="5270"/>
      <c r="BB81" s="4035">
        <f>AN81/년간!$V$12</f>
        <v>-1176.1156151392111</v>
      </c>
    </row>
    <row r="82" spans="2:76" s="286" customFormat="1" ht="17.25" thickBot="1">
      <c r="B82" s="7731"/>
      <c r="C82" s="3346" t="s">
        <v>16</v>
      </c>
      <c r="D82" s="2790" t="s">
        <v>453</v>
      </c>
      <c r="E82" s="3378">
        <f t="shared" ref="E82:P82" si="58">(E78+E79+E80+E81)/4</f>
        <v>25.376548706868441</v>
      </c>
      <c r="F82" s="3378">
        <f t="shared" si="58"/>
        <v>25.127500000000001</v>
      </c>
      <c r="G82" s="3378">
        <f t="shared" si="58"/>
        <v>25.829942961776627</v>
      </c>
      <c r="H82" s="3379">
        <f t="shared" si="58"/>
        <v>27.972445994779161</v>
      </c>
      <c r="I82" s="3379">
        <f>(I78+I79+I80+I81)/4</f>
        <v>28.308112162651447</v>
      </c>
      <c r="J82" s="3880">
        <f t="shared" si="58"/>
        <v>27.036436248826714</v>
      </c>
      <c r="K82" s="3880">
        <f t="shared" si="58"/>
        <v>27.036436248826714</v>
      </c>
      <c r="L82" s="3880">
        <f t="shared" si="58"/>
        <v>21.844299265991232</v>
      </c>
      <c r="M82" s="3941">
        <f t="shared" si="58"/>
        <v>24.309736158443357</v>
      </c>
      <c r="N82" s="3941">
        <f t="shared" si="58"/>
        <v>29.872184286429164</v>
      </c>
      <c r="O82" s="3941">
        <f t="shared" si="58"/>
        <v>0</v>
      </c>
      <c r="P82" s="3941">
        <f t="shared" si="58"/>
        <v>0</v>
      </c>
      <c r="Q82" s="3941">
        <f>(Q78+Q79+Q80+Q81)/4</f>
        <v>0</v>
      </c>
      <c r="R82" s="3941">
        <f>(R78+R79+R80+R81)/4</f>
        <v>0</v>
      </c>
      <c r="S82" s="3941">
        <f t="shared" ref="S82:X82" si="59">(S78+S79+S80+S81)/4</f>
        <v>0</v>
      </c>
      <c r="T82" s="3941">
        <f t="shared" si="59"/>
        <v>0</v>
      </c>
      <c r="U82" s="3941">
        <f t="shared" si="59"/>
        <v>0</v>
      </c>
      <c r="V82" s="3941">
        <f t="shared" si="59"/>
        <v>0</v>
      </c>
      <c r="W82" s="3941">
        <f t="shared" si="59"/>
        <v>0</v>
      </c>
      <c r="X82" s="3941">
        <f t="shared" si="59"/>
        <v>9.2543517004649445</v>
      </c>
      <c r="Y82" s="3912">
        <f>SUM(Y78:Y81)</f>
        <v>342940760.41360581</v>
      </c>
      <c r="Z82" s="2791">
        <f>SUM(Z78:Z81)</f>
        <v>30942272.265334539</v>
      </c>
      <c r="AA82" s="4227">
        <f>Y82/(년간!E8+년간!E10+년간!E11+년간!E12)</f>
        <v>443.70466799901698</v>
      </c>
      <c r="AB82" s="3985">
        <f t="shared" ref="AB82:AG82" si="60">SUM(AB78:AB81)</f>
        <v>-2988275.9792260667</v>
      </c>
      <c r="AC82" s="3985">
        <f t="shared" si="60"/>
        <v>-32318024.325515639</v>
      </c>
      <c r="AD82" s="3985">
        <f t="shared" si="60"/>
        <v>-37433851.213237345</v>
      </c>
      <c r="AE82" s="3985">
        <f t="shared" si="60"/>
        <v>0</v>
      </c>
      <c r="AF82" s="3985">
        <f t="shared" si="60"/>
        <v>0</v>
      </c>
      <c r="AG82" s="3985">
        <f t="shared" si="60"/>
        <v>0</v>
      </c>
      <c r="AH82" s="3985">
        <f>SUM(AH78:AH81)</f>
        <v>0</v>
      </c>
      <c r="AI82" s="3985">
        <f>SUM(AI78:AI81)</f>
        <v>0</v>
      </c>
      <c r="AJ82" s="3985">
        <f>SUM(AJ78:AJ81)</f>
        <v>0</v>
      </c>
      <c r="AK82" s="3985">
        <f>SUM(AK78:AK81)</f>
        <v>0</v>
      </c>
      <c r="AL82" s="5277"/>
      <c r="AM82" s="5277"/>
      <c r="AN82" s="5284">
        <f t="shared" si="49"/>
        <v>-72740151.517979056</v>
      </c>
      <c r="AO82" s="3996">
        <f t="shared" si="54"/>
        <v>443.70466799901698</v>
      </c>
      <c r="AP82" s="3996">
        <f>AB82/년간!F13</f>
        <v>-172.34747412725812</v>
      </c>
      <c r="AQ82" s="3996">
        <f>AC82/년간!G13</f>
        <v>-1933.128583371305</v>
      </c>
      <c r="AR82" s="3996">
        <f>AD82/년간!H13</f>
        <v>-405.92134408533627</v>
      </c>
      <c r="AS82" s="3996" t="e">
        <f>AE82/년간!I13</f>
        <v>#DIV/0!</v>
      </c>
      <c r="AT82" s="3996" t="e">
        <f>AF82/년간!J13</f>
        <v>#DIV/0!</v>
      </c>
      <c r="AU82" s="3996" t="e">
        <f>AG82/년간!K13</f>
        <v>#DIV/0!</v>
      </c>
      <c r="AV82" s="3996" t="e">
        <f>AH82/년간!L13</f>
        <v>#DIV/0!</v>
      </c>
      <c r="AW82" s="3996" t="e">
        <f>AI82/년간!M13</f>
        <v>#DIV/0!</v>
      </c>
      <c r="AX82" s="5319" t="e">
        <f>AJ82/년간!N13</f>
        <v>#DIV/0!</v>
      </c>
      <c r="AY82" s="4227" t="e">
        <f>AK82/년간!O13</f>
        <v>#DIV/0!</v>
      </c>
      <c r="AZ82" s="4215"/>
      <c r="BA82" s="5332"/>
      <c r="BB82" s="5338">
        <f>AN82/년간!$V$13</f>
        <v>-576.0403927328075</v>
      </c>
    </row>
    <row r="83" spans="2:76" s="286" customFormat="1" ht="16.5">
      <c r="B83" s="7732" t="s">
        <v>450</v>
      </c>
      <c r="C83" s="2629" t="s">
        <v>39</v>
      </c>
      <c r="D83" s="1154" t="s">
        <v>452</v>
      </c>
      <c r="E83" s="949">
        <f>종합!F88</f>
        <v>14.92</v>
      </c>
      <c r="F83" s="949">
        <f>종합!G88</f>
        <v>14.55</v>
      </c>
      <c r="G83" s="949">
        <f>종합!H88</f>
        <v>13.6</v>
      </c>
      <c r="H83" s="950">
        <f>종합!I88</f>
        <v>13.953402383827582</v>
      </c>
      <c r="I83" s="950">
        <f>종합!J88</f>
        <v>14.209374742678701</v>
      </c>
      <c r="J83" s="6168">
        <f>종합!K88</f>
        <v>13.498906005544766</v>
      </c>
      <c r="K83" s="6168">
        <f>종합!L88</f>
        <v>13.498906005544766</v>
      </c>
      <c r="L83" s="4208">
        <f>종합!M88</f>
        <v>0</v>
      </c>
      <c r="M83" s="3932">
        <f>종합!N88</f>
        <v>0</v>
      </c>
      <c r="N83" s="3932">
        <f>종합!O88</f>
        <v>9.0470203160598253</v>
      </c>
      <c r="O83" s="3932">
        <f>종합!P88</f>
        <v>0</v>
      </c>
      <c r="P83" s="3932">
        <f>종합!Q88</f>
        <v>0</v>
      </c>
      <c r="Q83" s="3932">
        <f>종합!R88</f>
        <v>0</v>
      </c>
      <c r="R83" s="3932">
        <f>종합!S88</f>
        <v>0</v>
      </c>
      <c r="S83" s="3932">
        <f>종합!T88</f>
        <v>0</v>
      </c>
      <c r="T83" s="3932">
        <f>종합!U88</f>
        <v>0</v>
      </c>
      <c r="U83" s="3932">
        <f>종합!V88</f>
        <v>0</v>
      </c>
      <c r="V83" s="3932">
        <f>종합!W88</f>
        <v>0</v>
      </c>
      <c r="W83" s="3932">
        <f>종합!X88</f>
        <v>0</v>
      </c>
      <c r="X83" s="5047">
        <f>종합!Y88</f>
        <v>63.296614525238176</v>
      </c>
      <c r="Y83" s="3909">
        <f>종합!AL88*1000</f>
        <v>22071094.972183738</v>
      </c>
      <c r="Z83" s="4722">
        <f>Y83/10</f>
        <v>2207109.4972183737</v>
      </c>
      <c r="AA83" s="4228">
        <f>Y83/년간!E8</f>
        <v>78.151561084732833</v>
      </c>
      <c r="AB83" s="3978">
        <f>종합!Z88*1000</f>
        <v>0</v>
      </c>
      <c r="AC83" s="3978">
        <f>종합!AA88*1000</f>
        <v>0</v>
      </c>
      <c r="AD83" s="3978">
        <f>종합!AB88*1000</f>
        <v>15662754.720528632</v>
      </c>
      <c r="AE83" s="3978">
        <f>종합!AC88*1000</f>
        <v>0</v>
      </c>
      <c r="AF83" s="3978">
        <f>종합!AD88*1000</f>
        <v>0</v>
      </c>
      <c r="AG83" s="3978">
        <f>종합!AE88*1000</f>
        <v>0</v>
      </c>
      <c r="AH83" s="3978">
        <f>종합!AF88*1000</f>
        <v>0</v>
      </c>
      <c r="AI83" s="3978">
        <f>종합!AG88*1000</f>
        <v>0</v>
      </c>
      <c r="AJ83" s="3978">
        <f>종합!AH88*1000</f>
        <v>0</v>
      </c>
      <c r="AK83" s="3978">
        <f>종합!AI88*1000</f>
        <v>0</v>
      </c>
      <c r="AL83" s="5278"/>
      <c r="AM83" s="5278"/>
      <c r="AN83" s="5283">
        <f t="shared" si="49"/>
        <v>15662754.720528632</v>
      </c>
      <c r="AO83" s="3997">
        <f t="shared" si="54"/>
        <v>78.151561084732833</v>
      </c>
      <c r="AP83" s="3997" t="e">
        <f>AB83/년간!F8</f>
        <v>#DIV/0!</v>
      </c>
      <c r="AQ83" s="3997" t="e">
        <f>AC83/년간!G8</f>
        <v>#DIV/0!</v>
      </c>
      <c r="AR83" s="3997">
        <f>AD83/년간!H8</f>
        <v>567.85898692807632</v>
      </c>
      <c r="AS83" s="3997" t="e">
        <f>AE83/년간!I8</f>
        <v>#DIV/0!</v>
      </c>
      <c r="AT83" s="3997" t="e">
        <f>AF83/년간!J8</f>
        <v>#DIV/0!</v>
      </c>
      <c r="AU83" s="3997" t="e">
        <f>AG83/년간!K8</f>
        <v>#DIV/0!</v>
      </c>
      <c r="AV83" s="3997" t="e">
        <f>AH83/년간!L8</f>
        <v>#DIV/0!</v>
      </c>
      <c r="AW83" s="3997" t="e">
        <f>AI83/년간!M8</f>
        <v>#DIV/0!</v>
      </c>
      <c r="AX83" s="3989" t="e">
        <f>AJ83/년간!N8</f>
        <v>#DIV/0!</v>
      </c>
      <c r="AY83" s="3983" t="e">
        <f>AK83/년간!O8</f>
        <v>#DIV/0!</v>
      </c>
      <c r="AZ83" s="4219"/>
      <c r="BA83" s="4909"/>
      <c r="BB83" s="4035">
        <f>AN83/년간!$V$8</f>
        <v>567.85898692807632</v>
      </c>
    </row>
    <row r="84" spans="2:76" s="286" customFormat="1" ht="16.5">
      <c r="B84" s="7731"/>
      <c r="C84" s="3348" t="s">
        <v>42</v>
      </c>
      <c r="D84" s="3356" t="s">
        <v>452</v>
      </c>
      <c r="E84" s="1555">
        <f>종합!F89</f>
        <v>78.94</v>
      </c>
      <c r="F84" s="1555">
        <f>종합!G89</f>
        <v>77.63</v>
      </c>
      <c r="G84" s="1555">
        <f>종합!H89</f>
        <v>77.150000000000006</v>
      </c>
      <c r="H84" s="1201">
        <f>종합!I89</f>
        <v>76.986409573006</v>
      </c>
      <c r="I84" s="1201">
        <f>종합!J89</f>
        <v>76.756615697789272</v>
      </c>
      <c r="J84" s="6183">
        <f>종합!K89</f>
        <v>74.453917226855594</v>
      </c>
      <c r="K84" s="6183">
        <f>종합!L89</f>
        <v>74.453917226855594</v>
      </c>
      <c r="L84" s="4207">
        <f>종합!M89</f>
        <v>0</v>
      </c>
      <c r="M84" s="3940">
        <f>종합!N89</f>
        <v>0</v>
      </c>
      <c r="N84" s="3940">
        <f>종합!O89</f>
        <v>70.741252460757167</v>
      </c>
      <c r="O84" s="3940">
        <f>종합!P89</f>
        <v>0</v>
      </c>
      <c r="P84" s="3940">
        <f>종합!Q89</f>
        <v>0</v>
      </c>
      <c r="Q84" s="3940">
        <f>종합!R89</f>
        <v>0</v>
      </c>
      <c r="R84" s="3940">
        <f>종합!S89</f>
        <v>0</v>
      </c>
      <c r="S84" s="3940">
        <f>종합!T89</f>
        <v>0</v>
      </c>
      <c r="T84" s="3940">
        <f>종합!U89</f>
        <v>0</v>
      </c>
      <c r="U84" s="3940">
        <f>종합!V89</f>
        <v>0</v>
      </c>
      <c r="V84" s="3940">
        <f>종합!W89</f>
        <v>0</v>
      </c>
      <c r="W84" s="3940">
        <f>종합!X89</f>
        <v>0</v>
      </c>
      <c r="X84" s="5046">
        <f>종합!Y89</f>
        <v>92.035957048086431</v>
      </c>
      <c r="Y84" s="3913">
        <f>종합!AL89*1000</f>
        <v>67860754.208262563</v>
      </c>
      <c r="Z84" s="4725">
        <f>Y84/10</f>
        <v>6786075.4208262563</v>
      </c>
      <c r="AA84" s="3385">
        <f>Y84/년간!E9</f>
        <v>253.2968318027045</v>
      </c>
      <c r="AB84" s="3978">
        <f>종합!Z89*1000</f>
        <v>0</v>
      </c>
      <c r="AC84" s="3978">
        <f>종합!AA89*1000</f>
        <v>0</v>
      </c>
      <c r="AD84" s="3978">
        <f>종합!AB89*1000</f>
        <v>15354012.546319686</v>
      </c>
      <c r="AE84" s="3978">
        <f>종합!AC89*1000</f>
        <v>0</v>
      </c>
      <c r="AF84" s="3978">
        <f>종합!AD89*1000</f>
        <v>0</v>
      </c>
      <c r="AG84" s="3978">
        <f>종합!AE89*1000</f>
        <v>0</v>
      </c>
      <c r="AH84" s="3978">
        <f>종합!AF89*1000</f>
        <v>0</v>
      </c>
      <c r="AI84" s="3978">
        <f>종합!AG89*1000</f>
        <v>0</v>
      </c>
      <c r="AJ84" s="3978">
        <f>종합!AH89*1000</f>
        <v>0</v>
      </c>
      <c r="AK84" s="3978">
        <f>종합!AI89*1000</f>
        <v>0</v>
      </c>
      <c r="AL84" s="5270"/>
      <c r="AM84" s="5270"/>
      <c r="AN84" s="5283">
        <f t="shared" si="49"/>
        <v>15354012.546319686</v>
      </c>
      <c r="AO84" s="3974">
        <f t="shared" si="54"/>
        <v>253.2968318027045</v>
      </c>
      <c r="AP84" s="3974" t="e">
        <f>AB84/년간!F9</f>
        <v>#DIV/0!</v>
      </c>
      <c r="AQ84" s="3974" t="e">
        <f>AC84/년간!G9</f>
        <v>#DIV/0!</v>
      </c>
      <c r="AR84" s="3974">
        <f>AD84/년간!H9</f>
        <v>661.68995607353156</v>
      </c>
      <c r="AS84" s="3974" t="e">
        <f>AE84/년간!I9</f>
        <v>#DIV/0!</v>
      </c>
      <c r="AT84" s="3974" t="e">
        <f>AF84/년간!J9</f>
        <v>#DIV/0!</v>
      </c>
      <c r="AU84" s="3974" t="e">
        <f>AG84/년간!K9</f>
        <v>#DIV/0!</v>
      </c>
      <c r="AV84" s="3974" t="e">
        <f>AH84/년간!L9</f>
        <v>#DIV/0!</v>
      </c>
      <c r="AW84" s="3974" t="e">
        <f>AI84/년간!M9</f>
        <v>#DIV/0!</v>
      </c>
      <c r="AX84" s="3966" t="e">
        <f>AJ84/년간!N9</f>
        <v>#DIV/0!</v>
      </c>
      <c r="AY84" s="3978" t="e">
        <f>AK84/년간!O9</f>
        <v>#DIV/0!</v>
      </c>
      <c r="AZ84" s="4219"/>
      <c r="BA84" s="4909"/>
      <c r="BB84" s="4035">
        <f>AN84/년간!$V$9</f>
        <v>661.68995607353156</v>
      </c>
    </row>
    <row r="85" spans="2:76" s="286" customFormat="1" ht="16.5">
      <c r="B85" s="7731"/>
      <c r="C85" s="3348" t="s">
        <v>29</v>
      </c>
      <c r="D85" s="3356" t="s">
        <v>452</v>
      </c>
      <c r="E85" s="1555">
        <f>종합!F90</f>
        <v>81.21731478694231</v>
      </c>
      <c r="F85" s="1555">
        <f>종합!G90</f>
        <v>85.08</v>
      </c>
      <c r="G85" s="1555">
        <f>종합!H90</f>
        <v>82.8</v>
      </c>
      <c r="H85" s="1201">
        <f>종합!I90</f>
        <v>82.462816674231007</v>
      </c>
      <c r="I85" s="1201">
        <f>종합!J90</f>
        <v>75.174145548344455</v>
      </c>
      <c r="J85" s="6248">
        <f>종합!K90</f>
        <v>82.8</v>
      </c>
      <c r="K85" s="6183">
        <f>종합!L90</f>
        <v>82.8</v>
      </c>
      <c r="L85" s="4207">
        <f>종합!M90</f>
        <v>0</v>
      </c>
      <c r="M85" s="3940">
        <f>종합!N90</f>
        <v>0</v>
      </c>
      <c r="N85" s="3940">
        <f>종합!O90</f>
        <v>111.11981740409844</v>
      </c>
      <c r="O85" s="3940">
        <f>종합!P90</f>
        <v>0</v>
      </c>
      <c r="P85" s="3940">
        <f>종합!Q90</f>
        <v>0</v>
      </c>
      <c r="Q85" s="3940">
        <f>종합!R90</f>
        <v>0</v>
      </c>
      <c r="R85" s="3940">
        <f>종합!S90</f>
        <v>0</v>
      </c>
      <c r="S85" s="3940">
        <f>종합!T90</f>
        <v>0</v>
      </c>
      <c r="T85" s="3940">
        <f>종합!U90</f>
        <v>0</v>
      </c>
      <c r="U85" s="3940">
        <f>종합!V90</f>
        <v>0</v>
      </c>
      <c r="V85" s="3940">
        <f>종합!W90</f>
        <v>0</v>
      </c>
      <c r="W85" s="3940">
        <f>종합!X90</f>
        <v>0</v>
      </c>
      <c r="X85" s="5046">
        <f>종합!Y90</f>
        <v>11.111981740409844</v>
      </c>
      <c r="Y85" s="6245">
        <f>종합!AL90*1000</f>
        <v>-224860519.87418631</v>
      </c>
      <c r="Z85" s="6246">
        <f>Y85/10</f>
        <v>-22486051.987418629</v>
      </c>
      <c r="AA85" s="6247">
        <f>Y85/년간!E10</f>
        <v>-838.84398968210962</v>
      </c>
      <c r="AB85" s="3978">
        <f>종합!Z90*1000</f>
        <v>0</v>
      </c>
      <c r="AC85" s="3978">
        <f>종합!AA90*1000</f>
        <v>0</v>
      </c>
      <c r="AD85" s="3978">
        <f>종합!AB90*1000</f>
        <v>-90377242.997483686</v>
      </c>
      <c r="AE85" s="3978">
        <f>종합!AC90*1000</f>
        <v>0</v>
      </c>
      <c r="AF85" s="3978">
        <f>종합!AD90*1000</f>
        <v>0</v>
      </c>
      <c r="AG85" s="3978">
        <f>종합!AE90*1000</f>
        <v>0</v>
      </c>
      <c r="AH85" s="3978">
        <f>종합!AF90*1000</f>
        <v>0</v>
      </c>
      <c r="AI85" s="3978">
        <f>종합!AG90*1000</f>
        <v>0</v>
      </c>
      <c r="AJ85" s="3978">
        <f>종합!AH90*1000</f>
        <v>0</v>
      </c>
      <c r="AK85" s="3978">
        <f>종합!AI90*1000</f>
        <v>0</v>
      </c>
      <c r="AL85" s="5270"/>
      <c r="AM85" s="5270"/>
      <c r="AN85" s="5283">
        <f t="shared" si="49"/>
        <v>-90377242.997483686</v>
      </c>
      <c r="AO85" s="3974">
        <f t="shared" si="54"/>
        <v>-838.84398968210962</v>
      </c>
      <c r="AP85" s="3974" t="e">
        <f>AB85/년간!F10</f>
        <v>#DIV/0!</v>
      </c>
      <c r="AQ85" s="3974" t="e">
        <f>AC85/년간!G10</f>
        <v>#DIV/0!</v>
      </c>
      <c r="AR85" s="3974">
        <f>AD85/년간!H10</f>
        <v>-3954.0239041329382</v>
      </c>
      <c r="AS85" s="3974" t="e">
        <f>AE85/년간!I10</f>
        <v>#DIV/0!</v>
      </c>
      <c r="AT85" s="3974" t="e">
        <f>AF85/년간!J10</f>
        <v>#DIV/0!</v>
      </c>
      <c r="AU85" s="3974" t="e">
        <f>AG85/년간!K10</f>
        <v>#DIV/0!</v>
      </c>
      <c r="AV85" s="3974" t="e">
        <f>AH85/년간!L10</f>
        <v>#DIV/0!</v>
      </c>
      <c r="AW85" s="3974" t="e">
        <f>AI85/년간!M10</f>
        <v>#DIV/0!</v>
      </c>
      <c r="AX85" s="3966" t="e">
        <f>AJ85/년간!N10</f>
        <v>#DIV/0!</v>
      </c>
      <c r="AY85" s="3978" t="e">
        <f>AK85/년간!O10</f>
        <v>#DIV/0!</v>
      </c>
      <c r="AZ85" s="4219"/>
      <c r="BA85" s="4909"/>
      <c r="BB85" s="4035">
        <f>AN85/년간!$V$10</f>
        <v>-3954.0239041329382</v>
      </c>
    </row>
    <row r="86" spans="2:76" s="286" customFormat="1" ht="17.25" thickBot="1">
      <c r="B86" s="7731"/>
      <c r="C86" s="3348" t="s">
        <v>501</v>
      </c>
      <c r="D86" s="3356" t="s">
        <v>452</v>
      </c>
      <c r="E86" s="1555">
        <f>종합!F91</f>
        <v>79.070682134390594</v>
      </c>
      <c r="F86" s="1555">
        <f>종합!G91</f>
        <v>72.349999999999994</v>
      </c>
      <c r="G86" s="1555">
        <f>종합!H91</f>
        <v>65.83</v>
      </c>
      <c r="H86" s="1201">
        <f>종합!I91</f>
        <v>67.750527960591967</v>
      </c>
      <c r="I86" s="1201">
        <f>종합!J91</f>
        <v>59.494253790444112</v>
      </c>
      <c r="J86" s="6183">
        <f>종합!K91</f>
        <v>58</v>
      </c>
      <c r="K86" s="6183">
        <f>종합!L91</f>
        <v>58</v>
      </c>
      <c r="L86" s="4207">
        <f>종합!M91</f>
        <v>62.393154124896355</v>
      </c>
      <c r="M86" s="3940">
        <f>종합!N91</f>
        <v>51.158942336490668</v>
      </c>
      <c r="N86" s="3940">
        <f>종합!O91</f>
        <v>72.947717383797226</v>
      </c>
      <c r="O86" s="3940">
        <f>종합!P91</f>
        <v>0</v>
      </c>
      <c r="P86" s="3940">
        <f>종합!Q91</f>
        <v>0</v>
      </c>
      <c r="Q86" s="3940">
        <f>종합!R91</f>
        <v>0</v>
      </c>
      <c r="R86" s="3940">
        <f>종합!S91</f>
        <v>0</v>
      </c>
      <c r="S86" s="3940">
        <f>종합!T91</f>
        <v>0</v>
      </c>
      <c r="T86" s="3940">
        <f>종합!U91</f>
        <v>0</v>
      </c>
      <c r="U86" s="3940">
        <f>종합!V91</f>
        <v>0</v>
      </c>
      <c r="V86" s="3940">
        <f>종합!W91</f>
        <v>0</v>
      </c>
      <c r="W86" s="3940">
        <f>종합!X91</f>
        <v>0</v>
      </c>
      <c r="X86" s="5046">
        <f>종합!Y91</f>
        <v>18.649981384518423</v>
      </c>
      <c r="Y86" s="3914">
        <f>종합!AL91*1000</f>
        <v>26634505.998225939</v>
      </c>
      <c r="Z86" s="4726">
        <f>Y86/12</f>
        <v>2219542.1665188284</v>
      </c>
      <c r="AA86" s="3385">
        <f>Y86/년간!E11</f>
        <v>164.36791694885238</v>
      </c>
      <c r="AB86" s="3978">
        <f>종합!Z91*1000</f>
        <v>-3955550.9558102535</v>
      </c>
      <c r="AC86" s="3978">
        <f>종합!AA91*1000</f>
        <v>10959645.922797997</v>
      </c>
      <c r="AD86" s="3978">
        <f>종합!AB91*1000</f>
        <v>-17780288.012926888</v>
      </c>
      <c r="AE86" s="3978">
        <f>종합!AC91*1000</f>
        <v>0</v>
      </c>
      <c r="AF86" s="3978">
        <f>종합!AD91*1000</f>
        <v>0</v>
      </c>
      <c r="AG86" s="3978">
        <f>종합!AE91*1000</f>
        <v>0</v>
      </c>
      <c r="AH86" s="3978">
        <f>종합!AF91*1000</f>
        <v>0</v>
      </c>
      <c r="AI86" s="3978">
        <f>종합!AG91*1000</f>
        <v>0</v>
      </c>
      <c r="AJ86" s="3978">
        <f>종합!AH91*1000</f>
        <v>0</v>
      </c>
      <c r="AK86" s="3978">
        <f>종합!AI91*1000</f>
        <v>0</v>
      </c>
      <c r="AL86" s="5270"/>
      <c r="AM86" s="5270"/>
      <c r="AN86" s="5283">
        <f t="shared" si="49"/>
        <v>-10776193.045939144</v>
      </c>
      <c r="AO86" s="3974">
        <f t="shared" si="54"/>
        <v>164.36791694885238</v>
      </c>
      <c r="AP86" s="3974">
        <f>AB86/년간!F11</f>
        <v>-318.87903678974675</v>
      </c>
      <c r="AQ86" s="3974">
        <f>AC86/년간!G11</f>
        <v>916.88425993487874</v>
      </c>
      <c r="AR86" s="3974">
        <f>AD86/년간!H11</f>
        <v>-1364.4502776378731</v>
      </c>
      <c r="AS86" s="3974" t="e">
        <f>AE86/년간!I11</f>
        <v>#DIV/0!</v>
      </c>
      <c r="AT86" s="3974" t="e">
        <f>AF86/년간!J11</f>
        <v>#DIV/0!</v>
      </c>
      <c r="AU86" s="3974" t="e">
        <f>AG86/년간!K11</f>
        <v>#DIV/0!</v>
      </c>
      <c r="AV86" s="3974" t="e">
        <f>AH86/년간!L11</f>
        <v>#DIV/0!</v>
      </c>
      <c r="AW86" s="3974" t="e">
        <f>AI86/년간!M11</f>
        <v>#DIV/0!</v>
      </c>
      <c r="AX86" s="3966" t="e">
        <f>AJ86/년간!N11</f>
        <v>#DIV/0!</v>
      </c>
      <c r="AY86" s="3978" t="e">
        <f>AK86/년간!O11</f>
        <v>#DIV/0!</v>
      </c>
      <c r="AZ86" s="4219"/>
      <c r="BA86" s="4909"/>
      <c r="BB86" s="4035">
        <f>AN86/년간!$V$11</f>
        <v>-288.21989280581539</v>
      </c>
      <c r="BD86" s="1609"/>
      <c r="BF86" s="287" t="s">
        <v>1602</v>
      </c>
    </row>
    <row r="87" spans="2:76" s="286" customFormat="1" ht="33.75" thickBot="1">
      <c r="B87" s="7731"/>
      <c r="C87" s="3349" t="s">
        <v>439</v>
      </c>
      <c r="D87" s="3084" t="s">
        <v>452</v>
      </c>
      <c r="E87" s="1555">
        <f>종합!F92</f>
        <v>114.7</v>
      </c>
      <c r="F87" s="1555">
        <f>종합!G92</f>
        <v>144.24</v>
      </c>
      <c r="G87" s="1555">
        <f>종합!H92</f>
        <v>126.50420240387075</v>
      </c>
      <c r="H87" s="1201">
        <f>종합!I92</f>
        <v>130.19365474477331</v>
      </c>
      <c r="I87" s="1201">
        <f>종합!J92</f>
        <v>123.24098635253669</v>
      </c>
      <c r="J87" s="6183">
        <f>종합!K92</f>
        <v>123.22805842053852</v>
      </c>
      <c r="K87" s="6183">
        <f>종합!L92</f>
        <v>123.22805842053852</v>
      </c>
      <c r="L87" s="4207">
        <f>종합!M92</f>
        <v>108.12140766742601</v>
      </c>
      <c r="M87" s="3940">
        <f>종합!N92</f>
        <v>102.11045468377807</v>
      </c>
      <c r="N87" s="3940">
        <f>종합!O92</f>
        <v>117.50482022605313</v>
      </c>
      <c r="O87" s="3940">
        <f>종합!P92</f>
        <v>0</v>
      </c>
      <c r="P87" s="3940">
        <f>종합!Q92</f>
        <v>0</v>
      </c>
      <c r="Q87" s="3940">
        <f>종합!R92</f>
        <v>0</v>
      </c>
      <c r="R87" s="3940">
        <f>종합!S92</f>
        <v>0</v>
      </c>
      <c r="S87" s="3940">
        <f>종합!T92</f>
        <v>0</v>
      </c>
      <c r="T87" s="3940">
        <f>종합!U92</f>
        <v>0</v>
      </c>
      <c r="U87" s="3940">
        <f>종합!V92</f>
        <v>0</v>
      </c>
      <c r="V87" s="3940">
        <f>종합!W92</f>
        <v>0</v>
      </c>
      <c r="W87" s="3940">
        <f>종합!X92</f>
        <v>0</v>
      </c>
      <c r="X87" s="5046">
        <f>종합!Y92</f>
        <v>32.773668257725724</v>
      </c>
      <c r="Y87" s="3913">
        <f>종합!AL92*1000</f>
        <v>85874.986200074025</v>
      </c>
      <c r="Z87" s="4725">
        <f>Y87/12</f>
        <v>7156.2488500061691</v>
      </c>
      <c r="AA87" s="3385">
        <f>Y87/년간!E12</f>
        <v>1.4220725197995421</v>
      </c>
      <c r="AB87" s="3986">
        <f>종합!Z92*1000</f>
        <v>8206199.713995615</v>
      </c>
      <c r="AC87" s="3986">
        <f>종합!AA92*1000</f>
        <v>11244316.600086538</v>
      </c>
      <c r="AD87" s="3986">
        <f>종합!AB92*1000</f>
        <v>3773256.3877836298</v>
      </c>
      <c r="AE87" s="4567">
        <f>종합!AC92*1000</f>
        <v>0</v>
      </c>
      <c r="AF87" s="4641">
        <f>종합!AD92*1000</f>
        <v>0</v>
      </c>
      <c r="AG87" s="4682">
        <f>종합!AE92*1000</f>
        <v>0</v>
      </c>
      <c r="AH87" s="4802">
        <f>종합!AF92*1000</f>
        <v>0</v>
      </c>
      <c r="AI87" s="4997">
        <f>종합!AG92*1000</f>
        <v>0</v>
      </c>
      <c r="AJ87" s="5083">
        <f>종합!AH92*1000</f>
        <v>0</v>
      </c>
      <c r="AK87" s="5549">
        <f>종합!AI92*1000</f>
        <v>0</v>
      </c>
      <c r="AL87" s="5278"/>
      <c r="AM87" s="5278"/>
      <c r="AN87" s="5283">
        <f t="shared" si="49"/>
        <v>23223772.701865785</v>
      </c>
      <c r="AO87" s="3974">
        <f t="shared" si="54"/>
        <v>1.4220725197995421</v>
      </c>
      <c r="AP87" s="3974">
        <f>AB87/년간!F12</f>
        <v>1663.153655362175</v>
      </c>
      <c r="AQ87" s="3974">
        <f>AC87/년간!G12</f>
        <v>2359.8469206977211</v>
      </c>
      <c r="AR87" s="3974">
        <f>AD87/년간!H12</f>
        <v>680.48151441188782</v>
      </c>
      <c r="AS87" s="3974" t="e">
        <f>AE87/년간!I12</f>
        <v>#DIV/0!</v>
      </c>
      <c r="AT87" s="3974" t="e">
        <f>AF87/년간!J12</f>
        <v>#DIV/0!</v>
      </c>
      <c r="AU87" s="3974" t="e">
        <f>AG87/년간!K12</f>
        <v>#DIV/0!</v>
      </c>
      <c r="AV87" s="3974" t="e">
        <f>AH87/년간!L12</f>
        <v>#DIV/0!</v>
      </c>
      <c r="AW87" s="3974" t="e">
        <f>AI87/년간!M12</f>
        <v>#DIV/0!</v>
      </c>
      <c r="AX87" s="3966" t="e">
        <f>AJ87/년간!N12</f>
        <v>#DIV/0!</v>
      </c>
      <c r="AY87" s="3978" t="e">
        <f>AK87/년간!O12</f>
        <v>#DIV/0!</v>
      </c>
      <c r="AZ87" s="4219"/>
      <c r="BA87" s="4909"/>
      <c r="BB87" s="4035">
        <f>AN87/년간!$V$12</f>
        <v>1523.4747360012191</v>
      </c>
      <c r="BD87" s="1609"/>
      <c r="BF87" s="4521" t="s">
        <v>1859</v>
      </c>
      <c r="BG87" s="7693" t="s">
        <v>1699</v>
      </c>
      <c r="BH87" s="7694"/>
      <c r="BI87" s="7694"/>
      <c r="BJ87" s="7694"/>
      <c r="BK87" s="7694"/>
      <c r="BL87" s="7694"/>
      <c r="BM87" s="7694"/>
      <c r="BN87" s="7694"/>
      <c r="BO87" s="7694"/>
      <c r="BP87" s="7694"/>
      <c r="BQ87" s="7695"/>
      <c r="BR87" s="4522" t="s">
        <v>1599</v>
      </c>
      <c r="BS87" s="6448" t="s">
        <v>1961</v>
      </c>
      <c r="BT87" s="6428" t="s">
        <v>1600</v>
      </c>
      <c r="BU87" s="3920" t="s">
        <v>1697</v>
      </c>
      <c r="BV87" s="4552" t="s">
        <v>1698</v>
      </c>
      <c r="BW87" s="3954"/>
      <c r="BX87" s="5165"/>
    </row>
    <row r="88" spans="2:76" s="286" customFormat="1" ht="17.25" thickBot="1">
      <c r="B88" s="7731"/>
      <c r="C88" s="2255" t="s">
        <v>16</v>
      </c>
      <c r="D88" s="1850" t="s">
        <v>448</v>
      </c>
      <c r="E88" s="2788">
        <f t="shared" ref="E88:P88" si="61">(E83+E84+E85+E86+E87)/5</f>
        <v>73.76959938426657</v>
      </c>
      <c r="F88" s="2788">
        <f t="shared" si="61"/>
        <v>78.77000000000001</v>
      </c>
      <c r="G88" s="2788">
        <f t="shared" si="61"/>
        <v>73.176840480774146</v>
      </c>
      <c r="H88" s="2789">
        <f t="shared" si="61"/>
        <v>74.26936226728597</v>
      </c>
      <c r="I88" s="2789">
        <f>(I83+I84+I85+I86+I87)/5</f>
        <v>69.775075226358652</v>
      </c>
      <c r="J88" s="3898">
        <f t="shared" si="61"/>
        <v>70.396176330587778</v>
      </c>
      <c r="K88" s="3898">
        <f t="shared" si="61"/>
        <v>70.396176330587778</v>
      </c>
      <c r="L88" s="3898">
        <f t="shared" si="61"/>
        <v>34.102912358464472</v>
      </c>
      <c r="M88" s="3942">
        <f t="shared" si="61"/>
        <v>30.653879404053747</v>
      </c>
      <c r="N88" s="3942">
        <f t="shared" si="61"/>
        <v>76.272125558153164</v>
      </c>
      <c r="O88" s="3942">
        <f t="shared" si="61"/>
        <v>0</v>
      </c>
      <c r="P88" s="3942">
        <f t="shared" si="61"/>
        <v>0</v>
      </c>
      <c r="Q88" s="3942">
        <f>(Q83+Q84+Q85+Q86+Q87)/5</f>
        <v>0</v>
      </c>
      <c r="R88" s="3942">
        <f>(R83+R84+R85+R86+R87)/5</f>
        <v>0</v>
      </c>
      <c r="S88" s="3942">
        <f t="shared" ref="S88:X88" si="62">(S83+S84+S85+S86+S87)/5</f>
        <v>0</v>
      </c>
      <c r="T88" s="3942">
        <f t="shared" si="62"/>
        <v>0</v>
      </c>
      <c r="U88" s="3942">
        <f t="shared" si="62"/>
        <v>0</v>
      </c>
      <c r="V88" s="3942">
        <f t="shared" si="62"/>
        <v>0</v>
      </c>
      <c r="W88" s="3942">
        <f t="shared" si="62"/>
        <v>0</v>
      </c>
      <c r="X88" s="3942">
        <f t="shared" si="62"/>
        <v>43.573640591195712</v>
      </c>
      <c r="Y88" s="2778">
        <f>SUM(Y83:Y87)</f>
        <v>-108208289.70931399</v>
      </c>
      <c r="Z88" s="2361">
        <f>SUM(Z83:Z87)</f>
        <v>-11266168.654005164</v>
      </c>
      <c r="AA88" s="4234">
        <f>Y88/년간!E13</f>
        <v>-103.96513907156746</v>
      </c>
      <c r="AB88" s="3987">
        <f t="shared" ref="AB88:AG88" si="63">SUM(AB83:AB87)</f>
        <v>4250648.7581853615</v>
      </c>
      <c r="AC88" s="3987">
        <f t="shared" si="63"/>
        <v>22203962.522884533</v>
      </c>
      <c r="AD88" s="3987">
        <f t="shared" si="63"/>
        <v>-73367507.35577862</v>
      </c>
      <c r="AE88" s="3987">
        <f t="shared" si="63"/>
        <v>0</v>
      </c>
      <c r="AF88" s="3987">
        <f t="shared" si="63"/>
        <v>0</v>
      </c>
      <c r="AG88" s="3987">
        <f t="shared" si="63"/>
        <v>0</v>
      </c>
      <c r="AH88" s="3987">
        <f>SUM(AH83:AH87)</f>
        <v>0</v>
      </c>
      <c r="AI88" s="3987">
        <f>SUM(AI83:AI87)</f>
        <v>0</v>
      </c>
      <c r="AJ88" s="3987">
        <f>SUM(AJ83:AJ87)</f>
        <v>0</v>
      </c>
      <c r="AK88" s="3987">
        <f>SUM(AK83:AK87)</f>
        <v>0</v>
      </c>
      <c r="AL88" s="5277"/>
      <c r="AM88" s="5277"/>
      <c r="AN88" s="5284">
        <f t="shared" si="49"/>
        <v>-46912896.07470873</v>
      </c>
      <c r="AO88" s="4002">
        <f t="shared" si="54"/>
        <v>-103.96513907156746</v>
      </c>
      <c r="AP88" s="4002">
        <f>AB88/년간!F13</f>
        <v>245.15425682508294</v>
      </c>
      <c r="AQ88" s="4002">
        <f>AC88/년간!G13</f>
        <v>1328.1478528749292</v>
      </c>
      <c r="AR88" s="4002">
        <f>AD88/년간!H13</f>
        <v>-795.57502722341189</v>
      </c>
      <c r="AS88" s="4002" t="e">
        <f>AE88/년간!I13</f>
        <v>#DIV/0!</v>
      </c>
      <c r="AT88" s="4002" t="e">
        <f>AF88/년간!J13</f>
        <v>#DIV/0!</v>
      </c>
      <c r="AU88" s="4002" t="e">
        <f>AG88/년간!K13</f>
        <v>#DIV/0!</v>
      </c>
      <c r="AV88" s="4002" t="e">
        <f>AH88/년간!L13</f>
        <v>#DIV/0!</v>
      </c>
      <c r="AW88" s="4002" t="e">
        <f>AI88/년간!M13</f>
        <v>#DIV/0!</v>
      </c>
      <c r="AX88" s="5310" t="e">
        <f>AJ88/년간!N13</f>
        <v>#DIV/0!</v>
      </c>
      <c r="AY88" s="5328" t="e">
        <f>AK88/년간!O13</f>
        <v>#DIV/0!</v>
      </c>
      <c r="AZ88" s="4215"/>
      <c r="BA88" s="5332"/>
      <c r="BB88" s="5338">
        <f>AN88/년간!$V$13</f>
        <v>-371.51040402258712</v>
      </c>
      <c r="BD88" s="1609"/>
      <c r="BF88" s="7671" t="s">
        <v>27</v>
      </c>
      <c r="BG88" s="7673" t="s">
        <v>1351</v>
      </c>
      <c r="BH88" s="7674"/>
      <c r="BI88" s="7674"/>
      <c r="BJ88" s="7674"/>
      <c r="BK88" s="7674"/>
      <c r="BL88" s="7674"/>
      <c r="BM88" s="7674"/>
      <c r="BN88" s="7674"/>
      <c r="BO88" s="7674"/>
      <c r="BP88" s="7674"/>
      <c r="BQ88" s="7711"/>
      <c r="BR88" s="3039">
        <v>348308763.28744811</v>
      </c>
      <c r="BS88" s="3040"/>
      <c r="BT88" s="6444">
        <v>1259.305404744415</v>
      </c>
      <c r="BU88" s="3039">
        <v>-35821910.337595627</v>
      </c>
      <c r="BV88" s="3040">
        <v>-1259.2926323030767</v>
      </c>
      <c r="BW88" s="4106"/>
      <c r="BX88" s="3341"/>
    </row>
    <row r="89" spans="2:76" s="286" customFormat="1" ht="17.45" customHeight="1" thickBot="1">
      <c r="B89" s="7734" t="s">
        <v>1324</v>
      </c>
      <c r="C89" s="2629" t="s">
        <v>1325</v>
      </c>
      <c r="D89" s="1154" t="s">
        <v>317</v>
      </c>
      <c r="E89" s="2795">
        <f>종합!F94</f>
        <v>2.1</v>
      </c>
      <c r="F89" s="2795">
        <f>종합!G94</f>
        <v>1.87</v>
      </c>
      <c r="G89" s="2795">
        <f>종합!H94</f>
        <v>1.7517361678383541</v>
      </c>
      <c r="H89" s="3211">
        <f>종합!I94</f>
        <v>1.5030626334880381</v>
      </c>
      <c r="I89" s="3211">
        <f>종합!J94</f>
        <v>1.5836171442787532</v>
      </c>
      <c r="J89" s="6175">
        <f>종합!K94</f>
        <v>1.5</v>
      </c>
      <c r="K89" s="6175">
        <f>종합!L94</f>
        <v>1.5</v>
      </c>
      <c r="L89" s="4201">
        <f>종합!M94</f>
        <v>0</v>
      </c>
      <c r="M89" s="3934">
        <f>종합!N94</f>
        <v>0</v>
      </c>
      <c r="N89" s="3934">
        <f>종합!O94</f>
        <v>1.9722921950887025</v>
      </c>
      <c r="O89" s="3934">
        <f>종합!P94</f>
        <v>0</v>
      </c>
      <c r="P89" s="3934">
        <f>종합!Q94</f>
        <v>0</v>
      </c>
      <c r="Q89" s="3934">
        <f>종합!R94</f>
        <v>0</v>
      </c>
      <c r="R89" s="3934">
        <f>종합!S94</f>
        <v>0</v>
      </c>
      <c r="S89" s="3934">
        <f>종합!T94</f>
        <v>0</v>
      </c>
      <c r="T89" s="3934">
        <f>종합!U94</f>
        <v>0</v>
      </c>
      <c r="U89" s="3934">
        <f>종합!V94</f>
        <v>0</v>
      </c>
      <c r="V89" s="3934">
        <f>종합!W94</f>
        <v>0</v>
      </c>
      <c r="W89" s="3934">
        <f>종합!X94</f>
        <v>0</v>
      </c>
      <c r="X89" s="5042">
        <f>종합!Y94</f>
        <v>3.4385347740554124</v>
      </c>
      <c r="Y89" s="3218">
        <f>종합!AL94*1000</f>
        <v>2526767.7837243597</v>
      </c>
      <c r="Z89" s="4727">
        <f>Y89/10</f>
        <v>252676.77837243598</v>
      </c>
      <c r="AA89" s="3385">
        <f>Y89/년간!E8</f>
        <v>8.9470344378265931</v>
      </c>
      <c r="AB89" s="3981">
        <f>종합!Z94*1000</f>
        <v>0</v>
      </c>
      <c r="AC89" s="3981">
        <f>종합!AA94*1000</f>
        <v>0</v>
      </c>
      <c r="AD89" s="3981">
        <f>종합!AB94*1000</f>
        <v>-1147091.5624917345</v>
      </c>
      <c r="AE89" s="3981">
        <f>종합!AC94*1000</f>
        <v>0</v>
      </c>
      <c r="AF89" s="3981">
        <f>종합!AD94*1000</f>
        <v>0</v>
      </c>
      <c r="AG89" s="3981">
        <f>종합!AE94*1000</f>
        <v>0</v>
      </c>
      <c r="AH89" s="3981">
        <f>종합!AF94*1000</f>
        <v>0</v>
      </c>
      <c r="AI89" s="3981">
        <f>종합!AG94*1000</f>
        <v>0</v>
      </c>
      <c r="AJ89" s="3981">
        <f>종합!AH94*1000</f>
        <v>0</v>
      </c>
      <c r="AK89" s="3981">
        <f>종합!AI94*1000</f>
        <v>0</v>
      </c>
      <c r="AL89" s="5275"/>
      <c r="AM89" s="5275"/>
      <c r="AN89" s="5283">
        <f t="shared" si="49"/>
        <v>-1147091.5624917345</v>
      </c>
      <c r="AO89" s="3974">
        <f t="shared" si="54"/>
        <v>8.9470344378265931</v>
      </c>
      <c r="AP89" s="3974" t="e">
        <f>AB89/년간!F8</f>
        <v>#DIV/0!</v>
      </c>
      <c r="AQ89" s="3974" t="e">
        <f>AC89/년간!G8</f>
        <v>#DIV/0!</v>
      </c>
      <c r="AR89" s="3974">
        <f>AD89/년간!H8</f>
        <v>-41.588230436664567</v>
      </c>
      <c r="AS89" s="3974" t="e">
        <f>AE89/년간!I8</f>
        <v>#DIV/0!</v>
      </c>
      <c r="AT89" s="3974" t="e">
        <f>AF89/년간!J8</f>
        <v>#DIV/0!</v>
      </c>
      <c r="AU89" s="3974" t="e">
        <f>AG89/년간!K8</f>
        <v>#DIV/0!</v>
      </c>
      <c r="AV89" s="3974" t="e">
        <f>AH89/년간!L8</f>
        <v>#DIV/0!</v>
      </c>
      <c r="AW89" s="3974" t="e">
        <f>AI89/년간!M8</f>
        <v>#DIV/0!</v>
      </c>
      <c r="AX89" s="3966" t="e">
        <f>AJ89/년간!N8</f>
        <v>#DIV/0!</v>
      </c>
      <c r="AY89" s="3978" t="e">
        <f>AK89/년간!O8</f>
        <v>#DIV/0!</v>
      </c>
      <c r="AZ89" s="4219"/>
      <c r="BA89" s="4909"/>
      <c r="BB89" s="4035">
        <f>AN89/년간!$V$8</f>
        <v>-41.588230436664567</v>
      </c>
      <c r="BF89" s="7672"/>
      <c r="BG89" s="7673" t="s">
        <v>1350</v>
      </c>
      <c r="BH89" s="7674"/>
      <c r="BI89" s="7674"/>
      <c r="BJ89" s="7674"/>
      <c r="BK89" s="7674"/>
      <c r="BL89" s="7674"/>
      <c r="BM89" s="7674"/>
      <c r="BN89" s="7674"/>
      <c r="BO89" s="7674"/>
      <c r="BP89" s="7674"/>
      <c r="BQ89" s="7711"/>
      <c r="BR89" s="4684">
        <v>593406269.93564129</v>
      </c>
      <c r="BS89" s="6449"/>
      <c r="BT89" s="6445">
        <v>2145.451971653295</v>
      </c>
      <c r="BU89" s="4684">
        <v>19315522.742429279</v>
      </c>
      <c r="BV89" s="3012">
        <v>610.17213746215805</v>
      </c>
      <c r="BW89" s="3963"/>
      <c r="BX89" s="3341"/>
    </row>
    <row r="90" spans="2:76" s="286" customFormat="1" ht="17.25" thickBot="1">
      <c r="B90" s="7735"/>
      <c r="C90" s="3348" t="s">
        <v>1326</v>
      </c>
      <c r="D90" s="3356" t="s">
        <v>325</v>
      </c>
      <c r="E90" s="3380">
        <f>종합!F95</f>
        <v>1298</v>
      </c>
      <c r="F90" s="3380">
        <f>종합!G95</f>
        <v>1232</v>
      </c>
      <c r="G90" s="3380">
        <f>종합!H95</f>
        <v>2157.8430560543561</v>
      </c>
      <c r="H90" s="3381">
        <f>종합!I95</f>
        <v>1232.6363636363637</v>
      </c>
      <c r="I90" s="3381">
        <f>종합!J95</f>
        <v>1144.5999999999999</v>
      </c>
      <c r="J90" s="6184">
        <f>종합!K95</f>
        <v>881</v>
      </c>
      <c r="K90" s="6184">
        <f>종합!L95</f>
        <v>881</v>
      </c>
      <c r="L90" s="4209">
        <f>종합!M95</f>
        <v>0</v>
      </c>
      <c r="M90" s="3943">
        <f>종합!N95</f>
        <v>0</v>
      </c>
      <c r="N90" s="3943">
        <f>종합!O95</f>
        <v>293</v>
      </c>
      <c r="O90" s="3943">
        <f>종합!P95</f>
        <v>0</v>
      </c>
      <c r="P90" s="3943">
        <f>종합!Q95</f>
        <v>0</v>
      </c>
      <c r="Q90" s="3943">
        <f>종합!R95</f>
        <v>0</v>
      </c>
      <c r="R90" s="3943">
        <f>종합!S95</f>
        <v>0</v>
      </c>
      <c r="S90" s="3943">
        <f>종합!T95</f>
        <v>0</v>
      </c>
      <c r="T90" s="3943">
        <f>종합!U95</f>
        <v>0</v>
      </c>
      <c r="U90" s="3943">
        <f>종합!V95</f>
        <v>0</v>
      </c>
      <c r="V90" s="3943">
        <f>종합!W95</f>
        <v>0</v>
      </c>
      <c r="W90" s="3943">
        <f>종합!X95</f>
        <v>0</v>
      </c>
      <c r="X90" s="5048">
        <f>종합!Y95</f>
        <v>1727.7</v>
      </c>
      <c r="Y90" s="3382">
        <f>종합!AL95*1000</f>
        <v>26042298.714000002</v>
      </c>
      <c r="Z90" s="4728">
        <f>Y90/10</f>
        <v>2604229.8714000001</v>
      </c>
      <c r="AA90" s="3385">
        <f>Y90/년간!E9</f>
        <v>97.205400000000012</v>
      </c>
      <c r="AB90" s="3981">
        <f>종합!Z95*1000</f>
        <v>0</v>
      </c>
      <c r="AC90" s="3981">
        <f>종합!AA95*1000</f>
        <v>0</v>
      </c>
      <c r="AD90" s="3981">
        <f>종합!AB95*1000</f>
        <v>17932640.425776001</v>
      </c>
      <c r="AE90" s="3981">
        <f>종합!AC95*1000</f>
        <v>0</v>
      </c>
      <c r="AF90" s="3981">
        <f>종합!AD95*1000</f>
        <v>0</v>
      </c>
      <c r="AG90" s="3981">
        <f>종합!AE95*1000</f>
        <v>0</v>
      </c>
      <c r="AH90" s="3981">
        <f>종합!AF95*1000</f>
        <v>0</v>
      </c>
      <c r="AI90" s="3981">
        <f>종합!AG95*1000</f>
        <v>0</v>
      </c>
      <c r="AJ90" s="3981">
        <f>종합!AH95*1000</f>
        <v>0</v>
      </c>
      <c r="AK90" s="3981">
        <f>종합!AI95*1000</f>
        <v>0</v>
      </c>
      <c r="AL90" s="5275"/>
      <c r="AM90" s="5275"/>
      <c r="AN90" s="5283">
        <f t="shared" si="49"/>
        <v>17932640.425776001</v>
      </c>
      <c r="AO90" s="3974">
        <f t="shared" si="54"/>
        <v>97.205400000000012</v>
      </c>
      <c r="AP90" s="3974" t="e">
        <f>AB90/년간!F9</f>
        <v>#DIV/0!</v>
      </c>
      <c r="AQ90" s="3974" t="e">
        <f>AC90/년간!G9</f>
        <v>#DIV/0!</v>
      </c>
      <c r="AR90" s="3974">
        <f>AD90/년간!H9</f>
        <v>772.81740000000002</v>
      </c>
      <c r="AS90" s="3974" t="e">
        <f>AE90/년간!I9</f>
        <v>#DIV/0!</v>
      </c>
      <c r="AT90" s="3974" t="e">
        <f>AF90/년간!J9</f>
        <v>#DIV/0!</v>
      </c>
      <c r="AU90" s="3974" t="e">
        <f>AG90/년간!K9</f>
        <v>#DIV/0!</v>
      </c>
      <c r="AV90" s="3974" t="e">
        <f>AH90/년간!L9</f>
        <v>#DIV/0!</v>
      </c>
      <c r="AW90" s="3974" t="e">
        <f>AI90/년간!M9</f>
        <v>#DIV/0!</v>
      </c>
      <c r="AX90" s="3966" t="e">
        <f>AJ90/년간!N9</f>
        <v>#DIV/0!</v>
      </c>
      <c r="AY90" s="3978" t="e">
        <f>AK90/년간!O9</f>
        <v>#DIV/0!</v>
      </c>
      <c r="AZ90" s="4219"/>
      <c r="BA90" s="4909"/>
      <c r="BB90" s="4035">
        <f>AN90/년간!$V$9</f>
        <v>772.81740000000002</v>
      </c>
      <c r="BF90" s="7672"/>
      <c r="BG90" s="7714" t="s">
        <v>1349</v>
      </c>
      <c r="BH90" s="7714"/>
      <c r="BI90" s="2816" t="s">
        <v>1339</v>
      </c>
      <c r="BJ90" s="2885"/>
      <c r="BK90" s="2828"/>
      <c r="BL90" s="2865">
        <v>675705.65334639058</v>
      </c>
      <c r="BM90" s="2865">
        <v>632046.04277022346</v>
      </c>
      <c r="BN90" s="2866">
        <v>630823.38745964819</v>
      </c>
      <c r="BO90" s="4128"/>
      <c r="BP90" s="4128"/>
      <c r="BQ90" s="4128"/>
      <c r="BR90" s="4013">
        <v>338171787.04139227</v>
      </c>
      <c r="BS90" s="4025"/>
      <c r="BT90" s="6446">
        <v>1222.6553105752682</v>
      </c>
      <c r="BU90" s="4013">
        <v>65189282.48892533</v>
      </c>
      <c r="BV90" s="4025">
        <v>2210.2782115816372</v>
      </c>
      <c r="BW90" s="4108"/>
      <c r="BX90" s="5166"/>
    </row>
    <row r="91" spans="2:76" s="286" customFormat="1" ht="17.25" thickBot="1">
      <c r="B91" s="7735"/>
      <c r="C91" s="3348" t="s">
        <v>1327</v>
      </c>
      <c r="D91" s="3356" t="s">
        <v>1358</v>
      </c>
      <c r="E91" s="3383">
        <f>종합!F96</f>
        <v>102.28</v>
      </c>
      <c r="F91" s="3383">
        <f>종합!G96</f>
        <v>101.81</v>
      </c>
      <c r="G91" s="3383">
        <f>종합!H96</f>
        <v>101.58</v>
      </c>
      <c r="H91" s="3384">
        <f>종합!I96</f>
        <v>99.984010721754942</v>
      </c>
      <c r="I91" s="3384">
        <f>종합!J96</f>
        <v>100.3372491265694</v>
      </c>
      <c r="J91" s="6177">
        <f>종합!K96</f>
        <v>99.99</v>
      </c>
      <c r="K91" s="6177">
        <f>종합!L96</f>
        <v>99.99</v>
      </c>
      <c r="L91" s="4202">
        <f>종합!M96</f>
        <v>0</v>
      </c>
      <c r="M91" s="3935">
        <f>종합!N96</f>
        <v>0</v>
      </c>
      <c r="N91" s="3935">
        <f>종합!O96</f>
        <v>101.0991167</v>
      </c>
      <c r="O91" s="3935">
        <f>종합!P96</f>
        <v>0</v>
      </c>
      <c r="P91" s="3935">
        <f>종합!Q96</f>
        <v>0</v>
      </c>
      <c r="Q91" s="3935">
        <f>종합!R96</f>
        <v>0</v>
      </c>
      <c r="R91" s="3935">
        <f>종합!S96</f>
        <v>0</v>
      </c>
      <c r="S91" s="3935">
        <f>종합!T96</f>
        <v>0</v>
      </c>
      <c r="T91" s="3935">
        <f>종합!U96</f>
        <v>0</v>
      </c>
      <c r="U91" s="3935">
        <f>종합!V96</f>
        <v>0</v>
      </c>
      <c r="V91" s="3935">
        <f>종합!W96</f>
        <v>0</v>
      </c>
      <c r="W91" s="3935">
        <f>종합!X96</f>
        <v>0</v>
      </c>
      <c r="X91" s="5043">
        <f>종합!Y96</f>
        <v>10.109911669999999</v>
      </c>
      <c r="Y91" s="3382">
        <f>종합!AL96*1000</f>
        <v>98833201.385992154</v>
      </c>
      <c r="Z91" s="4728">
        <f>Y91/10</f>
        <v>9883320.1385992151</v>
      </c>
      <c r="AA91" s="3385">
        <f>Y91/년간!E10</f>
        <v>368.69805784522924</v>
      </c>
      <c r="AB91" s="3981">
        <f>종합!Z96*1000</f>
        <v>0</v>
      </c>
      <c r="AC91" s="3981">
        <f>종합!AA96*1000</f>
        <v>0</v>
      </c>
      <c r="AD91" s="3981">
        <f>종합!AB96*1000</f>
        <v>-18489662.154162198</v>
      </c>
      <c r="AE91" s="3981">
        <f>종합!AC96*1000</f>
        <v>0</v>
      </c>
      <c r="AF91" s="3981">
        <f>종합!AD96*1000</f>
        <v>0</v>
      </c>
      <c r="AG91" s="3981">
        <f>종합!AE96*1000</f>
        <v>0</v>
      </c>
      <c r="AH91" s="3981">
        <f>종합!AF96*1000</f>
        <v>0</v>
      </c>
      <c r="AI91" s="3981">
        <f>종합!AG96*1000</f>
        <v>0</v>
      </c>
      <c r="AJ91" s="3981">
        <f>종합!AH96*1000</f>
        <v>0</v>
      </c>
      <c r="AK91" s="3981">
        <f>종합!AI96*1000</f>
        <v>0</v>
      </c>
      <c r="AL91" s="5275"/>
      <c r="AM91" s="5275"/>
      <c r="AN91" s="5283">
        <f t="shared" si="49"/>
        <v>-18489662.154162198</v>
      </c>
      <c r="AO91" s="3974">
        <f t="shared" si="54"/>
        <v>368.69805784522924</v>
      </c>
      <c r="AP91" s="3974" t="e">
        <f>AB91/년간!F10</f>
        <v>#DIV/0!</v>
      </c>
      <c r="AQ91" s="3974" t="e">
        <f>AC91/년간!G10</f>
        <v>#DIV/0!</v>
      </c>
      <c r="AR91" s="3974">
        <f>AD91/년간!H10</f>
        <v>-808.92671332024327</v>
      </c>
      <c r="AS91" s="3974" t="e">
        <f>AE91/년간!I10</f>
        <v>#DIV/0!</v>
      </c>
      <c r="AT91" s="3974" t="e">
        <f>AF91/년간!J10</f>
        <v>#DIV/0!</v>
      </c>
      <c r="AU91" s="3974" t="e">
        <f>AG91/년간!K10</f>
        <v>#DIV/0!</v>
      </c>
      <c r="AV91" s="3974" t="e">
        <f>AH91/년간!L10</f>
        <v>#DIV/0!</v>
      </c>
      <c r="AW91" s="3974" t="e">
        <f>AI91/년간!M10</f>
        <v>#DIV/0!</v>
      </c>
      <c r="AX91" s="3966" t="e">
        <f>AJ91/년간!N10</f>
        <v>#DIV/0!</v>
      </c>
      <c r="AY91" s="3978" t="e">
        <f>AK91/년간!O10</f>
        <v>#DIV/0!</v>
      </c>
      <c r="AZ91" s="3978"/>
      <c r="BA91" s="5270"/>
      <c r="BB91" s="4035">
        <f>AN91/년간!$V$10</f>
        <v>-808.92671332024327</v>
      </c>
      <c r="BF91" s="7671" t="s">
        <v>1440</v>
      </c>
      <c r="BG91" s="7673" t="s">
        <v>1351</v>
      </c>
      <c r="BH91" s="7674"/>
      <c r="BI91" s="7674"/>
      <c r="BJ91" s="7674"/>
      <c r="BK91" s="7674"/>
      <c r="BL91" s="7674"/>
      <c r="BM91" s="7674"/>
      <c r="BN91" s="7674"/>
      <c r="BO91" s="7674"/>
      <c r="BP91" s="7674"/>
      <c r="BQ91" s="7711"/>
      <c r="BR91" s="3039">
        <v>330511230.2258271</v>
      </c>
      <c r="BS91" s="3040"/>
      <c r="BT91" s="6444">
        <v>1241.0118135272342</v>
      </c>
      <c r="BU91" s="3039">
        <v>-2612359.5809434056</v>
      </c>
      <c r="BV91" s="3040">
        <v>-99.255895298053673</v>
      </c>
      <c r="BW91" s="4106"/>
      <c r="BX91" s="3341"/>
    </row>
    <row r="92" spans="2:76" s="286" customFormat="1" ht="17.25" thickBot="1">
      <c r="B92" s="7735"/>
      <c r="C92" s="3348" t="s">
        <v>1290</v>
      </c>
      <c r="D92" s="3356" t="s">
        <v>330</v>
      </c>
      <c r="E92" s="3383">
        <f>종합!F97</f>
        <v>5.35</v>
      </c>
      <c r="F92" s="3383">
        <f>종합!G97</f>
        <v>4.5</v>
      </c>
      <c r="G92" s="3383">
        <f>종합!H97</f>
        <v>4.18</v>
      </c>
      <c r="H92" s="3384">
        <f>종합!I97</f>
        <v>4.1374715776825299</v>
      </c>
      <c r="I92" s="3384">
        <f>종합!J97</f>
        <v>4.275902450111003</v>
      </c>
      <c r="J92" s="6177">
        <f>종합!K97</f>
        <v>3.5</v>
      </c>
      <c r="K92" s="6177">
        <f>종합!L97</f>
        <v>3.5</v>
      </c>
      <c r="L92" s="4202">
        <f>종합!M97</f>
        <v>0</v>
      </c>
      <c r="M92" s="3935">
        <f>종합!N97</f>
        <v>0</v>
      </c>
      <c r="N92" s="3935">
        <f>종합!O97</f>
        <v>2.1656356928262332</v>
      </c>
      <c r="O92" s="3935">
        <f>종합!P97</f>
        <v>0</v>
      </c>
      <c r="P92" s="3935">
        <f>종합!Q97</f>
        <v>0</v>
      </c>
      <c r="Q92" s="3935">
        <f>종합!R97</f>
        <v>0</v>
      </c>
      <c r="R92" s="3935">
        <f>종합!S97</f>
        <v>0</v>
      </c>
      <c r="S92" s="3935">
        <f>종합!T97</f>
        <v>0</v>
      </c>
      <c r="T92" s="3935">
        <f>종합!U97</f>
        <v>0</v>
      </c>
      <c r="U92" s="3935">
        <f>종합!V97</f>
        <v>0</v>
      </c>
      <c r="V92" s="3935">
        <f>종합!W97</f>
        <v>0</v>
      </c>
      <c r="W92" s="3935">
        <f>종합!X97</f>
        <v>0</v>
      </c>
      <c r="X92" s="5043">
        <f>종합!Y97</f>
        <v>0.21656356928262332</v>
      </c>
      <c r="Y92" s="3382">
        <f>종합!AL97*1000</f>
        <v>134287301.44119063</v>
      </c>
      <c r="Z92" s="4728">
        <f>Y92/10</f>
        <v>13428730.144119063</v>
      </c>
      <c r="AA92" s="3385">
        <f>Y92/년간!E10</f>
        <v>500.95986510926895</v>
      </c>
      <c r="AB92" s="3981">
        <f>종합!Z97*1000</f>
        <v>0</v>
      </c>
      <c r="AC92" s="3981">
        <f>종합!AA97*1000</f>
        <v>0</v>
      </c>
      <c r="AD92" s="3981">
        <f>종합!AB97*1000</f>
        <v>31142463.634638514</v>
      </c>
      <c r="AE92" s="3981">
        <f>종합!AC97*1000</f>
        <v>0</v>
      </c>
      <c r="AF92" s="3981">
        <f>종합!AD97*1000</f>
        <v>0</v>
      </c>
      <c r="AG92" s="3981">
        <f>종합!AE97*1000</f>
        <v>0</v>
      </c>
      <c r="AH92" s="3981">
        <f>종합!AF97*1000</f>
        <v>0</v>
      </c>
      <c r="AI92" s="3981">
        <f>종합!AG97*1000</f>
        <v>0</v>
      </c>
      <c r="AJ92" s="3981">
        <f>종합!AH97*1000</f>
        <v>0</v>
      </c>
      <c r="AK92" s="3981">
        <f>종합!AI97*1000</f>
        <v>0</v>
      </c>
      <c r="AL92" s="5275"/>
      <c r="AM92" s="5275"/>
      <c r="AN92" s="5283">
        <f t="shared" si="49"/>
        <v>31142463.634638514</v>
      </c>
      <c r="AO92" s="3974">
        <f t="shared" si="54"/>
        <v>500.95986510926895</v>
      </c>
      <c r="AP92" s="3974" t="e">
        <f>AB92/년간!F10</f>
        <v>#DIV/0!</v>
      </c>
      <c r="AQ92" s="3974" t="e">
        <f>AC92/년간!G10</f>
        <v>#DIV/0!</v>
      </c>
      <c r="AR92" s="3974">
        <f>AD92/년간!H10</f>
        <v>1362.4895113073972</v>
      </c>
      <c r="AS92" s="3974" t="e">
        <f>AE92/년간!I10</f>
        <v>#DIV/0!</v>
      </c>
      <c r="AT92" s="3974" t="e">
        <f>AF92/년간!J10</f>
        <v>#DIV/0!</v>
      </c>
      <c r="AU92" s="3974" t="e">
        <f>AG92/년간!K10</f>
        <v>#DIV/0!</v>
      </c>
      <c r="AV92" s="3974" t="e">
        <f>AH92/년간!L10</f>
        <v>#DIV/0!</v>
      </c>
      <c r="AW92" s="3974" t="e">
        <f>AI92/년간!M10</f>
        <v>#DIV/0!</v>
      </c>
      <c r="AX92" s="3966" t="e">
        <f>AJ92/년간!N10</f>
        <v>#DIV/0!</v>
      </c>
      <c r="AY92" s="3978" t="e">
        <f>AK92/년간!O10</f>
        <v>#DIV/0!</v>
      </c>
      <c r="AZ92" s="3978"/>
      <c r="BA92" s="5270"/>
      <c r="BB92" s="4035">
        <f>AN92/년간!$V$10</f>
        <v>1362.4895113073972</v>
      </c>
      <c r="BF92" s="7672"/>
      <c r="BG92" s="7673" t="s">
        <v>1350</v>
      </c>
      <c r="BH92" s="7674"/>
      <c r="BI92" s="7674"/>
      <c r="BJ92" s="7674"/>
      <c r="BK92" s="7674"/>
      <c r="BL92" s="7674"/>
      <c r="BM92" s="7674"/>
      <c r="BN92" s="7674"/>
      <c r="BO92" s="7674"/>
      <c r="BP92" s="7674"/>
      <c r="BQ92" s="7711"/>
      <c r="BR92" s="2823">
        <v>580724559.83952618</v>
      </c>
      <c r="BS92" s="3012"/>
      <c r="BT92" s="6445">
        <v>2180.5190663985454</v>
      </c>
      <c r="BU92" s="2823">
        <v>85865168.3772953</v>
      </c>
      <c r="BV92" s="3012">
        <v>3262.4238349028446</v>
      </c>
      <c r="BW92" s="3963"/>
      <c r="BX92" s="3341"/>
    </row>
    <row r="93" spans="2:76" s="286" customFormat="1" ht="17.25" thickBot="1">
      <c r="B93" s="7735"/>
      <c r="C93" s="3348" t="s">
        <v>1328</v>
      </c>
      <c r="D93" s="3356" t="s">
        <v>1321</v>
      </c>
      <c r="E93" s="3383">
        <f>종합!F98</f>
        <v>26.925635918047181</v>
      </c>
      <c r="F93" s="3383">
        <f>종합!G98</f>
        <v>24.51</v>
      </c>
      <c r="G93" s="3383">
        <f>종합!H98</f>
        <v>25.5164081871166</v>
      </c>
      <c r="H93" s="3384">
        <f>종합!I98</f>
        <v>24.863893783777399</v>
      </c>
      <c r="I93" s="3384">
        <f>종합!J98</f>
        <v>24.336999999999996</v>
      </c>
      <c r="J93" s="6244">
        <f>종합!K98</f>
        <v>24.336999999999996</v>
      </c>
      <c r="K93" s="6177">
        <f>종합!L98</f>
        <v>24.336999999999996</v>
      </c>
      <c r="L93" s="4202">
        <f>종합!M98</f>
        <v>24.97</v>
      </c>
      <c r="M93" s="3935">
        <f>종합!N98</f>
        <v>25.808281338627342</v>
      </c>
      <c r="N93" s="3935">
        <f>종합!O98</f>
        <v>24.73</v>
      </c>
      <c r="O93" s="3935">
        <f>종합!P98</f>
        <v>0</v>
      </c>
      <c r="P93" s="3935">
        <f>종합!Q98</f>
        <v>0</v>
      </c>
      <c r="Q93" s="3935">
        <f>종합!R98</f>
        <v>0</v>
      </c>
      <c r="R93" s="3935">
        <f>종합!S98</f>
        <v>0</v>
      </c>
      <c r="S93" s="3935">
        <f>종합!T98</f>
        <v>0</v>
      </c>
      <c r="T93" s="3935">
        <f>종합!U98</f>
        <v>0</v>
      </c>
      <c r="U93" s="3935">
        <f>종합!V98</f>
        <v>0</v>
      </c>
      <c r="V93" s="3935">
        <f>종합!W98</f>
        <v>0</v>
      </c>
      <c r="W93" s="3935">
        <f>종합!X98</f>
        <v>0</v>
      </c>
      <c r="X93" s="5043">
        <f>종합!Y98</f>
        <v>7.5508281338627343</v>
      </c>
      <c r="Y93" s="3382">
        <f>종합!AL98*1000</f>
        <v>0</v>
      </c>
      <c r="Z93" s="4728">
        <f>Y93/12</f>
        <v>0</v>
      </c>
      <c r="AA93" s="3385">
        <f>Y93/년간!E11</f>
        <v>0</v>
      </c>
      <c r="AB93" s="3981">
        <f>종합!Z98*1000</f>
        <v>-30725189.62695013</v>
      </c>
      <c r="AC93" s="3981">
        <f>종합!AA98*1000</f>
        <v>-68815707.711660296</v>
      </c>
      <c r="AD93" s="3981">
        <f>종합!AB98*1000</f>
        <v>-20039342.859900214</v>
      </c>
      <c r="AE93" s="3981">
        <f>종합!AC98*1000</f>
        <v>0</v>
      </c>
      <c r="AF93" s="3981">
        <f>종합!AD98*1000</f>
        <v>0</v>
      </c>
      <c r="AG93" s="3981">
        <f>종합!AE98*1000</f>
        <v>0</v>
      </c>
      <c r="AH93" s="3981">
        <f>종합!AF98*1000</f>
        <v>0</v>
      </c>
      <c r="AI93" s="3981">
        <f>종합!AG98*1000</f>
        <v>0</v>
      </c>
      <c r="AJ93" s="3981">
        <f>종합!AH98*1000</f>
        <v>0</v>
      </c>
      <c r="AK93" s="3981">
        <f>종합!AI98*1000</f>
        <v>0</v>
      </c>
      <c r="AL93" s="5275"/>
      <c r="AM93" s="5275"/>
      <c r="AN93" s="5283">
        <f t="shared" si="49"/>
        <v>-119580240.19851065</v>
      </c>
      <c r="AO93" s="3974">
        <f t="shared" si="54"/>
        <v>0</v>
      </c>
      <c r="AP93" s="3974">
        <f>AB93/년간!F11</f>
        <v>-2476.9290000000101</v>
      </c>
      <c r="AQ93" s="3974">
        <f>AC93/년간!G11</f>
        <v>-5757.1238780488056</v>
      </c>
      <c r="AR93" s="3974">
        <f>AD93/년간!H11</f>
        <v>-1537.8090000000163</v>
      </c>
      <c r="AS93" s="3974" t="e">
        <f>AE93/년간!I11</f>
        <v>#DIV/0!</v>
      </c>
      <c r="AT93" s="3974" t="e">
        <f>AF93/년간!J11</f>
        <v>#DIV/0!</v>
      </c>
      <c r="AU93" s="3974" t="e">
        <f>AG93/년간!K11</f>
        <v>#DIV/0!</v>
      </c>
      <c r="AV93" s="3974" t="e">
        <f>AH93/년간!L11</f>
        <v>#DIV/0!</v>
      </c>
      <c r="AW93" s="3974" t="e">
        <f>AI93/년간!M11</f>
        <v>#DIV/0!</v>
      </c>
      <c r="AX93" s="3966" t="e">
        <f>AJ93/년간!N11</f>
        <v>#DIV/0!</v>
      </c>
      <c r="AY93" s="3978" t="e">
        <f>AK93/년간!O11</f>
        <v>#DIV/0!</v>
      </c>
      <c r="AZ93" s="3978"/>
      <c r="BA93" s="5270"/>
      <c r="BB93" s="4035">
        <f>AN93/년간!$V$11</f>
        <v>-3198.2912578478908</v>
      </c>
      <c r="BF93" s="7672"/>
      <c r="BG93" s="7714" t="s">
        <v>1349</v>
      </c>
      <c r="BH93" s="7714"/>
      <c r="BI93" s="2816" t="s">
        <v>1339</v>
      </c>
      <c r="BJ93" s="2885"/>
      <c r="BK93" s="2828"/>
      <c r="BL93" s="2865">
        <v>700688.84038055351</v>
      </c>
      <c r="BM93" s="2865">
        <v>700184.69670821552</v>
      </c>
      <c r="BN93" s="2866">
        <v>699508.34808593057</v>
      </c>
      <c r="BO93" s="4128"/>
      <c r="BP93" s="4128"/>
      <c r="BQ93" s="4128"/>
      <c r="BR93" s="4013">
        <v>180127870.48141596</v>
      </c>
      <c r="BS93" s="4025"/>
      <c r="BT93" s="6446">
        <v>676.34862228494603</v>
      </c>
      <c r="BU93" s="4013">
        <v>37373492.265928522</v>
      </c>
      <c r="BV93" s="4025">
        <v>1419.9957242984092</v>
      </c>
      <c r="BW93" s="4108"/>
      <c r="BX93" s="5166"/>
    </row>
    <row r="94" spans="2:76" s="286" customFormat="1" ht="16.899999999999999" customHeight="1" thickBot="1">
      <c r="B94" s="7735"/>
      <c r="C94" s="3349" t="s">
        <v>1329</v>
      </c>
      <c r="D94" s="3084" t="s">
        <v>1321</v>
      </c>
      <c r="E94" s="3386">
        <f>종합!F99</f>
        <v>32.450000000000003</v>
      </c>
      <c r="F94" s="3386">
        <f>종합!G99</f>
        <v>33.229999999999997</v>
      </c>
      <c r="G94" s="3386">
        <f>종합!H99</f>
        <v>38.068566825581534</v>
      </c>
      <c r="H94" s="3212">
        <f>종합!I99</f>
        <v>36.189847966144271</v>
      </c>
      <c r="I94" s="3212">
        <f>종합!J99</f>
        <v>35.862266270897663</v>
      </c>
      <c r="J94" s="6179">
        <f>종합!K99</f>
        <v>35.324332276834198</v>
      </c>
      <c r="K94" s="6179">
        <f>종합!L99</f>
        <v>35.324332276834198</v>
      </c>
      <c r="L94" s="4203">
        <f>종합!M99</f>
        <v>34.950507891984792</v>
      </c>
      <c r="M94" s="3936">
        <f>종합!N99</f>
        <v>33.766743839920622</v>
      </c>
      <c r="N94" s="3936">
        <f>종합!O99</f>
        <v>34.266665105911194</v>
      </c>
      <c r="O94" s="3936">
        <f>종합!P99</f>
        <v>0</v>
      </c>
      <c r="P94" s="3936">
        <f>종합!Q99</f>
        <v>0</v>
      </c>
      <c r="Q94" s="3936">
        <f>종합!R99</f>
        <v>0</v>
      </c>
      <c r="R94" s="3936">
        <f>종합!S99</f>
        <v>0</v>
      </c>
      <c r="S94" s="3936">
        <f>종합!T99</f>
        <v>0</v>
      </c>
      <c r="T94" s="3936">
        <f>종합!U99</f>
        <v>0</v>
      </c>
      <c r="U94" s="3936">
        <f>종합!V99</f>
        <v>0</v>
      </c>
      <c r="V94" s="3936">
        <f>종합!W99</f>
        <v>0</v>
      </c>
      <c r="W94" s="3936">
        <f>종합!X99</f>
        <v>0</v>
      </c>
      <c r="X94" s="5044">
        <f>종합!Y99</f>
        <v>10.298391683781659</v>
      </c>
      <c r="Y94" s="3219">
        <f>종합!AL99*1000</f>
        <v>177851711.75367501</v>
      </c>
      <c r="Z94" s="4729">
        <f>Y94/12</f>
        <v>14820975.979472918</v>
      </c>
      <c r="AA94" s="4235">
        <f>Y94/년간!E12</f>
        <v>2945.1886174974716</v>
      </c>
      <c r="AB94" s="3981">
        <f>종합!Z99*1000</f>
        <v>24630520.757774636</v>
      </c>
      <c r="AC94" s="3981">
        <f>종합!AA99*1000</f>
        <v>55501713.733717598</v>
      </c>
      <c r="AD94" s="3981">
        <f>종합!AB99*1000</f>
        <v>52240867.301403284</v>
      </c>
      <c r="AE94" s="3981">
        <f>종합!AC99*1000</f>
        <v>0</v>
      </c>
      <c r="AF94" s="3981">
        <f>종합!AD99*1000</f>
        <v>0</v>
      </c>
      <c r="AG94" s="3981">
        <f>종합!AE99*1000</f>
        <v>0</v>
      </c>
      <c r="AH94" s="3981">
        <f>종합!AF99*1000</f>
        <v>0</v>
      </c>
      <c r="AI94" s="3981">
        <f>종합!AG99*1000</f>
        <v>0</v>
      </c>
      <c r="AJ94" s="3981">
        <f>종합!AH99*1000</f>
        <v>0</v>
      </c>
      <c r="AK94" s="3981">
        <f>종합!AI99*1000</f>
        <v>0</v>
      </c>
      <c r="AL94" s="5276"/>
      <c r="AM94" s="5276"/>
      <c r="AN94" s="5283">
        <f t="shared" si="49"/>
        <v>132373101.79289553</v>
      </c>
      <c r="AO94" s="3975">
        <f t="shared" si="54"/>
        <v>2945.1886174974716</v>
      </c>
      <c r="AP94" s="3975">
        <f>AB94/년간!F12</f>
        <v>4991.8771245479711</v>
      </c>
      <c r="AQ94" s="3975">
        <f>AC94/년간!G12</f>
        <v>11648.155499904004</v>
      </c>
      <c r="AR94" s="3975">
        <f>AD94/년간!H12</f>
        <v>9421.2904828156788</v>
      </c>
      <c r="AS94" s="3975" t="e">
        <f>AE94/년간!I12</f>
        <v>#DIV/0!</v>
      </c>
      <c r="AT94" s="3975" t="e">
        <f>AF94/년간!J12</f>
        <v>#DIV/0!</v>
      </c>
      <c r="AU94" s="3975" t="e">
        <f>AG94/년간!K12</f>
        <v>#DIV/0!</v>
      </c>
      <c r="AV94" s="3975" t="e">
        <f>AH94/년간!L12</f>
        <v>#DIV/0!</v>
      </c>
      <c r="AW94" s="3975" t="e">
        <f>AI94/년간!M12</f>
        <v>#DIV/0!</v>
      </c>
      <c r="AX94" s="5322" t="e">
        <f>AJ94/년간!N12</f>
        <v>#DIV/0!</v>
      </c>
      <c r="AY94" s="5346" t="e">
        <f>AK94/년간!O12</f>
        <v>#DIV/0!</v>
      </c>
      <c r="AZ94" s="3978"/>
      <c r="BA94" s="5270"/>
      <c r="BB94" s="4035">
        <f>AN94/년간!$V$12</f>
        <v>8683.6483846309857</v>
      </c>
      <c r="BF94" s="7671" t="s">
        <v>1441</v>
      </c>
      <c r="BG94" s="7673" t="s">
        <v>1351</v>
      </c>
      <c r="BH94" s="7674"/>
      <c r="BI94" s="7674"/>
      <c r="BJ94" s="7674"/>
      <c r="BK94" s="7674"/>
      <c r="BL94" s="7674"/>
      <c r="BM94" s="7674"/>
      <c r="BN94" s="7674"/>
      <c r="BO94" s="7674"/>
      <c r="BP94" s="7674"/>
      <c r="BQ94" s="7711"/>
      <c r="BR94" s="3039">
        <v>553238472.10681677</v>
      </c>
      <c r="BS94" s="3040"/>
      <c r="BT94" s="6444">
        <v>2022.5879139648919</v>
      </c>
      <c r="BU94" s="3039">
        <v>48690060.391356334</v>
      </c>
      <c r="BV94" s="3040">
        <v>1386.1167746442993</v>
      </c>
      <c r="BW94" s="4106"/>
      <c r="BX94" s="3341"/>
    </row>
    <row r="95" spans="2:76" ht="17.25" thickBot="1">
      <c r="B95" s="7736"/>
      <c r="C95" s="2255" t="s">
        <v>16</v>
      </c>
      <c r="D95" s="1850" t="s">
        <v>448</v>
      </c>
      <c r="E95" s="2788">
        <f t="shared" ref="E95:P95" si="64">(E89+E90+E91+E92+E93+E94)</f>
        <v>1467.105635918047</v>
      </c>
      <c r="F95" s="2788">
        <f t="shared" si="64"/>
        <v>1397.9199999999998</v>
      </c>
      <c r="G95" s="2788">
        <f t="shared" si="64"/>
        <v>2328.9397672348923</v>
      </c>
      <c r="H95" s="2789">
        <f t="shared" si="64"/>
        <v>1399.3146503192111</v>
      </c>
      <c r="I95" s="2789">
        <f>285832738.884978/년간!D13</f>
        <v>278.81656184022779</v>
      </c>
      <c r="J95" s="3898">
        <f>Y95/년간!E13</f>
        <v>422.30563423364379</v>
      </c>
      <c r="K95" s="3898">
        <f>J95</f>
        <v>422.30563423364379</v>
      </c>
      <c r="L95" s="3898">
        <f t="shared" si="64"/>
        <v>59.920507891984791</v>
      </c>
      <c r="M95" s="3942">
        <f t="shared" si="64"/>
        <v>59.575025178547961</v>
      </c>
      <c r="N95" s="3942">
        <f t="shared" si="64"/>
        <v>457.23370969382614</v>
      </c>
      <c r="O95" s="3942">
        <f t="shared" si="64"/>
        <v>0</v>
      </c>
      <c r="P95" s="3942">
        <f t="shared" si="64"/>
        <v>0</v>
      </c>
      <c r="Q95" s="3942">
        <f>(Q89+Q90+Q91+Q92+Q93+Q94)</f>
        <v>0</v>
      </c>
      <c r="R95" s="4327" t="e">
        <f>AH95/년간!L13</f>
        <v>#DIV/0!</v>
      </c>
      <c r="S95" s="4327" t="e">
        <f>AI95/년간!M13</f>
        <v>#DIV/0!</v>
      </c>
      <c r="T95" s="4327" t="e">
        <f>AJ95/년간!N13</f>
        <v>#DIV/0!</v>
      </c>
      <c r="U95" s="3942">
        <f>(U89+U90+U91+U92+U93+U94)</f>
        <v>0</v>
      </c>
      <c r="V95" s="3942">
        <f>(V89+V90+V91+V92+V93+V94)</f>
        <v>0</v>
      </c>
      <c r="W95" s="3942">
        <f>(W89+W90+W91+W92+W93+W94)</f>
        <v>0</v>
      </c>
      <c r="X95" s="3942">
        <f>(X89+X90+X91+X92+X93+X94)</f>
        <v>1759.3142298309824</v>
      </c>
      <c r="Y95" s="2778">
        <f>SUM(Y89:Y94)</f>
        <v>439541281.07858217</v>
      </c>
      <c r="Z95" s="2361">
        <f>SUM(Z89:Z94)</f>
        <v>40989932.911963634</v>
      </c>
      <c r="AA95" s="4233">
        <f>Y95/년간!E13</f>
        <v>422.30563423364379</v>
      </c>
      <c r="AB95" s="3988">
        <f t="shared" ref="AB95:AG95" si="65">SUM(AB89:AB94)</f>
        <v>-6094668.8691754937</v>
      </c>
      <c r="AC95" s="3988">
        <f t="shared" si="65"/>
        <v>-13313993.977942698</v>
      </c>
      <c r="AD95" s="3988">
        <f t="shared" si="65"/>
        <v>61639874.785263658</v>
      </c>
      <c r="AE95" s="3988">
        <f t="shared" si="65"/>
        <v>0</v>
      </c>
      <c r="AF95" s="3988">
        <f t="shared" si="65"/>
        <v>0</v>
      </c>
      <c r="AG95" s="3988">
        <f t="shared" si="65"/>
        <v>0</v>
      </c>
      <c r="AH95" s="3988">
        <f>SUM(AH89:AH94)</f>
        <v>0</v>
      </c>
      <c r="AI95" s="3988">
        <f>SUM(AI89:AI94)</f>
        <v>0</v>
      </c>
      <c r="AJ95" s="3988">
        <f>SUM(AJ89:AJ94)</f>
        <v>0</v>
      </c>
      <c r="AK95" s="3988">
        <f>SUM(AK89:AK94)</f>
        <v>0</v>
      </c>
      <c r="AL95" s="5279"/>
      <c r="AM95" s="5279"/>
      <c r="AN95" s="5284">
        <f t="shared" si="49"/>
        <v>42231211.938145466</v>
      </c>
      <c r="AO95" s="4001">
        <f t="shared" si="54"/>
        <v>422.30563423364379</v>
      </c>
      <c r="AP95" s="4001">
        <f>AB95/년간!F13</f>
        <v>-351.50728799703165</v>
      </c>
      <c r="AQ95" s="4001">
        <f>AC95/년간!G13</f>
        <v>-796.38724379801033</v>
      </c>
      <c r="AR95" s="4001">
        <f>AD95/년간!H13</f>
        <v>668.40413185267334</v>
      </c>
      <c r="AS95" s="4001" t="e">
        <f>AE95/년간!I13</f>
        <v>#DIV/0!</v>
      </c>
      <c r="AT95" s="4001" t="e">
        <f>AF95/년간!J13</f>
        <v>#DIV/0!</v>
      </c>
      <c r="AU95" s="4001" t="e">
        <f>AG95/년간!K13</f>
        <v>#DIV/0!</v>
      </c>
      <c r="AV95" s="4001" t="e">
        <f>AH95/년간!L13</f>
        <v>#DIV/0!</v>
      </c>
      <c r="AW95" s="4001" t="e">
        <f>AI95/년간!M13</f>
        <v>#DIV/0!</v>
      </c>
      <c r="AX95" s="5321" t="e">
        <f>AJ95/년간!N13</f>
        <v>#DIV/0!</v>
      </c>
      <c r="AY95" s="5355" t="e">
        <f>AK95/년간!O13</f>
        <v>#DIV/0!</v>
      </c>
      <c r="AZ95" s="4215"/>
      <c r="BA95" s="5332"/>
      <c r="BB95" s="5338">
        <f>AN95/년간!$V$13</f>
        <v>334.43543081456068</v>
      </c>
      <c r="BC95" s="257"/>
      <c r="BD95" s="200"/>
      <c r="BE95" s="200"/>
      <c r="BF95" s="7712"/>
      <c r="BG95" s="7673" t="s">
        <v>1350</v>
      </c>
      <c r="BH95" s="7674"/>
      <c r="BI95" s="7674"/>
      <c r="BJ95" s="7674"/>
      <c r="BK95" s="7674"/>
      <c r="BL95" s="7674"/>
      <c r="BM95" s="7674"/>
      <c r="BN95" s="7674"/>
      <c r="BO95" s="7674"/>
      <c r="BP95" s="7674"/>
      <c r="BQ95" s="7711"/>
      <c r="BR95" s="2823">
        <v>1124526441.7929168</v>
      </c>
      <c r="BS95" s="3012"/>
      <c r="BT95" s="6445">
        <v>4111.1630965265849</v>
      </c>
      <c r="BU95" s="2823">
        <v>82618389.419597238</v>
      </c>
      <c r="BV95" s="3012">
        <v>2743.7837704366807</v>
      </c>
      <c r="BW95" s="3963"/>
      <c r="BX95" s="3341"/>
    </row>
    <row r="96" spans="2:76" s="286" customFormat="1" ht="17.25" thickBot="1">
      <c r="B96" s="7718" t="s">
        <v>1404</v>
      </c>
      <c r="C96" s="3343" t="s">
        <v>27</v>
      </c>
      <c r="D96" s="2921" t="s">
        <v>700</v>
      </c>
      <c r="E96" s="2924">
        <f>CPL!H35</f>
        <v>804.55310718712531</v>
      </c>
      <c r="F96" s="2924">
        <f>CPL!I35</f>
        <v>671</v>
      </c>
      <c r="G96" s="2924">
        <f>CPL!J35</f>
        <v>517.23473829824388</v>
      </c>
      <c r="H96" s="3213">
        <f>CPL!K35</f>
        <v>635.2418619413146</v>
      </c>
      <c r="I96" s="3213">
        <f>CPL!L35</f>
        <v>636.83616904167434</v>
      </c>
      <c r="J96" s="6185">
        <f>CPL!M35</f>
        <v>600</v>
      </c>
      <c r="K96" s="6185">
        <f>CPL!N35</f>
        <v>600</v>
      </c>
      <c r="L96" s="4210">
        <f>CPL!O35</f>
        <v>5417.6433722768388</v>
      </c>
      <c r="M96" s="3944">
        <f>CPL!P35</f>
        <v>5479.4585732188798</v>
      </c>
      <c r="N96" s="3944">
        <f>CPL!Q35</f>
        <v>375.10427044766686</v>
      </c>
      <c r="O96" s="3944">
        <f>CPL!R35</f>
        <v>0</v>
      </c>
      <c r="P96" s="3944">
        <f>CPL!S35</f>
        <v>0</v>
      </c>
      <c r="Q96" s="3944">
        <f>CPL!T35</f>
        <v>0</v>
      </c>
      <c r="R96" s="3944">
        <f>CPL!U35</f>
        <v>0</v>
      </c>
      <c r="S96" s="3944">
        <f>CPL!V35</f>
        <v>0</v>
      </c>
      <c r="T96" s="3944">
        <f>CPL!W35</f>
        <v>0</v>
      </c>
      <c r="U96" s="3944">
        <f>CPL!X35</f>
        <v>0</v>
      </c>
      <c r="V96" s="3944">
        <f>CPL!Y35</f>
        <v>0</v>
      </c>
      <c r="W96" s="3944">
        <f>CPL!Z35</f>
        <v>0</v>
      </c>
      <c r="X96" s="5049">
        <f>CPL!AA35</f>
        <v>3757.4020719811288</v>
      </c>
      <c r="Y96" s="3950">
        <f>($I$96-J96)*년간!$E$14</f>
        <v>10402902.499059251</v>
      </c>
      <c r="Z96" s="2924">
        <f>Y96/10</f>
        <v>1040290.249905925</v>
      </c>
      <c r="AA96" s="4230">
        <f>Y96/년간!E8</f>
        <v>36.835647308770987</v>
      </c>
      <c r="AB96" s="3984">
        <f>CPL!AB35*1000</f>
        <v>0</v>
      </c>
      <c r="AC96" s="3984">
        <f>CPL!AC35*1000</f>
        <v>0</v>
      </c>
      <c r="AD96" s="3984">
        <f>CPL!AD35*1000</f>
        <v>7219120.6348477453</v>
      </c>
      <c r="AE96" s="3984">
        <f>CPL!AE35*1000</f>
        <v>0</v>
      </c>
      <c r="AF96" s="3984">
        <f>CPL!AF35*1000</f>
        <v>0</v>
      </c>
      <c r="AG96" s="3984">
        <f>CPL!AG35*1000</f>
        <v>0</v>
      </c>
      <c r="AH96" s="3984">
        <f>CPL!AH35*1000</f>
        <v>0</v>
      </c>
      <c r="AI96" s="3984">
        <f>CPL!AI35*1000</f>
        <v>0</v>
      </c>
      <c r="AJ96" s="3984">
        <f>CPL!AJ35*1000</f>
        <v>0</v>
      </c>
      <c r="AK96" s="3984">
        <f>CPL!AK35*1000</f>
        <v>0</v>
      </c>
      <c r="AL96" s="5274"/>
      <c r="AM96" s="5274"/>
      <c r="AN96" s="5283">
        <f t="shared" si="49"/>
        <v>7219120.6348477453</v>
      </c>
      <c r="AO96" s="3999">
        <f t="shared" si="54"/>
        <v>36.835647308770987</v>
      </c>
      <c r="AP96" s="3999" t="e">
        <f>AB96/년간!F8</f>
        <v>#DIV/0!</v>
      </c>
      <c r="AQ96" s="3999" t="e">
        <f>AC96/년간!G8</f>
        <v>#DIV/0!</v>
      </c>
      <c r="AR96" s="3999">
        <f>AD96/년간!H8</f>
        <v>261.73189859400748</v>
      </c>
      <c r="AS96" s="3999" t="e">
        <f>AE96/년간!I8</f>
        <v>#DIV/0!</v>
      </c>
      <c r="AT96" s="3999" t="e">
        <f>AF96/년간!J8</f>
        <v>#DIV/0!</v>
      </c>
      <c r="AU96" s="3999" t="e">
        <f>AG96/년간!K8</f>
        <v>#DIV/0!</v>
      </c>
      <c r="AV96" s="3999" t="e">
        <f>AH96/년간!L8</f>
        <v>#DIV/0!</v>
      </c>
      <c r="AW96" s="3999" t="e">
        <f>AI96/년간!M8</f>
        <v>#DIV/0!</v>
      </c>
      <c r="AX96" s="4348" t="e">
        <f>AJ96/년간!N8</f>
        <v>#DIV/0!</v>
      </c>
      <c r="AY96" s="5561" t="e">
        <f>AK96/년간!O8</f>
        <v>#DIV/0!</v>
      </c>
      <c r="AZ96" s="5330"/>
      <c r="BA96" s="5334"/>
      <c r="BB96" s="4035">
        <f>AN96/년간!$V$8</f>
        <v>261.73189859400748</v>
      </c>
      <c r="BF96" s="7672"/>
      <c r="BG96" s="7714" t="s">
        <v>1349</v>
      </c>
      <c r="BH96" s="7714"/>
      <c r="BI96" s="2816" t="s">
        <v>1339</v>
      </c>
      <c r="BJ96" s="2885"/>
      <c r="BK96" s="2828"/>
      <c r="BL96" s="2865">
        <v>857251.34557613404</v>
      </c>
      <c r="BM96" s="2865">
        <v>857562.09199926944</v>
      </c>
      <c r="BN96" s="2866">
        <v>855054.67282669106</v>
      </c>
      <c r="BO96" s="4128"/>
      <c r="BP96" s="4128"/>
      <c r="BQ96" s="4128"/>
      <c r="BR96" s="4013">
        <v>685854366.27536285</v>
      </c>
      <c r="BS96" s="4025"/>
      <c r="BT96" s="6446">
        <v>2507.4191725783749</v>
      </c>
      <c r="BU96" s="4013">
        <v>-19366323.085976731</v>
      </c>
      <c r="BV96" s="4025">
        <v>-774.95763678185176</v>
      </c>
      <c r="BW96" s="4108"/>
      <c r="BX96" s="5166"/>
    </row>
    <row r="97" spans="1:77" s="286" customFormat="1" ht="17.25" thickBot="1">
      <c r="B97" s="7729"/>
      <c r="C97" s="3387" t="s">
        <v>28</v>
      </c>
      <c r="D97" s="3388" t="s">
        <v>700</v>
      </c>
      <c r="E97" s="3389">
        <f>CRM!H37</f>
        <v>4795.3802621839413</v>
      </c>
      <c r="F97" s="3389">
        <f>CRM!I37</f>
        <v>4044</v>
      </c>
      <c r="G97" s="3389">
        <f>CRM!J37</f>
        <v>2721.9102889024402</v>
      </c>
      <c r="H97" s="3366">
        <f>CRM!K37</f>
        <v>2354.2727272727275</v>
      </c>
      <c r="I97" s="3366">
        <f>CRM!L37</f>
        <v>1439.7</v>
      </c>
      <c r="J97" s="6186">
        <f>CRM!M37</f>
        <v>1397</v>
      </c>
      <c r="K97" s="6186">
        <f>CRM!N37</f>
        <v>1397</v>
      </c>
      <c r="L97" s="3035">
        <f>CRM!O37</f>
        <v>31097</v>
      </c>
      <c r="M97" s="3945">
        <f>CRM!P37</f>
        <v>5176</v>
      </c>
      <c r="N97" s="3945">
        <f>CRM!Q37</f>
        <v>741</v>
      </c>
      <c r="O97" s="3945">
        <f>CRM!R37</f>
        <v>0</v>
      </c>
      <c r="P97" s="3945">
        <f>CRM!S37</f>
        <v>0</v>
      </c>
      <c r="Q97" s="3945">
        <f>CRM!T37</f>
        <v>0</v>
      </c>
      <c r="R97" s="3945">
        <f>CRM!U37</f>
        <v>0</v>
      </c>
      <c r="S97" s="3945">
        <f>CRM!V37</f>
        <v>0</v>
      </c>
      <c r="T97" s="3945">
        <f>CRM!W37</f>
        <v>0</v>
      </c>
      <c r="U97" s="3945">
        <f>CRM!X37</f>
        <v>0</v>
      </c>
      <c r="V97" s="3945">
        <f>CRM!Y37</f>
        <v>0</v>
      </c>
      <c r="W97" s="3945">
        <f>CRM!Z37</f>
        <v>0</v>
      </c>
      <c r="X97" s="5050">
        <f>CRM!AA37</f>
        <v>3701.4</v>
      </c>
      <c r="Y97" s="3889">
        <f>($I$97-J97)*년간!$E$15</f>
        <v>11439757.000000013</v>
      </c>
      <c r="Z97" s="3389">
        <f>Y97/10</f>
        <v>1143975.7000000014</v>
      </c>
      <c r="AA97" s="4231">
        <f>Y97/년간!E9</f>
        <v>42.700000000000045</v>
      </c>
      <c r="AB97" s="3981">
        <f>CRM!AB37*1000</f>
        <v>0</v>
      </c>
      <c r="AC97" s="3981">
        <f>CRM!AC37*1000</f>
        <v>0</v>
      </c>
      <c r="AD97" s="3981">
        <f>CRM!AD37*1000</f>
        <v>16212802.488000002</v>
      </c>
      <c r="AE97" s="3981">
        <f>CRM!AE37*1000</f>
        <v>0</v>
      </c>
      <c r="AF97" s="3981">
        <f>CRM!AF37*1000</f>
        <v>0</v>
      </c>
      <c r="AG97" s="3981">
        <f>CRM!AG37*1000</f>
        <v>0</v>
      </c>
      <c r="AH97" s="3981">
        <f>CRM!AH37*1000</f>
        <v>0</v>
      </c>
      <c r="AI97" s="3981">
        <f>CRM!AI37*1000</f>
        <v>0</v>
      </c>
      <c r="AJ97" s="3981">
        <f>CRM!AJ37*1000</f>
        <v>0</v>
      </c>
      <c r="AK97" s="3981">
        <f>CRM!AK37*1000</f>
        <v>0</v>
      </c>
      <c r="AL97" s="5275"/>
      <c r="AM97" s="5275"/>
      <c r="AN97" s="5283">
        <f t="shared" si="49"/>
        <v>16212802.488000002</v>
      </c>
      <c r="AO97" s="3976">
        <f t="shared" si="54"/>
        <v>42.700000000000045</v>
      </c>
      <c r="AP97" s="3976" t="e">
        <f>AB97/년간!F9</f>
        <v>#DIV/0!</v>
      </c>
      <c r="AQ97" s="3976" t="e">
        <f>AC97/년간!G9</f>
        <v>#DIV/0!</v>
      </c>
      <c r="AR97" s="3976">
        <f>AD97/년간!H9</f>
        <v>698.7</v>
      </c>
      <c r="AS97" s="3976" t="e">
        <f>AE97/년간!I9</f>
        <v>#DIV/0!</v>
      </c>
      <c r="AT97" s="3976" t="e">
        <f>AF97/년간!J9</f>
        <v>#DIV/0!</v>
      </c>
      <c r="AU97" s="3976" t="e">
        <f>AG97/년간!K9</f>
        <v>#DIV/0!</v>
      </c>
      <c r="AV97" s="3976" t="e">
        <f>AH97/년간!L9</f>
        <v>#DIV/0!</v>
      </c>
      <c r="AW97" s="3976" t="e">
        <f>AI97/년간!M9</f>
        <v>#DIV/0!</v>
      </c>
      <c r="AX97" s="4034" t="e">
        <f>AJ97/년간!N9</f>
        <v>#DIV/0!</v>
      </c>
      <c r="AY97" s="5329" t="e">
        <f>AK97/년간!O9</f>
        <v>#DIV/0!</v>
      </c>
      <c r="AZ97" s="5330"/>
      <c r="BA97" s="5334"/>
      <c r="BB97" s="4035">
        <f>AN97/년간!$V$9</f>
        <v>698.7</v>
      </c>
      <c r="BF97" s="7671" t="s">
        <v>1442</v>
      </c>
      <c r="BG97" s="7673" t="s">
        <v>1351</v>
      </c>
      <c r="BH97" s="7674"/>
      <c r="BI97" s="7674"/>
      <c r="BJ97" s="7674"/>
      <c r="BK97" s="7674"/>
      <c r="BL97" s="7674"/>
      <c r="BM97" s="7674"/>
      <c r="BN97" s="7674"/>
      <c r="BO97" s="7674"/>
      <c r="BP97" s="7674"/>
      <c r="BQ97" s="7711"/>
      <c r="BR97" s="3039">
        <v>164326328.57798642</v>
      </c>
      <c r="BS97" s="3040"/>
      <c r="BT97" s="6444">
        <v>981.75605555016386</v>
      </c>
      <c r="BU97" s="3039">
        <v>24854301.46665059</v>
      </c>
      <c r="BV97" s="3040">
        <v>1933.3450492254365</v>
      </c>
      <c r="BW97" s="4106"/>
      <c r="BX97" s="3341"/>
    </row>
    <row r="98" spans="1:77" s="286" customFormat="1" ht="17.25" thickBot="1">
      <c r="B98" s="7729"/>
      <c r="C98" s="3387" t="s">
        <v>29</v>
      </c>
      <c r="D98" s="3388" t="s">
        <v>700</v>
      </c>
      <c r="E98" s="3389">
        <f>CGL!H39</f>
        <v>6617.8326432033155</v>
      </c>
      <c r="F98" s="3389">
        <f>CGL!I39</f>
        <v>7820</v>
      </c>
      <c r="G98" s="3389">
        <f>CGL!J39</f>
        <v>5759</v>
      </c>
      <c r="H98" s="3366">
        <f>CGL!K39</f>
        <v>6270.6033332895695</v>
      </c>
      <c r="I98" s="3366">
        <f>CGL!L39</f>
        <v>5681.7422428610062</v>
      </c>
      <c r="J98" s="6186">
        <f>CGL!M39</f>
        <v>5512</v>
      </c>
      <c r="K98" s="6186">
        <f>CGL!N39</f>
        <v>5512</v>
      </c>
      <c r="L98" s="3035">
        <f>CGL!O39</f>
        <v>0</v>
      </c>
      <c r="M98" s="3945">
        <f>CGL!P39</f>
        <v>0</v>
      </c>
      <c r="N98" s="3945">
        <f>CGL!Q39</f>
        <v>6935.3027055571092</v>
      </c>
      <c r="O98" s="3945">
        <f>CGL!R39</f>
        <v>0</v>
      </c>
      <c r="P98" s="3945">
        <f>CGL!S39</f>
        <v>0</v>
      </c>
      <c r="Q98" s="3945">
        <f>CGL!T39</f>
        <v>0</v>
      </c>
      <c r="R98" s="3945">
        <f>CGL!U39</f>
        <v>0</v>
      </c>
      <c r="S98" s="3945">
        <f>CGL!V39</f>
        <v>0</v>
      </c>
      <c r="T98" s="3945">
        <f>CGL!W39</f>
        <v>0</v>
      </c>
      <c r="U98" s="3945">
        <f>CGL!X39</f>
        <v>0</v>
      </c>
      <c r="V98" s="3945">
        <f>CGL!Y39</f>
        <v>0</v>
      </c>
      <c r="W98" s="3945">
        <f>CGL!Z39</f>
        <v>0</v>
      </c>
      <c r="X98" s="5050">
        <f>CGL!AA39</f>
        <v>693.5302705557109</v>
      </c>
      <c r="Y98" s="3951">
        <f>($I$98-J98)*년간!$E$16</f>
        <v>45475644.284892164</v>
      </c>
      <c r="Z98" s="3981">
        <f>Y98/10</f>
        <v>4547564.4284892166</v>
      </c>
      <c r="AA98" s="4231">
        <f>Y98/년간!E10</f>
        <v>169.64725913934254</v>
      </c>
      <c r="AB98" s="3981">
        <f>CGL!AB39*1000</f>
        <v>0</v>
      </c>
      <c r="AC98" s="3981">
        <f>CGL!AC39*1000</f>
        <v>0</v>
      </c>
      <c r="AD98" s="3981">
        <f>CGL!AD39*1000</f>
        <v>-28652669.102658708</v>
      </c>
      <c r="AE98" s="3981">
        <f>CGL!AE39*1000</f>
        <v>0</v>
      </c>
      <c r="AF98" s="3981">
        <f>CGL!AF39*1000</f>
        <v>0</v>
      </c>
      <c r="AG98" s="3981">
        <f>CGL!AG39*1000</f>
        <v>0</v>
      </c>
      <c r="AH98" s="3981">
        <f>CGL!AH39*1000</f>
        <v>0</v>
      </c>
      <c r="AI98" s="3981">
        <f>CGL!AI39*1000</f>
        <v>0</v>
      </c>
      <c r="AJ98" s="3981">
        <f>CGL!AJ39*1000</f>
        <v>0</v>
      </c>
      <c r="AK98" s="3981">
        <f>CGL!AK39*1000</f>
        <v>0</v>
      </c>
      <c r="AL98" s="5275"/>
      <c r="AM98" s="5275"/>
      <c r="AN98" s="5283">
        <f t="shared" si="49"/>
        <v>-28652669.102658708</v>
      </c>
      <c r="AO98" s="3976">
        <f t="shared" si="54"/>
        <v>169.64725913934254</v>
      </c>
      <c r="AP98" s="3976" t="e">
        <f>AB98/년간!F10</f>
        <v>#DIV/0!</v>
      </c>
      <c r="AQ98" s="3976" t="e">
        <f>AC98/년간!G10</f>
        <v>#DIV/0!</v>
      </c>
      <c r="AR98" s="3976">
        <f>AD98/년간!H10</f>
        <v>-1253.5604626961031</v>
      </c>
      <c r="AS98" s="3976" t="e">
        <f>AE98/년간!I10</f>
        <v>#DIV/0!</v>
      </c>
      <c r="AT98" s="3976" t="e">
        <f>AF98/년간!J10</f>
        <v>#DIV/0!</v>
      </c>
      <c r="AU98" s="3976" t="e">
        <f>AG98/년간!K10</f>
        <v>#DIV/0!</v>
      </c>
      <c r="AV98" s="3976" t="e">
        <f>AH98/년간!L10</f>
        <v>#DIV/0!</v>
      </c>
      <c r="AW98" s="3976" t="e">
        <f>AI98/년간!M10</f>
        <v>#DIV/0!</v>
      </c>
      <c r="AX98" s="4034" t="e">
        <f>AJ98/년간!N10</f>
        <v>#DIV/0!</v>
      </c>
      <c r="AY98" s="5329" t="e">
        <f>AK98/년간!O10</f>
        <v>#DIV/0!</v>
      </c>
      <c r="AZ98" s="5329"/>
      <c r="BA98" s="5335"/>
      <c r="BB98" s="4035">
        <f>AN98/년간!$V$10</f>
        <v>-1253.5604626961031</v>
      </c>
      <c r="BC98" s="3377"/>
      <c r="BD98" s="3377"/>
      <c r="BF98" s="7672"/>
      <c r="BG98" s="7673" t="s">
        <v>1350</v>
      </c>
      <c r="BH98" s="7674"/>
      <c r="BI98" s="7674"/>
      <c r="BJ98" s="7674"/>
      <c r="BK98" s="7674"/>
      <c r="BL98" s="7674"/>
      <c r="BM98" s="7674"/>
      <c r="BN98" s="7674"/>
      <c r="BO98" s="7674"/>
      <c r="BP98" s="7674"/>
      <c r="BQ98" s="7711"/>
      <c r="BR98" s="2823">
        <v>1276045153.1241944</v>
      </c>
      <c r="BS98" s="3012"/>
      <c r="BT98" s="6445">
        <v>7623.6417321316421</v>
      </c>
      <c r="BU98" s="2823">
        <v>36586499.046992764</v>
      </c>
      <c r="BV98" s="3012">
        <v>2796.5048569337218</v>
      </c>
      <c r="BW98" s="3963"/>
      <c r="BX98" s="3341"/>
    </row>
    <row r="99" spans="1:77" s="286" customFormat="1" ht="17.25" thickBot="1">
      <c r="B99" s="7729"/>
      <c r="C99" s="3387" t="s">
        <v>501</v>
      </c>
      <c r="D99" s="3388" t="s">
        <v>700</v>
      </c>
      <c r="E99" s="3389">
        <f>'#1CCL'!H39</f>
        <v>7519.3209617538841</v>
      </c>
      <c r="F99" s="3389">
        <f>'#1CCL'!I39</f>
        <v>5677</v>
      </c>
      <c r="G99" s="3389">
        <f>'#1CCL'!J39</f>
        <v>4118</v>
      </c>
      <c r="H99" s="3366">
        <f>'#1CCL'!K39</f>
        <v>4571.6205676967529</v>
      </c>
      <c r="I99" s="3366">
        <f>'#1CCL'!L39</f>
        <v>4183.5830391436812</v>
      </c>
      <c r="J99" s="6186">
        <f>'#1CCL'!M39</f>
        <v>4000</v>
      </c>
      <c r="K99" s="6186">
        <f>'#1CCL'!N39</f>
        <v>4000</v>
      </c>
      <c r="L99" s="3035">
        <f>'#1CCL'!O39</f>
        <v>4656.855266817417</v>
      </c>
      <c r="M99" s="3945">
        <f>'#1CCL'!P39</f>
        <v>5483.0622748499563</v>
      </c>
      <c r="N99" s="3945">
        <f>'#1CCL'!Q39</f>
        <v>5551.301118094405</v>
      </c>
      <c r="O99" s="3945">
        <f>'#1CCL'!R39</f>
        <v>0</v>
      </c>
      <c r="P99" s="3945">
        <f>'#1CCL'!S39</f>
        <v>0</v>
      </c>
      <c r="Q99" s="3945">
        <f>'#1CCL'!T39</f>
        <v>0</v>
      </c>
      <c r="R99" s="3945">
        <f>'#1CCL'!U39</f>
        <v>0</v>
      </c>
      <c r="S99" s="3945">
        <f>'#1CCL'!V39</f>
        <v>0</v>
      </c>
      <c r="T99" s="3945">
        <f>'#1CCL'!W39</f>
        <v>0</v>
      </c>
      <c r="U99" s="3945">
        <f>'#1CCL'!X39</f>
        <v>0</v>
      </c>
      <c r="V99" s="3945">
        <f>'#1CCL'!Y39</f>
        <v>0</v>
      </c>
      <c r="W99" s="3945">
        <f>'#1CCL'!Z39</f>
        <v>0</v>
      </c>
      <c r="X99" s="5050">
        <f>'#1CCL'!AA39</f>
        <v>1569.1218659761778</v>
      </c>
      <c r="Y99" s="3889">
        <f>($I$99-J99)*년간!$E$17</f>
        <v>29742288.171667784</v>
      </c>
      <c r="Z99" s="3389">
        <f>Y99/12</f>
        <v>2478524.0143056489</v>
      </c>
      <c r="AA99" s="4231">
        <f>Y99/년간!E11</f>
        <v>183.54678522647083</v>
      </c>
      <c r="AB99" s="3981">
        <f>'#1CCL'!AB39*1000</f>
        <v>-5870729.0117902411</v>
      </c>
      <c r="AC99" s="3981">
        <f>'#1CCL'!AC39*1000</f>
        <v>-15532857.231490105</v>
      </c>
      <c r="AD99" s="3981">
        <f>'#1CCL'!AD39*1000</f>
        <v>-17822871.058614776</v>
      </c>
      <c r="AE99" s="3981">
        <f>'#1CCL'!AE39*1000</f>
        <v>0</v>
      </c>
      <c r="AF99" s="3981">
        <f>'#1CCL'!AF39*1000</f>
        <v>0</v>
      </c>
      <c r="AG99" s="3981">
        <f>'#1CCL'!AG39*1000</f>
        <v>0</v>
      </c>
      <c r="AH99" s="3981">
        <f>'#1CCL'!AH39*1000</f>
        <v>0</v>
      </c>
      <c r="AI99" s="3981">
        <f>'#1CCL'!AI39*1000</f>
        <v>0</v>
      </c>
      <c r="AJ99" s="3981">
        <f>'#1CCL'!AJ39*1000</f>
        <v>0</v>
      </c>
      <c r="AK99" s="3981">
        <f>'#1CCL'!AK39*1000</f>
        <v>0</v>
      </c>
      <c r="AL99" s="5275"/>
      <c r="AM99" s="5275"/>
      <c r="AN99" s="5283">
        <f t="shared" si="49"/>
        <v>-39226457.301895127</v>
      </c>
      <c r="AO99" s="3976">
        <f t="shared" si="54"/>
        <v>183.54678522647083</v>
      </c>
      <c r="AP99" s="3976">
        <f>AB99/년간!F11</f>
        <v>-473.27222767373587</v>
      </c>
      <c r="AQ99" s="3976">
        <f>AC99/년간!G11</f>
        <v>-1299.4792357062752</v>
      </c>
      <c r="AR99" s="3976">
        <f>AD99/년간!H11</f>
        <v>-1367.7180789507236</v>
      </c>
      <c r="AS99" s="3976" t="e">
        <f>AE99/년간!I11</f>
        <v>#DIV/0!</v>
      </c>
      <c r="AT99" s="3976" t="e">
        <f>AF99/년간!J11</f>
        <v>#DIV/0!</v>
      </c>
      <c r="AU99" s="3976" t="e">
        <f>AG99/년간!K11</f>
        <v>#DIV/0!</v>
      </c>
      <c r="AV99" s="3976" t="e">
        <f>AH99/년간!L11</f>
        <v>#DIV/0!</v>
      </c>
      <c r="AW99" s="3976" t="e">
        <f>AI99/년간!M11</f>
        <v>#DIV/0!</v>
      </c>
      <c r="AX99" s="4034" t="e">
        <f>AJ99/년간!N11</f>
        <v>#DIV/0!</v>
      </c>
      <c r="AY99" s="5329" t="e">
        <f>AK99/년간!O11</f>
        <v>#DIV/0!</v>
      </c>
      <c r="AZ99" s="5330"/>
      <c r="BA99" s="5334"/>
      <c r="BB99" s="4035">
        <f>AN99/년간!$V$11</f>
        <v>-1049.1502212800983</v>
      </c>
      <c r="BC99" s="3377"/>
      <c r="BD99" s="3377"/>
      <c r="BF99" s="7672"/>
      <c r="BG99" s="7714" t="s">
        <v>1349</v>
      </c>
      <c r="BH99" s="7714"/>
      <c r="BI99" s="2816" t="s">
        <v>1339</v>
      </c>
      <c r="BJ99" s="2885"/>
      <c r="BK99" s="2828"/>
      <c r="BL99" s="2865">
        <v>1034164.5312201697</v>
      </c>
      <c r="BM99" s="2865">
        <v>1036344.7752443228</v>
      </c>
      <c r="BN99" s="2866">
        <v>1032440.3507815433</v>
      </c>
      <c r="BO99" s="4128"/>
      <c r="BP99" s="4128"/>
      <c r="BQ99" s="4128"/>
      <c r="BR99" s="4013">
        <v>653522566.58003962</v>
      </c>
      <c r="BS99" s="4025"/>
      <c r="BT99" s="6446">
        <v>3904.4244627795415</v>
      </c>
      <c r="BU99" s="4015">
        <v>-36837047.687268749</v>
      </c>
      <c r="BV99" s="4029">
        <v>-2710.1707741062855</v>
      </c>
      <c r="BW99" s="4108"/>
      <c r="BX99" s="5166"/>
    </row>
    <row r="100" spans="1:77" s="286" customFormat="1" ht="17.25" thickBot="1">
      <c r="B100" s="7729"/>
      <c r="C100" s="3362" t="s">
        <v>439</v>
      </c>
      <c r="D100" s="3390" t="s">
        <v>700</v>
      </c>
      <c r="E100" s="3391">
        <f>'#2CCL'!H42</f>
        <v>15121.883998696972</v>
      </c>
      <c r="F100" s="3391">
        <f>'#2CCL'!I42</f>
        <v>22325</v>
      </c>
      <c r="G100" s="3391">
        <f>'#2CCL'!J42</f>
        <v>16135.219800729554</v>
      </c>
      <c r="H100" s="3214">
        <f>'#2CCL'!K42</f>
        <v>18457.150704298372</v>
      </c>
      <c r="I100" s="3214">
        <f>'#2CCL'!L42</f>
        <v>17614.707529321437</v>
      </c>
      <c r="J100" s="6187">
        <f>'#2CCL'!M42</f>
        <v>17438.560454028222</v>
      </c>
      <c r="K100" s="6187">
        <f>'#2CCL'!N42</f>
        <v>17438.560454028222</v>
      </c>
      <c r="L100" s="4211">
        <f>'#2CCL'!O42</f>
        <v>20360.13412726079</v>
      </c>
      <c r="M100" s="3946">
        <f>'#2CCL'!P42</f>
        <v>17042.475607739372</v>
      </c>
      <c r="N100" s="3946">
        <f>'#2CCL'!Q42</f>
        <v>16339.804615711344</v>
      </c>
      <c r="O100" s="3946">
        <f>'#2CCL'!R42</f>
        <v>0</v>
      </c>
      <c r="P100" s="3946">
        <f>'#2CCL'!S42</f>
        <v>0</v>
      </c>
      <c r="Q100" s="3946">
        <f>'#2CCL'!T42</f>
        <v>0</v>
      </c>
      <c r="R100" s="3946">
        <f>'#2CCL'!U42</f>
        <v>0</v>
      </c>
      <c r="S100" s="3946">
        <f>'#2CCL'!V42</f>
        <v>0</v>
      </c>
      <c r="T100" s="3946">
        <f>'#2CCL'!W42</f>
        <v>0</v>
      </c>
      <c r="U100" s="3946">
        <f>'#2CCL'!X42</f>
        <v>0</v>
      </c>
      <c r="V100" s="3946">
        <f>'#2CCL'!Y42</f>
        <v>0</v>
      </c>
      <c r="W100" s="3946">
        <f>'#2CCL'!Z42</f>
        <v>0</v>
      </c>
      <c r="X100" s="5051">
        <f>'#2CCL'!AA42</f>
        <v>5374.2414350711506</v>
      </c>
      <c r="Y100" s="3952">
        <f>($I$100-J100)*년간!$E$18</f>
        <v>10630475.9939455</v>
      </c>
      <c r="Z100" s="3391">
        <f>Y100/12</f>
        <v>885872.99949545832</v>
      </c>
      <c r="AA100" s="4236">
        <f>Y100/년간!E12</f>
        <v>176.03854687275148</v>
      </c>
      <c r="AB100" s="3982">
        <f>'#2CCL'!AB42*1000</f>
        <v>-13546264.285424521</v>
      </c>
      <c r="AC100" s="3982">
        <f>'#2CCL'!AC42*1000</f>
        <v>2768229.1438453947</v>
      </c>
      <c r="AD100" s="3982">
        <f>'#2CCL'!AD42*1000</f>
        <v>7623932.1724174898</v>
      </c>
      <c r="AE100" s="3982">
        <f>'#2CCL'!AE42*1000</f>
        <v>0</v>
      </c>
      <c r="AF100" s="3982">
        <f>'#2CCL'!AF42*1000</f>
        <v>0</v>
      </c>
      <c r="AG100" s="3982">
        <f>'#2CCL'!AG42*1000</f>
        <v>0</v>
      </c>
      <c r="AH100" s="3982">
        <f>'#2CCL'!AH42*1000</f>
        <v>0</v>
      </c>
      <c r="AI100" s="3982">
        <f>'#2CCL'!AI42*1000</f>
        <v>0</v>
      </c>
      <c r="AJ100" s="3982">
        <f>'#2CCL'!AJ42*1000</f>
        <v>0</v>
      </c>
      <c r="AK100" s="3982">
        <f>'#2CCL'!AK42*1000</f>
        <v>0</v>
      </c>
      <c r="AL100" s="5276"/>
      <c r="AM100" s="5276"/>
      <c r="AN100" s="5283">
        <f t="shared" si="49"/>
        <v>-3154102.9691616371</v>
      </c>
      <c r="AO100" s="4003">
        <f t="shared" si="54"/>
        <v>176.03854687275148</v>
      </c>
      <c r="AP100" s="4003">
        <f>AB100/년간!F12</f>
        <v>-2745.4265979393531</v>
      </c>
      <c r="AQ100" s="4003">
        <f>AC100/년간!G12</f>
        <v>580.96879101029299</v>
      </c>
      <c r="AR100" s="4003">
        <f>AD100/년간!H12</f>
        <v>1374.9250984525625</v>
      </c>
      <c r="AS100" s="4003" t="e">
        <f>AE100/년간!I12</f>
        <v>#DIV/0!</v>
      </c>
      <c r="AT100" s="4003" t="e">
        <f>AF100/년간!J12</f>
        <v>#DIV/0!</v>
      </c>
      <c r="AU100" s="4003" t="e">
        <f>AG100/년간!K12</f>
        <v>#DIV/0!</v>
      </c>
      <c r="AV100" s="4003" t="e">
        <f>AH100/년간!L12</f>
        <v>#DIV/0!</v>
      </c>
      <c r="AW100" s="4003" t="e">
        <f>AI100/년간!M12</f>
        <v>#DIV/0!</v>
      </c>
      <c r="AX100" s="4349" t="e">
        <f>AJ100/년간!N12</f>
        <v>#DIV/0!</v>
      </c>
      <c r="AY100" s="5563" t="e">
        <f>AK100/년간!O12</f>
        <v>#DIV/0!</v>
      </c>
      <c r="AZ100" s="5330"/>
      <c r="BA100" s="5334"/>
      <c r="BB100" s="4035">
        <f>AN100/년간!$V$12</f>
        <v>-206.9085092224546</v>
      </c>
      <c r="BF100" s="7671" t="s">
        <v>1443</v>
      </c>
      <c r="BG100" s="7673" t="s">
        <v>1351</v>
      </c>
      <c r="BH100" s="7674"/>
      <c r="BI100" s="7674"/>
      <c r="BJ100" s="7674"/>
      <c r="BK100" s="7674"/>
      <c r="BL100" s="7674"/>
      <c r="BM100" s="7674"/>
      <c r="BN100" s="7674"/>
      <c r="BO100" s="7674"/>
      <c r="BP100" s="7674"/>
      <c r="BQ100" s="7711"/>
      <c r="BR100" s="3039">
        <v>232866747.3054429</v>
      </c>
      <c r="BS100" s="3040"/>
      <c r="BT100" s="6444">
        <v>4368.65427182656</v>
      </c>
      <c r="BU100" s="3039">
        <v>42493549.193800762</v>
      </c>
      <c r="BV100" s="3040">
        <v>7092.2911464212111</v>
      </c>
      <c r="BW100" s="4106"/>
      <c r="BX100" s="3341"/>
    </row>
    <row r="101" spans="1:77" s="286" customFormat="1" ht="17.25" thickBot="1">
      <c r="B101" s="7730"/>
      <c r="C101" s="2255" t="s">
        <v>16</v>
      </c>
      <c r="D101" s="1850" t="s">
        <v>539</v>
      </c>
      <c r="E101" s="2925">
        <f>SUM(E96:E100)</f>
        <v>34858.970973025236</v>
      </c>
      <c r="F101" s="2925">
        <f>SUM(F96:F100)</f>
        <v>40537</v>
      </c>
      <c r="G101" s="2925">
        <f>SUM(G96:G100)</f>
        <v>29251.364827930236</v>
      </c>
      <c r="H101" s="2911">
        <f>SUM(H96:H100)</f>
        <v>32288.889194498737</v>
      </c>
      <c r="I101" s="2911">
        <f>SUM(I96:I100)</f>
        <v>29556.568980367796</v>
      </c>
      <c r="J101" s="4328">
        <f>Y101/년간!E13</f>
        <v>103.46819902817866</v>
      </c>
      <c r="K101" s="4328">
        <f>Z101/(년간!E13/((10+10+10+12+12)/5))</f>
        <v>104.76352068472842</v>
      </c>
      <c r="L101" s="4327">
        <f>AB101/년간!F13</f>
        <v>-1119.8663621382009</v>
      </c>
      <c r="M101" s="4327">
        <f>AC101/년간!G13</f>
        <v>-763.52648181059521</v>
      </c>
      <c r="N101" s="4327">
        <f>AD101/년간!H13</f>
        <v>-167.20639216434714</v>
      </c>
      <c r="O101" s="4327" t="e">
        <f>AE101/년간!I13</f>
        <v>#DIV/0!</v>
      </c>
      <c r="P101" s="4327" t="e">
        <f>AF101/년간!J13</f>
        <v>#DIV/0!</v>
      </c>
      <c r="Q101" s="4327" t="e">
        <f>AG101/년간!K13</f>
        <v>#DIV/0!</v>
      </c>
      <c r="R101" s="4327" t="e">
        <f>AH101/년간!L13</f>
        <v>#DIV/0!</v>
      </c>
      <c r="S101" s="4327" t="e">
        <f>AI101/년간!M13</f>
        <v>#DIV/0!</v>
      </c>
      <c r="T101" s="4327" t="e">
        <f>AJ101/년간!N13</f>
        <v>#DIV/0!</v>
      </c>
      <c r="U101" s="3947">
        <f t="shared" ref="U101:Z101" si="66">SUM(U96:U100)</f>
        <v>0</v>
      </c>
      <c r="V101" s="3947">
        <f t="shared" si="66"/>
        <v>0</v>
      </c>
      <c r="W101" s="3947">
        <f t="shared" si="66"/>
        <v>0</v>
      </c>
      <c r="X101" s="3947">
        <f t="shared" si="66"/>
        <v>15095.695643584168</v>
      </c>
      <c r="Y101" s="4931">
        <f t="shared" si="66"/>
        <v>107691067.94956471</v>
      </c>
      <c r="Z101" s="4932">
        <f t="shared" si="66"/>
        <v>10096227.392196249</v>
      </c>
      <c r="AA101" s="4233">
        <f>Y101/년간!E13</f>
        <v>103.46819902817866</v>
      </c>
      <c r="AB101" s="3988">
        <f t="shared" ref="AB101:AG101" si="67">SUM(AB96:AB100)</f>
        <v>-19416993.297214761</v>
      </c>
      <c r="AC101" s="3988">
        <f t="shared" si="67"/>
        <v>-12764628.087644711</v>
      </c>
      <c r="AD101" s="3988">
        <f t="shared" si="67"/>
        <v>-15419684.866008246</v>
      </c>
      <c r="AE101" s="3988">
        <f t="shared" si="67"/>
        <v>0</v>
      </c>
      <c r="AF101" s="3988">
        <f t="shared" si="67"/>
        <v>0</v>
      </c>
      <c r="AG101" s="3988">
        <f t="shared" si="67"/>
        <v>0</v>
      </c>
      <c r="AH101" s="3988">
        <f>SUM(AH96:AH100)</f>
        <v>0</v>
      </c>
      <c r="AI101" s="3988">
        <f>SUM(AI96:AI100)</f>
        <v>0</v>
      </c>
      <c r="AJ101" s="3988">
        <f>SUM(AJ96:AJ100)</f>
        <v>0</v>
      </c>
      <c r="AK101" s="3988">
        <f>SUM(AK96:AK100)</f>
        <v>0</v>
      </c>
      <c r="AL101" s="5279"/>
      <c r="AM101" s="5279"/>
      <c r="AN101" s="5284">
        <f t="shared" si="49"/>
        <v>-47601306.250867717</v>
      </c>
      <c r="AO101" s="4730">
        <f t="shared" si="54"/>
        <v>103.46819902817866</v>
      </c>
      <c r="AP101" s="4038">
        <f>AB101/년간!F13</f>
        <v>-1119.8663621382009</v>
      </c>
      <c r="AQ101" s="4038">
        <f>AC101/년간!G13</f>
        <v>-763.52648181059521</v>
      </c>
      <c r="AR101" s="4038">
        <f>AD101/년간!H13</f>
        <v>-167.20639216434714</v>
      </c>
      <c r="AS101" s="4038" t="e">
        <f>AE101/년간!I13</f>
        <v>#DIV/0!</v>
      </c>
      <c r="AT101" s="4038" t="e">
        <f>AF101/년간!J13</f>
        <v>#DIV/0!</v>
      </c>
      <c r="AU101" s="4038" t="e">
        <f>AG101/년간!K13</f>
        <v>#DIV/0!</v>
      </c>
      <c r="AV101" s="4038" t="e">
        <f>AH101/년간!L13</f>
        <v>#DIV/0!</v>
      </c>
      <c r="AW101" s="4038" t="e">
        <f>AI101/년간!M13</f>
        <v>#DIV/0!</v>
      </c>
      <c r="AX101" s="5323" t="e">
        <f>AJ101/년간!N13</f>
        <v>#DIV/0!</v>
      </c>
      <c r="AY101" s="5355" t="e">
        <f>AK101/년간!O13</f>
        <v>#DIV/0!</v>
      </c>
      <c r="AZ101" s="4215"/>
      <c r="BA101" s="5332"/>
      <c r="BB101" s="5338">
        <f>AN101/년간!$V$13</f>
        <v>-376.9620295685948</v>
      </c>
      <c r="BF101" s="7672"/>
      <c r="BG101" s="7673" t="s">
        <v>1350</v>
      </c>
      <c r="BH101" s="7674"/>
      <c r="BI101" s="7674"/>
      <c r="BJ101" s="7674"/>
      <c r="BK101" s="7674"/>
      <c r="BL101" s="7674"/>
      <c r="BM101" s="7674"/>
      <c r="BN101" s="7674"/>
      <c r="BO101" s="7674"/>
      <c r="BP101" s="7674"/>
      <c r="BQ101" s="7711"/>
      <c r="BR101" s="2823">
        <v>588998600.90049446</v>
      </c>
      <c r="BS101" s="3012"/>
      <c r="BT101" s="6445">
        <v>11049.801157521057</v>
      </c>
      <c r="BU101" s="2823">
        <v>101236075.15351658</v>
      </c>
      <c r="BV101" s="3012">
        <v>18270.782697206723</v>
      </c>
      <c r="BW101" s="3963"/>
      <c r="BX101" s="3341"/>
    </row>
    <row r="102" spans="1:77" s="286" customFormat="1" ht="17.25" thickBot="1">
      <c r="B102" s="7737" t="s">
        <v>1345</v>
      </c>
      <c r="C102" s="3345" t="s">
        <v>1340</v>
      </c>
      <c r="D102" s="2814" t="s">
        <v>1346</v>
      </c>
      <c r="E102" s="2815"/>
      <c r="F102" s="2815"/>
      <c r="G102" s="2862">
        <v>675705.65334639058</v>
      </c>
      <c r="H102" s="3215">
        <v>632046.04277022346</v>
      </c>
      <c r="I102" s="3215">
        <v>632046.04277022346</v>
      </c>
      <c r="J102" s="6188">
        <v>630823.38745964819</v>
      </c>
      <c r="K102" s="6189">
        <v>630823.38745964819</v>
      </c>
      <c r="L102" s="3919">
        <v>633425.39789688878</v>
      </c>
      <c r="M102" s="3917">
        <v>630469.33049561502</v>
      </c>
      <c r="N102" s="3393">
        <v>634808.31456153875</v>
      </c>
      <c r="O102" s="3393">
        <v>629857.80846905836</v>
      </c>
      <c r="P102" s="3393">
        <v>632763.13604322833</v>
      </c>
      <c r="Q102" s="3393">
        <v>629835.76455864182</v>
      </c>
      <c r="R102" s="3393">
        <v>630982.38245340984</v>
      </c>
      <c r="S102" s="3393">
        <v>631553.0595576932</v>
      </c>
      <c r="T102" s="3393">
        <v>630371.87476650847</v>
      </c>
      <c r="U102" s="3393"/>
      <c r="V102" s="3393"/>
      <c r="W102" s="3393"/>
      <c r="X102" s="4218"/>
      <c r="Y102" s="3992">
        <f>AA102*년간!E8</f>
        <v>345294976.88080382</v>
      </c>
      <c r="Z102" s="4242">
        <f>Y102/10</f>
        <v>34529497.688080385</v>
      </c>
      <c r="AA102" s="2920">
        <f>H102-J102</f>
        <v>1222.6553105752682</v>
      </c>
      <c r="AB102" s="4030">
        <f>AP102*년간!F8</f>
        <v>0</v>
      </c>
      <c r="AC102" s="4242">
        <f>AQ102*년간!G8</f>
        <v>0</v>
      </c>
      <c r="AD102" s="4242">
        <f>AR102*년간!H8</f>
        <v>-76189312.02067323</v>
      </c>
      <c r="AE102" s="4242">
        <f>AS102*년간!I8</f>
        <v>0</v>
      </c>
      <c r="AF102" s="4242">
        <f>AT102*년간!J8</f>
        <v>0</v>
      </c>
      <c r="AG102" s="4242">
        <f>AU102*년간!K8</f>
        <v>0</v>
      </c>
      <c r="AH102" s="4242">
        <f>AV102*년간!L8</f>
        <v>0</v>
      </c>
      <c r="AI102" s="4242">
        <f>AW102*년간!M8</f>
        <v>0</v>
      </c>
      <c r="AJ102" s="4242">
        <f>AX102*년간!N8</f>
        <v>0</v>
      </c>
      <c r="AK102" s="4242">
        <f>AY102*년간!O8</f>
        <v>0</v>
      </c>
      <c r="AL102" s="4030"/>
      <c r="AM102" s="4030"/>
      <c r="AN102" s="5283">
        <f t="shared" si="49"/>
        <v>-76189312.02067323</v>
      </c>
      <c r="AO102" s="5282">
        <f t="shared" si="54"/>
        <v>1222.6553105752682</v>
      </c>
      <c r="AP102" s="4911">
        <f t="shared" ref="AP102:AY102" si="68">$H$102-L102</f>
        <v>-1379.355126665323</v>
      </c>
      <c r="AQ102" s="4326">
        <f t="shared" si="68"/>
        <v>1576.7122746084351</v>
      </c>
      <c r="AR102" s="4326">
        <f t="shared" si="68"/>
        <v>-2762.2717913152883</v>
      </c>
      <c r="AS102" s="4326">
        <f t="shared" si="68"/>
        <v>2188.2343011650955</v>
      </c>
      <c r="AT102" s="4326">
        <f t="shared" si="68"/>
        <v>-717.09327300486621</v>
      </c>
      <c r="AU102" s="4326">
        <f t="shared" si="68"/>
        <v>2210.2782115816372</v>
      </c>
      <c r="AV102" s="4326">
        <f t="shared" si="68"/>
        <v>1063.6603168136207</v>
      </c>
      <c r="AW102" s="4326">
        <f t="shared" si="68"/>
        <v>492.9832125302637</v>
      </c>
      <c r="AX102" s="5324">
        <f t="shared" si="68"/>
        <v>1674.1680037149927</v>
      </c>
      <c r="AY102" s="5564">
        <f t="shared" si="68"/>
        <v>632046.04277022346</v>
      </c>
      <c r="AZ102" s="4219"/>
      <c r="BA102" s="4909"/>
      <c r="BB102" s="4035">
        <f>AN102/년간!$V$8</f>
        <v>-2762.2717913152883</v>
      </c>
      <c r="BC102" s="7713">
        <f>(Y102+Y103+Y104)/BD104</f>
        <v>7988.2327202833931</v>
      </c>
      <c r="BD102" s="2870">
        <v>12500</v>
      </c>
      <c r="BE102" s="286" t="s">
        <v>1376</v>
      </c>
      <c r="BF102" s="7672"/>
      <c r="BG102" s="7714" t="s">
        <v>1349</v>
      </c>
      <c r="BH102" s="7714"/>
      <c r="BI102" s="2816" t="s">
        <v>1339</v>
      </c>
      <c r="BJ102" s="2885"/>
      <c r="BK102" s="2828"/>
      <c r="BL102" s="2865">
        <v>1522969.3748582888</v>
      </c>
      <c r="BM102" s="2865">
        <v>1548332.4294910615</v>
      </c>
      <c r="BN102" s="2866">
        <v>1542180.9137077986</v>
      </c>
      <c r="BO102" s="4128"/>
      <c r="BP102" s="4128"/>
      <c r="BQ102" s="4128"/>
      <c r="BR102" s="4013">
        <v>421689325.68007332</v>
      </c>
      <c r="BS102" s="4025"/>
      <c r="BT102" s="6446">
        <v>7911.025920757791</v>
      </c>
      <c r="BU102" s="4013">
        <v>101727790.12738982</v>
      </c>
      <c r="BV102" s="4025">
        <v>19358.432819163194</v>
      </c>
      <c r="BW102" s="4108"/>
      <c r="BX102" s="5166"/>
    </row>
    <row r="103" spans="1:77" s="286" customFormat="1" ht="17.25" thickBot="1">
      <c r="B103" s="7738"/>
      <c r="C103" s="3387" t="s">
        <v>1341</v>
      </c>
      <c r="D103" s="3388" t="s">
        <v>1347</v>
      </c>
      <c r="E103" s="3392"/>
      <c r="F103" s="3392"/>
      <c r="G103" s="3393">
        <v>700688.84038055351</v>
      </c>
      <c r="H103" s="3394">
        <v>656475.58707112074</v>
      </c>
      <c r="I103" s="3394">
        <v>656475.58707112074</v>
      </c>
      <c r="J103" s="6189">
        <v>655799.23844883579</v>
      </c>
      <c r="K103" s="6189">
        <v>655799.23844883579</v>
      </c>
      <c r="L103" s="3919">
        <v>658946.45929884992</v>
      </c>
      <c r="M103" s="3917">
        <v>656534.97473036894</v>
      </c>
      <c r="N103" s="3393">
        <v>657691.35266043595</v>
      </c>
      <c r="O103" s="3393">
        <v>659873.9840809108</v>
      </c>
      <c r="P103" s="3393">
        <v>658128.09595063818</v>
      </c>
      <c r="Q103" s="3393">
        <v>655055.59134682233</v>
      </c>
      <c r="R103" s="3393">
        <v>659407.73072735546</v>
      </c>
      <c r="S103" s="3393">
        <v>652377.55503614945</v>
      </c>
      <c r="T103" s="3393">
        <v>653448.29239887325</v>
      </c>
      <c r="U103" s="3393"/>
      <c r="V103" s="3393"/>
      <c r="W103" s="3393"/>
      <c r="X103" s="4218"/>
      <c r="Y103" s="3992">
        <f>AA103*년간!E9</f>
        <v>181200559.39635989</v>
      </c>
      <c r="Z103" s="4242">
        <f>Y103/10</f>
        <v>18120055.939635988</v>
      </c>
      <c r="AA103" s="3358">
        <f>H103-J103</f>
        <v>676.34862228494603</v>
      </c>
      <c r="AB103" s="4030">
        <f>AP103*년간!F9</f>
        <v>0</v>
      </c>
      <c r="AC103" s="4242">
        <f>AQ103*년간!G9</f>
        <v>0</v>
      </c>
      <c r="AD103" s="4242">
        <f>AR103*년간!H9</f>
        <v>-28210916.518211603</v>
      </c>
      <c r="AE103" s="4242">
        <f>AS103*년간!I9</f>
        <v>0</v>
      </c>
      <c r="AF103" s="4242">
        <f>AT103*년간!J9</f>
        <v>0</v>
      </c>
      <c r="AG103" s="4242">
        <f>AU103*년간!K9</f>
        <v>0</v>
      </c>
      <c r="AH103" s="4242">
        <f>AV103*년간!L9</f>
        <v>0</v>
      </c>
      <c r="AI103" s="4242">
        <f>AW103*년간!M9</f>
        <v>0</v>
      </c>
      <c r="AJ103" s="4242">
        <f>AX103*년간!N9</f>
        <v>0</v>
      </c>
      <c r="AK103" s="4242">
        <f>AY103*년간!O9</f>
        <v>0</v>
      </c>
      <c r="AL103" s="4030"/>
      <c r="AM103" s="4030"/>
      <c r="AN103" s="5283">
        <f t="shared" si="49"/>
        <v>-28210916.518211603</v>
      </c>
      <c r="AO103" s="5282">
        <f t="shared" si="54"/>
        <v>676.34862228494603</v>
      </c>
      <c r="AP103" s="4035">
        <f t="shared" ref="AP103:AY103" si="69">$H$103-L103</f>
        <v>-2470.8722277291818</v>
      </c>
      <c r="AQ103" s="4035">
        <f t="shared" si="69"/>
        <v>-59.387659248197451</v>
      </c>
      <c r="AR103" s="4035">
        <f t="shared" si="69"/>
        <v>-1215.7655893152114</v>
      </c>
      <c r="AS103" s="4035">
        <f t="shared" si="69"/>
        <v>-3398.3970097900601</v>
      </c>
      <c r="AT103" s="4035">
        <f t="shared" si="69"/>
        <v>-1652.5088795174379</v>
      </c>
      <c r="AU103" s="4035">
        <f t="shared" si="69"/>
        <v>1419.9957242984092</v>
      </c>
      <c r="AV103" s="4035">
        <f t="shared" si="69"/>
        <v>-2932.1436562347226</v>
      </c>
      <c r="AW103" s="4035">
        <f t="shared" si="69"/>
        <v>4098.0320349712856</v>
      </c>
      <c r="AX103" s="5325">
        <f t="shared" si="69"/>
        <v>3027.2946722474881</v>
      </c>
      <c r="AY103" s="3978">
        <f t="shared" si="69"/>
        <v>656475.58707112074</v>
      </c>
      <c r="AZ103" s="4219"/>
      <c r="BA103" s="4909"/>
      <c r="BB103" s="4035">
        <f>AN103/년간!$V$9</f>
        <v>-1215.7655893152114</v>
      </c>
      <c r="BC103" s="7713"/>
      <c r="BD103" s="2870">
        <v>137550</v>
      </c>
      <c r="BE103" s="286" t="s">
        <v>1377</v>
      </c>
      <c r="BF103" s="7716" t="s">
        <v>1444</v>
      </c>
      <c r="BG103" s="7673" t="s">
        <v>1447</v>
      </c>
      <c r="BH103" s="7674"/>
      <c r="BI103" s="7674"/>
      <c r="BJ103" s="7674"/>
      <c r="BK103" s="7674"/>
      <c r="BL103" s="7674"/>
      <c r="BM103" s="7674"/>
      <c r="BN103" s="7674"/>
      <c r="BO103" s="7674"/>
      <c r="BP103" s="7674"/>
      <c r="BQ103" s="7674"/>
      <c r="BR103" s="7674"/>
      <c r="BS103" s="6450"/>
      <c r="BT103" s="6447">
        <f t="shared" ref="BT103:BV104" si="70">BT88+BT91+BT94</f>
        <v>4522.9051322365412</v>
      </c>
      <c r="BU103" s="3007">
        <f t="shared" si="70"/>
        <v>10255790.472817302</v>
      </c>
      <c r="BV103" s="3007">
        <f t="shared" si="70"/>
        <v>27.568247043168867</v>
      </c>
      <c r="BW103" s="3960"/>
      <c r="BX103" s="3340"/>
      <c r="BY103" s="286">
        <v>805251.73623840488</v>
      </c>
    </row>
    <row r="104" spans="1:77" s="286" customFormat="1" ht="17.25" thickBot="1">
      <c r="B104" s="7738"/>
      <c r="C104" s="3387" t="s">
        <v>1342</v>
      </c>
      <c r="D104" s="3388" t="s">
        <v>1346</v>
      </c>
      <c r="E104" s="3392"/>
      <c r="F104" s="3392"/>
      <c r="G104" s="3393">
        <v>857251.34557613404</v>
      </c>
      <c r="H104" s="3394">
        <v>805251.73623840488</v>
      </c>
      <c r="I104" s="3394">
        <v>805251.73623840488</v>
      </c>
      <c r="J104" s="6189">
        <v>802744.3170658265</v>
      </c>
      <c r="K104" s="6189">
        <v>816982.78331815766</v>
      </c>
      <c r="L104" s="3919">
        <v>802612.89548276609</v>
      </c>
      <c r="M104" s="3917">
        <v>802904.5236784633</v>
      </c>
      <c r="N104" s="3393">
        <v>798606.35208158183</v>
      </c>
      <c r="O104" s="3393">
        <v>807067.42015616328</v>
      </c>
      <c r="P104" s="3393">
        <v>804701.42596731544</v>
      </c>
      <c r="Q104" s="3393">
        <v>806026.69387518673</v>
      </c>
      <c r="R104" s="3393">
        <v>796237.71281034395</v>
      </c>
      <c r="S104" s="3393">
        <v>802641.64427351754</v>
      </c>
      <c r="T104" s="3393">
        <v>794264.32211709663</v>
      </c>
      <c r="U104" s="3393"/>
      <c r="V104" s="3393"/>
      <c r="W104" s="3393"/>
      <c r="X104" s="4218"/>
      <c r="Y104" s="3992">
        <f>AA104*년간!E10</f>
        <v>672138783.4013592</v>
      </c>
      <c r="Z104" s="4242">
        <f>Y104/10</f>
        <v>67213878.340135917</v>
      </c>
      <c r="AA104" s="3358">
        <f>H104-J104</f>
        <v>2507.4191725783749</v>
      </c>
      <c r="AB104" s="4030">
        <f>AP104*년간!F10</f>
        <v>0</v>
      </c>
      <c r="AC104" s="4242">
        <f>AQ104*년간!G10</f>
        <v>0</v>
      </c>
      <c r="AD104" s="4242">
        <f>AR104*년간!H10</f>
        <v>151893745.03402898</v>
      </c>
      <c r="AE104" s="4242">
        <f>AS104*년간!I10</f>
        <v>0</v>
      </c>
      <c r="AF104" s="4242">
        <f>AT104*년간!J10</f>
        <v>0</v>
      </c>
      <c r="AG104" s="4242">
        <f>AU104*년간!K10</f>
        <v>0</v>
      </c>
      <c r="AH104" s="4242">
        <f>AV104*년간!L10</f>
        <v>0</v>
      </c>
      <c r="AI104" s="4242">
        <f>AW104*년간!M10</f>
        <v>0</v>
      </c>
      <c r="AJ104" s="4242">
        <f>AX104*년간!N10</f>
        <v>0</v>
      </c>
      <c r="AK104" s="4242">
        <f>AY104*년간!O10</f>
        <v>0</v>
      </c>
      <c r="AL104" s="4030"/>
      <c r="AM104" s="4030"/>
      <c r="AN104" s="5283">
        <f t="shared" si="49"/>
        <v>151893745.03402898</v>
      </c>
      <c r="AO104" s="5282">
        <f t="shared" si="54"/>
        <v>2507.4191725783749</v>
      </c>
      <c r="AP104" s="4325">
        <f t="shared" ref="AP104:AY104" si="71">$H$104-L104</f>
        <v>2638.8407556387829</v>
      </c>
      <c r="AQ104" s="4325">
        <f t="shared" si="71"/>
        <v>2347.212559941574</v>
      </c>
      <c r="AR104" s="4325">
        <f t="shared" si="71"/>
        <v>6645.3841568230418</v>
      </c>
      <c r="AS104" s="4325">
        <f t="shared" si="71"/>
        <v>-1815.6839177584043</v>
      </c>
      <c r="AT104" s="4325">
        <f t="shared" si="71"/>
        <v>550.3102710894309</v>
      </c>
      <c r="AU104" s="4325">
        <f t="shared" si="71"/>
        <v>-774.95763678185176</v>
      </c>
      <c r="AV104" s="4325">
        <f t="shared" si="71"/>
        <v>9014.0234280609293</v>
      </c>
      <c r="AW104" s="4325">
        <f t="shared" si="71"/>
        <v>2610.0919648873387</v>
      </c>
      <c r="AX104" s="5326">
        <f t="shared" si="71"/>
        <v>10987.414121308248</v>
      </c>
      <c r="AY104" s="5565">
        <f t="shared" si="71"/>
        <v>805251.73623840488</v>
      </c>
      <c r="AZ104" s="4219"/>
      <c r="BA104" s="4909"/>
      <c r="BB104" s="4035">
        <f>AN104/년간!$V$10</f>
        <v>6645.3841568230428</v>
      </c>
      <c r="BC104" s="7713"/>
      <c r="BD104" s="2871">
        <f>SUM(BD102:BD103)</f>
        <v>150050</v>
      </c>
      <c r="BE104" s="286" t="s">
        <v>1378</v>
      </c>
      <c r="BF104" s="7717"/>
      <c r="BG104" s="7673" t="s">
        <v>1448</v>
      </c>
      <c r="BH104" s="7674"/>
      <c r="BI104" s="7674"/>
      <c r="BJ104" s="7674"/>
      <c r="BK104" s="7674"/>
      <c r="BL104" s="7674"/>
      <c r="BM104" s="7674"/>
      <c r="BN104" s="7674"/>
      <c r="BO104" s="7674"/>
      <c r="BP104" s="7674"/>
      <c r="BQ104" s="7674"/>
      <c r="BR104" s="7674"/>
      <c r="BS104" s="6450"/>
      <c r="BT104" s="6445">
        <f t="shared" si="70"/>
        <v>8437.1341345784258</v>
      </c>
      <c r="BU104" s="3012">
        <f t="shared" si="70"/>
        <v>187799080.53932181</v>
      </c>
      <c r="BV104" s="3012">
        <f t="shared" si="70"/>
        <v>6616.3797428016833</v>
      </c>
      <c r="BW104" s="3963"/>
      <c r="BX104" s="3341"/>
    </row>
    <row r="105" spans="1:77" s="286" customFormat="1" ht="17.25" thickBot="1">
      <c r="B105" s="7738"/>
      <c r="C105" s="3387" t="s">
        <v>1343</v>
      </c>
      <c r="D105" s="3388" t="s">
        <v>1346</v>
      </c>
      <c r="E105" s="3392"/>
      <c r="F105" s="3392"/>
      <c r="G105" s="3393">
        <v>1037574.569727979</v>
      </c>
      <c r="H105" s="3394">
        <v>984411.51794314571</v>
      </c>
      <c r="I105" s="3394">
        <v>984411.51794314571</v>
      </c>
      <c r="J105" s="6189">
        <v>980770.25558510807</v>
      </c>
      <c r="K105" s="6189">
        <v>976097.23040256242</v>
      </c>
      <c r="L105" s="3919">
        <v>986804.88682796899</v>
      </c>
      <c r="M105" s="3917">
        <v>998706.63297961524</v>
      </c>
      <c r="N105" s="3393">
        <v>982507.31846382003</v>
      </c>
      <c r="O105" s="3393">
        <v>982068.28971290332</v>
      </c>
      <c r="P105" s="3393">
        <v>984566.82700428762</v>
      </c>
      <c r="Q105" s="3393">
        <v>987121.68871725199</v>
      </c>
      <c r="R105" s="3393">
        <v>981930.31587804505</v>
      </c>
      <c r="S105" s="3393">
        <v>1000292.4467312837</v>
      </c>
      <c r="T105" s="3393">
        <v>1001041.9817483724</v>
      </c>
      <c r="U105" s="3393"/>
      <c r="V105" s="3393"/>
      <c r="W105" s="3393"/>
      <c r="X105" s="4218"/>
      <c r="Y105" s="3992">
        <f>AA105*년간!E11</f>
        <v>590037435.02113497</v>
      </c>
      <c r="Z105" s="4242">
        <f>Y105/12</f>
        <v>49169786.25176125</v>
      </c>
      <c r="AA105" s="3358">
        <f>H105-J105</f>
        <v>3641.2623580376385</v>
      </c>
      <c r="AB105" s="4030">
        <f>AP105*년간!F11</f>
        <v>-29688664.000234682</v>
      </c>
      <c r="AC105" s="4242">
        <f>AQ105*년간!G11</f>
        <v>-170871511.34702545</v>
      </c>
      <c r="AD105" s="4242">
        <f>AR105*년간!H11</f>
        <v>24813813.835040797</v>
      </c>
      <c r="AE105" s="4242">
        <f>AS105*년간!I11</f>
        <v>0</v>
      </c>
      <c r="AF105" s="4242">
        <f>AT105*년간!J11</f>
        <v>0</v>
      </c>
      <c r="AG105" s="4242">
        <f>AU105*년간!K11</f>
        <v>0</v>
      </c>
      <c r="AH105" s="4242">
        <f>AV105*년간!L11</f>
        <v>0</v>
      </c>
      <c r="AI105" s="4242">
        <f>AW105*년간!M11</f>
        <v>0</v>
      </c>
      <c r="AJ105" s="4242">
        <f>AX105*년간!N11</f>
        <v>0</v>
      </c>
      <c r="AK105" s="4242">
        <f>AY105*년간!O11</f>
        <v>0</v>
      </c>
      <c r="AL105" s="4030"/>
      <c r="AM105" s="4030"/>
      <c r="AN105" s="5283">
        <f t="shared" si="49"/>
        <v>-175746361.51221934</v>
      </c>
      <c r="AO105" s="5282">
        <f t="shared" si="54"/>
        <v>3641.2623580376385</v>
      </c>
      <c r="AP105" s="4035">
        <f t="shared" ref="AP105:AY105" si="72">$H$105-L105</f>
        <v>-2393.368884823285</v>
      </c>
      <c r="AQ105" s="4035">
        <f t="shared" si="72"/>
        <v>-14295.115036469535</v>
      </c>
      <c r="AR105" s="4325">
        <f t="shared" si="72"/>
        <v>1904.1994793256745</v>
      </c>
      <c r="AS105" s="4325">
        <f t="shared" si="72"/>
        <v>2343.2282302423846</v>
      </c>
      <c r="AT105" s="4325">
        <f t="shared" si="72"/>
        <v>-155.30906114191748</v>
      </c>
      <c r="AU105" s="4325">
        <f t="shared" si="72"/>
        <v>-2710.1707741062855</v>
      </c>
      <c r="AV105" s="4325">
        <f t="shared" si="72"/>
        <v>2481.2020651006605</v>
      </c>
      <c r="AW105" s="4325">
        <f t="shared" si="72"/>
        <v>-15880.928788137971</v>
      </c>
      <c r="AX105" s="5326">
        <f t="shared" si="72"/>
        <v>-16630.463805226726</v>
      </c>
      <c r="AY105" s="5565">
        <f t="shared" si="72"/>
        <v>984411.51794314571</v>
      </c>
      <c r="AZ105" s="4219"/>
      <c r="BA105" s="4909"/>
      <c r="BB105" s="4035">
        <f>AN105/년간!$V$11</f>
        <v>-4700.5094712136806</v>
      </c>
      <c r="BC105" s="2232">
        <f>Y105/BD105</f>
        <v>3778.8999296857628</v>
      </c>
      <c r="BD105" s="2864">
        <v>156140</v>
      </c>
      <c r="BE105" s="286" t="s">
        <v>1379</v>
      </c>
      <c r="BF105" s="7716" t="s">
        <v>1445</v>
      </c>
      <c r="BG105" s="7673" t="s">
        <v>1449</v>
      </c>
      <c r="BH105" s="7674"/>
      <c r="BI105" s="7674"/>
      <c r="BJ105" s="7674"/>
      <c r="BK105" s="7674"/>
      <c r="BL105" s="7674"/>
      <c r="BM105" s="7674"/>
      <c r="BN105" s="7674"/>
      <c r="BO105" s="7674"/>
      <c r="BP105" s="7674"/>
      <c r="BQ105" s="7674"/>
      <c r="BR105" s="7674"/>
      <c r="BS105" s="6450"/>
      <c r="BT105" s="6447">
        <f t="shared" ref="BT105:BV106" si="73">BT103+BT97</f>
        <v>5504.6611877867053</v>
      </c>
      <c r="BU105" s="3007">
        <f t="shared" si="73"/>
        <v>35110091.939467892</v>
      </c>
      <c r="BV105" s="3007">
        <f t="shared" si="73"/>
        <v>1960.9132962686053</v>
      </c>
      <c r="BW105" s="3960"/>
      <c r="BX105" s="3340"/>
    </row>
    <row r="106" spans="1:77" s="286" customFormat="1" ht="17.25" thickBot="1">
      <c r="B106" s="7738"/>
      <c r="C106" s="3362" t="s">
        <v>1344</v>
      </c>
      <c r="D106" s="3390" t="s">
        <v>1346</v>
      </c>
      <c r="E106" s="3395"/>
      <c r="F106" s="3395"/>
      <c r="G106" s="3396">
        <v>1543151.830698852</v>
      </c>
      <c r="H106" s="3216">
        <v>1555032.1951085397</v>
      </c>
      <c r="I106" s="3216">
        <v>1555032.1951085397</v>
      </c>
      <c r="J106" s="6190">
        <v>1546899.6749898116</v>
      </c>
      <c r="K106" s="6190">
        <v>1521028.7904006478</v>
      </c>
      <c r="L106" s="5349">
        <v>1552788.9475582563</v>
      </c>
      <c r="M106" s="5350">
        <v>1509543.8807727976</v>
      </c>
      <c r="N106" s="3396">
        <v>1561275.1501203449</v>
      </c>
      <c r="O106" s="3396">
        <v>1570073.1752464478</v>
      </c>
      <c r="P106" s="3396">
        <v>1566326.0412036872</v>
      </c>
      <c r="Q106" s="3396">
        <v>1535673.7622893765</v>
      </c>
      <c r="R106" s="3396">
        <v>1565017.0054078826</v>
      </c>
      <c r="S106" s="3396">
        <v>1529334.5669901946</v>
      </c>
      <c r="T106" s="3396">
        <v>1658113.8488411966</v>
      </c>
      <c r="U106" s="3396"/>
      <c r="V106" s="3396"/>
      <c r="W106" s="3396"/>
      <c r="X106" s="5351"/>
      <c r="Y106" s="3992">
        <f>AA106*년간!E12</f>
        <v>491100167.70877504</v>
      </c>
      <c r="Z106" s="4324">
        <f>Y106/12</f>
        <v>40925013.975731254</v>
      </c>
      <c r="AA106" s="5352">
        <f>H106-J106</f>
        <v>8132.5201187280472</v>
      </c>
      <c r="AB106" s="4323">
        <f>AP106*년간!F12</f>
        <v>11068452.602803964</v>
      </c>
      <c r="AC106" s="4324">
        <f>AQ106*년간!G12</f>
        <v>216744994.56266046</v>
      </c>
      <c r="AD106" s="4324">
        <f>AR106*년간!H12</f>
        <v>-34617060.681360081</v>
      </c>
      <c r="AE106" s="4324">
        <f>AS106*년간!I12</f>
        <v>0</v>
      </c>
      <c r="AF106" s="4324">
        <f>AT106*년간!J12</f>
        <v>0</v>
      </c>
      <c r="AG106" s="4324">
        <f>AU106*년간!K12</f>
        <v>0</v>
      </c>
      <c r="AH106" s="4324">
        <f>AV106*년간!L12</f>
        <v>0</v>
      </c>
      <c r="AI106" s="4324">
        <f>AW106*년간!M12</f>
        <v>0</v>
      </c>
      <c r="AJ106" s="4324">
        <f>AX106*년간!N12</f>
        <v>0</v>
      </c>
      <c r="AK106" s="4324">
        <f>AY106*년간!O12</f>
        <v>0</v>
      </c>
      <c r="AL106" s="4323"/>
      <c r="AM106" s="4323"/>
      <c r="AN106" s="5341">
        <f t="shared" si="49"/>
        <v>193196386.48410434</v>
      </c>
      <c r="AO106" s="5342">
        <f t="shared" si="54"/>
        <v>8132.5201187280472</v>
      </c>
      <c r="AP106" s="5343">
        <f t="shared" ref="AP106:AY106" si="74">$H$106-L106</f>
        <v>2243.2475502833258</v>
      </c>
      <c r="AQ106" s="5344">
        <f t="shared" si="74"/>
        <v>45488.314335742034</v>
      </c>
      <c r="AR106" s="5344">
        <f t="shared" si="74"/>
        <v>-6242.9550118052866</v>
      </c>
      <c r="AS106" s="5344">
        <f t="shared" si="74"/>
        <v>-15040.980137908133</v>
      </c>
      <c r="AT106" s="5344">
        <f t="shared" si="74"/>
        <v>-11293.846095147543</v>
      </c>
      <c r="AU106" s="5344">
        <f t="shared" si="74"/>
        <v>19358.432819163194</v>
      </c>
      <c r="AV106" s="5344">
        <f t="shared" si="74"/>
        <v>-9984.8102993429638</v>
      </c>
      <c r="AW106" s="5344">
        <f t="shared" si="74"/>
        <v>25697.628118345048</v>
      </c>
      <c r="AX106" s="5345">
        <f t="shared" si="74"/>
        <v>-103081.65373265697</v>
      </c>
      <c r="AY106" s="5566">
        <f t="shared" si="74"/>
        <v>1555032.1951085397</v>
      </c>
      <c r="AZ106" s="5347"/>
      <c r="BA106" s="5348"/>
      <c r="BB106" s="5343">
        <f>AN106/년간!$V$12</f>
        <v>12673.643411589799</v>
      </c>
      <c r="BC106" s="2232">
        <f>Y106/BD106</f>
        <v>7750.9496166157678</v>
      </c>
      <c r="BD106" s="2864">
        <v>63360</v>
      </c>
      <c r="BE106" s="286" t="s">
        <v>1380</v>
      </c>
      <c r="BF106" s="7717"/>
      <c r="BG106" s="7673" t="s">
        <v>1450</v>
      </c>
      <c r="BH106" s="7674"/>
      <c r="BI106" s="7674"/>
      <c r="BJ106" s="7674"/>
      <c r="BK106" s="7674"/>
      <c r="BL106" s="7674"/>
      <c r="BM106" s="7674"/>
      <c r="BN106" s="7674"/>
      <c r="BO106" s="7674"/>
      <c r="BP106" s="7674"/>
      <c r="BQ106" s="7674"/>
      <c r="BR106" s="7674"/>
      <c r="BS106" s="6450"/>
      <c r="BT106" s="6445">
        <f t="shared" si="73"/>
        <v>16060.775866710068</v>
      </c>
      <c r="BU106" s="3012">
        <f t="shared" si="73"/>
        <v>224385579.58631456</v>
      </c>
      <c r="BV106" s="3012">
        <f t="shared" si="73"/>
        <v>9412.8845997354056</v>
      </c>
      <c r="BW106" s="3963"/>
      <c r="BX106" s="3341"/>
    </row>
    <row r="107" spans="1:77" s="286" customFormat="1" ht="17.25" thickBot="1">
      <c r="B107" s="7739"/>
      <c r="C107" s="2255" t="s">
        <v>16</v>
      </c>
      <c r="D107" s="1850" t="s">
        <v>1348</v>
      </c>
      <c r="E107" s="2788"/>
      <c r="F107" s="2788"/>
      <c r="G107" s="2863">
        <f t="shared" ref="G107:P107" si="75">SUM(G102:G106)</f>
        <v>4814372.2397299092</v>
      </c>
      <c r="H107" s="3217">
        <f t="shared" si="75"/>
        <v>4633217.0791314347</v>
      </c>
      <c r="I107" s="3217">
        <f>SUM(I102:I106)</f>
        <v>4633217.0791314347</v>
      </c>
      <c r="J107" s="3899">
        <f t="shared" si="75"/>
        <v>4617036.8735492304</v>
      </c>
      <c r="K107" s="3899">
        <f t="shared" si="75"/>
        <v>4600731.4300298514</v>
      </c>
      <c r="L107" s="3899">
        <f t="shared" si="75"/>
        <v>4634578.58706473</v>
      </c>
      <c r="M107" s="4238">
        <f t="shared" si="75"/>
        <v>4598159.3426568601</v>
      </c>
      <c r="N107" s="4238">
        <f t="shared" si="75"/>
        <v>4634888.4878877215</v>
      </c>
      <c r="O107" s="4238">
        <f t="shared" si="75"/>
        <v>4648940.6776654832</v>
      </c>
      <c r="P107" s="4238">
        <f t="shared" si="75"/>
        <v>4646485.5261691567</v>
      </c>
      <c r="Q107" s="4238">
        <f>SUM(Q102:Q106)</f>
        <v>4613713.5007872796</v>
      </c>
      <c r="R107" s="4238">
        <f>SUM(R102:R106)</f>
        <v>4633575.1472770376</v>
      </c>
      <c r="S107" s="4238">
        <f>SUM(S102:S106)</f>
        <v>4616199.2725888388</v>
      </c>
      <c r="T107" s="4238">
        <f>SUM(T102:T106)</f>
        <v>4737240.3198720478</v>
      </c>
      <c r="U107" s="2863"/>
      <c r="V107" s="2863"/>
      <c r="W107" s="2863"/>
      <c r="X107" s="5353"/>
      <c r="Y107" s="4330">
        <f t="shared" ref="Y107:AM107" si="76">SUM(Y102:Y106)</f>
        <v>2279771922.408433</v>
      </c>
      <c r="Z107" s="2863">
        <f t="shared" si="76"/>
        <v>209958232.19534481</v>
      </c>
      <c r="AA107" s="4329">
        <f t="shared" si="76"/>
        <v>16180.205582204275</v>
      </c>
      <c r="AB107" s="4328">
        <f t="shared" si="76"/>
        <v>-18620211.397430718</v>
      </c>
      <c r="AC107" s="4327">
        <f t="shared" si="76"/>
        <v>45873483.215635002</v>
      </c>
      <c r="AD107" s="4327">
        <f t="shared" si="76"/>
        <v>37690269.648824856</v>
      </c>
      <c r="AE107" s="4327">
        <f t="shared" si="76"/>
        <v>0</v>
      </c>
      <c r="AF107" s="4327">
        <f t="shared" si="76"/>
        <v>0</v>
      </c>
      <c r="AG107" s="4327">
        <f>SUM(AG102:AG106)</f>
        <v>0</v>
      </c>
      <c r="AH107" s="4327">
        <f>SUM(AH102:AH106)</f>
        <v>0</v>
      </c>
      <c r="AI107" s="4327">
        <f>SUM(AI102:AI106)</f>
        <v>0</v>
      </c>
      <c r="AJ107" s="4327">
        <f>SUM(AJ102:AJ106)</f>
        <v>0</v>
      </c>
      <c r="AK107" s="4327">
        <f>SUM(AK102:AK106)</f>
        <v>0</v>
      </c>
      <c r="AL107" s="3217">
        <f t="shared" si="76"/>
        <v>0</v>
      </c>
      <c r="AM107" s="3217">
        <f t="shared" si="76"/>
        <v>0</v>
      </c>
      <c r="AN107" s="5354">
        <f t="shared" si="49"/>
        <v>64943541.467029139</v>
      </c>
      <c r="AO107" s="3988">
        <f>Y107/년간!E13</f>
        <v>2190.3756690116716</v>
      </c>
      <c r="AP107" s="3988">
        <f>AB107/년간!F13</f>
        <v>-1073.9123241535087</v>
      </c>
      <c r="AQ107" s="3988">
        <f>AC107/년간!G13</f>
        <v>2743.9592448395415</v>
      </c>
      <c r="AR107" s="3988">
        <f>AD107/년간!H13</f>
        <v>408.70186793336433</v>
      </c>
      <c r="AS107" s="3988" t="e">
        <f>AE107/년간!I13</f>
        <v>#DIV/0!</v>
      </c>
      <c r="AT107" s="3988" t="e">
        <f>AF107/년간!J13</f>
        <v>#DIV/0!</v>
      </c>
      <c r="AU107" s="3988" t="e">
        <f>AG107/년간!K13</f>
        <v>#DIV/0!</v>
      </c>
      <c r="AV107" s="3988" t="e">
        <f>AH107/년간!L13</f>
        <v>#DIV/0!</v>
      </c>
      <c r="AW107" s="3988" t="e">
        <f>AI107/년간!M13</f>
        <v>#DIV/0!</v>
      </c>
      <c r="AX107" s="5279" t="e">
        <f>AJ107/년간!N13</f>
        <v>#DIV/0!</v>
      </c>
      <c r="AY107" s="3988" t="e">
        <f>AK107/년간!O13</f>
        <v>#DIV/0!</v>
      </c>
      <c r="AZ107" s="5355"/>
      <c r="BA107" s="5355"/>
      <c r="BB107" s="4233">
        <f>AN107/년간!$V$13</f>
        <v>514.29784447012389</v>
      </c>
      <c r="BD107" s="2864">
        <f>SUM(BD105:BD106)</f>
        <v>219500</v>
      </c>
      <c r="BE107" s="286" t="s">
        <v>1381</v>
      </c>
      <c r="BF107" s="7716" t="s">
        <v>1446</v>
      </c>
      <c r="BG107" s="7673" t="s">
        <v>1451</v>
      </c>
      <c r="BH107" s="7674"/>
      <c r="BI107" s="7674"/>
      <c r="BJ107" s="7674"/>
      <c r="BK107" s="7674"/>
      <c r="BL107" s="7674"/>
      <c r="BM107" s="7674"/>
      <c r="BN107" s="7674"/>
      <c r="BO107" s="7674"/>
      <c r="BP107" s="7674"/>
      <c r="BQ107" s="7674"/>
      <c r="BR107" s="7674"/>
      <c r="BS107" s="6450"/>
      <c r="BT107" s="6447">
        <f t="shared" ref="BT107:BV108" si="77">BT103+BT100</f>
        <v>8891.5594040631004</v>
      </c>
      <c r="BU107" s="3007">
        <f t="shared" si="77"/>
        <v>52749339.666618064</v>
      </c>
      <c r="BV107" s="3007">
        <f t="shared" si="77"/>
        <v>7119.8593934643795</v>
      </c>
      <c r="BW107" s="3960"/>
      <c r="BX107" s="3340"/>
      <c r="BY107" s="286">
        <v>1131749.5975586721</v>
      </c>
    </row>
    <row r="108" spans="1:77" s="286" customFormat="1" ht="17.25" thickBot="1">
      <c r="C108" s="2155"/>
      <c r="D108" s="2156"/>
      <c r="E108" s="2812"/>
      <c r="F108" s="2812"/>
      <c r="G108" s="2812"/>
      <c r="H108" s="4395">
        <v>984411.51794314571</v>
      </c>
      <c r="I108" s="4395"/>
      <c r="J108" s="4395">
        <v>980770.25558510807</v>
      </c>
      <c r="K108" s="2812">
        <v>1555032.1951085397</v>
      </c>
      <c r="L108" s="2812">
        <v>1546899.6749898116</v>
      </c>
      <c r="M108" s="2812"/>
      <c r="N108" s="2812"/>
      <c r="O108" s="2812"/>
      <c r="P108" s="2812"/>
      <c r="Q108" s="2812"/>
      <c r="R108" s="2812"/>
      <c r="S108" s="2812"/>
      <c r="T108" s="2812"/>
      <c r="U108" s="2812"/>
      <c r="V108" s="2812"/>
      <c r="W108" s="2812"/>
      <c r="X108" s="2812"/>
      <c r="Y108" s="2258"/>
      <c r="Z108" s="2258"/>
      <c r="AA108" s="1451"/>
      <c r="AB108" s="2258"/>
      <c r="AC108" s="2258"/>
      <c r="AD108" s="2258"/>
      <c r="AE108" s="2258"/>
      <c r="AF108" s="2258"/>
      <c r="AG108" s="2258"/>
      <c r="AH108" s="2258"/>
      <c r="AI108" s="2258"/>
      <c r="AJ108" s="2258"/>
      <c r="AK108" s="2258"/>
      <c r="AL108" s="2258"/>
      <c r="AM108" s="2258"/>
      <c r="AN108" s="2258"/>
      <c r="AO108" s="1451"/>
      <c r="AP108" s="1451"/>
      <c r="AQ108" s="1451"/>
      <c r="AR108" s="1451"/>
      <c r="AS108" s="1451"/>
      <c r="AT108" s="1451"/>
      <c r="AU108" s="1451"/>
      <c r="AV108" s="1451"/>
      <c r="AW108" s="1451"/>
      <c r="AX108" s="1451"/>
      <c r="AY108" s="1451"/>
      <c r="AZ108" s="1451"/>
      <c r="BA108" s="1451"/>
      <c r="BB108" s="1451"/>
      <c r="BF108" s="7717"/>
      <c r="BG108" s="7673" t="s">
        <v>1452</v>
      </c>
      <c r="BH108" s="7674"/>
      <c r="BI108" s="7674"/>
      <c r="BJ108" s="7674"/>
      <c r="BK108" s="7674"/>
      <c r="BL108" s="7674"/>
      <c r="BM108" s="7674"/>
      <c r="BN108" s="7674"/>
      <c r="BO108" s="7674"/>
      <c r="BP108" s="7674"/>
      <c r="BQ108" s="7674"/>
      <c r="BR108" s="7674"/>
      <c r="BS108" s="6450"/>
      <c r="BT108" s="6445">
        <f t="shared" si="77"/>
        <v>19486.935292099482</v>
      </c>
      <c r="BU108" s="3012">
        <f t="shared" si="77"/>
        <v>289035155.69283837</v>
      </c>
      <c r="BV108" s="3012">
        <f t="shared" si="77"/>
        <v>24887.162440008407</v>
      </c>
      <c r="BW108" s="3963"/>
      <c r="BX108" s="3341"/>
    </row>
    <row r="109" spans="1:77" ht="16.5">
      <c r="AA109" s="1451"/>
      <c r="AO109" s="1451"/>
      <c r="AP109" s="1451"/>
      <c r="AQ109" s="1451"/>
      <c r="AR109" s="1451"/>
      <c r="AS109" s="1451"/>
      <c r="AT109" s="1451"/>
      <c r="AU109" s="1451"/>
      <c r="AV109" s="1451"/>
      <c r="AW109" s="1451"/>
      <c r="AX109" s="1451"/>
      <c r="AY109" s="1451"/>
      <c r="AZ109" s="1451"/>
      <c r="BA109" s="1451"/>
      <c r="BB109" s="1451"/>
      <c r="BF109" s="286"/>
      <c r="BG109" s="286"/>
      <c r="BH109" s="286"/>
      <c r="BI109" s="286"/>
      <c r="BJ109" s="286"/>
      <c r="BK109" s="286"/>
      <c r="BL109" s="286"/>
      <c r="BM109" s="286"/>
      <c r="BN109" s="286"/>
      <c r="BR109" s="286"/>
      <c r="BT109" s="286"/>
      <c r="BX109" s="1609"/>
    </row>
    <row r="110" spans="1:77" ht="17.25" thickBot="1">
      <c r="H110" s="4394">
        <v>1555032.1951085397</v>
      </c>
      <c r="I110" s="4394"/>
      <c r="J110" s="4394">
        <v>1546899.6749898116</v>
      </c>
      <c r="AA110" s="1451"/>
      <c r="AO110" s="5387"/>
      <c r="AP110" s="1451"/>
      <c r="AQ110" s="1451"/>
      <c r="AR110" s="1451"/>
      <c r="AS110" s="1451"/>
      <c r="AT110" s="1451"/>
      <c r="AU110" s="1451"/>
      <c r="AV110" s="1451"/>
      <c r="AW110" s="1451"/>
      <c r="AX110" s="1451"/>
      <c r="AY110" s="1451"/>
      <c r="AZ110" s="1451"/>
      <c r="BA110" s="1451"/>
      <c r="BB110" s="1451"/>
      <c r="BF110" s="287" t="s">
        <v>1948</v>
      </c>
      <c r="BX110" s="1609"/>
      <c r="BY110" t="s">
        <v>1689</v>
      </c>
    </row>
    <row r="111" spans="1:77" ht="33.75" thickBot="1">
      <c r="A111" s="2785" t="s">
        <v>1230</v>
      </c>
      <c r="B111" s="2786" t="s">
        <v>1229</v>
      </c>
      <c r="C111" s="2768" t="s">
        <v>249</v>
      </c>
      <c r="D111" s="2787" t="s">
        <v>230</v>
      </c>
      <c r="E111" s="2512" t="s">
        <v>543</v>
      </c>
      <c r="F111" s="2402" t="s">
        <v>718</v>
      </c>
      <c r="G111" s="2403" t="s">
        <v>979</v>
      </c>
      <c r="H111" s="2576" t="s">
        <v>1213</v>
      </c>
      <c r="I111" s="2873" t="s">
        <v>1889</v>
      </c>
      <c r="J111" s="5426" t="s">
        <v>1901</v>
      </c>
      <c r="K111" s="2873" t="s">
        <v>1902</v>
      </c>
      <c r="L111" s="4129" t="s">
        <v>1571</v>
      </c>
      <c r="M111" s="4129" t="s">
        <v>1608</v>
      </c>
      <c r="N111" s="3881" t="s">
        <v>1609</v>
      </c>
      <c r="O111" s="3881" t="s">
        <v>1610</v>
      </c>
      <c r="P111" s="3881" t="s">
        <v>1611</v>
      </c>
      <c r="Q111" s="4551" t="s">
        <v>1612</v>
      </c>
      <c r="R111" s="4551" t="s">
        <v>1613</v>
      </c>
      <c r="S111" s="4551" t="s">
        <v>1614</v>
      </c>
      <c r="T111" s="4551" t="s">
        <v>1615</v>
      </c>
      <c r="U111" s="4551" t="s">
        <v>1616</v>
      </c>
      <c r="V111" s="4551" t="s">
        <v>1617</v>
      </c>
      <c r="W111" s="4551" t="s">
        <v>1618</v>
      </c>
      <c r="X111" s="3881" t="s">
        <v>1733</v>
      </c>
      <c r="Y111" s="5426" t="s">
        <v>1963</v>
      </c>
      <c r="Z111" s="2576" t="s">
        <v>1964</v>
      </c>
      <c r="AA111" s="4552" t="s">
        <v>1903</v>
      </c>
      <c r="AB111" s="2786" t="s">
        <v>1572</v>
      </c>
      <c r="AC111" s="2786" t="s">
        <v>1575</v>
      </c>
      <c r="AD111" s="2872" t="s">
        <v>1576</v>
      </c>
      <c r="AE111" s="2786" t="s">
        <v>1577</v>
      </c>
      <c r="AF111" s="2786" t="s">
        <v>1578</v>
      </c>
      <c r="AG111" s="2786" t="s">
        <v>1579</v>
      </c>
      <c r="AH111" s="2786" t="s">
        <v>1580</v>
      </c>
      <c r="AI111" s="2786" t="s">
        <v>1581</v>
      </c>
      <c r="AJ111" s="2872" t="s">
        <v>1582</v>
      </c>
      <c r="AK111" s="2872" t="s">
        <v>1583</v>
      </c>
      <c r="AL111" s="2872" t="s">
        <v>1584</v>
      </c>
      <c r="AM111" s="2872" t="s">
        <v>1585</v>
      </c>
      <c r="AN111" s="2819" t="s">
        <v>1861</v>
      </c>
      <c r="AO111" s="5356" t="s">
        <v>1946</v>
      </c>
      <c r="AP111" s="2819" t="s">
        <v>1573</v>
      </c>
      <c r="AQ111" s="2819" t="s">
        <v>1588</v>
      </c>
      <c r="AR111" s="2819" t="s">
        <v>1589</v>
      </c>
      <c r="AS111" s="2819" t="s">
        <v>1590</v>
      </c>
      <c r="AT111" s="2819" t="s">
        <v>1591</v>
      </c>
      <c r="AU111" s="2819" t="s">
        <v>1592</v>
      </c>
      <c r="AV111" s="5356" t="s">
        <v>1593</v>
      </c>
      <c r="AW111" s="2786" t="s">
        <v>1594</v>
      </c>
      <c r="AX111" s="5444" t="s">
        <v>1595</v>
      </c>
      <c r="AY111" s="4216" t="s">
        <v>1596</v>
      </c>
      <c r="AZ111" s="4216" t="s">
        <v>1597</v>
      </c>
      <c r="BA111" s="5388" t="s">
        <v>1598</v>
      </c>
      <c r="BB111" s="5336" t="s">
        <v>1862</v>
      </c>
      <c r="BC111" s="5165"/>
      <c r="BD111" s="3506"/>
      <c r="BF111" s="2255" t="s">
        <v>1230</v>
      </c>
      <c r="BG111" s="4130" t="s">
        <v>1229</v>
      </c>
      <c r="BH111" s="2256" t="s">
        <v>249</v>
      </c>
      <c r="BI111" s="4550" t="s">
        <v>230</v>
      </c>
      <c r="BJ111" s="5161" t="s">
        <v>543</v>
      </c>
      <c r="BK111" s="5162" t="s">
        <v>718</v>
      </c>
      <c r="BL111" s="4551" t="s">
        <v>979</v>
      </c>
      <c r="BM111" s="4130" t="s">
        <v>1213</v>
      </c>
      <c r="BN111" s="2576" t="s">
        <v>1952</v>
      </c>
      <c r="BO111" s="6355" t="s">
        <v>1953</v>
      </c>
      <c r="BP111" s="2873" t="s">
        <v>1947</v>
      </c>
      <c r="BQ111" s="5219" t="s">
        <v>1949</v>
      </c>
      <c r="BR111" s="6307" t="s">
        <v>1960</v>
      </c>
      <c r="BS111" s="4551" t="s">
        <v>1962</v>
      </c>
      <c r="BT111" s="2873" t="s">
        <v>1945</v>
      </c>
      <c r="BU111" s="3920" t="s">
        <v>1950</v>
      </c>
      <c r="BV111" s="2576" t="s">
        <v>1951</v>
      </c>
      <c r="BW111" s="5336" t="s">
        <v>1863</v>
      </c>
      <c r="BX111" s="5165"/>
    </row>
    <row r="112" spans="1:77" ht="17.45" customHeight="1">
      <c r="A112" s="7671" t="s">
        <v>1226</v>
      </c>
      <c r="B112" s="7689" t="s">
        <v>1160</v>
      </c>
      <c r="C112" s="7689"/>
      <c r="D112" s="2358" t="s">
        <v>448</v>
      </c>
      <c r="E112" s="2261">
        <f t="shared" ref="E112:P112" si="78">E2</f>
        <v>59.260000000000005</v>
      </c>
      <c r="F112" s="2261">
        <f t="shared" si="78"/>
        <v>32</v>
      </c>
      <c r="G112" s="2262">
        <f t="shared" si="78"/>
        <v>8.3800000000000008</v>
      </c>
      <c r="H112" s="6150">
        <f t="shared" si="78"/>
        <v>24.889999999999997</v>
      </c>
      <c r="I112" s="6128">
        <f>I2</f>
        <v>8.59</v>
      </c>
      <c r="J112" s="6153">
        <f t="shared" si="78"/>
        <v>4</v>
      </c>
      <c r="K112" s="6204">
        <f t="shared" si="78"/>
        <v>0.4</v>
      </c>
      <c r="L112" s="4927">
        <f t="shared" si="78"/>
        <v>0</v>
      </c>
      <c r="M112" s="4927">
        <f t="shared" si="78"/>
        <v>0</v>
      </c>
      <c r="N112" s="4927">
        <f t="shared" si="78"/>
        <v>0</v>
      </c>
      <c r="O112" s="4927">
        <f t="shared" si="78"/>
        <v>0</v>
      </c>
      <c r="P112" s="4927">
        <f t="shared" si="78"/>
        <v>0</v>
      </c>
      <c r="Q112" s="4927">
        <f t="shared" ref="Q112:X112" si="79">Q2</f>
        <v>0</v>
      </c>
      <c r="R112" s="4927">
        <f t="shared" si="79"/>
        <v>0</v>
      </c>
      <c r="S112" s="4927">
        <f t="shared" si="79"/>
        <v>0</v>
      </c>
      <c r="T112" s="4927">
        <f t="shared" si="79"/>
        <v>0</v>
      </c>
      <c r="U112" s="4927">
        <f t="shared" si="79"/>
        <v>0</v>
      </c>
      <c r="V112" s="4927">
        <f t="shared" si="79"/>
        <v>0</v>
      </c>
      <c r="W112" s="4927">
        <f t="shared" si="79"/>
        <v>0</v>
      </c>
      <c r="X112" s="6595">
        <f t="shared" si="79"/>
        <v>0</v>
      </c>
      <c r="Y112" s="4039">
        <f t="shared" ref="Y112:AF112" si="80">Y2</f>
        <v>2228431.23</v>
      </c>
      <c r="Z112" s="3068">
        <f t="shared" si="80"/>
        <v>222843.12299999999</v>
      </c>
      <c r="AA112" s="3069">
        <f t="shared" si="80"/>
        <v>7.8906542522679466</v>
      </c>
      <c r="AB112" s="3068">
        <f t="shared" si="80"/>
        <v>347534.93583333335</v>
      </c>
      <c r="AC112" s="3068">
        <f t="shared" si="80"/>
        <v>347534.93583333335</v>
      </c>
      <c r="AD112" s="3068">
        <f t="shared" si="80"/>
        <v>347534.93583333335</v>
      </c>
      <c r="AE112" s="3068">
        <f t="shared" si="80"/>
        <v>347534.93583333335</v>
      </c>
      <c r="AF112" s="3068">
        <f t="shared" si="80"/>
        <v>347534.93583333335</v>
      </c>
      <c r="AG112" s="3068">
        <f t="shared" ref="AG112:AM112" si="81">AG2</f>
        <v>347534.93583333335</v>
      </c>
      <c r="AH112" s="3068">
        <f t="shared" si="81"/>
        <v>347534.93583333335</v>
      </c>
      <c r="AI112" s="3068">
        <f t="shared" si="81"/>
        <v>347534.93583333335</v>
      </c>
      <c r="AJ112" s="3068">
        <f t="shared" si="81"/>
        <v>347534.93583333335</v>
      </c>
      <c r="AK112" s="3068">
        <f t="shared" si="81"/>
        <v>347534.93583333335</v>
      </c>
      <c r="AL112" s="3068">
        <f t="shared" si="81"/>
        <v>0</v>
      </c>
      <c r="AM112" s="3068">
        <f t="shared" si="81"/>
        <v>0</v>
      </c>
      <c r="AN112" s="3069">
        <f>SUM(AB112:AM112)</f>
        <v>3475349.3583333339</v>
      </c>
      <c r="AO112" s="4039">
        <f t="shared" ref="AO112:AT112" si="82">AO2</f>
        <v>7.8906542522679466</v>
      </c>
      <c r="AP112" s="3069" t="e">
        <f t="shared" si="82"/>
        <v>#DIV/0!</v>
      </c>
      <c r="AQ112" s="3069" t="e">
        <f t="shared" si="82"/>
        <v>#DIV/0!</v>
      </c>
      <c r="AR112" s="3069">
        <f t="shared" si="82"/>
        <v>12.600008115160595</v>
      </c>
      <c r="AS112" s="3069" t="e">
        <f t="shared" si="82"/>
        <v>#DIV/0!</v>
      </c>
      <c r="AT112" s="3069" t="e">
        <f t="shared" si="82"/>
        <v>#DIV/0!</v>
      </c>
      <c r="AU112" s="3069" t="e">
        <f>AU2</f>
        <v>#DIV/0!</v>
      </c>
      <c r="AV112" s="4039" t="e">
        <f>AV2</f>
        <v>#DIV/0!</v>
      </c>
      <c r="AW112" s="5447" t="e">
        <f>AW2</f>
        <v>#DIV/0!</v>
      </c>
      <c r="AX112" s="5220" t="e">
        <f>AX2</f>
        <v>#DIV/0!</v>
      </c>
      <c r="AY112" s="5447" t="e">
        <f>AY2</f>
        <v>#DIV/0!</v>
      </c>
      <c r="AZ112" s="5363"/>
      <c r="BA112" s="5376"/>
      <c r="BB112" s="3069">
        <f>BB2</f>
        <v>126.00008115160597</v>
      </c>
      <c r="BF112" s="7671" t="s">
        <v>1226</v>
      </c>
      <c r="BG112" s="7689" t="s">
        <v>1160</v>
      </c>
      <c r="BH112" s="7689"/>
      <c r="BI112" s="2358" t="s">
        <v>1390</v>
      </c>
      <c r="BJ112" s="2263">
        <v>59.260000000000005</v>
      </c>
      <c r="BK112" s="2261">
        <v>32</v>
      </c>
      <c r="BL112" s="2262">
        <v>8.3800000000000008</v>
      </c>
      <c r="BM112" s="2826">
        <v>24.889999999999997</v>
      </c>
      <c r="BN112" s="6406">
        <v>8.59</v>
      </c>
      <c r="BO112" s="6366">
        <v>4</v>
      </c>
      <c r="BP112" s="6367">
        <v>0.4</v>
      </c>
      <c r="BQ112" s="6319"/>
      <c r="BR112" s="5447">
        <v>2228431.23</v>
      </c>
      <c r="BS112" s="3068">
        <v>222843.12299999999</v>
      </c>
      <c r="BT112" s="5202">
        <v>7.8906542522679466</v>
      </c>
      <c r="BU112" s="3068"/>
      <c r="BV112" s="3068"/>
      <c r="BW112" s="5412"/>
      <c r="BX112" s="3961"/>
    </row>
    <row r="113" spans="1:79" s="286" customFormat="1" ht="17.45" customHeight="1">
      <c r="A113" s="7672"/>
      <c r="B113" s="7733" t="s">
        <v>1231</v>
      </c>
      <c r="C113" s="3345" t="s">
        <v>1476</v>
      </c>
      <c r="D113" s="3359" t="s">
        <v>317</v>
      </c>
      <c r="E113" s="4915">
        <f t="shared" ref="E113:P113" si="83">E9</f>
        <v>16.047705402119366</v>
      </c>
      <c r="F113" s="4915">
        <f t="shared" si="83"/>
        <v>16.6461834243925</v>
      </c>
      <c r="G113" s="4916">
        <f t="shared" si="83"/>
        <v>14.97484134515088</v>
      </c>
      <c r="H113" s="1948">
        <f t="shared" si="83"/>
        <v>15.672921698496424</v>
      </c>
      <c r="I113" s="6129">
        <f>I9</f>
        <v>14.412870896150487</v>
      </c>
      <c r="J113" s="6155">
        <f t="shared" si="83"/>
        <v>14.049374322802693</v>
      </c>
      <c r="K113" s="6156">
        <f t="shared" si="83"/>
        <v>14.049374322802693</v>
      </c>
      <c r="L113" s="4917" t="e">
        <f t="shared" si="83"/>
        <v>#DIV/0!</v>
      </c>
      <c r="M113" s="4917" t="e">
        <f t="shared" si="83"/>
        <v>#DIV/0!</v>
      </c>
      <c r="N113" s="4917">
        <f t="shared" si="83"/>
        <v>13.260764582272863</v>
      </c>
      <c r="O113" s="4917" t="e">
        <f t="shared" si="83"/>
        <v>#DIV/0!</v>
      </c>
      <c r="P113" s="4917" t="e">
        <f t="shared" si="83"/>
        <v>#DIV/0!</v>
      </c>
      <c r="Q113" s="4917" t="e">
        <f t="shared" ref="Q113:X114" si="84">Q9</f>
        <v>#DIV/0!</v>
      </c>
      <c r="R113" s="4917" t="e">
        <f t="shared" si="84"/>
        <v>#DIV/0!</v>
      </c>
      <c r="S113" s="4917" t="e">
        <f t="shared" si="84"/>
        <v>#DIV/0!</v>
      </c>
      <c r="T113" s="4917" t="e">
        <f t="shared" si="84"/>
        <v>#DIV/0!</v>
      </c>
      <c r="U113" s="4917" t="e">
        <f t="shared" si="84"/>
        <v>#DIV/0!</v>
      </c>
      <c r="V113" s="4917" t="e">
        <f t="shared" si="84"/>
        <v>#DIV/0!</v>
      </c>
      <c r="W113" s="4917" t="e">
        <f t="shared" si="84"/>
        <v>#DIV/0!</v>
      </c>
      <c r="X113" s="6596">
        <f t="shared" si="84"/>
        <v>14.555081335299825</v>
      </c>
      <c r="Y113" s="4040">
        <f t="shared" ref="Y113:AF114" si="85">Y9</f>
        <v>49839433.104809172</v>
      </c>
      <c r="Z113" s="4004">
        <f t="shared" si="85"/>
        <v>4983943.3104809178</v>
      </c>
      <c r="AA113" s="4017">
        <f t="shared" si="85"/>
        <v>176.47649587063378</v>
      </c>
      <c r="AB113" s="4004" t="e">
        <f t="shared" si="85"/>
        <v>#DIV/0!</v>
      </c>
      <c r="AC113" s="4004" t="e">
        <f t="shared" si="85"/>
        <v>#DIV/0!</v>
      </c>
      <c r="AD113" s="4004">
        <f t="shared" si="85"/>
        <v>15427897.716730449</v>
      </c>
      <c r="AE113" s="4004" t="e">
        <f t="shared" si="85"/>
        <v>#DIV/0!</v>
      </c>
      <c r="AF113" s="4004" t="e">
        <f t="shared" si="85"/>
        <v>#DIV/0!</v>
      </c>
      <c r="AG113" s="4004" t="e">
        <f t="shared" ref="AG113:AM114" si="86">AG9</f>
        <v>#DIV/0!</v>
      </c>
      <c r="AH113" s="4004" t="e">
        <f t="shared" si="86"/>
        <v>#DIV/0!</v>
      </c>
      <c r="AI113" s="4004" t="e">
        <f t="shared" si="86"/>
        <v>#DIV/0!</v>
      </c>
      <c r="AJ113" s="4004" t="e">
        <f t="shared" si="86"/>
        <v>#DIV/0!</v>
      </c>
      <c r="AK113" s="4004" t="e">
        <f t="shared" si="86"/>
        <v>#DIV/0!</v>
      </c>
      <c r="AL113" s="4004">
        <f t="shared" si="86"/>
        <v>0</v>
      </c>
      <c r="AM113" s="4004">
        <f t="shared" si="86"/>
        <v>0</v>
      </c>
      <c r="AN113" s="4017" t="e">
        <f>SUM(AB113:AM113)</f>
        <v>#DIV/0!</v>
      </c>
      <c r="AO113" s="4040">
        <f t="shared" ref="AO113:AT114" si="87">AO9</f>
        <v>176.47649587063378</v>
      </c>
      <c r="AP113" s="4017" t="e">
        <f t="shared" si="87"/>
        <v>#DIV/0!</v>
      </c>
      <c r="AQ113" s="4017" t="e">
        <f t="shared" si="87"/>
        <v>#DIV/0!</v>
      </c>
      <c r="AR113" s="4017">
        <f t="shared" si="87"/>
        <v>559.34415906864479</v>
      </c>
      <c r="AS113" s="4017" t="e">
        <f t="shared" si="87"/>
        <v>#DIV/0!</v>
      </c>
      <c r="AT113" s="4017" t="e">
        <f t="shared" si="87"/>
        <v>#DIV/0!</v>
      </c>
      <c r="AU113" s="4017" t="e">
        <f t="shared" ref="AU113:AY114" si="88">AU9</f>
        <v>#DIV/0!</v>
      </c>
      <c r="AV113" s="4040" t="e">
        <f t="shared" si="88"/>
        <v>#DIV/0!</v>
      </c>
      <c r="AW113" s="5448" t="e">
        <f t="shared" si="88"/>
        <v>#DIV/0!</v>
      </c>
      <c r="AX113" s="5221" t="e">
        <f t="shared" si="88"/>
        <v>#DIV/0!</v>
      </c>
      <c r="AY113" s="5448" t="e">
        <f t="shared" si="88"/>
        <v>#DIV/0!</v>
      </c>
      <c r="AZ113" s="5364"/>
      <c r="BA113" s="5377"/>
      <c r="BB113" s="4017" t="e">
        <f>BB9</f>
        <v>#DIV/0!</v>
      </c>
      <c r="BF113" s="7672"/>
      <c r="BG113" s="7733" t="s">
        <v>1231</v>
      </c>
      <c r="BH113" s="5156" t="s">
        <v>1474</v>
      </c>
      <c r="BI113" s="3359" t="s">
        <v>317</v>
      </c>
      <c r="BJ113" s="1839">
        <v>5375.46</v>
      </c>
      <c r="BK113" s="1463">
        <v>5472</v>
      </c>
      <c r="BL113" s="3360">
        <v>4957</v>
      </c>
      <c r="BM113" s="3361">
        <v>15.672921698496424</v>
      </c>
      <c r="BN113" s="2086">
        <v>14.446330299114988</v>
      </c>
      <c r="BO113" s="6439">
        <v>14.049374322802693</v>
      </c>
      <c r="BP113" s="6394">
        <v>14.049374322802693</v>
      </c>
      <c r="BQ113" s="6320"/>
      <c r="BR113" s="5448">
        <v>54427090.315488204</v>
      </c>
      <c r="BS113" s="4004">
        <v>5442709.0315488204</v>
      </c>
      <c r="BT113" s="5203">
        <v>192.72093563169037</v>
      </c>
      <c r="BU113" s="4004"/>
      <c r="BV113" s="4004"/>
      <c r="BW113" s="5412"/>
      <c r="BX113" s="3961"/>
    </row>
    <row r="114" spans="1:79" ht="17.45" customHeight="1">
      <c r="A114" s="7672"/>
      <c r="B114" s="7650"/>
      <c r="C114" s="3014" t="s">
        <v>519</v>
      </c>
      <c r="D114" s="3026" t="s">
        <v>317</v>
      </c>
      <c r="E114" s="4883">
        <f t="shared" ref="E114:P114" si="89">E10</f>
        <v>1.3320097622003733</v>
      </c>
      <c r="F114" s="4883">
        <f t="shared" si="89"/>
        <v>0.50114990082865885</v>
      </c>
      <c r="G114" s="4918">
        <f t="shared" si="89"/>
        <v>0.29049440059505921</v>
      </c>
      <c r="H114" s="4058">
        <f t="shared" si="89"/>
        <v>0.28948299834505609</v>
      </c>
      <c r="I114" s="3279">
        <f>I10</f>
        <v>0.18010187219582521</v>
      </c>
      <c r="J114" s="6157">
        <f t="shared" si="89"/>
        <v>8.4981622724085909E-2</v>
      </c>
      <c r="K114" s="6158">
        <f t="shared" si="89"/>
        <v>8.4981622724085909E-2</v>
      </c>
      <c r="L114" s="4919" t="e">
        <f t="shared" si="89"/>
        <v>#DIV/0!</v>
      </c>
      <c r="M114" s="4919" t="e">
        <f t="shared" si="89"/>
        <v>#DIV/0!</v>
      </c>
      <c r="N114" s="4919">
        <f t="shared" si="89"/>
        <v>0</v>
      </c>
      <c r="O114" s="4919" t="e">
        <f t="shared" si="89"/>
        <v>#DIV/0!</v>
      </c>
      <c r="P114" s="4919" t="e">
        <f t="shared" si="89"/>
        <v>#DIV/0!</v>
      </c>
      <c r="Q114" s="4919" t="e">
        <f t="shared" si="84"/>
        <v>#DIV/0!</v>
      </c>
      <c r="R114" s="4919" t="e">
        <f t="shared" si="84"/>
        <v>#DIV/0!</v>
      </c>
      <c r="S114" s="4919" t="e">
        <f t="shared" si="84"/>
        <v>#DIV/0!</v>
      </c>
      <c r="T114" s="4919" t="e">
        <f t="shared" si="84"/>
        <v>#DIV/0!</v>
      </c>
      <c r="U114" s="4919" t="e">
        <f t="shared" si="84"/>
        <v>#DIV/0!</v>
      </c>
      <c r="V114" s="4919" t="e">
        <f t="shared" si="84"/>
        <v>#DIV/0!</v>
      </c>
      <c r="W114" s="4919" t="e">
        <f t="shared" si="84"/>
        <v>#DIV/0!</v>
      </c>
      <c r="X114" s="6597">
        <f t="shared" si="84"/>
        <v>4.85821974525526E-2</v>
      </c>
      <c r="Y114" s="4041">
        <f t="shared" si="85"/>
        <v>13042046.770337969</v>
      </c>
      <c r="Z114" s="4005">
        <f t="shared" si="85"/>
        <v>1304204.6770337971</v>
      </c>
      <c r="AA114" s="3008">
        <f t="shared" si="85"/>
        <v>46.18059575778102</v>
      </c>
      <c r="AB114" s="4005" t="e">
        <f t="shared" si="85"/>
        <v>#DIV/0!</v>
      </c>
      <c r="AC114" s="4005" t="e">
        <f t="shared" si="85"/>
        <v>#DIV/0!</v>
      </c>
      <c r="AD114" s="4005">
        <f t="shared" si="85"/>
        <v>2411750.74674922</v>
      </c>
      <c r="AE114" s="4005" t="e">
        <f t="shared" si="85"/>
        <v>#DIV/0!</v>
      </c>
      <c r="AF114" s="4005" t="e">
        <f t="shared" si="85"/>
        <v>#DIV/0!</v>
      </c>
      <c r="AG114" s="4005" t="e">
        <f t="shared" si="86"/>
        <v>#DIV/0!</v>
      </c>
      <c r="AH114" s="4005" t="e">
        <f t="shared" si="86"/>
        <v>#DIV/0!</v>
      </c>
      <c r="AI114" s="4005" t="e">
        <f t="shared" si="86"/>
        <v>#DIV/0!</v>
      </c>
      <c r="AJ114" s="4005" t="e">
        <f t="shared" si="86"/>
        <v>#DIV/0!</v>
      </c>
      <c r="AK114" s="4005" t="e">
        <f t="shared" si="86"/>
        <v>#DIV/0!</v>
      </c>
      <c r="AL114" s="4005">
        <f t="shared" si="86"/>
        <v>0</v>
      </c>
      <c r="AM114" s="4005">
        <f t="shared" si="86"/>
        <v>0</v>
      </c>
      <c r="AN114" s="4017" t="e">
        <f t="shared" ref="AN114:AN180" si="90">SUM(AB114:AM114)</f>
        <v>#DIV/0!</v>
      </c>
      <c r="AO114" s="4041">
        <f t="shared" si="87"/>
        <v>46.18059575778102</v>
      </c>
      <c r="AP114" s="3008" t="e">
        <f t="shared" si="87"/>
        <v>#DIV/0!</v>
      </c>
      <c r="AQ114" s="3008" t="e">
        <f t="shared" si="87"/>
        <v>#DIV/0!</v>
      </c>
      <c r="AR114" s="3008">
        <f t="shared" si="87"/>
        <v>87.438918645456553</v>
      </c>
      <c r="AS114" s="3008" t="e">
        <f t="shared" si="87"/>
        <v>#DIV/0!</v>
      </c>
      <c r="AT114" s="3008" t="e">
        <f t="shared" si="87"/>
        <v>#DIV/0!</v>
      </c>
      <c r="AU114" s="3008" t="e">
        <f t="shared" si="88"/>
        <v>#DIV/0!</v>
      </c>
      <c r="AV114" s="4041" t="e">
        <f t="shared" si="88"/>
        <v>#DIV/0!</v>
      </c>
      <c r="AW114" s="5365" t="e">
        <f t="shared" si="88"/>
        <v>#DIV/0!</v>
      </c>
      <c r="AX114" s="3953" t="e">
        <f t="shared" si="88"/>
        <v>#DIV/0!</v>
      </c>
      <c r="AY114" s="5365" t="e">
        <f t="shared" si="88"/>
        <v>#DIV/0!</v>
      </c>
      <c r="AZ114" s="3500"/>
      <c r="BA114" s="5378"/>
      <c r="BB114" s="3008" t="e">
        <f>BB10</f>
        <v>#DIV/0!</v>
      </c>
      <c r="BF114" s="7672"/>
      <c r="BG114" s="7650"/>
      <c r="BH114" s="5163" t="s">
        <v>1477</v>
      </c>
      <c r="BI114" s="4031" t="s">
        <v>317</v>
      </c>
      <c r="BJ114" s="3374">
        <v>446.18</v>
      </c>
      <c r="BK114" s="3373">
        <v>164.74000000000004</v>
      </c>
      <c r="BL114" s="3363">
        <v>141.53</v>
      </c>
      <c r="BM114" s="4691">
        <v>0.28948299834505609</v>
      </c>
      <c r="BN114" s="6441">
        <v>0.18051997773218101</v>
      </c>
      <c r="BO114" s="6397">
        <v>8.4981622724085909E-2</v>
      </c>
      <c r="BP114" s="5248">
        <v>8.4981622724085909E-2</v>
      </c>
      <c r="BQ114" s="6321"/>
      <c r="BR114" s="5365">
        <v>13099373.701147897</v>
      </c>
      <c r="BS114" s="4005">
        <v>1309937.3701147898</v>
      </c>
      <c r="BT114" s="4686">
        <v>46.383584741365148</v>
      </c>
      <c r="BU114" s="4005"/>
      <c r="BV114" s="4005"/>
      <c r="BW114" s="5413"/>
      <c r="BX114" s="3341"/>
    </row>
    <row r="115" spans="1:79" ht="17.45" customHeight="1">
      <c r="A115" s="7672"/>
      <c r="B115" s="7650"/>
      <c r="C115" s="3014" t="s">
        <v>1033</v>
      </c>
      <c r="D115" s="3026" t="s">
        <v>317</v>
      </c>
      <c r="E115" s="4883">
        <f t="shared" ref="E115:P115" si="91">E17</f>
        <v>2.4140251331535829</v>
      </c>
      <c r="F115" s="4883">
        <f t="shared" si="91"/>
        <v>2.4714045825677471</v>
      </c>
      <c r="G115" s="4918">
        <f t="shared" si="91"/>
        <v>2.7029633942223721</v>
      </c>
      <c r="H115" s="4058">
        <f t="shared" si="91"/>
        <v>3.0393400020441059</v>
      </c>
      <c r="I115" s="3279">
        <f>I17</f>
        <v>2.2803366911444933</v>
      </c>
      <c r="J115" s="6157">
        <f t="shared" si="91"/>
        <v>1.4852195712677134</v>
      </c>
      <c r="K115" s="6158">
        <f t="shared" si="91"/>
        <v>1.4852195712677132</v>
      </c>
      <c r="L115" s="4919" t="e">
        <f t="shared" si="91"/>
        <v>#DIV/0!</v>
      </c>
      <c r="M115" s="4919" t="e">
        <f t="shared" si="91"/>
        <v>#DIV/0!</v>
      </c>
      <c r="N115" s="4919">
        <f t="shared" si="91"/>
        <v>1.9204470142251575</v>
      </c>
      <c r="O115" s="4919" t="e">
        <f t="shared" si="91"/>
        <v>#DIV/0!</v>
      </c>
      <c r="P115" s="4919" t="e">
        <f t="shared" si="91"/>
        <v>#DIV/0!</v>
      </c>
      <c r="Q115" s="4919" t="e">
        <f t="shared" ref="Q115:X115" si="92">Q17</f>
        <v>#DIV/0!</v>
      </c>
      <c r="R115" s="4919" t="e">
        <f t="shared" si="92"/>
        <v>#DIV/0!</v>
      </c>
      <c r="S115" s="4919" t="e">
        <f t="shared" si="92"/>
        <v>#DIV/0!</v>
      </c>
      <c r="T115" s="4919" t="e">
        <f t="shared" si="92"/>
        <v>#DIV/0!</v>
      </c>
      <c r="U115" s="4919" t="e">
        <f t="shared" si="92"/>
        <v>#DIV/0!</v>
      </c>
      <c r="V115" s="4919" t="e">
        <f t="shared" si="92"/>
        <v>#DIV/0!</v>
      </c>
      <c r="W115" s="4919" t="e">
        <f t="shared" si="92"/>
        <v>#DIV/0!</v>
      </c>
      <c r="X115" s="6597">
        <f t="shared" si="92"/>
        <v>2.0741697882541299</v>
      </c>
      <c r="Y115" s="4041">
        <f t="shared" ref="Y115:AF115" si="93">Y17</f>
        <v>109019422.49857479</v>
      </c>
      <c r="Z115" s="4005">
        <f t="shared" si="93"/>
        <v>10901942.249857485</v>
      </c>
      <c r="AA115" s="3008">
        <f t="shared" si="93"/>
        <v>386.02697634881696</v>
      </c>
      <c r="AB115" s="4005" t="e">
        <f t="shared" si="93"/>
        <v>#DIV/0!</v>
      </c>
      <c r="AC115" s="4005" t="e">
        <f t="shared" si="93"/>
        <v>#DIV/0!</v>
      </c>
      <c r="AD115" s="4005">
        <f t="shared" si="93"/>
        <v>4819295.8045089282</v>
      </c>
      <c r="AE115" s="4005" t="e">
        <f t="shared" si="93"/>
        <v>#DIV/0!</v>
      </c>
      <c r="AF115" s="4005" t="e">
        <f t="shared" si="93"/>
        <v>#DIV/0!</v>
      </c>
      <c r="AG115" s="4005" t="e">
        <f t="shared" ref="AG115:AM115" si="94">AG17</f>
        <v>#DIV/0!</v>
      </c>
      <c r="AH115" s="4005" t="e">
        <f t="shared" si="94"/>
        <v>#DIV/0!</v>
      </c>
      <c r="AI115" s="4005" t="e">
        <f t="shared" si="94"/>
        <v>#DIV/0!</v>
      </c>
      <c r="AJ115" s="4005" t="e">
        <f t="shared" si="94"/>
        <v>#DIV/0!</v>
      </c>
      <c r="AK115" s="4005" t="e">
        <f t="shared" si="94"/>
        <v>#DIV/0!</v>
      </c>
      <c r="AL115" s="4005">
        <f t="shared" si="94"/>
        <v>0</v>
      </c>
      <c r="AM115" s="4005">
        <f t="shared" si="94"/>
        <v>0</v>
      </c>
      <c r="AN115" s="4017" t="e">
        <f t="shared" si="90"/>
        <v>#DIV/0!</v>
      </c>
      <c r="AO115" s="4041">
        <f t="shared" ref="AO115:AT115" si="95">AO17</f>
        <v>386.02697634881696</v>
      </c>
      <c r="AP115" s="3008" t="e">
        <f t="shared" si="95"/>
        <v>#DIV/0!</v>
      </c>
      <c r="AQ115" s="3008" t="e">
        <f t="shared" si="95"/>
        <v>#DIV/0!</v>
      </c>
      <c r="AR115" s="3008">
        <f t="shared" si="95"/>
        <v>174.72535847530676</v>
      </c>
      <c r="AS115" s="3008" t="e">
        <f t="shared" si="95"/>
        <v>#DIV/0!</v>
      </c>
      <c r="AT115" s="3008" t="e">
        <f t="shared" si="95"/>
        <v>#DIV/0!</v>
      </c>
      <c r="AU115" s="3008" t="e">
        <f>AU17</f>
        <v>#DIV/0!</v>
      </c>
      <c r="AV115" s="4041" t="e">
        <f>AV17</f>
        <v>#DIV/0!</v>
      </c>
      <c r="AW115" s="5365" t="e">
        <f>AW17</f>
        <v>#DIV/0!</v>
      </c>
      <c r="AX115" s="3953" t="e">
        <f>AX17</f>
        <v>#DIV/0!</v>
      </c>
      <c r="AY115" s="5365" t="e">
        <f>AY17</f>
        <v>#DIV/0!</v>
      </c>
      <c r="AZ115" s="3500"/>
      <c r="BA115" s="5378"/>
      <c r="BB115" s="3008" t="e">
        <f>BB17</f>
        <v>#DIV/0!</v>
      </c>
      <c r="BF115" s="7672"/>
      <c r="BG115" s="7650"/>
      <c r="BH115" s="5163" t="s">
        <v>1478</v>
      </c>
      <c r="BI115" s="4031" t="s">
        <v>317</v>
      </c>
      <c r="BJ115" s="3374">
        <v>808.61999999999989</v>
      </c>
      <c r="BK115" s="3373">
        <v>812.41000000000008</v>
      </c>
      <c r="BL115" s="3363">
        <v>894.74</v>
      </c>
      <c r="BM115" s="4691">
        <v>3.0393400020441059</v>
      </c>
      <c r="BN115" s="6441">
        <v>2.2482719500357766</v>
      </c>
      <c r="BO115" s="6397">
        <v>1.4852195712677134</v>
      </c>
      <c r="BP115" s="5248">
        <v>1.4852195712677132</v>
      </c>
      <c r="BQ115" s="6321"/>
      <c r="BR115" s="5365">
        <v>104622988.97846606</v>
      </c>
      <c r="BS115" s="4005">
        <v>10462298.897846607</v>
      </c>
      <c r="BT115" s="4686">
        <v>370.45964073475841</v>
      </c>
      <c r="BU115" s="4005"/>
      <c r="BV115" s="4005"/>
      <c r="BW115" s="5413"/>
      <c r="BX115" s="3341"/>
    </row>
    <row r="116" spans="1:79" ht="17.45" customHeight="1">
      <c r="A116" s="7672"/>
      <c r="B116" s="7650"/>
      <c r="C116" s="3014" t="s">
        <v>1227</v>
      </c>
      <c r="D116" s="3026" t="s">
        <v>317</v>
      </c>
      <c r="E116" s="4920"/>
      <c r="F116" s="4920"/>
      <c r="G116" s="4921"/>
      <c r="H116" s="6496"/>
      <c r="I116" s="3279">
        <f>I24</f>
        <v>0.15288620997446031</v>
      </c>
      <c r="J116" s="6494">
        <f t="shared" ref="J116:BB116" si="96">J24</f>
        <v>3.5409009468369126E-2</v>
      </c>
      <c r="K116" s="6493">
        <f t="shared" si="96"/>
        <v>3.5409009468369126E-2</v>
      </c>
      <c r="L116" s="6497" t="e">
        <f t="shared" si="96"/>
        <v>#DIV/0!</v>
      </c>
      <c r="M116" s="6498" t="e">
        <f t="shared" si="96"/>
        <v>#DIV/0!</v>
      </c>
      <c r="N116" s="6498">
        <f t="shared" si="96"/>
        <v>0</v>
      </c>
      <c r="O116" s="6498" t="e">
        <f t="shared" si="96"/>
        <v>#DIV/0!</v>
      </c>
      <c r="P116" s="6498" t="e">
        <f t="shared" si="96"/>
        <v>#DIV/0!</v>
      </c>
      <c r="Q116" s="6498" t="e">
        <f t="shared" si="96"/>
        <v>#DIV/0!</v>
      </c>
      <c r="R116" s="6498" t="e">
        <f t="shared" si="96"/>
        <v>#DIV/0!</v>
      </c>
      <c r="S116" s="6498" t="e">
        <f t="shared" si="96"/>
        <v>#DIV/0!</v>
      </c>
      <c r="T116" s="6498" t="e">
        <f t="shared" si="96"/>
        <v>#DIV/0!</v>
      </c>
      <c r="U116" s="6498" t="e">
        <f t="shared" si="96"/>
        <v>#DIV/0!</v>
      </c>
      <c r="V116" s="6498" t="e">
        <f t="shared" si="96"/>
        <v>#DIV/0!</v>
      </c>
      <c r="W116" s="6498" t="e">
        <f t="shared" si="96"/>
        <v>#DIV/0!</v>
      </c>
      <c r="X116" s="6598">
        <f t="shared" si="96"/>
        <v>0</v>
      </c>
      <c r="Y116" s="6497">
        <f t="shared" si="96"/>
        <v>16107434.031741263</v>
      </c>
      <c r="Z116" s="6492">
        <f t="shared" si="96"/>
        <v>1610743.4031741263</v>
      </c>
      <c r="AA116" s="6492">
        <f t="shared" si="96"/>
        <v>57.03482841410576</v>
      </c>
      <c r="AB116" s="6492" t="e">
        <f t="shared" si="96"/>
        <v>#DIV/0!</v>
      </c>
      <c r="AC116" s="6492">
        <f t="shared" si="96"/>
        <v>0</v>
      </c>
      <c r="AD116" s="6492">
        <f t="shared" si="96"/>
        <v>0</v>
      </c>
      <c r="AE116" s="6492">
        <f t="shared" si="96"/>
        <v>0</v>
      </c>
      <c r="AF116" s="6492">
        <f t="shared" si="96"/>
        <v>0</v>
      </c>
      <c r="AG116" s="6492">
        <f t="shared" si="96"/>
        <v>0</v>
      </c>
      <c r="AH116" s="6492">
        <f t="shared" si="96"/>
        <v>0</v>
      </c>
      <c r="AI116" s="6492">
        <f t="shared" si="96"/>
        <v>0</v>
      </c>
      <c r="AJ116" s="6492">
        <f t="shared" si="96"/>
        <v>0</v>
      </c>
      <c r="AK116" s="6492">
        <f t="shared" si="96"/>
        <v>0</v>
      </c>
      <c r="AL116" s="6492">
        <f t="shared" si="96"/>
        <v>0</v>
      </c>
      <c r="AM116" s="6492">
        <f t="shared" si="96"/>
        <v>0</v>
      </c>
      <c r="AN116" s="6492" t="e">
        <f t="shared" si="96"/>
        <v>#DIV/0!</v>
      </c>
      <c r="AO116" s="6492">
        <f t="shared" si="96"/>
        <v>57.03482841410576</v>
      </c>
      <c r="AP116" s="6492">
        <f t="shared" si="96"/>
        <v>0</v>
      </c>
      <c r="AQ116" s="6492">
        <f t="shared" si="96"/>
        <v>0</v>
      </c>
      <c r="AR116" s="6492">
        <f t="shared" si="96"/>
        <v>0</v>
      </c>
      <c r="AS116" s="6492">
        <f t="shared" si="96"/>
        <v>0</v>
      </c>
      <c r="AT116" s="6492">
        <f t="shared" si="96"/>
        <v>0</v>
      </c>
      <c r="AU116" s="6492">
        <f t="shared" si="96"/>
        <v>0</v>
      </c>
      <c r="AV116" s="6492">
        <f t="shared" si="96"/>
        <v>0</v>
      </c>
      <c r="AW116" s="6492">
        <f t="shared" si="96"/>
        <v>0</v>
      </c>
      <c r="AX116" s="6492">
        <f t="shared" si="96"/>
        <v>0</v>
      </c>
      <c r="AY116" s="6492">
        <f t="shared" si="96"/>
        <v>0</v>
      </c>
      <c r="AZ116" s="6492">
        <f t="shared" si="96"/>
        <v>0</v>
      </c>
      <c r="BA116" s="6492">
        <f t="shared" si="96"/>
        <v>0</v>
      </c>
      <c r="BB116" s="6492" t="e">
        <f t="shared" si="96"/>
        <v>#DIV/0!</v>
      </c>
      <c r="BF116" s="7672"/>
      <c r="BG116" s="7650"/>
      <c r="BH116" s="5163" t="s">
        <v>1479</v>
      </c>
      <c r="BI116" s="4031" t="s">
        <v>317</v>
      </c>
      <c r="BJ116" s="3375"/>
      <c r="BK116" s="3376"/>
      <c r="BL116" s="3364"/>
      <c r="BM116" s="4692"/>
      <c r="BN116" s="6441">
        <v>8.8450768599286897E-2</v>
      </c>
      <c r="BO116" s="6368">
        <v>3.5409009468369126E-2</v>
      </c>
      <c r="BP116" s="5248">
        <v>3.5409009468369126E-2</v>
      </c>
      <c r="BQ116" s="4926"/>
      <c r="BR116" s="4979">
        <v>7272616.5796270305</v>
      </c>
      <c r="BS116" s="4007">
        <v>727261.65796270315</v>
      </c>
      <c r="BT116" s="5205">
        <v>25.751614932783184</v>
      </c>
      <c r="BU116" s="4007"/>
      <c r="BV116" s="4007"/>
      <c r="BW116" s="5413"/>
      <c r="BX116" s="3341"/>
    </row>
    <row r="117" spans="1:79" ht="17.45" customHeight="1">
      <c r="A117" s="7672"/>
      <c r="B117" s="7650"/>
      <c r="C117" s="3014" t="s">
        <v>1228</v>
      </c>
      <c r="D117" s="3026" t="s">
        <v>317</v>
      </c>
      <c r="E117" s="4920"/>
      <c r="F117" s="4920"/>
      <c r="G117" s="4921"/>
      <c r="H117" s="4058">
        <f t="shared" ref="H117:P117" si="97">H31</f>
        <v>8.1613438418505643E-2</v>
      </c>
      <c r="I117" s="3279">
        <f>I31</f>
        <v>0.19172008824519624</v>
      </c>
      <c r="J117" s="6157">
        <f t="shared" si="97"/>
        <v>7.7899820830412081E-2</v>
      </c>
      <c r="K117" s="6158">
        <f t="shared" si="97"/>
        <v>7.7899820830412095E-2</v>
      </c>
      <c r="L117" s="4919" t="e">
        <f t="shared" si="97"/>
        <v>#DIV/0!</v>
      </c>
      <c r="M117" s="4919" t="e">
        <f t="shared" si="97"/>
        <v>#DIV/0!</v>
      </c>
      <c r="N117" s="4919">
        <f t="shared" si="97"/>
        <v>0</v>
      </c>
      <c r="O117" s="4919" t="e">
        <f t="shared" si="97"/>
        <v>#DIV/0!</v>
      </c>
      <c r="P117" s="4919" t="e">
        <f t="shared" si="97"/>
        <v>#DIV/0!</v>
      </c>
      <c r="Q117" s="4919" t="e">
        <f t="shared" ref="Q117:X117" si="98">Q31</f>
        <v>#DIV/0!</v>
      </c>
      <c r="R117" s="4919" t="e">
        <f t="shared" si="98"/>
        <v>#DIV/0!</v>
      </c>
      <c r="S117" s="4919" t="e">
        <f t="shared" si="98"/>
        <v>#DIV/0!</v>
      </c>
      <c r="T117" s="4919" t="e">
        <f t="shared" si="98"/>
        <v>#DIV/0!</v>
      </c>
      <c r="U117" s="4919" t="e">
        <f t="shared" si="98"/>
        <v>#DIV/0!</v>
      </c>
      <c r="V117" s="4919" t="e">
        <f t="shared" si="98"/>
        <v>#DIV/0!</v>
      </c>
      <c r="W117" s="4919" t="e">
        <f t="shared" si="98"/>
        <v>#DIV/0!</v>
      </c>
      <c r="X117" s="6597">
        <f t="shared" si="98"/>
        <v>0</v>
      </c>
      <c r="Y117" s="4043">
        <f t="shared" ref="Y117:AF117" si="99">Y31</f>
        <v>15606027.731004078</v>
      </c>
      <c r="Z117" s="4007">
        <f t="shared" si="99"/>
        <v>1560602.7731004076</v>
      </c>
      <c r="AA117" s="4019">
        <f t="shared" si="99"/>
        <v>55.259398369075463</v>
      </c>
      <c r="AB117" s="4007" t="e">
        <f t="shared" si="99"/>
        <v>#DIV/0!</v>
      </c>
      <c r="AC117" s="4007" t="e">
        <f t="shared" si="99"/>
        <v>#DIV/0!</v>
      </c>
      <c r="AD117" s="4007">
        <f t="shared" si="99"/>
        <v>2567330.7020897055</v>
      </c>
      <c r="AE117" s="4007" t="e">
        <f t="shared" si="99"/>
        <v>#DIV/0!</v>
      </c>
      <c r="AF117" s="4007" t="e">
        <f t="shared" si="99"/>
        <v>#DIV/0!</v>
      </c>
      <c r="AG117" s="4007" t="e">
        <f t="shared" ref="AG117:AM117" si="100">AG31</f>
        <v>#DIV/0!</v>
      </c>
      <c r="AH117" s="4007" t="e">
        <f t="shared" si="100"/>
        <v>#DIV/0!</v>
      </c>
      <c r="AI117" s="4007" t="e">
        <f t="shared" si="100"/>
        <v>#DIV/0!</v>
      </c>
      <c r="AJ117" s="4007" t="e">
        <f t="shared" si="100"/>
        <v>#DIV/0!</v>
      </c>
      <c r="AK117" s="4007" t="e">
        <f t="shared" si="100"/>
        <v>#DIV/0!</v>
      </c>
      <c r="AL117" s="4007">
        <f t="shared" si="100"/>
        <v>0</v>
      </c>
      <c r="AM117" s="4007">
        <f t="shared" si="100"/>
        <v>0</v>
      </c>
      <c r="AN117" s="4017" t="e">
        <f t="shared" si="90"/>
        <v>#DIV/0!</v>
      </c>
      <c r="AO117" s="4043">
        <f t="shared" ref="AO117:AT117" si="101">AO31</f>
        <v>55.259398369075463</v>
      </c>
      <c r="AP117" s="4019" t="e">
        <f t="shared" si="101"/>
        <v>#DIV/0!</v>
      </c>
      <c r="AQ117" s="4019" t="e">
        <f t="shared" si="101"/>
        <v>#DIV/0!</v>
      </c>
      <c r="AR117" s="4019">
        <f t="shared" si="101"/>
        <v>93.079527682778036</v>
      </c>
      <c r="AS117" s="4019" t="e">
        <f t="shared" si="101"/>
        <v>#DIV/0!</v>
      </c>
      <c r="AT117" s="4019" t="e">
        <f t="shared" si="101"/>
        <v>#DIV/0!</v>
      </c>
      <c r="AU117" s="4019" t="e">
        <f>AU31</f>
        <v>#DIV/0!</v>
      </c>
      <c r="AV117" s="4043" t="e">
        <f>AV31</f>
        <v>#DIV/0!</v>
      </c>
      <c r="AW117" s="4979" t="e">
        <f>AW31</f>
        <v>#DIV/0!</v>
      </c>
      <c r="AX117" s="5223" t="e">
        <f>AX31</f>
        <v>#DIV/0!</v>
      </c>
      <c r="AY117" s="4979" t="e">
        <f>AY31</f>
        <v>#DIV/0!</v>
      </c>
      <c r="AZ117" s="3544"/>
      <c r="BA117" s="4133"/>
      <c r="BB117" s="4019" t="e">
        <f>BB31</f>
        <v>#DIV/0!</v>
      </c>
      <c r="BF117" s="7672"/>
      <c r="BG117" s="7650"/>
      <c r="BH117" s="5163" t="s">
        <v>1480</v>
      </c>
      <c r="BI117" s="4031" t="s">
        <v>317</v>
      </c>
      <c r="BJ117" s="3375"/>
      <c r="BK117" s="3376"/>
      <c r="BL117" s="3364"/>
      <c r="BM117" s="4693">
        <v>8.1613438418505643E-2</v>
      </c>
      <c r="BN117" s="6441">
        <v>0.19216516540818529</v>
      </c>
      <c r="BO117" s="6397">
        <v>7.7899820830412081E-2</v>
      </c>
      <c r="BP117" s="5248">
        <v>7.7899820830412095E-2</v>
      </c>
      <c r="BQ117" s="6322"/>
      <c r="BR117" s="4979">
        <v>15667052.772552537</v>
      </c>
      <c r="BS117" s="4007">
        <v>1566705.2772552534</v>
      </c>
      <c r="BT117" s="5205">
        <v>55.47548199647516</v>
      </c>
      <c r="BU117" s="4007"/>
      <c r="BV117" s="4007"/>
      <c r="BW117" s="5413"/>
      <c r="BX117" s="3341"/>
    </row>
    <row r="118" spans="1:79" ht="17.45" customHeight="1">
      <c r="A118" s="7672"/>
      <c r="B118" s="7651"/>
      <c r="C118" s="3014" t="s">
        <v>334</v>
      </c>
      <c r="D118" s="3026" t="s">
        <v>317</v>
      </c>
      <c r="E118" s="4922">
        <f t="shared" ref="E118:J118" si="102">SUM(E113:E117)</f>
        <v>19.793740297473324</v>
      </c>
      <c r="F118" s="4922">
        <f t="shared" si="102"/>
        <v>19.618737907788905</v>
      </c>
      <c r="G118" s="4533">
        <f t="shared" si="102"/>
        <v>17.968299139968313</v>
      </c>
      <c r="H118" s="6151">
        <f t="shared" si="102"/>
        <v>19.083358137304089</v>
      </c>
      <c r="I118" s="6130">
        <f t="shared" si="102"/>
        <v>17.217915757710465</v>
      </c>
      <c r="J118" s="6157">
        <f t="shared" si="102"/>
        <v>15.732884347093274</v>
      </c>
      <c r="K118" s="6158">
        <f t="shared" ref="K118:R118" si="103">SUM(K113:K117)</f>
        <v>15.732884347093274</v>
      </c>
      <c r="L118" s="4919" t="e">
        <f t="shared" si="103"/>
        <v>#DIV/0!</v>
      </c>
      <c r="M118" s="4919" t="e">
        <f t="shared" si="103"/>
        <v>#DIV/0!</v>
      </c>
      <c r="N118" s="4919">
        <f t="shared" si="103"/>
        <v>15.18121159649802</v>
      </c>
      <c r="O118" s="4919" t="e">
        <f t="shared" si="103"/>
        <v>#DIV/0!</v>
      </c>
      <c r="P118" s="4919" t="e">
        <f t="shared" si="103"/>
        <v>#DIV/0!</v>
      </c>
      <c r="Q118" s="4919" t="e">
        <f t="shared" si="103"/>
        <v>#DIV/0!</v>
      </c>
      <c r="R118" s="4919" t="e">
        <f t="shared" si="103"/>
        <v>#DIV/0!</v>
      </c>
      <c r="S118" s="4919" t="e">
        <f t="shared" ref="S118:X118" si="104">SUM(S113:S117)</f>
        <v>#DIV/0!</v>
      </c>
      <c r="T118" s="4919" t="e">
        <f t="shared" si="104"/>
        <v>#DIV/0!</v>
      </c>
      <c r="U118" s="4919" t="e">
        <f t="shared" si="104"/>
        <v>#DIV/0!</v>
      </c>
      <c r="V118" s="4919" t="e">
        <f t="shared" si="104"/>
        <v>#DIV/0!</v>
      </c>
      <c r="W118" s="4919" t="e">
        <f t="shared" si="104"/>
        <v>#DIV/0!</v>
      </c>
      <c r="X118" s="6597">
        <f t="shared" si="104"/>
        <v>16.677833321006506</v>
      </c>
      <c r="Y118" s="4041">
        <f t="shared" ref="Y118:AF118" si="105">SUM(Y113:Y117)</f>
        <v>203614364.13646728</v>
      </c>
      <c r="Z118" s="4005">
        <f t="shared" si="105"/>
        <v>20361436.413646732</v>
      </c>
      <c r="AA118" s="3008">
        <f t="shared" si="105"/>
        <v>720.97829476041295</v>
      </c>
      <c r="AB118" s="4005" t="e">
        <f t="shared" si="105"/>
        <v>#DIV/0!</v>
      </c>
      <c r="AC118" s="4005" t="e">
        <f t="shared" si="105"/>
        <v>#DIV/0!</v>
      </c>
      <c r="AD118" s="4005">
        <f t="shared" si="105"/>
        <v>25226274.970078301</v>
      </c>
      <c r="AE118" s="4005" t="e">
        <f t="shared" si="105"/>
        <v>#DIV/0!</v>
      </c>
      <c r="AF118" s="4005" t="e">
        <f t="shared" si="105"/>
        <v>#DIV/0!</v>
      </c>
      <c r="AG118" s="4005" t="e">
        <f t="shared" ref="AG118:AM118" si="106">SUM(AG113:AG117)</f>
        <v>#DIV/0!</v>
      </c>
      <c r="AH118" s="4005" t="e">
        <f t="shared" si="106"/>
        <v>#DIV/0!</v>
      </c>
      <c r="AI118" s="4005" t="e">
        <f t="shared" si="106"/>
        <v>#DIV/0!</v>
      </c>
      <c r="AJ118" s="4005" t="e">
        <f t="shared" si="106"/>
        <v>#DIV/0!</v>
      </c>
      <c r="AK118" s="4005" t="e">
        <f t="shared" si="106"/>
        <v>#DIV/0!</v>
      </c>
      <c r="AL118" s="4005">
        <f t="shared" si="106"/>
        <v>0</v>
      </c>
      <c r="AM118" s="4005">
        <f t="shared" si="106"/>
        <v>0</v>
      </c>
      <c r="AN118" s="4017" t="e">
        <f t="shared" si="90"/>
        <v>#DIV/0!</v>
      </c>
      <c r="AO118" s="4041">
        <f t="shared" ref="AO118:AT118" si="107">SUM(AO113:AO117)</f>
        <v>720.97829476041295</v>
      </c>
      <c r="AP118" s="3008" t="e">
        <f t="shared" si="107"/>
        <v>#DIV/0!</v>
      </c>
      <c r="AQ118" s="3008" t="e">
        <f t="shared" si="107"/>
        <v>#DIV/0!</v>
      </c>
      <c r="AR118" s="3008">
        <f t="shared" si="107"/>
        <v>914.58796387218604</v>
      </c>
      <c r="AS118" s="3008" t="e">
        <f t="shared" si="107"/>
        <v>#DIV/0!</v>
      </c>
      <c r="AT118" s="3008" t="e">
        <f t="shared" si="107"/>
        <v>#DIV/0!</v>
      </c>
      <c r="AU118" s="3008" t="e">
        <f>SUM(AU113:AU117)</f>
        <v>#DIV/0!</v>
      </c>
      <c r="AV118" s="4041" t="e">
        <f>SUM(AV113:AV117)</f>
        <v>#DIV/0!</v>
      </c>
      <c r="AW118" s="5365" t="e">
        <f>SUM(AW113:AW117)</f>
        <v>#DIV/0!</v>
      </c>
      <c r="AX118" s="3953" t="e">
        <f>SUM(AX113:AX117)</f>
        <v>#DIV/0!</v>
      </c>
      <c r="AY118" s="5365" t="e">
        <f>SUM(AY113:AY117)</f>
        <v>#DIV/0!</v>
      </c>
      <c r="AZ118" s="3500"/>
      <c r="BA118" s="5378"/>
      <c r="BB118" s="3008" t="e">
        <f>SUM(BB113:BB117)</f>
        <v>#DIV/0!</v>
      </c>
      <c r="BF118" s="7672"/>
      <c r="BG118" s="7651"/>
      <c r="BH118" s="5163" t="s">
        <v>197</v>
      </c>
      <c r="BI118" s="4031" t="s">
        <v>317</v>
      </c>
      <c r="BJ118" s="4032">
        <v>6689.52</v>
      </c>
      <c r="BK118" s="4134">
        <v>6481.15</v>
      </c>
      <c r="BL118" s="3365">
        <v>6001.65</v>
      </c>
      <c r="BM118" s="4694">
        <v>19.083358137304089</v>
      </c>
      <c r="BN118" s="6441">
        <v>17.155738160890419</v>
      </c>
      <c r="BO118" s="6397">
        <v>15.732884347093274</v>
      </c>
      <c r="BP118" s="5248">
        <v>15.732884347093274</v>
      </c>
      <c r="BQ118" s="6321"/>
      <c r="BR118" s="5365">
        <v>195089122.34728175</v>
      </c>
      <c r="BS118" s="4005">
        <v>19508912.234728172</v>
      </c>
      <c r="BT118" s="4686">
        <v>690.79125803707223</v>
      </c>
      <c r="BU118" s="4005"/>
      <c r="BV118" s="4005"/>
      <c r="BW118" s="5413"/>
      <c r="BX118" s="3341"/>
    </row>
    <row r="119" spans="1:79" s="286" customFormat="1" ht="17.45" customHeight="1">
      <c r="A119" s="7672"/>
      <c r="B119" s="7682" t="s">
        <v>1389</v>
      </c>
      <c r="C119" s="7683"/>
      <c r="D119" s="3026" t="s">
        <v>1391</v>
      </c>
      <c r="E119" s="3021">
        <f t="shared" ref="E119:P119" si="108">E40</f>
        <v>6867</v>
      </c>
      <c r="F119" s="3021">
        <f t="shared" si="108"/>
        <v>1908</v>
      </c>
      <c r="G119" s="3365">
        <f t="shared" si="108"/>
        <v>1070.9100000000001</v>
      </c>
      <c r="H119" s="6152">
        <f t="shared" si="108"/>
        <v>2761.3699999999994</v>
      </c>
      <c r="I119" s="6131">
        <f>I40</f>
        <v>4115.1500000000005</v>
      </c>
      <c r="J119" s="6191">
        <f t="shared" si="108"/>
        <v>1500</v>
      </c>
      <c r="K119" s="6192">
        <f t="shared" si="108"/>
        <v>150</v>
      </c>
      <c r="L119" s="3370">
        <f t="shared" si="108"/>
        <v>0</v>
      </c>
      <c r="M119" s="4144">
        <f t="shared" si="108"/>
        <v>0</v>
      </c>
      <c r="N119" s="3370">
        <f t="shared" si="108"/>
        <v>11.42</v>
      </c>
      <c r="O119" s="4573">
        <f t="shared" si="108"/>
        <v>0</v>
      </c>
      <c r="P119" s="4573">
        <f t="shared" si="108"/>
        <v>0</v>
      </c>
      <c r="Q119" s="4573">
        <f t="shared" ref="Q119:X119" si="109">Q40</f>
        <v>0</v>
      </c>
      <c r="R119" s="4573">
        <f t="shared" si="109"/>
        <v>0</v>
      </c>
      <c r="S119" s="4573">
        <f t="shared" si="109"/>
        <v>0</v>
      </c>
      <c r="T119" s="4573">
        <f t="shared" si="109"/>
        <v>0</v>
      </c>
      <c r="U119" s="4573">
        <f t="shared" si="109"/>
        <v>0</v>
      </c>
      <c r="V119" s="4573">
        <f t="shared" si="109"/>
        <v>0</v>
      </c>
      <c r="W119" s="4573">
        <f t="shared" si="109"/>
        <v>0</v>
      </c>
      <c r="X119" s="5423">
        <f t="shared" si="109"/>
        <v>11.42</v>
      </c>
      <c r="Y119" s="4041">
        <f t="shared" ref="Y119:AF119" si="110">Y40</f>
        <v>48726041.415833347</v>
      </c>
      <c r="Z119" s="4005">
        <f t="shared" si="110"/>
        <v>4872604.1415833347</v>
      </c>
      <c r="AA119" s="3008">
        <f t="shared" si="110"/>
        <v>172.53408618493893</v>
      </c>
      <c r="AB119" s="4005">
        <f t="shared" si="110"/>
        <v>6389530.5346527789</v>
      </c>
      <c r="AC119" s="4005">
        <f t="shared" si="110"/>
        <v>6389530.5346527789</v>
      </c>
      <c r="AD119" s="4005">
        <f t="shared" si="110"/>
        <v>6176750.6203194447</v>
      </c>
      <c r="AE119" s="4005">
        <f t="shared" si="110"/>
        <v>6389530.5346527789</v>
      </c>
      <c r="AF119" s="4005">
        <f t="shared" si="110"/>
        <v>6389530.5346527789</v>
      </c>
      <c r="AG119" s="4005">
        <f t="shared" ref="AG119:AM119" si="111">AG40</f>
        <v>6389530.5346527789</v>
      </c>
      <c r="AH119" s="4005">
        <f t="shared" si="111"/>
        <v>6389530.5346527789</v>
      </c>
      <c r="AI119" s="4005">
        <f t="shared" si="111"/>
        <v>6389530.5346527789</v>
      </c>
      <c r="AJ119" s="4005">
        <f t="shared" si="111"/>
        <v>6389530.5346527789</v>
      </c>
      <c r="AK119" s="4005">
        <f t="shared" si="111"/>
        <v>6389530.5346527789</v>
      </c>
      <c r="AL119" s="4005">
        <f t="shared" si="111"/>
        <v>0</v>
      </c>
      <c r="AM119" s="4005">
        <f t="shared" si="111"/>
        <v>0</v>
      </c>
      <c r="AN119" s="4017">
        <f t="shared" si="90"/>
        <v>63682525.432194442</v>
      </c>
      <c r="AO119" s="4041">
        <f t="shared" ref="AO119:AT119" si="112">AO40</f>
        <v>172.53408618493893</v>
      </c>
      <c r="AP119" s="3008" t="e">
        <f t="shared" si="112"/>
        <v>#DIV/0!</v>
      </c>
      <c r="AQ119" s="3008" t="e">
        <f t="shared" si="112"/>
        <v>#DIV/0!</v>
      </c>
      <c r="AR119" s="3008">
        <f t="shared" si="112"/>
        <v>223.94038675487761</v>
      </c>
      <c r="AS119" s="3008" t="e">
        <f t="shared" si="112"/>
        <v>#DIV/0!</v>
      </c>
      <c r="AT119" s="3008" t="e">
        <f t="shared" si="112"/>
        <v>#DIV/0!</v>
      </c>
      <c r="AU119" s="3008" t="e">
        <f>AU40</f>
        <v>#DIV/0!</v>
      </c>
      <c r="AV119" s="4041" t="e">
        <f>AV40</f>
        <v>#DIV/0!</v>
      </c>
      <c r="AW119" s="5365" t="e">
        <f>AW40</f>
        <v>#DIV/0!</v>
      </c>
      <c r="AX119" s="3953" t="e">
        <f>AX40</f>
        <v>#DIV/0!</v>
      </c>
      <c r="AY119" s="5365" t="e">
        <f>AY40</f>
        <v>#DIV/0!</v>
      </c>
      <c r="AZ119" s="4144"/>
      <c r="BA119" s="4573"/>
      <c r="BB119" s="3008">
        <f>BB40</f>
        <v>2308.8336006149798</v>
      </c>
      <c r="BF119" s="7672"/>
      <c r="BG119" s="7662" t="s">
        <v>1389</v>
      </c>
      <c r="BH119" s="7663"/>
      <c r="BI119" s="4031" t="s">
        <v>1390</v>
      </c>
      <c r="BJ119" s="4032">
        <v>6867</v>
      </c>
      <c r="BK119" s="4134">
        <v>1908</v>
      </c>
      <c r="BL119" s="3365">
        <v>1070.9100000000001</v>
      </c>
      <c r="BM119" s="4694">
        <v>2761.3699999999994</v>
      </c>
      <c r="BN119" s="6407">
        <v>4115.1500000000005</v>
      </c>
      <c r="BO119" s="6368">
        <v>1500</v>
      </c>
      <c r="BP119" s="5235">
        <v>150</v>
      </c>
      <c r="BQ119" s="6323"/>
      <c r="BR119" s="5365">
        <v>48726041.415833347</v>
      </c>
      <c r="BS119" s="4005">
        <v>4872604.1415833347</v>
      </c>
      <c r="BT119" s="4686">
        <v>172.53408618493893</v>
      </c>
      <c r="BU119" s="4005"/>
      <c r="BV119" s="4005"/>
      <c r="BW119" s="5413"/>
      <c r="BX119" s="3341"/>
    </row>
    <row r="120" spans="1:79" ht="17.45" customHeight="1">
      <c r="A120" s="7672"/>
      <c r="B120" s="7649" t="s">
        <v>1232</v>
      </c>
      <c r="C120" s="3014" t="s">
        <v>1235</v>
      </c>
      <c r="D120" s="3026" t="s">
        <v>1236</v>
      </c>
      <c r="E120" s="3022">
        <f t="shared" ref="E120:J121" si="113">E46</f>
        <v>105</v>
      </c>
      <c r="F120" s="3022">
        <f t="shared" si="113"/>
        <v>46</v>
      </c>
      <c r="G120" s="3366">
        <f t="shared" si="113"/>
        <v>28</v>
      </c>
      <c r="H120" s="3366">
        <f t="shared" si="113"/>
        <v>30</v>
      </c>
      <c r="I120" s="6132">
        <f>I46</f>
        <v>20</v>
      </c>
      <c r="J120" s="6193">
        <f t="shared" si="113"/>
        <v>16</v>
      </c>
      <c r="K120" s="6195">
        <f t="shared" ref="K120:P121" si="114">K46</f>
        <v>1.6</v>
      </c>
      <c r="L120" s="3369">
        <f t="shared" si="114"/>
        <v>0</v>
      </c>
      <c r="M120" s="3369">
        <f t="shared" si="114"/>
        <v>0</v>
      </c>
      <c r="N120" s="3369">
        <f t="shared" si="114"/>
        <v>1</v>
      </c>
      <c r="O120" s="3369">
        <f t="shared" si="114"/>
        <v>0</v>
      </c>
      <c r="P120" s="3369">
        <f t="shared" si="114"/>
        <v>0</v>
      </c>
      <c r="Q120" s="3369">
        <f t="shared" ref="Q120:X121" si="115">Q46</f>
        <v>0</v>
      </c>
      <c r="R120" s="3369">
        <f t="shared" si="115"/>
        <v>0</v>
      </c>
      <c r="S120" s="3369">
        <f t="shared" si="115"/>
        <v>0</v>
      </c>
      <c r="T120" s="3369">
        <f t="shared" si="115"/>
        <v>0</v>
      </c>
      <c r="U120" s="3369">
        <f t="shared" si="115"/>
        <v>0</v>
      </c>
      <c r="V120" s="3369">
        <f t="shared" si="115"/>
        <v>0</v>
      </c>
      <c r="W120" s="3369">
        <f t="shared" si="115"/>
        <v>0</v>
      </c>
      <c r="X120" s="6599">
        <f t="shared" si="115"/>
        <v>1</v>
      </c>
      <c r="Y120" s="4042"/>
      <c r="Z120" s="4006"/>
      <c r="AA120" s="4018"/>
      <c r="AB120" s="4006"/>
      <c r="AC120" s="4006"/>
      <c r="AD120" s="4006"/>
      <c r="AE120" s="4006"/>
      <c r="AF120" s="4006"/>
      <c r="AG120" s="4006"/>
      <c r="AH120" s="4006"/>
      <c r="AI120" s="4006"/>
      <c r="AJ120" s="4006"/>
      <c r="AK120" s="4006"/>
      <c r="AL120" s="4006"/>
      <c r="AM120" s="4006"/>
      <c r="AN120" s="5400"/>
      <c r="AO120" s="4042"/>
      <c r="AP120" s="4018"/>
      <c r="AQ120" s="4018"/>
      <c r="AR120" s="4018"/>
      <c r="AS120" s="4018"/>
      <c r="AT120" s="4018"/>
      <c r="AU120" s="4018"/>
      <c r="AV120" s="4042"/>
      <c r="AW120" s="5449"/>
      <c r="AX120" s="5222"/>
      <c r="AY120" s="5449"/>
      <c r="AZ120" s="5366"/>
      <c r="BA120" s="4131"/>
      <c r="BB120" s="4018"/>
      <c r="BF120" s="7672"/>
      <c r="BG120" s="7733" t="s">
        <v>1232</v>
      </c>
      <c r="BH120" s="5163" t="s">
        <v>1235</v>
      </c>
      <c r="BI120" s="4031" t="s">
        <v>1434</v>
      </c>
      <c r="BJ120" s="3945">
        <v>105</v>
      </c>
      <c r="BK120" s="3389">
        <v>46</v>
      </c>
      <c r="BL120" s="3366">
        <v>28</v>
      </c>
      <c r="BM120" s="3389">
        <v>30</v>
      </c>
      <c r="BN120" s="6407">
        <v>20</v>
      </c>
      <c r="BO120" s="6368">
        <v>16</v>
      </c>
      <c r="BP120" s="6440">
        <v>1.6</v>
      </c>
      <c r="BQ120" s="6324"/>
      <c r="BR120" s="5449"/>
      <c r="BS120" s="4006"/>
      <c r="BT120" s="5204"/>
      <c r="BU120" s="4006"/>
      <c r="BV120" s="4006"/>
      <c r="BW120" s="4018"/>
      <c r="BX120" s="3341"/>
    </row>
    <row r="121" spans="1:79" ht="17.45" customHeight="1">
      <c r="A121" s="7672"/>
      <c r="B121" s="7651"/>
      <c r="C121" s="3014" t="s">
        <v>1217</v>
      </c>
      <c r="D121" s="3026" t="s">
        <v>1219</v>
      </c>
      <c r="E121" s="3022">
        <f t="shared" si="113"/>
        <v>166.75</v>
      </c>
      <c r="F121" s="3022">
        <f t="shared" si="113"/>
        <v>58.35</v>
      </c>
      <c r="G121" s="3366">
        <f t="shared" si="113"/>
        <v>39.266666666666673</v>
      </c>
      <c r="H121" s="3366">
        <f t="shared" si="113"/>
        <v>33.616666666666667</v>
      </c>
      <c r="I121" s="6132">
        <f>I47</f>
        <v>31.383333333333333</v>
      </c>
      <c r="J121" s="6193">
        <f t="shared" si="113"/>
        <v>23.5</v>
      </c>
      <c r="K121" s="6195">
        <f t="shared" si="114"/>
        <v>2.3499999999999996</v>
      </c>
      <c r="L121" s="3369">
        <f t="shared" si="114"/>
        <v>0</v>
      </c>
      <c r="M121" s="3369">
        <f t="shared" si="114"/>
        <v>0</v>
      </c>
      <c r="N121" s="3369">
        <f t="shared" si="114"/>
        <v>0.66666666666666663</v>
      </c>
      <c r="O121" s="3369">
        <f t="shared" si="114"/>
        <v>0</v>
      </c>
      <c r="P121" s="3369">
        <f t="shared" si="114"/>
        <v>0</v>
      </c>
      <c r="Q121" s="3369">
        <f t="shared" si="115"/>
        <v>0</v>
      </c>
      <c r="R121" s="3369">
        <f t="shared" si="115"/>
        <v>0</v>
      </c>
      <c r="S121" s="3369">
        <f t="shared" si="115"/>
        <v>0</v>
      </c>
      <c r="T121" s="3369">
        <f t="shared" si="115"/>
        <v>0</v>
      </c>
      <c r="U121" s="3369">
        <f t="shared" si="115"/>
        <v>0</v>
      </c>
      <c r="V121" s="3369">
        <f t="shared" si="115"/>
        <v>0</v>
      </c>
      <c r="W121" s="3369">
        <f t="shared" si="115"/>
        <v>0</v>
      </c>
      <c r="X121" s="6599">
        <f t="shared" si="115"/>
        <v>0.66666666666666663</v>
      </c>
      <c r="Y121" s="4041">
        <f t="shared" ref="Y121:AF121" si="116">Y47</f>
        <v>8813038.4833333325</v>
      </c>
      <c r="Z121" s="4005">
        <f t="shared" si="116"/>
        <v>881303.84833333362</v>
      </c>
      <c r="AA121" s="3008">
        <f t="shared" si="116"/>
        <v>31.206096310145149</v>
      </c>
      <c r="AB121" s="4005">
        <f t="shared" si="116"/>
        <v>2923705.3319444442</v>
      </c>
      <c r="AC121" s="4005">
        <f t="shared" si="116"/>
        <v>2923705.3319444442</v>
      </c>
      <c r="AD121" s="4005">
        <f t="shared" si="116"/>
        <v>2178416.6652777777</v>
      </c>
      <c r="AE121" s="4005">
        <f t="shared" si="116"/>
        <v>2923705.3319444442</v>
      </c>
      <c r="AF121" s="4005">
        <f t="shared" si="116"/>
        <v>2923705.3319444442</v>
      </c>
      <c r="AG121" s="4005">
        <f t="shared" ref="AG121:AM121" si="117">AG47</f>
        <v>2923705.3319444442</v>
      </c>
      <c r="AH121" s="4005">
        <f t="shared" si="117"/>
        <v>2923705.3319444442</v>
      </c>
      <c r="AI121" s="4005">
        <f t="shared" si="117"/>
        <v>2923705.3319444442</v>
      </c>
      <c r="AJ121" s="4005">
        <f t="shared" si="117"/>
        <v>2923705.3319444442</v>
      </c>
      <c r="AK121" s="4005">
        <f t="shared" si="117"/>
        <v>2923705.3319444442</v>
      </c>
      <c r="AL121" s="4005">
        <f t="shared" si="117"/>
        <v>0</v>
      </c>
      <c r="AM121" s="4005">
        <f t="shared" si="117"/>
        <v>0</v>
      </c>
      <c r="AN121" s="4017">
        <f t="shared" si="90"/>
        <v>28491764.652777769</v>
      </c>
      <c r="AO121" s="4041">
        <f t="shared" ref="AO121:AT121" si="118">AO47</f>
        <v>31.206096310145149</v>
      </c>
      <c r="AP121" s="3008" t="e">
        <f t="shared" si="118"/>
        <v>#REF!</v>
      </c>
      <c r="AQ121" s="3008" t="e">
        <f t="shared" si="118"/>
        <v>#REF!</v>
      </c>
      <c r="AR121" s="3008" t="e">
        <f t="shared" si="118"/>
        <v>#REF!</v>
      </c>
      <c r="AS121" s="3008" t="e">
        <f t="shared" si="118"/>
        <v>#REF!</v>
      </c>
      <c r="AT121" s="3008" t="e">
        <f t="shared" si="118"/>
        <v>#REF!</v>
      </c>
      <c r="AU121" s="3008" t="e">
        <f>AU47</f>
        <v>#REF!</v>
      </c>
      <c r="AV121" s="4041" t="e">
        <f>AV47</f>
        <v>#REF!</v>
      </c>
      <c r="AW121" s="5365" t="e">
        <f>AW47</f>
        <v>#REF!</v>
      </c>
      <c r="AX121" s="3953" t="e">
        <f>AX47</f>
        <v>#REF!</v>
      </c>
      <c r="AY121" s="5365" t="e">
        <f>AY47</f>
        <v>#REF!</v>
      </c>
      <c r="AZ121" s="3500"/>
      <c r="BA121" s="5378"/>
      <c r="BB121" s="3008">
        <f>BB47</f>
        <v>1032.9795045767971</v>
      </c>
      <c r="BF121" s="7672"/>
      <c r="BG121" s="7651"/>
      <c r="BH121" s="5163" t="s">
        <v>1217</v>
      </c>
      <c r="BI121" s="4031" t="s">
        <v>1435</v>
      </c>
      <c r="BJ121" s="3945">
        <v>166.75</v>
      </c>
      <c r="BK121" s="3389">
        <v>58.35</v>
      </c>
      <c r="BL121" s="3366">
        <v>39.266666666666673</v>
      </c>
      <c r="BM121" s="3389">
        <v>33.616666666666667</v>
      </c>
      <c r="BN121" s="6407">
        <v>31.383333333333333</v>
      </c>
      <c r="BO121" s="6368">
        <v>23.5</v>
      </c>
      <c r="BP121" s="6440">
        <v>2.3499999999999996</v>
      </c>
      <c r="BQ121" s="6325"/>
      <c r="BR121" s="5365">
        <v>8813038.4833333325</v>
      </c>
      <c r="BS121" s="4005">
        <v>881303.84833333362</v>
      </c>
      <c r="BT121" s="4686">
        <v>31.206096310145149</v>
      </c>
      <c r="BU121" s="4005"/>
      <c r="BV121" s="4005"/>
      <c r="BW121" s="5413"/>
      <c r="BX121" s="3341"/>
    </row>
    <row r="122" spans="1:79" ht="17.45" customHeight="1">
      <c r="A122" s="7672"/>
      <c r="B122" s="7684" t="s">
        <v>1233</v>
      </c>
      <c r="C122" s="7684"/>
      <c r="D122" s="3038" t="s">
        <v>1236</v>
      </c>
      <c r="E122" s="3024">
        <f t="shared" ref="E122:P122" si="119">E60</f>
        <v>5</v>
      </c>
      <c r="F122" s="3024">
        <f t="shared" si="119"/>
        <v>3</v>
      </c>
      <c r="G122" s="3367">
        <f t="shared" si="119"/>
        <v>0</v>
      </c>
      <c r="H122" s="5242">
        <f t="shared" si="119"/>
        <v>3</v>
      </c>
      <c r="I122" s="6133">
        <f>I60</f>
        <v>1</v>
      </c>
      <c r="J122" s="6193">
        <f t="shared" si="119"/>
        <v>0.9</v>
      </c>
      <c r="K122" s="6195">
        <f t="shared" si="119"/>
        <v>7.4999999999999997E-2</v>
      </c>
      <c r="L122" s="3369">
        <f t="shared" si="119"/>
        <v>0</v>
      </c>
      <c r="M122" s="3369">
        <f t="shared" si="119"/>
        <v>0</v>
      </c>
      <c r="N122" s="3369">
        <f t="shared" si="119"/>
        <v>0</v>
      </c>
      <c r="O122" s="3369">
        <f t="shared" si="119"/>
        <v>0</v>
      </c>
      <c r="P122" s="3369">
        <f t="shared" si="119"/>
        <v>0</v>
      </c>
      <c r="Q122" s="3369">
        <f t="shared" ref="Q122:X122" si="120">Q60</f>
        <v>0</v>
      </c>
      <c r="R122" s="3369">
        <f t="shared" si="120"/>
        <v>0</v>
      </c>
      <c r="S122" s="3369">
        <f t="shared" si="120"/>
        <v>0</v>
      </c>
      <c r="T122" s="3369">
        <f t="shared" si="120"/>
        <v>0</v>
      </c>
      <c r="U122" s="3369">
        <f t="shared" si="120"/>
        <v>0</v>
      </c>
      <c r="V122" s="3369">
        <f t="shared" si="120"/>
        <v>0</v>
      </c>
      <c r="W122" s="3369">
        <f t="shared" si="120"/>
        <v>0</v>
      </c>
      <c r="X122" s="6599">
        <f t="shared" si="120"/>
        <v>0</v>
      </c>
      <c r="Y122" s="4041">
        <f t="shared" ref="Y122:AF122" si="121">Y60</f>
        <v>262036.39999999991</v>
      </c>
      <c r="Z122" s="4005">
        <f t="shared" si="121"/>
        <v>218363.66666666666</v>
      </c>
      <c r="AA122" s="3008">
        <f t="shared" si="121"/>
        <v>0.92784493686573577</v>
      </c>
      <c r="AB122" s="4005">
        <f t="shared" si="121"/>
        <v>21836.366666666658</v>
      </c>
      <c r="AC122" s="4005">
        <f t="shared" si="121"/>
        <v>21836.366666666658</v>
      </c>
      <c r="AD122" s="4005">
        <f t="shared" si="121"/>
        <v>21836.366666666658</v>
      </c>
      <c r="AE122" s="4005">
        <f t="shared" si="121"/>
        <v>21836.366666666658</v>
      </c>
      <c r="AF122" s="4005">
        <f t="shared" si="121"/>
        <v>21836.366666666658</v>
      </c>
      <c r="AG122" s="4005">
        <f t="shared" ref="AG122:AM122" si="122">AG60</f>
        <v>21836.366666666658</v>
      </c>
      <c r="AH122" s="4005">
        <f t="shared" si="122"/>
        <v>21836.366666666658</v>
      </c>
      <c r="AI122" s="4005">
        <f t="shared" si="122"/>
        <v>21836.366666666658</v>
      </c>
      <c r="AJ122" s="4005">
        <f t="shared" si="122"/>
        <v>21836.366666666658</v>
      </c>
      <c r="AK122" s="4005">
        <f t="shared" si="122"/>
        <v>21836.366666666658</v>
      </c>
      <c r="AL122" s="4005">
        <f t="shared" si="122"/>
        <v>0</v>
      </c>
      <c r="AM122" s="4005">
        <f t="shared" si="122"/>
        <v>0</v>
      </c>
      <c r="AN122" s="4017">
        <f t="shared" si="90"/>
        <v>218363.6666666666</v>
      </c>
      <c r="AO122" s="4041">
        <f t="shared" ref="AO122:AT122" si="123">AO60</f>
        <v>0.92784493686573577</v>
      </c>
      <c r="AP122" s="3008" t="e">
        <f t="shared" si="123"/>
        <v>#DIV/0!</v>
      </c>
      <c r="AQ122" s="3008" t="e">
        <f t="shared" si="123"/>
        <v>#DIV/0!</v>
      </c>
      <c r="AR122" s="3008">
        <f t="shared" si="123"/>
        <v>0.7916855798853264</v>
      </c>
      <c r="AS122" s="3008" t="e">
        <f t="shared" si="123"/>
        <v>#DIV/0!</v>
      </c>
      <c r="AT122" s="3008" t="e">
        <f t="shared" si="123"/>
        <v>#DIV/0!</v>
      </c>
      <c r="AU122" s="3008" t="e">
        <f>AU60</f>
        <v>#DIV/0!</v>
      </c>
      <c r="AV122" s="4041" t="e">
        <f>AV60</f>
        <v>#DIV/0!</v>
      </c>
      <c r="AW122" s="5365" t="e">
        <f>AW60</f>
        <v>#DIV/0!</v>
      </c>
      <c r="AX122" s="3953" t="e">
        <f>AX60</f>
        <v>#DIV/0!</v>
      </c>
      <c r="AY122" s="5365" t="e">
        <f>AY60</f>
        <v>#DIV/0!</v>
      </c>
      <c r="AZ122" s="3500"/>
      <c r="BA122" s="5378"/>
      <c r="BB122" s="3008">
        <f>BB60</f>
        <v>7.9168557988532644</v>
      </c>
      <c r="BF122" s="7672"/>
      <c r="BG122" s="7658" t="s">
        <v>1233</v>
      </c>
      <c r="BH122" s="7658"/>
      <c r="BI122" s="4033" t="s">
        <v>1434</v>
      </c>
      <c r="BJ122" s="4695">
        <v>5</v>
      </c>
      <c r="BK122" s="4696">
        <v>3</v>
      </c>
      <c r="BL122" s="3367">
        <v>0</v>
      </c>
      <c r="BM122" s="4697">
        <v>3</v>
      </c>
      <c r="BN122" s="6407">
        <v>1</v>
      </c>
      <c r="BO122" s="6368">
        <v>0.9</v>
      </c>
      <c r="BP122" s="6371">
        <v>7.4999999999999997E-2</v>
      </c>
      <c r="BQ122" s="6324"/>
      <c r="BR122" s="5365">
        <v>262036.39999999991</v>
      </c>
      <c r="BS122" s="4005">
        <v>218363.66666666666</v>
      </c>
      <c r="BT122" s="4686">
        <v>0.92784493686573577</v>
      </c>
      <c r="BU122" s="4005"/>
      <c r="BV122" s="4005"/>
      <c r="BW122" s="5413"/>
      <c r="BX122" s="3341"/>
    </row>
    <row r="123" spans="1:79" ht="18" customHeight="1" thickBot="1">
      <c r="A123" s="7672"/>
      <c r="B123" s="7661" t="s">
        <v>1234</v>
      </c>
      <c r="C123" s="7661"/>
      <c r="D123" s="3082" t="s">
        <v>1237</v>
      </c>
      <c r="E123" s="4698">
        <f t="shared" ref="E123:P123" si="124">E66</f>
        <v>204</v>
      </c>
      <c r="F123" s="4698">
        <f t="shared" si="124"/>
        <v>52</v>
      </c>
      <c r="G123" s="3368">
        <f t="shared" si="124"/>
        <v>0</v>
      </c>
      <c r="H123" s="6143">
        <f t="shared" si="124"/>
        <v>0</v>
      </c>
      <c r="I123" s="6232">
        <f>I66</f>
        <v>0</v>
      </c>
      <c r="J123" s="6514">
        <f t="shared" si="124"/>
        <v>0</v>
      </c>
      <c r="K123" s="6515">
        <f t="shared" si="124"/>
        <v>0</v>
      </c>
      <c r="L123" s="3371">
        <f t="shared" si="124"/>
        <v>0</v>
      </c>
      <c r="M123" s="3371">
        <f t="shared" si="124"/>
        <v>0</v>
      </c>
      <c r="N123" s="3371">
        <f t="shared" si="124"/>
        <v>0</v>
      </c>
      <c r="O123" s="3371">
        <f t="shared" si="124"/>
        <v>0</v>
      </c>
      <c r="P123" s="3371">
        <f t="shared" si="124"/>
        <v>0</v>
      </c>
      <c r="Q123" s="3371">
        <f t="shared" ref="Q123:X123" si="125">Q66</f>
        <v>0</v>
      </c>
      <c r="R123" s="3371">
        <f t="shared" si="125"/>
        <v>0</v>
      </c>
      <c r="S123" s="3371">
        <f t="shared" si="125"/>
        <v>0</v>
      </c>
      <c r="T123" s="3371">
        <f t="shared" si="125"/>
        <v>0</v>
      </c>
      <c r="U123" s="3371">
        <f t="shared" si="125"/>
        <v>0</v>
      </c>
      <c r="V123" s="3371">
        <f t="shared" si="125"/>
        <v>0</v>
      </c>
      <c r="W123" s="3371">
        <f t="shared" si="125"/>
        <v>0</v>
      </c>
      <c r="X123" s="6600">
        <f t="shared" si="125"/>
        <v>0</v>
      </c>
      <c r="Y123" s="4051">
        <f t="shared" ref="Y123:AF123" si="126">Y66</f>
        <v>0</v>
      </c>
      <c r="Z123" s="4008">
        <f t="shared" si="126"/>
        <v>0</v>
      </c>
      <c r="AA123" s="4028">
        <f t="shared" si="126"/>
        <v>0</v>
      </c>
      <c r="AB123" s="4008">
        <f t="shared" si="126"/>
        <v>0</v>
      </c>
      <c r="AC123" s="4008">
        <f t="shared" si="126"/>
        <v>0</v>
      </c>
      <c r="AD123" s="4008">
        <f t="shared" si="126"/>
        <v>0</v>
      </c>
      <c r="AE123" s="4008">
        <f t="shared" si="126"/>
        <v>0</v>
      </c>
      <c r="AF123" s="4008">
        <f t="shared" si="126"/>
        <v>0</v>
      </c>
      <c r="AG123" s="4008">
        <f t="shared" ref="AG123:AM123" si="127">AG66</f>
        <v>0</v>
      </c>
      <c r="AH123" s="4008">
        <f t="shared" si="127"/>
        <v>0</v>
      </c>
      <c r="AI123" s="4008">
        <f t="shared" si="127"/>
        <v>0</v>
      </c>
      <c r="AJ123" s="4008">
        <f t="shared" si="127"/>
        <v>0</v>
      </c>
      <c r="AK123" s="4008">
        <f t="shared" si="127"/>
        <v>0</v>
      </c>
      <c r="AL123" s="4008">
        <f t="shared" si="127"/>
        <v>0</v>
      </c>
      <c r="AM123" s="4008">
        <f t="shared" si="127"/>
        <v>0</v>
      </c>
      <c r="AN123" s="6506">
        <f t="shared" si="90"/>
        <v>0</v>
      </c>
      <c r="AO123" s="4051">
        <f t="shared" ref="AO123:AT123" si="128">AO66</f>
        <v>0</v>
      </c>
      <c r="AP123" s="4028" t="e">
        <f t="shared" si="128"/>
        <v>#DIV/0!</v>
      </c>
      <c r="AQ123" s="4028" t="e">
        <f t="shared" si="128"/>
        <v>#DIV/0!</v>
      </c>
      <c r="AR123" s="4028">
        <f t="shared" si="128"/>
        <v>0</v>
      </c>
      <c r="AS123" s="4028" t="e">
        <f t="shared" si="128"/>
        <v>#DIV/0!</v>
      </c>
      <c r="AT123" s="4028" t="e">
        <f t="shared" si="128"/>
        <v>#DIV/0!</v>
      </c>
      <c r="AU123" s="4028" t="e">
        <f>AU66</f>
        <v>#DIV/0!</v>
      </c>
      <c r="AV123" s="4051" t="e">
        <f>AV66</f>
        <v>#DIV/0!</v>
      </c>
      <c r="AW123" s="5461" t="e">
        <f>AW66</f>
        <v>#DIV/0!</v>
      </c>
      <c r="AX123" s="5224" t="e">
        <f>AX66</f>
        <v>#DIV/0!</v>
      </c>
      <c r="AY123" s="5461" t="e">
        <f>AY66</f>
        <v>#DIV/0!</v>
      </c>
      <c r="AZ123" s="6516"/>
      <c r="BA123" s="6517"/>
      <c r="BB123" s="4028">
        <f>BB66</f>
        <v>0</v>
      </c>
      <c r="BF123" s="7672"/>
      <c r="BG123" s="7661" t="s">
        <v>1234</v>
      </c>
      <c r="BH123" s="7661"/>
      <c r="BI123" s="3082" t="s">
        <v>1390</v>
      </c>
      <c r="BJ123" s="3076">
        <v>204</v>
      </c>
      <c r="BK123" s="4698">
        <v>52</v>
      </c>
      <c r="BL123" s="3368">
        <v>0</v>
      </c>
      <c r="BM123" s="2821">
        <v>0</v>
      </c>
      <c r="BN123" s="6408">
        <v>0</v>
      </c>
      <c r="BO123" s="6372">
        <v>0</v>
      </c>
      <c r="BP123" s="6373">
        <v>0</v>
      </c>
      <c r="BQ123" s="6326"/>
      <c r="BR123" s="5461">
        <v>0</v>
      </c>
      <c r="BS123" s="4008">
        <v>0</v>
      </c>
      <c r="BT123" s="5206">
        <v>0</v>
      </c>
      <c r="BU123" s="4008"/>
      <c r="BV123" s="4008"/>
      <c r="BW123" s="5414"/>
      <c r="BX123" s="3341"/>
    </row>
    <row r="124" spans="1:79" s="286" customFormat="1" ht="18" customHeight="1" thickBot="1">
      <c r="A124" s="7672"/>
      <c r="B124" s="7673" t="s">
        <v>1352</v>
      </c>
      <c r="C124" s="7674"/>
      <c r="D124" s="7674"/>
      <c r="E124" s="7674"/>
      <c r="F124" s="7674"/>
      <c r="G124" s="7674"/>
      <c r="H124" s="7674"/>
      <c r="I124" s="7674"/>
      <c r="J124" s="7711"/>
      <c r="K124" s="6430"/>
      <c r="L124" s="6430"/>
      <c r="M124" s="6430"/>
      <c r="N124" s="6430"/>
      <c r="O124" s="6430"/>
      <c r="P124" s="6430"/>
      <c r="Q124" s="6430"/>
      <c r="R124" s="6430"/>
      <c r="S124" s="6430"/>
      <c r="T124" s="6430"/>
      <c r="U124" s="6430"/>
      <c r="V124" s="6430"/>
      <c r="W124" s="6430"/>
      <c r="X124" s="6430"/>
      <c r="Y124" s="4036">
        <f t="shared" ref="Y124:AF124" si="129">Y112+Y118+Y119+Y121+Y122+Y123</f>
        <v>263643911.66563395</v>
      </c>
      <c r="Z124" s="3039">
        <f>Z112+Z118+Z119+Z121+Z122+Z123</f>
        <v>26556551.193230066</v>
      </c>
      <c r="AA124" s="3040">
        <f t="shared" si="129"/>
        <v>933.5369764446308</v>
      </c>
      <c r="AB124" s="3039" t="e">
        <f t="shared" si="129"/>
        <v>#DIV/0!</v>
      </c>
      <c r="AC124" s="3039" t="e">
        <f t="shared" si="129"/>
        <v>#DIV/0!</v>
      </c>
      <c r="AD124" s="3039">
        <f t="shared" si="129"/>
        <v>33950813.558175527</v>
      </c>
      <c r="AE124" s="3039" t="e">
        <f t="shared" si="129"/>
        <v>#DIV/0!</v>
      </c>
      <c r="AF124" s="3039" t="e">
        <f t="shared" si="129"/>
        <v>#DIV/0!</v>
      </c>
      <c r="AG124" s="3039" t="e">
        <f t="shared" ref="AG124:AM124" si="130">AG112+AG118+AG119+AG121+AG122+AG123</f>
        <v>#DIV/0!</v>
      </c>
      <c r="AH124" s="3039" t="e">
        <f t="shared" si="130"/>
        <v>#DIV/0!</v>
      </c>
      <c r="AI124" s="3039" t="e">
        <f t="shared" si="130"/>
        <v>#DIV/0!</v>
      </c>
      <c r="AJ124" s="3039" t="e">
        <f t="shared" si="130"/>
        <v>#DIV/0!</v>
      </c>
      <c r="AK124" s="3039" t="e">
        <f t="shared" si="130"/>
        <v>#DIV/0!</v>
      </c>
      <c r="AL124" s="3039">
        <f t="shared" si="130"/>
        <v>0</v>
      </c>
      <c r="AM124" s="3039">
        <f t="shared" si="130"/>
        <v>0</v>
      </c>
      <c r="AN124" s="6523" t="e">
        <f t="shared" si="90"/>
        <v>#DIV/0!</v>
      </c>
      <c r="AO124" s="4036">
        <f>AO112+AO118+AO119+AO121+AO122+AO123</f>
        <v>933.5369764446308</v>
      </c>
      <c r="AP124" s="3040" t="e">
        <f>AB124/년간!F8</f>
        <v>#DIV/0!</v>
      </c>
      <c r="AQ124" s="3040" t="e">
        <f>AC124/년간!G8</f>
        <v>#DIV/0!</v>
      </c>
      <c r="AR124" s="3040">
        <f>AD124/년간!H8</f>
        <v>1230.8993492224502</v>
      </c>
      <c r="AS124" s="3040" t="e">
        <f>AE124/년간!I8</f>
        <v>#DIV/0!</v>
      </c>
      <c r="AT124" s="3040" t="e">
        <f>AF124/년간!J8</f>
        <v>#DIV/0!</v>
      </c>
      <c r="AU124" s="3040" t="e">
        <f>AG124/년간!K8</f>
        <v>#DIV/0!</v>
      </c>
      <c r="AV124" s="4036" t="e">
        <f>AH124/년간!L8</f>
        <v>#DIV/0!</v>
      </c>
      <c r="AW124" s="5451" t="e">
        <f>AI124/년간!M8</f>
        <v>#DIV/0!</v>
      </c>
      <c r="AX124" s="5225" t="e">
        <f>AJ124/년간!N8</f>
        <v>#DIV/0!</v>
      </c>
      <c r="AY124" s="5451" t="e">
        <f>AK124/년간!O8</f>
        <v>#DIV/0!</v>
      </c>
      <c r="AZ124" s="6524"/>
      <c r="BA124" s="6525"/>
      <c r="BB124" s="3040" t="e">
        <f>AN124/년간!V8</f>
        <v>#DIV/0!</v>
      </c>
      <c r="BF124" s="7672"/>
      <c r="BG124" s="7673" t="s">
        <v>1352</v>
      </c>
      <c r="BH124" s="7674"/>
      <c r="BI124" s="7674"/>
      <c r="BJ124" s="7674"/>
      <c r="BK124" s="7674"/>
      <c r="BL124" s="7674"/>
      <c r="BM124" s="7674"/>
      <c r="BN124" s="7674"/>
      <c r="BO124" s="7674"/>
      <c r="BP124" s="7674"/>
      <c r="BQ124" s="7674"/>
      <c r="BR124" s="5451">
        <v>255118669.87644842</v>
      </c>
      <c r="BS124" s="3039">
        <v>25704027.014311507</v>
      </c>
      <c r="BT124" s="5207">
        <v>903.34993972129007</v>
      </c>
      <c r="BU124" s="4036"/>
      <c r="BV124" s="3039"/>
      <c r="BW124" s="5403"/>
      <c r="BX124" s="3341"/>
    </row>
    <row r="125" spans="1:79" s="286" customFormat="1" ht="17.45" customHeight="1">
      <c r="A125" s="7672"/>
      <c r="B125" s="7685" t="s">
        <v>1392</v>
      </c>
      <c r="C125" s="7686"/>
      <c r="D125" s="2802" t="s">
        <v>1394</v>
      </c>
      <c r="E125" s="2933">
        <f t="shared" ref="E125:N125" si="131">E72</f>
        <v>54.062042613628726</v>
      </c>
      <c r="F125" s="2933">
        <f t="shared" si="131"/>
        <v>58.04</v>
      </c>
      <c r="G125" s="3002">
        <f t="shared" si="131"/>
        <v>60.206775876441782</v>
      </c>
      <c r="H125" s="3002">
        <f t="shared" si="131"/>
        <v>58.694362011852682</v>
      </c>
      <c r="I125" s="6518">
        <f>I72</f>
        <v>60.293596370134956</v>
      </c>
      <c r="J125" s="6519">
        <f t="shared" si="131"/>
        <v>62</v>
      </c>
      <c r="K125" s="6520">
        <f t="shared" si="131"/>
        <v>62</v>
      </c>
      <c r="L125" s="3003">
        <f t="shared" si="131"/>
        <v>0</v>
      </c>
      <c r="M125" s="3003">
        <f t="shared" si="131"/>
        <v>0</v>
      </c>
      <c r="N125" s="3003">
        <f t="shared" si="131"/>
        <v>59.686486096584552</v>
      </c>
      <c r="O125" s="3003" t="e">
        <f t="shared" ref="O125:X125" si="132">O72</f>
        <v>#DIV/0!</v>
      </c>
      <c r="P125" s="3003" t="e">
        <f t="shared" si="132"/>
        <v>#DIV/0!</v>
      </c>
      <c r="Q125" s="3003" t="e">
        <f t="shared" si="132"/>
        <v>#DIV/0!</v>
      </c>
      <c r="R125" s="3003" t="e">
        <f t="shared" si="132"/>
        <v>#DIV/0!</v>
      </c>
      <c r="S125" s="3003" t="e">
        <f t="shared" si="132"/>
        <v>#DIV/0!</v>
      </c>
      <c r="T125" s="3003" t="e">
        <f t="shared" si="132"/>
        <v>#DIV/0!</v>
      </c>
      <c r="U125" s="3003" t="e">
        <f t="shared" si="132"/>
        <v>#DIV/0!</v>
      </c>
      <c r="V125" s="3003" t="e">
        <f t="shared" si="132"/>
        <v>#DIV/0!</v>
      </c>
      <c r="W125" s="3003" t="e">
        <f t="shared" si="132"/>
        <v>#DIV/0!</v>
      </c>
      <c r="X125" s="6601">
        <f t="shared" si="132"/>
        <v>59.686486096584552</v>
      </c>
      <c r="Y125" s="4047">
        <f t="shared" ref="Y125:AF125" si="133">Y72</f>
        <v>144116841.1802302</v>
      </c>
      <c r="Z125" s="2824">
        <f t="shared" si="133"/>
        <v>14411684.118023019</v>
      </c>
      <c r="AA125" s="3009">
        <f t="shared" si="133"/>
        <v>510.30345939022214</v>
      </c>
      <c r="AB125" s="2824" t="e">
        <f t="shared" si="133"/>
        <v>#DIV/0!</v>
      </c>
      <c r="AC125" s="2824" t="e">
        <f t="shared" si="133"/>
        <v>#DIV/0!</v>
      </c>
      <c r="AD125" s="2824">
        <f t="shared" si="133"/>
        <v>-5201921.5823093839</v>
      </c>
      <c r="AE125" s="2824" t="e">
        <f t="shared" si="133"/>
        <v>#DIV/0!</v>
      </c>
      <c r="AF125" s="2824" t="e">
        <f t="shared" si="133"/>
        <v>#DIV/0!</v>
      </c>
      <c r="AG125" s="2824" t="e">
        <f t="shared" ref="AG125:AM125" si="134">AG72</f>
        <v>#DIV/0!</v>
      </c>
      <c r="AH125" s="2824" t="e">
        <f t="shared" si="134"/>
        <v>#DIV/0!</v>
      </c>
      <c r="AI125" s="2824" t="e">
        <f t="shared" si="134"/>
        <v>#DIV/0!</v>
      </c>
      <c r="AJ125" s="2824" t="e">
        <f t="shared" si="134"/>
        <v>#DIV/0!</v>
      </c>
      <c r="AK125" s="2824" t="e">
        <f t="shared" si="134"/>
        <v>#DIV/0!</v>
      </c>
      <c r="AL125" s="2824">
        <f t="shared" si="134"/>
        <v>0</v>
      </c>
      <c r="AM125" s="2824">
        <f t="shared" si="134"/>
        <v>0</v>
      </c>
      <c r="AN125" s="4017" t="e">
        <f t="shared" si="90"/>
        <v>#DIV/0!</v>
      </c>
      <c r="AO125" s="4047">
        <f t="shared" ref="AO125:AY125" si="135">AO72</f>
        <v>510.30345939022214</v>
      </c>
      <c r="AP125" s="3009" t="e">
        <f t="shared" si="135"/>
        <v>#DIV/0!</v>
      </c>
      <c r="AQ125" s="3009" t="e">
        <f t="shared" si="135"/>
        <v>#DIV/0!</v>
      </c>
      <c r="AR125" s="3009">
        <f t="shared" si="135"/>
        <v>-188.59759809287263</v>
      </c>
      <c r="AS125" s="3009" t="e">
        <f t="shared" si="135"/>
        <v>#DIV/0!</v>
      </c>
      <c r="AT125" s="3009" t="e">
        <f t="shared" si="135"/>
        <v>#DIV/0!</v>
      </c>
      <c r="AU125" s="3009" t="e">
        <f t="shared" si="135"/>
        <v>#DIV/0!</v>
      </c>
      <c r="AV125" s="4047" t="e">
        <f t="shared" si="135"/>
        <v>#DIV/0!</v>
      </c>
      <c r="AW125" s="5458" t="e">
        <f t="shared" si="135"/>
        <v>#DIV/0!</v>
      </c>
      <c r="AX125" s="5233" t="e">
        <f t="shared" si="135"/>
        <v>#DIV/0!</v>
      </c>
      <c r="AY125" s="5458" t="e">
        <f t="shared" si="135"/>
        <v>#DIV/0!</v>
      </c>
      <c r="AZ125" s="6521"/>
      <c r="BA125" s="6522"/>
      <c r="BB125" s="3009" t="e">
        <f>BB72</f>
        <v>#DIV/0!</v>
      </c>
      <c r="BF125" s="7672"/>
      <c r="BG125" s="7654" t="s">
        <v>1392</v>
      </c>
      <c r="BH125" s="7655"/>
      <c r="BI125" s="2802" t="s">
        <v>1393</v>
      </c>
      <c r="BJ125" s="2933">
        <v>54.062042613628726</v>
      </c>
      <c r="BK125" s="2933">
        <v>58.04</v>
      </c>
      <c r="BL125" s="3002">
        <v>60.206775876441782</v>
      </c>
      <c r="BM125" s="3336">
        <v>58.694362011852682</v>
      </c>
      <c r="BN125" s="3336">
        <v>60.276505785088517</v>
      </c>
      <c r="BO125" s="6376">
        <v>62</v>
      </c>
      <c r="BP125" s="6377">
        <v>62</v>
      </c>
      <c r="BQ125" s="6327"/>
      <c r="BR125" s="5452">
        <v>145601523.43939811</v>
      </c>
      <c r="BS125" s="4009">
        <v>14560152.343939811</v>
      </c>
      <c r="BT125" s="5208">
        <v>515.56057220746175</v>
      </c>
      <c r="BU125" s="2824"/>
      <c r="BV125" s="2824"/>
      <c r="BW125" s="5415"/>
      <c r="BX125" s="3962"/>
    </row>
    <row r="126" spans="1:79" s="286" customFormat="1" ht="18" customHeight="1" thickBot="1">
      <c r="A126" s="7672"/>
      <c r="B126" s="7684" t="s">
        <v>1288</v>
      </c>
      <c r="C126" s="3000" t="s">
        <v>451</v>
      </c>
      <c r="D126" s="2802" t="s">
        <v>1335</v>
      </c>
      <c r="E126" s="1555">
        <f t="shared" ref="E126:N126" si="136">E78</f>
        <v>3.7</v>
      </c>
      <c r="F126" s="1555">
        <f t="shared" si="136"/>
        <v>3.48</v>
      </c>
      <c r="G126" s="1201">
        <f t="shared" si="136"/>
        <v>6</v>
      </c>
      <c r="H126" s="1201">
        <f t="shared" si="136"/>
        <v>7.1107920973624523</v>
      </c>
      <c r="I126" s="6136">
        <f>I78</f>
        <v>6.1230810370318052</v>
      </c>
      <c r="J126" s="6155">
        <f t="shared" si="136"/>
        <v>5.8169269851802143</v>
      </c>
      <c r="K126" s="6156">
        <f t="shared" si="136"/>
        <v>5.8169269851802143</v>
      </c>
      <c r="L126" s="2913">
        <f t="shared" si="136"/>
        <v>0</v>
      </c>
      <c r="M126" s="2913">
        <f t="shared" si="136"/>
        <v>0</v>
      </c>
      <c r="N126" s="2913">
        <f t="shared" si="136"/>
        <v>6.3064038956499386</v>
      </c>
      <c r="O126" s="2913">
        <f t="shared" ref="O126:X126" si="137">O78</f>
        <v>0</v>
      </c>
      <c r="P126" s="2913">
        <f t="shared" si="137"/>
        <v>0</v>
      </c>
      <c r="Q126" s="2913">
        <f t="shared" si="137"/>
        <v>0</v>
      </c>
      <c r="R126" s="2913">
        <f t="shared" si="137"/>
        <v>0</v>
      </c>
      <c r="S126" s="2913">
        <f t="shared" si="137"/>
        <v>0</v>
      </c>
      <c r="T126" s="2913">
        <f t="shared" si="137"/>
        <v>0</v>
      </c>
      <c r="U126" s="2913">
        <f t="shared" si="137"/>
        <v>0</v>
      </c>
      <c r="V126" s="2913">
        <f t="shared" si="137"/>
        <v>0</v>
      </c>
      <c r="W126" s="2913">
        <f t="shared" si="137"/>
        <v>0</v>
      </c>
      <c r="X126" s="6596">
        <f t="shared" si="137"/>
        <v>7.2375593070792732</v>
      </c>
      <c r="Y126" s="4044">
        <f t="shared" ref="Y126:AF126" si="138">Y78</f>
        <v>43602882.618525937</v>
      </c>
      <c r="Z126" s="4010">
        <f t="shared" si="138"/>
        <v>4360288.2618525941</v>
      </c>
      <c r="AA126" s="4021">
        <f t="shared" si="138"/>
        <v>154.39348834875727</v>
      </c>
      <c r="AB126" s="4010">
        <f t="shared" si="138"/>
        <v>0</v>
      </c>
      <c r="AC126" s="4010">
        <f t="shared" si="138"/>
        <v>0</v>
      </c>
      <c r="AD126" s="4010">
        <f t="shared" si="138"/>
        <v>11188768.900306119</v>
      </c>
      <c r="AE126" s="4010">
        <f t="shared" si="138"/>
        <v>0</v>
      </c>
      <c r="AF126" s="4010">
        <f t="shared" si="138"/>
        <v>0</v>
      </c>
      <c r="AG126" s="4010">
        <f t="shared" ref="AG126:AM126" si="139">AG78</f>
        <v>0</v>
      </c>
      <c r="AH126" s="4010">
        <f t="shared" si="139"/>
        <v>0</v>
      </c>
      <c r="AI126" s="4010">
        <f t="shared" si="139"/>
        <v>0</v>
      </c>
      <c r="AJ126" s="4010">
        <f t="shared" si="139"/>
        <v>0</v>
      </c>
      <c r="AK126" s="4010">
        <f t="shared" si="139"/>
        <v>0</v>
      </c>
      <c r="AL126" s="4010">
        <f t="shared" si="139"/>
        <v>0</v>
      </c>
      <c r="AM126" s="4010">
        <f t="shared" si="139"/>
        <v>0</v>
      </c>
      <c r="AN126" s="4017">
        <f t="shared" si="90"/>
        <v>11188768.900306119</v>
      </c>
      <c r="AO126" s="4044">
        <f t="shared" ref="AO126:AT126" si="140">AO78</f>
        <v>154.39348834875727</v>
      </c>
      <c r="AP126" s="4021" t="e">
        <f t="shared" si="140"/>
        <v>#DIV/0!</v>
      </c>
      <c r="AQ126" s="4021" t="e">
        <f t="shared" si="140"/>
        <v>#DIV/0!</v>
      </c>
      <c r="AR126" s="4021">
        <f t="shared" si="140"/>
        <v>405.65297012362061</v>
      </c>
      <c r="AS126" s="4021" t="e">
        <f t="shared" si="140"/>
        <v>#DIV/0!</v>
      </c>
      <c r="AT126" s="4021" t="e">
        <f t="shared" si="140"/>
        <v>#DIV/0!</v>
      </c>
      <c r="AU126" s="4021" t="e">
        <f>AU78</f>
        <v>#DIV/0!</v>
      </c>
      <c r="AV126" s="4044" t="e">
        <f>AV78</f>
        <v>#DIV/0!</v>
      </c>
      <c r="AW126" s="5453" t="e">
        <f>AW78</f>
        <v>#DIV/0!</v>
      </c>
      <c r="AX126" s="5226" t="e">
        <f>AX78</f>
        <v>#DIV/0!</v>
      </c>
      <c r="AY126" s="5453" t="e">
        <f>AY78</f>
        <v>#DIV/0!</v>
      </c>
      <c r="AZ126" s="5369"/>
      <c r="BA126" s="5380"/>
      <c r="BB126" s="4021">
        <f>BB78</f>
        <v>405.65297012362061</v>
      </c>
      <c r="BF126" s="7672"/>
      <c r="BG126" s="7658" t="s">
        <v>1288</v>
      </c>
      <c r="BH126" s="5159" t="s">
        <v>451</v>
      </c>
      <c r="BI126" s="2802" t="s">
        <v>1436</v>
      </c>
      <c r="BJ126" s="1555">
        <v>3.7</v>
      </c>
      <c r="BK126" s="1555">
        <v>3.48</v>
      </c>
      <c r="BL126" s="1201">
        <v>6</v>
      </c>
      <c r="BM126" s="1201">
        <v>7.1107920973624523</v>
      </c>
      <c r="BN126" s="4916">
        <v>6.1230810370318052</v>
      </c>
      <c r="BO126" s="6390">
        <v>5.8169269851802143</v>
      </c>
      <c r="BP126" s="6391">
        <v>5.8169269851802143</v>
      </c>
      <c r="BQ126" s="6328"/>
      <c r="BR126" s="5453">
        <v>52252684.671202496</v>
      </c>
      <c r="BS126" s="4010">
        <v>5225268.4671202498</v>
      </c>
      <c r="BT126" s="5209">
        <v>185.02158062703157</v>
      </c>
      <c r="BU126" s="4010"/>
      <c r="BV126" s="4010"/>
      <c r="BW126" s="5412"/>
      <c r="BX126" s="3961"/>
    </row>
    <row r="127" spans="1:79" s="286" customFormat="1" ht="17.45" customHeight="1">
      <c r="A127" s="7672"/>
      <c r="B127" s="7681"/>
      <c r="C127" s="2888" t="s">
        <v>1292</v>
      </c>
      <c r="D127" s="2797" t="s">
        <v>1335</v>
      </c>
      <c r="E127" s="2798">
        <f t="shared" ref="E127:N127" si="141">E83</f>
        <v>14.92</v>
      </c>
      <c r="F127" s="2798">
        <f t="shared" si="141"/>
        <v>14.55</v>
      </c>
      <c r="G127" s="2800">
        <f t="shared" si="141"/>
        <v>13.6</v>
      </c>
      <c r="H127" s="3337">
        <f t="shared" si="141"/>
        <v>13.953402383827582</v>
      </c>
      <c r="I127" s="6137">
        <f>I83</f>
        <v>14.209374742678701</v>
      </c>
      <c r="J127" s="6200">
        <f t="shared" si="141"/>
        <v>13.498906005544766</v>
      </c>
      <c r="K127" s="6201">
        <f t="shared" si="141"/>
        <v>13.498906005544766</v>
      </c>
      <c r="L127" s="2803">
        <f t="shared" si="141"/>
        <v>0</v>
      </c>
      <c r="M127" s="2803">
        <f t="shared" si="141"/>
        <v>0</v>
      </c>
      <c r="N127" s="2803">
        <f t="shared" si="141"/>
        <v>9.0470203160598253</v>
      </c>
      <c r="O127" s="2803">
        <f t="shared" ref="O127:X127" si="142">O83</f>
        <v>0</v>
      </c>
      <c r="P127" s="2803">
        <f t="shared" si="142"/>
        <v>0</v>
      </c>
      <c r="Q127" s="2803">
        <f t="shared" si="142"/>
        <v>0</v>
      </c>
      <c r="R127" s="2803">
        <f t="shared" si="142"/>
        <v>0</v>
      </c>
      <c r="S127" s="2803">
        <f t="shared" si="142"/>
        <v>0</v>
      </c>
      <c r="T127" s="2803">
        <f t="shared" si="142"/>
        <v>0</v>
      </c>
      <c r="U127" s="2803">
        <f t="shared" si="142"/>
        <v>0</v>
      </c>
      <c r="V127" s="2803">
        <f t="shared" si="142"/>
        <v>0</v>
      </c>
      <c r="W127" s="2803">
        <f t="shared" si="142"/>
        <v>0</v>
      </c>
      <c r="X127" s="6602">
        <f t="shared" si="142"/>
        <v>63.296614525238176</v>
      </c>
      <c r="Y127" s="4045">
        <f t="shared" ref="Y127:AF127" si="143">Y83</f>
        <v>22071094.972183738</v>
      </c>
      <c r="Z127" s="4135">
        <f t="shared" si="143"/>
        <v>2207109.4972183737</v>
      </c>
      <c r="AA127" s="4022">
        <f t="shared" si="143"/>
        <v>78.151561084732833</v>
      </c>
      <c r="AB127" s="4135">
        <f t="shared" si="143"/>
        <v>0</v>
      </c>
      <c r="AC127" s="4135">
        <f t="shared" si="143"/>
        <v>0</v>
      </c>
      <c r="AD127" s="4135">
        <f t="shared" si="143"/>
        <v>15662754.720528632</v>
      </c>
      <c r="AE127" s="4135">
        <f t="shared" si="143"/>
        <v>0</v>
      </c>
      <c r="AF127" s="4135">
        <f t="shared" si="143"/>
        <v>0</v>
      </c>
      <c r="AG127" s="4135">
        <f t="shared" ref="AG127:AM127" si="144">AG83</f>
        <v>0</v>
      </c>
      <c r="AH127" s="4135">
        <f t="shared" si="144"/>
        <v>0</v>
      </c>
      <c r="AI127" s="4135">
        <f t="shared" si="144"/>
        <v>0</v>
      </c>
      <c r="AJ127" s="4135">
        <f t="shared" si="144"/>
        <v>0</v>
      </c>
      <c r="AK127" s="4135">
        <f t="shared" si="144"/>
        <v>0</v>
      </c>
      <c r="AL127" s="4135">
        <f t="shared" si="144"/>
        <v>0</v>
      </c>
      <c r="AM127" s="4135">
        <f t="shared" si="144"/>
        <v>0</v>
      </c>
      <c r="AN127" s="4017">
        <f t="shared" si="90"/>
        <v>15662754.720528632</v>
      </c>
      <c r="AO127" s="4045">
        <f t="shared" ref="AO127:AT127" si="145">AO83</f>
        <v>78.151561084732833</v>
      </c>
      <c r="AP127" s="4022" t="e">
        <f t="shared" si="145"/>
        <v>#DIV/0!</v>
      </c>
      <c r="AQ127" s="4022" t="e">
        <f t="shared" si="145"/>
        <v>#DIV/0!</v>
      </c>
      <c r="AR127" s="4022">
        <f t="shared" si="145"/>
        <v>567.85898692807632</v>
      </c>
      <c r="AS127" s="4022" t="e">
        <f t="shared" si="145"/>
        <v>#DIV/0!</v>
      </c>
      <c r="AT127" s="4022" t="e">
        <f t="shared" si="145"/>
        <v>#DIV/0!</v>
      </c>
      <c r="AU127" s="4022" t="e">
        <f>AU83</f>
        <v>#DIV/0!</v>
      </c>
      <c r="AV127" s="4045" t="e">
        <f>AV83</f>
        <v>#DIV/0!</v>
      </c>
      <c r="AW127" s="5454" t="e">
        <f>AW83</f>
        <v>#DIV/0!</v>
      </c>
      <c r="AX127" s="5227" t="e">
        <f>AX83</f>
        <v>#DIV/0!</v>
      </c>
      <c r="AY127" s="5454" t="e">
        <f>AY83</f>
        <v>#DIV/0!</v>
      </c>
      <c r="AZ127" s="5370"/>
      <c r="BA127" s="5381"/>
      <c r="BB127" s="4022">
        <f>BB83</f>
        <v>567.85898692807632</v>
      </c>
      <c r="BF127" s="7672"/>
      <c r="BG127" s="7661"/>
      <c r="BH127" s="5157" t="s">
        <v>1292</v>
      </c>
      <c r="BI127" s="3085" t="s">
        <v>1436</v>
      </c>
      <c r="BJ127" s="4699">
        <v>14.92</v>
      </c>
      <c r="BK127" s="4699">
        <v>14.55</v>
      </c>
      <c r="BL127" s="3337">
        <v>13.6</v>
      </c>
      <c r="BM127" s="3337">
        <v>13.953402383827582</v>
      </c>
      <c r="BN127" s="3575">
        <v>14.209374742678701</v>
      </c>
      <c r="BO127" s="6362">
        <v>13.498906005544766</v>
      </c>
      <c r="BP127" s="6363">
        <v>13.498906005544766</v>
      </c>
      <c r="BQ127" s="6329"/>
      <c r="BR127" s="5454">
        <v>20349261.341396127</v>
      </c>
      <c r="BS127" s="4135">
        <v>2034926.1341396128</v>
      </c>
      <c r="BT127" s="5210">
        <v>72.054718751181341</v>
      </c>
      <c r="BU127" s="4135"/>
      <c r="BV127" s="4135"/>
      <c r="BW127" s="5416"/>
      <c r="BX127" s="7769" t="s">
        <v>1839</v>
      </c>
      <c r="BY127" s="7769" t="s">
        <v>1701</v>
      </c>
      <c r="BZ127" s="7773" t="s">
        <v>1702</v>
      </c>
      <c r="CA127" s="7771" t="s">
        <v>1700</v>
      </c>
    </row>
    <row r="128" spans="1:79" s="286" customFormat="1" ht="17.45" customHeight="1">
      <c r="A128" s="7672"/>
      <c r="B128" s="2888" t="s">
        <v>1331</v>
      </c>
      <c r="C128" s="2888" t="s">
        <v>1332</v>
      </c>
      <c r="D128" s="2610" t="s">
        <v>1334</v>
      </c>
      <c r="E128" s="2799">
        <f t="shared" ref="E128:N128" si="146">E89</f>
        <v>2.1</v>
      </c>
      <c r="F128" s="2799">
        <f t="shared" si="146"/>
        <v>1.87</v>
      </c>
      <c r="G128" s="2801">
        <f t="shared" si="146"/>
        <v>1.7517361678383541</v>
      </c>
      <c r="H128" s="3337">
        <f t="shared" si="146"/>
        <v>1.5030626334880381</v>
      </c>
      <c r="I128" s="6137">
        <f>I89</f>
        <v>1.5836171442787532</v>
      </c>
      <c r="J128" s="6200">
        <f t="shared" si="146"/>
        <v>1.5</v>
      </c>
      <c r="K128" s="6201">
        <f t="shared" si="146"/>
        <v>1.5</v>
      </c>
      <c r="L128" s="2803">
        <f t="shared" si="146"/>
        <v>0</v>
      </c>
      <c r="M128" s="2803">
        <f t="shared" si="146"/>
        <v>0</v>
      </c>
      <c r="N128" s="2803">
        <f t="shared" si="146"/>
        <v>1.9722921950887025</v>
      </c>
      <c r="O128" s="2803">
        <f t="shared" ref="O128:X128" si="147">O89</f>
        <v>0</v>
      </c>
      <c r="P128" s="2803">
        <f t="shared" si="147"/>
        <v>0</v>
      </c>
      <c r="Q128" s="2803">
        <f t="shared" si="147"/>
        <v>0</v>
      </c>
      <c r="R128" s="2803">
        <f t="shared" si="147"/>
        <v>0</v>
      </c>
      <c r="S128" s="2803">
        <f t="shared" si="147"/>
        <v>0</v>
      </c>
      <c r="T128" s="2803">
        <f t="shared" si="147"/>
        <v>0</v>
      </c>
      <c r="U128" s="2803">
        <f t="shared" si="147"/>
        <v>0</v>
      </c>
      <c r="V128" s="2803">
        <f t="shared" si="147"/>
        <v>0</v>
      </c>
      <c r="W128" s="2803">
        <f t="shared" si="147"/>
        <v>0</v>
      </c>
      <c r="X128" s="6602">
        <f t="shared" si="147"/>
        <v>3.4385347740554124</v>
      </c>
      <c r="Y128" s="4046">
        <f t="shared" ref="Y128:AF128" si="148">Y89</f>
        <v>2526767.7837243597</v>
      </c>
      <c r="Z128" s="4011">
        <f t="shared" si="148"/>
        <v>252676.77837243598</v>
      </c>
      <c r="AA128" s="4022">
        <f t="shared" si="148"/>
        <v>8.9470344378265931</v>
      </c>
      <c r="AB128" s="4011">
        <f t="shared" si="148"/>
        <v>0</v>
      </c>
      <c r="AC128" s="4011">
        <f t="shared" si="148"/>
        <v>0</v>
      </c>
      <c r="AD128" s="4011">
        <f t="shared" si="148"/>
        <v>-1147091.5624917345</v>
      </c>
      <c r="AE128" s="4011">
        <f t="shared" si="148"/>
        <v>0</v>
      </c>
      <c r="AF128" s="4011">
        <f t="shared" si="148"/>
        <v>0</v>
      </c>
      <c r="AG128" s="4011">
        <f t="shared" ref="AG128:AM128" si="149">AG89</f>
        <v>0</v>
      </c>
      <c r="AH128" s="4011">
        <f t="shared" si="149"/>
        <v>0</v>
      </c>
      <c r="AI128" s="4011">
        <f t="shared" si="149"/>
        <v>0</v>
      </c>
      <c r="AJ128" s="4011">
        <f t="shared" si="149"/>
        <v>0</v>
      </c>
      <c r="AK128" s="4011">
        <f t="shared" si="149"/>
        <v>0</v>
      </c>
      <c r="AL128" s="4011">
        <f t="shared" si="149"/>
        <v>0</v>
      </c>
      <c r="AM128" s="4011">
        <f t="shared" si="149"/>
        <v>0</v>
      </c>
      <c r="AN128" s="4017">
        <f t="shared" si="90"/>
        <v>-1147091.5624917345</v>
      </c>
      <c r="AO128" s="4045">
        <f t="shared" ref="AO128:AT128" si="150">AO89</f>
        <v>8.9470344378265931</v>
      </c>
      <c r="AP128" s="4022" t="e">
        <f t="shared" si="150"/>
        <v>#DIV/0!</v>
      </c>
      <c r="AQ128" s="4022" t="e">
        <f t="shared" si="150"/>
        <v>#DIV/0!</v>
      </c>
      <c r="AR128" s="4022">
        <f t="shared" si="150"/>
        <v>-41.588230436664567</v>
      </c>
      <c r="AS128" s="4022" t="e">
        <f t="shared" si="150"/>
        <v>#DIV/0!</v>
      </c>
      <c r="AT128" s="4022" t="e">
        <f t="shared" si="150"/>
        <v>#DIV/0!</v>
      </c>
      <c r="AU128" s="4022" t="e">
        <f>AU89</f>
        <v>#DIV/0!</v>
      </c>
      <c r="AV128" s="4045" t="e">
        <f>AV89</f>
        <v>#DIV/0!</v>
      </c>
      <c r="AW128" s="5454" t="e">
        <f>AW89</f>
        <v>#DIV/0!</v>
      </c>
      <c r="AX128" s="5227" t="e">
        <f>AX89</f>
        <v>#DIV/0!</v>
      </c>
      <c r="AY128" s="5454" t="e">
        <f>AY89</f>
        <v>#DIV/0!</v>
      </c>
      <c r="AZ128" s="5371"/>
      <c r="BA128" s="5382"/>
      <c r="BB128" s="4022">
        <f>BB89</f>
        <v>-41.588230436664567</v>
      </c>
      <c r="BF128" s="7672"/>
      <c r="BG128" s="5157" t="s">
        <v>1331</v>
      </c>
      <c r="BH128" s="5157" t="s">
        <v>1332</v>
      </c>
      <c r="BI128" s="3082" t="s">
        <v>1437</v>
      </c>
      <c r="BJ128" s="3083">
        <v>2.1</v>
      </c>
      <c r="BK128" s="3083">
        <v>1.87</v>
      </c>
      <c r="BL128" s="3891">
        <v>1.7517361678383541</v>
      </c>
      <c r="BM128" s="3337">
        <v>1.5030626334880381</v>
      </c>
      <c r="BN128" s="3575">
        <v>1.5836171442787532</v>
      </c>
      <c r="BO128" s="6362">
        <v>1.5</v>
      </c>
      <c r="BP128" s="6363">
        <v>1.5</v>
      </c>
      <c r="BQ128" s="6329"/>
      <c r="BR128" s="5455">
        <v>2692032.2195969475</v>
      </c>
      <c r="BS128" s="4135">
        <v>269203.22195969475</v>
      </c>
      <c r="BT128" s="5210">
        <v>9.5322194352863079</v>
      </c>
      <c r="BU128" s="4011"/>
      <c r="BV128" s="4135"/>
      <c r="BW128" s="5416"/>
      <c r="BX128" s="7770"/>
      <c r="BY128" s="7770"/>
      <c r="BZ128" s="7774"/>
      <c r="CA128" s="7772"/>
    </row>
    <row r="129" spans="1:79" s="286" customFormat="1" ht="17.45" customHeight="1">
      <c r="A129" s="7672"/>
      <c r="B129" s="7723" t="s">
        <v>1429</v>
      </c>
      <c r="C129" s="7724"/>
      <c r="D129" s="2813" t="s">
        <v>700</v>
      </c>
      <c r="E129" s="3004">
        <f t="shared" ref="E129:N129" si="151">E96</f>
        <v>804.55310718712531</v>
      </c>
      <c r="F129" s="3004">
        <f t="shared" si="151"/>
        <v>671</v>
      </c>
      <c r="G129" s="3005">
        <f t="shared" si="151"/>
        <v>517.23473829824388</v>
      </c>
      <c r="H129" s="3338">
        <f t="shared" si="151"/>
        <v>635.2418619413146</v>
      </c>
      <c r="I129" s="6138">
        <f>I96</f>
        <v>636.83616904167434</v>
      </c>
      <c r="J129" s="6202">
        <f t="shared" si="151"/>
        <v>600</v>
      </c>
      <c r="K129" s="6203">
        <f t="shared" si="151"/>
        <v>600</v>
      </c>
      <c r="L129" s="3006">
        <f t="shared" si="151"/>
        <v>5417.6433722768388</v>
      </c>
      <c r="M129" s="4393">
        <f t="shared" si="151"/>
        <v>5479.4585732188798</v>
      </c>
      <c r="N129" s="4393">
        <f t="shared" si="151"/>
        <v>375.10427044766686</v>
      </c>
      <c r="O129" s="4393">
        <f t="shared" ref="O129:X129" si="152">O96</f>
        <v>0</v>
      </c>
      <c r="P129" s="4393">
        <f t="shared" si="152"/>
        <v>0</v>
      </c>
      <c r="Q129" s="4393">
        <f t="shared" si="152"/>
        <v>0</v>
      </c>
      <c r="R129" s="4393">
        <f t="shared" si="152"/>
        <v>0</v>
      </c>
      <c r="S129" s="4393">
        <f t="shared" si="152"/>
        <v>0</v>
      </c>
      <c r="T129" s="4393">
        <f t="shared" si="152"/>
        <v>0</v>
      </c>
      <c r="U129" s="4393">
        <f t="shared" si="152"/>
        <v>0</v>
      </c>
      <c r="V129" s="4393">
        <f t="shared" si="152"/>
        <v>0</v>
      </c>
      <c r="W129" s="4393">
        <f t="shared" si="152"/>
        <v>0</v>
      </c>
      <c r="X129" s="6603">
        <f t="shared" si="152"/>
        <v>3757.4020719811288</v>
      </c>
      <c r="Y129" s="4046">
        <f t="shared" ref="Y129:AF129" si="153">Y96</f>
        <v>10402902.499059251</v>
      </c>
      <c r="Z129" s="4011">
        <f t="shared" si="153"/>
        <v>1040290.249905925</v>
      </c>
      <c r="AA129" s="4023">
        <f t="shared" si="153"/>
        <v>36.835647308770987</v>
      </c>
      <c r="AB129" s="4011">
        <f t="shared" si="153"/>
        <v>0</v>
      </c>
      <c r="AC129" s="4011">
        <f t="shared" si="153"/>
        <v>0</v>
      </c>
      <c r="AD129" s="4011">
        <f t="shared" si="153"/>
        <v>7219120.6348477453</v>
      </c>
      <c r="AE129" s="4011">
        <f t="shared" si="153"/>
        <v>0</v>
      </c>
      <c r="AF129" s="4011">
        <f t="shared" si="153"/>
        <v>0</v>
      </c>
      <c r="AG129" s="4011">
        <f t="shared" ref="AG129:AM129" si="154">AG96</f>
        <v>0</v>
      </c>
      <c r="AH129" s="4011">
        <f t="shared" si="154"/>
        <v>0</v>
      </c>
      <c r="AI129" s="4011">
        <f t="shared" si="154"/>
        <v>0</v>
      </c>
      <c r="AJ129" s="4011">
        <f t="shared" si="154"/>
        <v>0</v>
      </c>
      <c r="AK129" s="4011">
        <f t="shared" si="154"/>
        <v>0</v>
      </c>
      <c r="AL129" s="4011">
        <f t="shared" si="154"/>
        <v>0</v>
      </c>
      <c r="AM129" s="4011">
        <f t="shared" si="154"/>
        <v>0</v>
      </c>
      <c r="AN129" s="4017">
        <f t="shared" si="90"/>
        <v>7219120.6348477453</v>
      </c>
      <c r="AO129" s="4046">
        <f t="shared" ref="AO129:AT129" si="155">AO96</f>
        <v>36.835647308770987</v>
      </c>
      <c r="AP129" s="4023" t="e">
        <f t="shared" si="155"/>
        <v>#DIV/0!</v>
      </c>
      <c r="AQ129" s="4023" t="e">
        <f t="shared" si="155"/>
        <v>#DIV/0!</v>
      </c>
      <c r="AR129" s="4023">
        <f t="shared" si="155"/>
        <v>261.73189859400748</v>
      </c>
      <c r="AS129" s="4023" t="e">
        <f t="shared" si="155"/>
        <v>#DIV/0!</v>
      </c>
      <c r="AT129" s="4023" t="e">
        <f t="shared" si="155"/>
        <v>#DIV/0!</v>
      </c>
      <c r="AU129" s="4023" t="e">
        <f>AU96</f>
        <v>#DIV/0!</v>
      </c>
      <c r="AV129" s="4046" t="e">
        <f>AV96</f>
        <v>#DIV/0!</v>
      </c>
      <c r="AW129" s="5455" t="e">
        <f>AW96</f>
        <v>#DIV/0!</v>
      </c>
      <c r="AX129" s="5228" t="e">
        <f>AX96</f>
        <v>#DIV/0!</v>
      </c>
      <c r="AY129" s="5455" t="e">
        <f>AY96</f>
        <v>#DIV/0!</v>
      </c>
      <c r="AZ129" s="5371"/>
      <c r="BA129" s="5382"/>
      <c r="BB129" s="4023">
        <f>BB96</f>
        <v>261.73189859400748</v>
      </c>
      <c r="BF129" s="7672"/>
      <c r="BG129" s="7762" t="s">
        <v>1429</v>
      </c>
      <c r="BH129" s="7763"/>
      <c r="BI129" s="3390" t="s">
        <v>330</v>
      </c>
      <c r="BJ129" s="4700">
        <v>804.55310718712531</v>
      </c>
      <c r="BK129" s="4700">
        <v>671</v>
      </c>
      <c r="BL129" s="3338">
        <v>517.23473829824388</v>
      </c>
      <c r="BM129" s="3338">
        <v>635.2418619413146</v>
      </c>
      <c r="BN129" s="6409">
        <v>636.83616904167434</v>
      </c>
      <c r="BO129" s="6392">
        <v>600</v>
      </c>
      <c r="BP129" s="6393">
        <v>600</v>
      </c>
      <c r="BQ129" s="6330"/>
      <c r="BR129" s="5455">
        <v>10402902.499059251</v>
      </c>
      <c r="BS129" s="4011">
        <v>1040290.249905925</v>
      </c>
      <c r="BT129" s="4685">
        <v>36.835647308770987</v>
      </c>
      <c r="BU129" s="4011"/>
      <c r="BV129" s="4011"/>
      <c r="BW129" s="5416"/>
      <c r="BX129" s="7770"/>
      <c r="BY129" s="7770"/>
      <c r="BZ129" s="7774"/>
      <c r="CA129" s="7772"/>
    </row>
    <row r="130" spans="1:79" s="286" customFormat="1" ht="18" customHeight="1" thickBot="1">
      <c r="A130" s="7672"/>
      <c r="B130" s="7656" t="s">
        <v>1430</v>
      </c>
      <c r="C130" s="7657"/>
      <c r="D130" s="3085" t="s">
        <v>1432</v>
      </c>
      <c r="E130" s="6504"/>
      <c r="F130" s="6505"/>
      <c r="G130" s="6505"/>
      <c r="H130" s="6505"/>
      <c r="I130" s="6505"/>
      <c r="J130" s="6505"/>
      <c r="K130" s="6505"/>
      <c r="L130" s="6505"/>
      <c r="M130" s="6505"/>
      <c r="N130" s="6505"/>
      <c r="O130" s="6505"/>
      <c r="P130" s="6505"/>
      <c r="Q130" s="6505"/>
      <c r="R130" s="6505"/>
      <c r="S130" s="6505"/>
      <c r="T130" s="6505"/>
      <c r="U130" s="6505"/>
      <c r="V130" s="6505"/>
      <c r="W130" s="6505"/>
      <c r="X130" s="6505"/>
      <c r="Y130" s="4045">
        <f>협력사!D13*1000</f>
        <v>87665439.999999955</v>
      </c>
      <c r="Z130" s="4135">
        <f>Y130/12</f>
        <v>7305453.3333333293</v>
      </c>
      <c r="AA130" s="4022">
        <f>Y130/년간!E8</f>
        <v>310.41463950087444</v>
      </c>
      <c r="AB130" s="4135">
        <f>협력사!E13*1000</f>
        <v>1600000</v>
      </c>
      <c r="AC130" s="4135">
        <f>협력사!F13*1000</f>
        <v>0</v>
      </c>
      <c r="AD130" s="4135">
        <f>협력사!G13*1000</f>
        <v>7379962</v>
      </c>
      <c r="AE130" s="4135">
        <f>협력사!H13*1000</f>
        <v>0</v>
      </c>
      <c r="AF130" s="4135">
        <f>협력사!I13*1000</f>
        <v>0</v>
      </c>
      <c r="AG130" s="4135">
        <f>협력사!J13*1000</f>
        <v>0</v>
      </c>
      <c r="AH130" s="4135">
        <f>협력사!K13*1000</f>
        <v>0</v>
      </c>
      <c r="AI130" s="4135">
        <f>협력사!L13*1000</f>
        <v>0</v>
      </c>
      <c r="AJ130" s="4135">
        <f>협력사!M13*1000</f>
        <v>0</v>
      </c>
      <c r="AK130" s="4135">
        <f>협력사!N13*1000</f>
        <v>0</v>
      </c>
      <c r="AL130" s="4135">
        <f>협력사!O13*1000</f>
        <v>0</v>
      </c>
      <c r="AM130" s="4135">
        <f>협력사!P13*1000</f>
        <v>0</v>
      </c>
      <c r="AN130" s="6506">
        <f t="shared" si="90"/>
        <v>8979962</v>
      </c>
      <c r="AO130" s="4045">
        <f>Z130/(년간!E8/12)</f>
        <v>310.41463950087444</v>
      </c>
      <c r="AP130" s="4022" t="e">
        <f>AB130/년간!F8</f>
        <v>#DIV/0!</v>
      </c>
      <c r="AQ130" s="4022" t="e">
        <f>AC130/년간!G8</f>
        <v>#DIV/0!</v>
      </c>
      <c r="AR130" s="4022">
        <f>AD130/년간!H8</f>
        <v>267.56326199726493</v>
      </c>
      <c r="AS130" s="4022" t="e">
        <f>AE130/년간!I8</f>
        <v>#DIV/0!</v>
      </c>
      <c r="AT130" s="4022" t="e">
        <f>AF130/년간!J8</f>
        <v>#DIV/0!</v>
      </c>
      <c r="AU130" s="4022" t="e">
        <f>AG130/년간!K8</f>
        <v>#DIV/0!</v>
      </c>
      <c r="AV130" s="4045" t="e">
        <f>AH130/년간!L8</f>
        <v>#DIV/0!</v>
      </c>
      <c r="AW130" s="5454" t="e">
        <f>AI130/년간!M8</f>
        <v>#DIV/0!</v>
      </c>
      <c r="AX130" s="5227" t="e">
        <f>AJ130/년간!N8</f>
        <v>#DIV/0!</v>
      </c>
      <c r="AY130" s="5454" t="e">
        <f>AK130/년간!O8</f>
        <v>#DIV/0!</v>
      </c>
      <c r="AZ130" s="6507"/>
      <c r="BA130" s="6508"/>
      <c r="BB130" s="4022">
        <f>AN130/년간!V8</f>
        <v>325.57185597046202</v>
      </c>
      <c r="BF130" s="7672"/>
      <c r="BG130" s="7656" t="s">
        <v>1430</v>
      </c>
      <c r="BH130" s="7657"/>
      <c r="BI130" s="3085" t="s">
        <v>1431</v>
      </c>
      <c r="BJ130" s="4701"/>
      <c r="BK130" s="4701"/>
      <c r="BL130" s="4702"/>
      <c r="BM130" s="4702"/>
      <c r="BN130" s="6566"/>
      <c r="BO130" s="6567"/>
      <c r="BP130" s="6568"/>
      <c r="BQ130" s="3883"/>
      <c r="BR130" s="5454">
        <v>88129312</v>
      </c>
      <c r="BS130" s="4135">
        <v>7344109.333333333</v>
      </c>
      <c r="BT130" s="5210">
        <v>312.05716430488576</v>
      </c>
      <c r="BU130" s="4135"/>
      <c r="BV130" s="4135"/>
      <c r="BW130" s="5417"/>
      <c r="BX130" s="4690">
        <v>18844</v>
      </c>
      <c r="BY130" s="4690">
        <v>18685.259996045123</v>
      </c>
      <c r="BZ130" s="4711">
        <v>16472.306805497552</v>
      </c>
      <c r="CA130" s="5567">
        <v>18544.361677114113</v>
      </c>
    </row>
    <row r="131" spans="1:79" s="286" customFormat="1" ht="18" customHeight="1" thickBot="1">
      <c r="A131" s="7672"/>
      <c r="B131" s="7673" t="s">
        <v>1981</v>
      </c>
      <c r="C131" s="7674"/>
      <c r="D131" s="7674"/>
      <c r="E131" s="7674"/>
      <c r="F131" s="7674"/>
      <c r="G131" s="7674"/>
      <c r="H131" s="7674"/>
      <c r="I131" s="7674"/>
      <c r="J131" s="7674"/>
      <c r="K131" s="7674"/>
      <c r="L131" s="7674"/>
      <c r="M131" s="7674"/>
      <c r="N131" s="7674"/>
      <c r="O131" s="7674"/>
      <c r="P131" s="7674"/>
      <c r="Q131" s="7674"/>
      <c r="R131" s="7674"/>
      <c r="S131" s="7674"/>
      <c r="T131" s="7674"/>
      <c r="U131" s="7674"/>
      <c r="V131" s="7674"/>
      <c r="W131" s="7674"/>
      <c r="X131" s="7674"/>
      <c r="Y131" s="4037">
        <f>SUM(Y125:Y130)</f>
        <v>310385929.05372345</v>
      </c>
      <c r="Z131" s="4012">
        <f t="shared" ref="Z131:BB131" si="156">SUM(Z125:Z130)</f>
        <v>29577502.23870568</v>
      </c>
      <c r="AA131" s="4012">
        <f t="shared" si="156"/>
        <v>1099.0458300711841</v>
      </c>
      <c r="AB131" s="4037" t="e">
        <f t="shared" si="156"/>
        <v>#DIV/0!</v>
      </c>
      <c r="AC131" s="4012" t="e">
        <f t="shared" si="156"/>
        <v>#DIV/0!</v>
      </c>
      <c r="AD131" s="4012">
        <f t="shared" si="156"/>
        <v>35101593.110881373</v>
      </c>
      <c r="AE131" s="4012" t="e">
        <f t="shared" si="156"/>
        <v>#DIV/0!</v>
      </c>
      <c r="AF131" s="4012" t="e">
        <f t="shared" si="156"/>
        <v>#DIV/0!</v>
      </c>
      <c r="AG131" s="4012" t="e">
        <f t="shared" si="156"/>
        <v>#DIV/0!</v>
      </c>
      <c r="AH131" s="4012" t="e">
        <f t="shared" si="156"/>
        <v>#DIV/0!</v>
      </c>
      <c r="AI131" s="4012" t="e">
        <f t="shared" si="156"/>
        <v>#DIV/0!</v>
      </c>
      <c r="AJ131" s="4012" t="e">
        <f t="shared" si="156"/>
        <v>#DIV/0!</v>
      </c>
      <c r="AK131" s="4012" t="e">
        <f t="shared" si="156"/>
        <v>#DIV/0!</v>
      </c>
      <c r="AL131" s="4012">
        <f t="shared" si="156"/>
        <v>0</v>
      </c>
      <c r="AM131" s="6526">
        <f t="shared" si="156"/>
        <v>0</v>
      </c>
      <c r="AN131" s="4037" t="e">
        <f t="shared" si="156"/>
        <v>#DIV/0!</v>
      </c>
      <c r="AO131" s="6526">
        <f t="shared" si="156"/>
        <v>1099.0458300711841</v>
      </c>
      <c r="AP131" s="5445" t="e">
        <f t="shared" si="156"/>
        <v>#DIV/0!</v>
      </c>
      <c r="AQ131" s="4012" t="e">
        <f t="shared" si="156"/>
        <v>#DIV/0!</v>
      </c>
      <c r="AR131" s="4012">
        <f t="shared" si="156"/>
        <v>1272.6212891134321</v>
      </c>
      <c r="AS131" s="4012" t="e">
        <f t="shared" si="156"/>
        <v>#DIV/0!</v>
      </c>
      <c r="AT131" s="4012" t="e">
        <f t="shared" si="156"/>
        <v>#DIV/0!</v>
      </c>
      <c r="AU131" s="4012" t="e">
        <f t="shared" si="156"/>
        <v>#DIV/0!</v>
      </c>
      <c r="AV131" s="4012" t="e">
        <f t="shared" si="156"/>
        <v>#DIV/0!</v>
      </c>
      <c r="AW131" s="4012" t="e">
        <f t="shared" si="156"/>
        <v>#DIV/0!</v>
      </c>
      <c r="AX131" s="4012" t="e">
        <f t="shared" si="156"/>
        <v>#DIV/0!</v>
      </c>
      <c r="AY131" s="4012" t="e">
        <f t="shared" si="156"/>
        <v>#DIV/0!</v>
      </c>
      <c r="AZ131" s="4012">
        <f t="shared" si="156"/>
        <v>0</v>
      </c>
      <c r="BA131" s="4012">
        <f t="shared" si="156"/>
        <v>0</v>
      </c>
      <c r="BB131" s="4024" t="e">
        <f t="shared" si="156"/>
        <v>#DIV/0!</v>
      </c>
      <c r="BF131" s="7672"/>
      <c r="BG131" s="7673" t="s">
        <v>1981</v>
      </c>
      <c r="BH131" s="7674"/>
      <c r="BI131" s="7674"/>
      <c r="BJ131" s="7674"/>
      <c r="BK131" s="7674"/>
      <c r="BL131" s="7674"/>
      <c r="BM131" s="7674"/>
      <c r="BN131" s="7674"/>
      <c r="BO131" s="7674"/>
      <c r="BP131" s="7674"/>
      <c r="BQ131" s="7674"/>
      <c r="BR131" s="5456">
        <v>319427716.17065293</v>
      </c>
      <c r="BS131" s="4012">
        <v>30473949.750398625</v>
      </c>
      <c r="BT131" s="6526">
        <v>1131.0619026346176</v>
      </c>
      <c r="BU131" s="5445"/>
      <c r="BV131" s="4012"/>
      <c r="BW131" s="4024"/>
      <c r="BX131" s="4107"/>
      <c r="BY131" s="4107"/>
      <c r="BZ131" s="6502"/>
      <c r="CA131" s="6503"/>
    </row>
    <row r="132" spans="1:79" s="286" customFormat="1" ht="18" customHeight="1" thickBot="1">
      <c r="A132" s="7672"/>
      <c r="B132" s="7673" t="s">
        <v>1980</v>
      </c>
      <c r="C132" s="7674"/>
      <c r="D132" s="7674"/>
      <c r="E132" s="7674"/>
      <c r="F132" s="7674"/>
      <c r="G132" s="7674"/>
      <c r="H132" s="7674"/>
      <c r="I132" s="7674"/>
      <c r="J132" s="7674"/>
      <c r="K132" s="7674"/>
      <c r="L132" s="7674"/>
      <c r="M132" s="7674"/>
      <c r="N132" s="7674"/>
      <c r="O132" s="7674"/>
      <c r="P132" s="7674"/>
      <c r="Q132" s="7674"/>
      <c r="R132" s="7674"/>
      <c r="S132" s="7674"/>
      <c r="T132" s="7674"/>
      <c r="U132" s="7674"/>
      <c r="V132" s="7674"/>
      <c r="W132" s="7674"/>
      <c r="X132" s="7674"/>
      <c r="Y132" s="6511">
        <f>Y124+Y131</f>
        <v>574029840.71935737</v>
      </c>
      <c r="Z132" s="6509">
        <f t="shared" ref="Z132:AF132" si="157">SUM(Z124:Z130)</f>
        <v>56134053.431935735</v>
      </c>
      <c r="AA132" s="6510">
        <f>Y132/년간!E8</f>
        <v>2032.582806515815</v>
      </c>
      <c r="AB132" s="6509" t="e">
        <f t="shared" si="157"/>
        <v>#DIV/0!</v>
      </c>
      <c r="AC132" s="6509" t="e">
        <f t="shared" si="157"/>
        <v>#DIV/0!</v>
      </c>
      <c r="AD132" s="6509">
        <f t="shared" si="157"/>
        <v>69052406.669056892</v>
      </c>
      <c r="AE132" s="6509" t="e">
        <f t="shared" si="157"/>
        <v>#DIV/0!</v>
      </c>
      <c r="AF132" s="6509" t="e">
        <f t="shared" si="157"/>
        <v>#DIV/0!</v>
      </c>
      <c r="AG132" s="6509" t="e">
        <f t="shared" ref="AG132:AM132" si="158">SUM(AG124:AG130)</f>
        <v>#DIV/0!</v>
      </c>
      <c r="AH132" s="6509" t="e">
        <f t="shared" si="158"/>
        <v>#DIV/0!</v>
      </c>
      <c r="AI132" s="6509" t="e">
        <f t="shared" si="158"/>
        <v>#DIV/0!</v>
      </c>
      <c r="AJ132" s="6509" t="e">
        <f t="shared" si="158"/>
        <v>#DIV/0!</v>
      </c>
      <c r="AK132" s="6509" t="e">
        <f t="shared" si="158"/>
        <v>#DIV/0!</v>
      </c>
      <c r="AL132" s="6509">
        <f t="shared" si="158"/>
        <v>0</v>
      </c>
      <c r="AM132" s="6509">
        <f t="shared" si="158"/>
        <v>0</v>
      </c>
      <c r="AN132" s="6532" t="e">
        <f t="shared" si="90"/>
        <v>#DIV/0!</v>
      </c>
      <c r="AO132" s="6511">
        <f>AA132</f>
        <v>2032.582806515815</v>
      </c>
      <c r="AP132" s="6510" t="e">
        <f>AB132/년간!F8</f>
        <v>#DIV/0!</v>
      </c>
      <c r="AQ132" s="6510" t="e">
        <f>AC132/년간!G8</f>
        <v>#DIV/0!</v>
      </c>
      <c r="AR132" s="6510">
        <f>AD132/년간!H8</f>
        <v>2503.5206383358818</v>
      </c>
      <c r="AS132" s="6510" t="e">
        <f>AE132/년간!I8</f>
        <v>#DIV/0!</v>
      </c>
      <c r="AT132" s="6510" t="e">
        <f>AF132/년간!J8</f>
        <v>#DIV/0!</v>
      </c>
      <c r="AU132" s="6510" t="e">
        <f>AG132/년간!K8</f>
        <v>#DIV/0!</v>
      </c>
      <c r="AV132" s="6511" t="e">
        <f>AH132/년간!L8</f>
        <v>#DIV/0!</v>
      </c>
      <c r="AW132" s="6512" t="e">
        <f>AI132/년간!M8</f>
        <v>#DIV/0!</v>
      </c>
      <c r="AX132" s="6513" t="e">
        <f>AJ132/년간!N8</f>
        <v>#DIV/0!</v>
      </c>
      <c r="AY132" s="6512" t="e">
        <f>AK132/년간!O8</f>
        <v>#DIV/0!</v>
      </c>
      <c r="AZ132" s="6533"/>
      <c r="BA132" s="6534"/>
      <c r="BB132" s="6510" t="e">
        <f>AN132/년간!V8</f>
        <v>#DIV/0!</v>
      </c>
      <c r="BC132" s="286" t="e">
        <f>Y132/년간!#REF!</f>
        <v>#REF!</v>
      </c>
      <c r="BF132" s="7672"/>
      <c r="BG132" s="7673" t="s">
        <v>1979</v>
      </c>
      <c r="BH132" s="7674"/>
      <c r="BI132" s="7674"/>
      <c r="BJ132" s="7674"/>
      <c r="BK132" s="7674"/>
      <c r="BL132" s="7674"/>
      <c r="BM132" s="7674"/>
      <c r="BN132" s="7674"/>
      <c r="BO132" s="7674"/>
      <c r="BP132" s="7674"/>
      <c r="BQ132" s="7674"/>
      <c r="BR132" s="6535">
        <v>574546386.04710138</v>
      </c>
      <c r="BS132" s="6536">
        <v>56177976.764710136</v>
      </c>
      <c r="BT132" s="6537">
        <v>2034.411842355908</v>
      </c>
      <c r="BU132" s="6511"/>
      <c r="BV132" s="6538"/>
      <c r="BW132" s="6539"/>
      <c r="BX132" s="3341"/>
      <c r="BY132"/>
      <c r="BZ132" s="5255">
        <f>BY130-BZ130</f>
        <v>2212.9531905475706</v>
      </c>
      <c r="CA132" s="5256">
        <f>BY130-CA130</f>
        <v>140.89831893100927</v>
      </c>
    </row>
    <row r="133" spans="1:79" ht="17.45" customHeight="1">
      <c r="A133" s="7671" t="s">
        <v>1238</v>
      </c>
      <c r="B133" s="7651" t="s">
        <v>1160</v>
      </c>
      <c r="C133" s="7651"/>
      <c r="D133" s="3359" t="s">
        <v>448</v>
      </c>
      <c r="E133" s="1463">
        <f t="shared" ref="E133:T133" si="159">E3</f>
        <v>80.09</v>
      </c>
      <c r="F133" s="1463">
        <f t="shared" si="159"/>
        <v>32</v>
      </c>
      <c r="G133" s="3360">
        <f t="shared" si="159"/>
        <v>22.73</v>
      </c>
      <c r="H133" s="6527">
        <f t="shared" si="159"/>
        <v>31.35</v>
      </c>
      <c r="I133" s="6528">
        <f>I3</f>
        <v>0</v>
      </c>
      <c r="J133" s="6529">
        <f t="shared" si="159"/>
        <v>0</v>
      </c>
      <c r="K133" s="6530">
        <f t="shared" si="159"/>
        <v>0</v>
      </c>
      <c r="L133" s="6531">
        <f t="shared" si="159"/>
        <v>0</v>
      </c>
      <c r="M133" s="6531">
        <f t="shared" si="159"/>
        <v>0</v>
      </c>
      <c r="N133" s="6531">
        <f t="shared" si="159"/>
        <v>0</v>
      </c>
      <c r="O133" s="6531">
        <f t="shared" si="159"/>
        <v>0</v>
      </c>
      <c r="P133" s="6531">
        <f t="shared" si="159"/>
        <v>0</v>
      </c>
      <c r="Q133" s="6531">
        <f t="shared" si="159"/>
        <v>0</v>
      </c>
      <c r="R133" s="6531">
        <f t="shared" si="159"/>
        <v>0</v>
      </c>
      <c r="S133" s="6531">
        <f t="shared" si="159"/>
        <v>0</v>
      </c>
      <c r="T133" s="6531">
        <f t="shared" si="159"/>
        <v>0</v>
      </c>
      <c r="U133" s="6531">
        <f t="shared" ref="U133:AA133" si="160">U3</f>
        <v>0</v>
      </c>
      <c r="V133" s="6531">
        <f t="shared" si="160"/>
        <v>0</v>
      </c>
      <c r="W133" s="6531">
        <f t="shared" si="160"/>
        <v>0</v>
      </c>
      <c r="X133" s="6604">
        <f t="shared" si="160"/>
        <v>0</v>
      </c>
      <c r="Y133" s="4040">
        <f t="shared" si="160"/>
        <v>0</v>
      </c>
      <c r="Z133" s="4004">
        <f t="shared" si="160"/>
        <v>0</v>
      </c>
      <c r="AA133" s="4017">
        <f t="shared" si="160"/>
        <v>0</v>
      </c>
      <c r="AB133" s="4004">
        <f t="shared" ref="AB133:AM133" si="161">AB3</f>
        <v>0</v>
      </c>
      <c r="AC133" s="4004">
        <f t="shared" si="161"/>
        <v>0</v>
      </c>
      <c r="AD133" s="4004">
        <f t="shared" si="161"/>
        <v>0</v>
      </c>
      <c r="AE133" s="4004">
        <f t="shared" si="161"/>
        <v>0</v>
      </c>
      <c r="AF133" s="4004">
        <f t="shared" si="161"/>
        <v>0</v>
      </c>
      <c r="AG133" s="4004">
        <f t="shared" si="161"/>
        <v>0</v>
      </c>
      <c r="AH133" s="4004">
        <f t="shared" si="161"/>
        <v>0</v>
      </c>
      <c r="AI133" s="4004">
        <f t="shared" si="161"/>
        <v>0</v>
      </c>
      <c r="AJ133" s="4004">
        <f t="shared" si="161"/>
        <v>0</v>
      </c>
      <c r="AK133" s="4004">
        <f t="shared" si="161"/>
        <v>0</v>
      </c>
      <c r="AL133" s="4004">
        <f t="shared" si="161"/>
        <v>0</v>
      </c>
      <c r="AM133" s="4004">
        <f t="shared" si="161"/>
        <v>0</v>
      </c>
      <c r="AN133" s="4017">
        <f t="shared" si="90"/>
        <v>0</v>
      </c>
      <c r="AO133" s="4040">
        <f>AO3</f>
        <v>0</v>
      </c>
      <c r="AP133" s="4017" t="e">
        <f>AB133/년간!F9</f>
        <v>#DIV/0!</v>
      </c>
      <c r="AQ133" s="4017" t="e">
        <f>AC133/년간!G9</f>
        <v>#DIV/0!</v>
      </c>
      <c r="AR133" s="4017">
        <f>AD133/년간!H9</f>
        <v>0</v>
      </c>
      <c r="AS133" s="4017" t="e">
        <f>AE133/년간!I9</f>
        <v>#DIV/0!</v>
      </c>
      <c r="AT133" s="4017" t="e">
        <f>AF133/년간!J9</f>
        <v>#DIV/0!</v>
      </c>
      <c r="AU133" s="4017" t="e">
        <f>AG133/년간!K9</f>
        <v>#DIV/0!</v>
      </c>
      <c r="AV133" s="4040" t="e">
        <f>AH133/년간!L9</f>
        <v>#DIV/0!</v>
      </c>
      <c r="AW133" s="5448" t="e">
        <f>AI133/년간!M9</f>
        <v>#DIV/0!</v>
      </c>
      <c r="AX133" s="5221" t="e">
        <f>AJ133/년간!N9</f>
        <v>#DIV/0!</v>
      </c>
      <c r="AY133" s="5448" t="e">
        <f>AK133/년간!O9</f>
        <v>#DIV/0!</v>
      </c>
      <c r="AZ133" s="5448"/>
      <c r="BA133" s="4004"/>
      <c r="BB133" s="4017">
        <f>AN133/년간!V9</f>
        <v>0</v>
      </c>
      <c r="BF133" s="7671" t="s">
        <v>1238</v>
      </c>
      <c r="BG133" s="7689" t="s">
        <v>1160</v>
      </c>
      <c r="BH133" s="7689"/>
      <c r="BI133" s="2358" t="s">
        <v>1390</v>
      </c>
      <c r="BJ133" s="2263">
        <v>80.09</v>
      </c>
      <c r="BK133" s="2261">
        <v>32</v>
      </c>
      <c r="BL133" s="2262">
        <v>22.73</v>
      </c>
      <c r="BM133" s="2826">
        <v>31.35</v>
      </c>
      <c r="BN133" s="6410">
        <v>0</v>
      </c>
      <c r="BO133" s="6366">
        <v>0</v>
      </c>
      <c r="BP133" s="6367">
        <v>0</v>
      </c>
      <c r="BQ133" s="6319"/>
      <c r="BR133" s="5447">
        <v>0</v>
      </c>
      <c r="BS133" s="3068">
        <v>0</v>
      </c>
      <c r="BT133" s="5202">
        <v>0</v>
      </c>
      <c r="BU133" s="4004"/>
      <c r="BV133" s="4004"/>
      <c r="BW133" s="5418"/>
      <c r="BX133" s="3961"/>
    </row>
    <row r="134" spans="1:79" ht="17.45" customHeight="1">
      <c r="A134" s="7672"/>
      <c r="B134" s="7677" t="s">
        <v>1231</v>
      </c>
      <c r="C134" s="3014" t="s">
        <v>519</v>
      </c>
      <c r="D134" s="3026" t="s">
        <v>317</v>
      </c>
      <c r="E134" s="4883">
        <f t="shared" ref="E134:T134" si="162">E11</f>
        <v>5.7793871902032548</v>
      </c>
      <c r="F134" s="4883">
        <f t="shared" si="162"/>
        <v>3.5247059874261177</v>
      </c>
      <c r="G134" s="4918">
        <f t="shared" si="162"/>
        <v>1.6037242317013864</v>
      </c>
      <c r="H134" s="4058">
        <f t="shared" si="162"/>
        <v>1.6719794524789255</v>
      </c>
      <c r="I134" s="3279">
        <f>I11</f>
        <v>1.4596654895918522</v>
      </c>
      <c r="J134" s="6157">
        <f t="shared" si="162"/>
        <v>0.86450197716929056</v>
      </c>
      <c r="K134" s="6158">
        <f t="shared" si="162"/>
        <v>0.86450197716929045</v>
      </c>
      <c r="L134" s="3051" t="e">
        <f t="shared" si="162"/>
        <v>#DIV/0!</v>
      </c>
      <c r="M134" s="3051" t="e">
        <f t="shared" si="162"/>
        <v>#DIV/0!</v>
      </c>
      <c r="N134" s="3051">
        <f t="shared" si="162"/>
        <v>1.7250710175381492</v>
      </c>
      <c r="O134" s="3051" t="e">
        <f t="shared" si="162"/>
        <v>#DIV/0!</v>
      </c>
      <c r="P134" s="3051" t="e">
        <f t="shared" si="162"/>
        <v>#DIV/0!</v>
      </c>
      <c r="Q134" s="3051" t="e">
        <f t="shared" si="162"/>
        <v>#DIV/0!</v>
      </c>
      <c r="R134" s="3051" t="e">
        <f t="shared" si="162"/>
        <v>#DIV/0!</v>
      </c>
      <c r="S134" s="3051" t="e">
        <f t="shared" si="162"/>
        <v>#DIV/0!</v>
      </c>
      <c r="T134" s="3051" t="e">
        <f t="shared" si="162"/>
        <v>#DIV/0!</v>
      </c>
      <c r="U134" s="3051" t="e">
        <f t="shared" ref="U134:AA134" si="163">U11</f>
        <v>#DIV/0!</v>
      </c>
      <c r="V134" s="3051" t="e">
        <f t="shared" si="163"/>
        <v>#DIV/0!</v>
      </c>
      <c r="W134" s="3051" t="e">
        <f t="shared" si="163"/>
        <v>#DIV/0!</v>
      </c>
      <c r="X134" s="6597">
        <f t="shared" si="163"/>
        <v>2.2688862026256253</v>
      </c>
      <c r="Y134" s="4041">
        <f t="shared" si="163"/>
        <v>77455963.749872625</v>
      </c>
      <c r="Z134" s="4005">
        <f t="shared" si="163"/>
        <v>7745596.3749872632</v>
      </c>
      <c r="AA134" s="3008">
        <f t="shared" si="163"/>
        <v>288.95009979061638</v>
      </c>
      <c r="AB134" s="4005" t="e">
        <f t="shared" ref="AB134:AM134" si="164">AB11</f>
        <v>#DIV/0!</v>
      </c>
      <c r="AC134" s="4005" t="e">
        <f t="shared" si="164"/>
        <v>#DIV/0!</v>
      </c>
      <c r="AD134" s="4005">
        <f t="shared" si="164"/>
        <v>-2945210.3174115331</v>
      </c>
      <c r="AE134" s="4005" t="e">
        <f t="shared" si="164"/>
        <v>#DIV/0!</v>
      </c>
      <c r="AF134" s="4005" t="e">
        <f t="shared" si="164"/>
        <v>#DIV/0!</v>
      </c>
      <c r="AG134" s="4005" t="e">
        <f t="shared" si="164"/>
        <v>#DIV/0!</v>
      </c>
      <c r="AH134" s="4005" t="e">
        <f t="shared" si="164"/>
        <v>#DIV/0!</v>
      </c>
      <c r="AI134" s="4005" t="e">
        <f t="shared" si="164"/>
        <v>#DIV/0!</v>
      </c>
      <c r="AJ134" s="4005" t="e">
        <f t="shared" si="164"/>
        <v>#DIV/0!</v>
      </c>
      <c r="AK134" s="4005" t="e">
        <f t="shared" si="164"/>
        <v>#DIV/0!</v>
      </c>
      <c r="AL134" s="4005">
        <f t="shared" si="164"/>
        <v>0</v>
      </c>
      <c r="AM134" s="4005">
        <f t="shared" si="164"/>
        <v>0</v>
      </c>
      <c r="AN134" s="4017" t="e">
        <f t="shared" si="90"/>
        <v>#DIV/0!</v>
      </c>
      <c r="AO134" s="4041">
        <f>AO11</f>
        <v>288.95009979061638</v>
      </c>
      <c r="AP134" s="3008" t="e">
        <f>AB134/년간!F9</f>
        <v>#DIV/0!</v>
      </c>
      <c r="AQ134" s="3008" t="e">
        <f>AC134/년간!G9</f>
        <v>#DIV/0!</v>
      </c>
      <c r="AR134" s="3008">
        <f>AD134/년간!H9</f>
        <v>-126.9255238444152</v>
      </c>
      <c r="AS134" s="3008" t="e">
        <f>AE134/년간!I9</f>
        <v>#DIV/0!</v>
      </c>
      <c r="AT134" s="3008" t="e">
        <f>AF134/년간!J9</f>
        <v>#DIV/0!</v>
      </c>
      <c r="AU134" s="3008" t="e">
        <f>AG134/년간!K9</f>
        <v>#DIV/0!</v>
      </c>
      <c r="AV134" s="4041" t="e">
        <f>AH134/년간!L9</f>
        <v>#DIV/0!</v>
      </c>
      <c r="AW134" s="5365" t="e">
        <f>AI134/년간!M9</f>
        <v>#DIV/0!</v>
      </c>
      <c r="AX134" s="3953" t="e">
        <f>AJ134/년간!N9</f>
        <v>#DIV/0!</v>
      </c>
      <c r="AY134" s="5365" t="e">
        <f>AK134/년간!O9</f>
        <v>#DIV/0!</v>
      </c>
      <c r="AZ134" s="3500"/>
      <c r="BA134" s="5378"/>
      <c r="BB134" s="3008" t="e">
        <f>AN134/년간!V9</f>
        <v>#DIV/0!</v>
      </c>
      <c r="BF134" s="7672"/>
      <c r="BG134" s="7761" t="s">
        <v>1231</v>
      </c>
      <c r="BH134" s="5163" t="s">
        <v>519</v>
      </c>
      <c r="BI134" s="4031" t="s">
        <v>317</v>
      </c>
      <c r="BJ134" s="3374">
        <v>313.09000000000003</v>
      </c>
      <c r="BK134" s="3373">
        <v>164.95000000000002</v>
      </c>
      <c r="BL134" s="3363">
        <v>161.42500000000001</v>
      </c>
      <c r="BM134" s="4691">
        <v>1.6719794524789255</v>
      </c>
      <c r="BN134" s="6441">
        <v>1.3432542616200684</v>
      </c>
      <c r="BO134" s="6397">
        <v>0.86450197716929056</v>
      </c>
      <c r="BP134" s="5248">
        <v>0.86450197716929045</v>
      </c>
      <c r="BQ134" s="6322"/>
      <c r="BR134" s="5365">
        <v>62305935.790062457</v>
      </c>
      <c r="BS134" s="4005">
        <v>6230593.5790062472</v>
      </c>
      <c r="BT134" s="4686">
        <v>232.43279784399931</v>
      </c>
      <c r="BU134" s="4005"/>
      <c r="BV134" s="4005"/>
      <c r="BW134" s="5413"/>
      <c r="BX134" s="3341"/>
    </row>
    <row r="135" spans="1:79" ht="17.45" customHeight="1">
      <c r="A135" s="7672"/>
      <c r="B135" s="7678"/>
      <c r="C135" s="3014" t="s">
        <v>1033</v>
      </c>
      <c r="D135" s="3026" t="s">
        <v>317</v>
      </c>
      <c r="E135" s="4883">
        <f t="shared" ref="E135:T135" si="165">E18</f>
        <v>21.599829365219371</v>
      </c>
      <c r="F135" s="4883">
        <f t="shared" si="165"/>
        <v>18.544274928470497</v>
      </c>
      <c r="G135" s="4918">
        <f t="shared" si="165"/>
        <v>16.507800391326938</v>
      </c>
      <c r="H135" s="4058">
        <f t="shared" si="165"/>
        <v>16.790485537659951</v>
      </c>
      <c r="I135" s="3279">
        <f>I18</f>
        <v>16.348472210753698</v>
      </c>
      <c r="J135" s="6157">
        <f t="shared" si="165"/>
        <v>15.548757740804298</v>
      </c>
      <c r="K135" s="6158">
        <f t="shared" si="165"/>
        <v>15.548757740804298</v>
      </c>
      <c r="L135" s="3051" t="e">
        <f t="shared" si="165"/>
        <v>#DIV/0!</v>
      </c>
      <c r="M135" s="3051" t="e">
        <f t="shared" si="165"/>
        <v>#DIV/0!</v>
      </c>
      <c r="N135" s="3051">
        <f t="shared" si="165"/>
        <v>13.74850538324533</v>
      </c>
      <c r="O135" s="3051" t="e">
        <f t="shared" si="165"/>
        <v>#DIV/0!</v>
      </c>
      <c r="P135" s="3051" t="e">
        <f t="shared" si="165"/>
        <v>#DIV/0!</v>
      </c>
      <c r="Q135" s="3051" t="e">
        <f t="shared" si="165"/>
        <v>#DIV/0!</v>
      </c>
      <c r="R135" s="3051" t="e">
        <f t="shared" si="165"/>
        <v>#DIV/0!</v>
      </c>
      <c r="S135" s="3051" t="e">
        <f t="shared" si="165"/>
        <v>#DIV/0!</v>
      </c>
      <c r="T135" s="3051" t="e">
        <f t="shared" si="165"/>
        <v>#DIV/0!</v>
      </c>
      <c r="U135" s="3051" t="e">
        <f t="shared" ref="U135:AA135" si="166">U18</f>
        <v>#DIV/0!</v>
      </c>
      <c r="V135" s="3051" t="e">
        <f t="shared" si="166"/>
        <v>#DIV/0!</v>
      </c>
      <c r="W135" s="3051" t="e">
        <f t="shared" si="166"/>
        <v>#DIV/0!</v>
      </c>
      <c r="X135" s="6597">
        <f t="shared" si="166"/>
        <v>13.916943714909594</v>
      </c>
      <c r="Y135" s="4041">
        <f t="shared" si="166"/>
        <v>104076701.11112343</v>
      </c>
      <c r="Z135" s="4005">
        <f t="shared" si="166"/>
        <v>10407670.111112343</v>
      </c>
      <c r="AA135" s="3008">
        <f t="shared" si="166"/>
        <v>388.47635814685316</v>
      </c>
      <c r="AB135" s="4005" t="e">
        <f t="shared" ref="AB135:AM135" si="167">AB18</f>
        <v>#DIV/0!</v>
      </c>
      <c r="AC135" s="4005" t="e">
        <f t="shared" si="167"/>
        <v>#DIV/0!</v>
      </c>
      <c r="AD135" s="4005">
        <f t="shared" si="167"/>
        <v>28851882.568379696</v>
      </c>
      <c r="AE135" s="4005" t="e">
        <f t="shared" si="167"/>
        <v>#DIV/0!</v>
      </c>
      <c r="AF135" s="4005" t="e">
        <f t="shared" si="167"/>
        <v>#DIV/0!</v>
      </c>
      <c r="AG135" s="4005" t="e">
        <f t="shared" si="167"/>
        <v>#DIV/0!</v>
      </c>
      <c r="AH135" s="4005" t="e">
        <f t="shared" si="167"/>
        <v>#DIV/0!</v>
      </c>
      <c r="AI135" s="4005" t="e">
        <f t="shared" si="167"/>
        <v>#DIV/0!</v>
      </c>
      <c r="AJ135" s="4005" t="e">
        <f t="shared" si="167"/>
        <v>#DIV/0!</v>
      </c>
      <c r="AK135" s="4005" t="e">
        <f t="shared" si="167"/>
        <v>#DIV/0!</v>
      </c>
      <c r="AL135" s="4005">
        <f t="shared" si="167"/>
        <v>0</v>
      </c>
      <c r="AM135" s="4005">
        <f t="shared" si="167"/>
        <v>0</v>
      </c>
      <c r="AN135" s="4017" t="e">
        <f t="shared" si="90"/>
        <v>#DIV/0!</v>
      </c>
      <c r="AO135" s="4041">
        <f>AO18</f>
        <v>388.47635814685316</v>
      </c>
      <c r="AP135" s="3008" t="e">
        <f>AB135/년간!F9</f>
        <v>#DIV/0!</v>
      </c>
      <c r="AQ135" s="3008" t="e">
        <f>AC135/년간!G9</f>
        <v>#DIV/0!</v>
      </c>
      <c r="AR135" s="3008">
        <f>AD135/년간!H9</f>
        <v>1243.3883880006281</v>
      </c>
      <c r="AS135" s="3008" t="e">
        <f>AE135/년간!I9</f>
        <v>#DIV/0!</v>
      </c>
      <c r="AT135" s="3008" t="e">
        <f>AF135/년간!J9</f>
        <v>#DIV/0!</v>
      </c>
      <c r="AU135" s="3008" t="e">
        <f>AG135/년간!K9</f>
        <v>#DIV/0!</v>
      </c>
      <c r="AV135" s="4041" t="e">
        <f>AH135/년간!L9</f>
        <v>#DIV/0!</v>
      </c>
      <c r="AW135" s="5365" t="e">
        <f>AI135/년간!M9</f>
        <v>#DIV/0!</v>
      </c>
      <c r="AX135" s="3953" t="e">
        <f>AJ135/년간!N9</f>
        <v>#DIV/0!</v>
      </c>
      <c r="AY135" s="5365" t="e">
        <f>AK135/년간!O9</f>
        <v>#DIV/0!</v>
      </c>
      <c r="AZ135" s="3500"/>
      <c r="BA135" s="5378"/>
      <c r="BB135" s="3008" t="e">
        <f>AN135/년간!V9</f>
        <v>#DIV/0!</v>
      </c>
      <c r="BF135" s="7672"/>
      <c r="BG135" s="7678"/>
      <c r="BH135" s="5163" t="s">
        <v>1033</v>
      </c>
      <c r="BI135" s="4031" t="s">
        <v>317</v>
      </c>
      <c r="BJ135" s="3374">
        <v>6734.33</v>
      </c>
      <c r="BK135" s="3373">
        <v>5813.76</v>
      </c>
      <c r="BL135" s="3363">
        <v>5107.49</v>
      </c>
      <c r="BM135" s="4691">
        <v>16.790485537659951</v>
      </c>
      <c r="BN135" s="6441">
        <v>16.285820855894777</v>
      </c>
      <c r="BO135" s="6397">
        <v>15.548757740804298</v>
      </c>
      <c r="BP135" s="5248">
        <v>15.548757740804298</v>
      </c>
      <c r="BQ135" s="6331"/>
      <c r="BR135" s="5365">
        <v>95923108.074009195</v>
      </c>
      <c r="BS135" s="4005">
        <v>9592310.8074009214</v>
      </c>
      <c r="BT135" s="4686">
        <v>358.04228313242953</v>
      </c>
      <c r="BU135" s="4005"/>
      <c r="BV135" s="4005"/>
      <c r="BW135" s="5413"/>
      <c r="BX135" s="3341"/>
    </row>
    <row r="136" spans="1:79" ht="17.45" customHeight="1">
      <c r="A136" s="7672"/>
      <c r="B136" s="7678"/>
      <c r="C136" s="3014" t="s">
        <v>1227</v>
      </c>
      <c r="D136" s="3026" t="s">
        <v>317</v>
      </c>
      <c r="E136" s="4920"/>
      <c r="F136" s="4920"/>
      <c r="G136" s="4921"/>
      <c r="H136" s="6159"/>
      <c r="I136" s="3279">
        <f>I25</f>
        <v>0.40842274814494417</v>
      </c>
      <c r="J136" s="6494">
        <f t="shared" ref="J136:BB136" si="168">J25</f>
        <v>0.14691500877160241</v>
      </c>
      <c r="K136" s="6493">
        <f t="shared" si="168"/>
        <v>0.14691500877160241</v>
      </c>
      <c r="L136" s="6497" t="e">
        <f t="shared" si="168"/>
        <v>#DIV/0!</v>
      </c>
      <c r="M136" s="6498" t="e">
        <f t="shared" si="168"/>
        <v>#DIV/0!</v>
      </c>
      <c r="N136" s="6498">
        <f t="shared" si="168"/>
        <v>0</v>
      </c>
      <c r="O136" s="6498" t="e">
        <f t="shared" si="168"/>
        <v>#DIV/0!</v>
      </c>
      <c r="P136" s="6498" t="e">
        <f t="shared" si="168"/>
        <v>#DIV/0!</v>
      </c>
      <c r="Q136" s="6498" t="e">
        <f t="shared" si="168"/>
        <v>#DIV/0!</v>
      </c>
      <c r="R136" s="6498" t="e">
        <f t="shared" si="168"/>
        <v>#DIV/0!</v>
      </c>
      <c r="S136" s="6498" t="e">
        <f t="shared" si="168"/>
        <v>#DIV/0!</v>
      </c>
      <c r="T136" s="6498" t="e">
        <f t="shared" si="168"/>
        <v>#DIV/0!</v>
      </c>
      <c r="U136" s="6498" t="e">
        <f t="shared" si="168"/>
        <v>#DIV/0!</v>
      </c>
      <c r="V136" s="6498" t="e">
        <f t="shared" si="168"/>
        <v>#DIV/0!</v>
      </c>
      <c r="W136" s="6498" t="e">
        <f t="shared" si="168"/>
        <v>#DIV/0!</v>
      </c>
      <c r="X136" s="6598">
        <f t="shared" si="168"/>
        <v>0</v>
      </c>
      <c r="Y136" s="6618">
        <f t="shared" si="168"/>
        <v>34014181.238535702</v>
      </c>
      <c r="Z136" s="6500">
        <f t="shared" si="168"/>
        <v>3401418.1238535703</v>
      </c>
      <c r="AA136" s="6492">
        <f t="shared" si="168"/>
        <v>126.96122294253929</v>
      </c>
      <c r="AB136" s="6492" t="e">
        <f t="shared" si="168"/>
        <v>#DIV/0!</v>
      </c>
      <c r="AC136" s="6492">
        <f t="shared" si="168"/>
        <v>0</v>
      </c>
      <c r="AD136" s="6492">
        <f t="shared" si="168"/>
        <v>0</v>
      </c>
      <c r="AE136" s="6492">
        <f t="shared" si="168"/>
        <v>0</v>
      </c>
      <c r="AF136" s="6492">
        <f t="shared" si="168"/>
        <v>0</v>
      </c>
      <c r="AG136" s="6492">
        <f t="shared" si="168"/>
        <v>0</v>
      </c>
      <c r="AH136" s="6492">
        <f t="shared" si="168"/>
        <v>0</v>
      </c>
      <c r="AI136" s="6492">
        <f t="shared" si="168"/>
        <v>0</v>
      </c>
      <c r="AJ136" s="6492">
        <f t="shared" si="168"/>
        <v>0</v>
      </c>
      <c r="AK136" s="6492">
        <f t="shared" si="168"/>
        <v>0</v>
      </c>
      <c r="AL136" s="6492">
        <f t="shared" si="168"/>
        <v>0</v>
      </c>
      <c r="AM136" s="6492">
        <f t="shared" si="168"/>
        <v>0</v>
      </c>
      <c r="AN136" s="6492" t="e">
        <f t="shared" si="168"/>
        <v>#DIV/0!</v>
      </c>
      <c r="AO136" s="6492">
        <f t="shared" si="168"/>
        <v>126.96122294253929</v>
      </c>
      <c r="AP136" s="6492">
        <f t="shared" si="168"/>
        <v>0</v>
      </c>
      <c r="AQ136" s="6492">
        <f t="shared" si="168"/>
        <v>0</v>
      </c>
      <c r="AR136" s="6492">
        <f t="shared" si="168"/>
        <v>0</v>
      </c>
      <c r="AS136" s="6492">
        <f t="shared" si="168"/>
        <v>0</v>
      </c>
      <c r="AT136" s="6492">
        <f t="shared" si="168"/>
        <v>0</v>
      </c>
      <c r="AU136" s="6492">
        <f t="shared" si="168"/>
        <v>0</v>
      </c>
      <c r="AV136" s="6492">
        <f t="shared" si="168"/>
        <v>0</v>
      </c>
      <c r="AW136" s="6492">
        <f t="shared" si="168"/>
        <v>0</v>
      </c>
      <c r="AX136" s="6492">
        <f t="shared" si="168"/>
        <v>0</v>
      </c>
      <c r="AY136" s="6492">
        <f t="shared" si="168"/>
        <v>0</v>
      </c>
      <c r="AZ136" s="6492">
        <f t="shared" si="168"/>
        <v>0</v>
      </c>
      <c r="BA136" s="6492">
        <f t="shared" si="168"/>
        <v>0</v>
      </c>
      <c r="BB136" s="6492" t="e">
        <f t="shared" si="168"/>
        <v>#DIV/0!</v>
      </c>
      <c r="BF136" s="7672"/>
      <c r="BG136" s="7678"/>
      <c r="BH136" s="5163" t="s">
        <v>1227</v>
      </c>
      <c r="BI136" s="4031" t="s">
        <v>317</v>
      </c>
      <c r="BJ136" s="3375"/>
      <c r="BK136" s="3376"/>
      <c r="BL136" s="3364"/>
      <c r="BM136" s="4704"/>
      <c r="BN136" s="6501">
        <v>0.33193822380540661</v>
      </c>
      <c r="BO136" s="6397">
        <v>0.14691500877160241</v>
      </c>
      <c r="BP136" s="5248">
        <v>0.14691500877160241</v>
      </c>
      <c r="BQ136" s="4926"/>
      <c r="BR136" s="4979">
        <v>24065877.302818879</v>
      </c>
      <c r="BS136" s="4007">
        <v>2406587.7302818876</v>
      </c>
      <c r="BT136" s="5205">
        <v>89.828215829266838</v>
      </c>
      <c r="BU136" s="4007"/>
      <c r="BV136" s="4007"/>
      <c r="BW136" s="5413"/>
    </row>
    <row r="137" spans="1:79" ht="17.45" customHeight="1">
      <c r="A137" s="7672"/>
      <c r="B137" s="7678"/>
      <c r="C137" s="3014" t="s">
        <v>1228</v>
      </c>
      <c r="D137" s="3026" t="s">
        <v>317</v>
      </c>
      <c r="E137" s="4920"/>
      <c r="F137" s="4920"/>
      <c r="G137" s="4921"/>
      <c r="H137" s="6495"/>
      <c r="I137" s="3279">
        <f>I32</f>
        <v>0.18513087999824601</v>
      </c>
      <c r="J137" s="6494">
        <f t="shared" ref="J137:BB137" si="169">J32</f>
        <v>4.9008995558209846E-2</v>
      </c>
      <c r="K137" s="6493">
        <f t="shared" si="169"/>
        <v>4.9008995558209853E-2</v>
      </c>
      <c r="L137" s="6497" t="e">
        <f t="shared" si="169"/>
        <v>#DIV/0!</v>
      </c>
      <c r="M137" s="6498" t="e">
        <f t="shared" si="169"/>
        <v>#DIV/0!</v>
      </c>
      <c r="N137" s="6498">
        <f t="shared" si="169"/>
        <v>1.2433072576391211</v>
      </c>
      <c r="O137" s="6498" t="e">
        <f t="shared" si="169"/>
        <v>#DIV/0!</v>
      </c>
      <c r="P137" s="6498" t="e">
        <f t="shared" si="169"/>
        <v>#DIV/0!</v>
      </c>
      <c r="Q137" s="6498" t="e">
        <f t="shared" si="169"/>
        <v>#DIV/0!</v>
      </c>
      <c r="R137" s="6498" t="e">
        <f t="shared" si="169"/>
        <v>#DIV/0!</v>
      </c>
      <c r="S137" s="6498" t="e">
        <f t="shared" si="169"/>
        <v>#DIV/0!</v>
      </c>
      <c r="T137" s="6498" t="e">
        <f t="shared" si="169"/>
        <v>#DIV/0!</v>
      </c>
      <c r="U137" s="6498" t="e">
        <f t="shared" si="169"/>
        <v>#DIV/0!</v>
      </c>
      <c r="V137" s="6498" t="e">
        <f t="shared" si="169"/>
        <v>#DIV/0!</v>
      </c>
      <c r="W137" s="6498" t="e">
        <f t="shared" si="169"/>
        <v>#DIV/0!</v>
      </c>
      <c r="X137" s="6598">
        <f t="shared" si="169"/>
        <v>0</v>
      </c>
      <c r="Y137" s="6618">
        <f t="shared" si="169"/>
        <v>18562360.651493065</v>
      </c>
      <c r="Z137" s="6500">
        <f t="shared" si="169"/>
        <v>1856236.0651493066</v>
      </c>
      <c r="AA137" s="6492">
        <f t="shared" si="169"/>
        <v>69.285807366253835</v>
      </c>
      <c r="AB137" s="6492" t="e">
        <f t="shared" si="169"/>
        <v>#DIV/0!</v>
      </c>
      <c r="AC137" s="6492" t="e">
        <f t="shared" si="169"/>
        <v>#DIV/0!</v>
      </c>
      <c r="AD137" s="6492">
        <f t="shared" si="169"/>
        <v>-11846748.750562176</v>
      </c>
      <c r="AE137" s="6492" t="e">
        <f t="shared" si="169"/>
        <v>#DIV/0!</v>
      </c>
      <c r="AF137" s="6492" t="e">
        <f t="shared" si="169"/>
        <v>#DIV/0!</v>
      </c>
      <c r="AG137" s="6492" t="e">
        <f t="shared" si="169"/>
        <v>#DIV/0!</v>
      </c>
      <c r="AH137" s="6492" t="e">
        <f t="shared" si="169"/>
        <v>#DIV/0!</v>
      </c>
      <c r="AI137" s="6492" t="e">
        <f t="shared" si="169"/>
        <v>#DIV/0!</v>
      </c>
      <c r="AJ137" s="6492" t="e">
        <f t="shared" si="169"/>
        <v>#DIV/0!</v>
      </c>
      <c r="AK137" s="6492" t="e">
        <f t="shared" si="169"/>
        <v>#DIV/0!</v>
      </c>
      <c r="AL137" s="6492">
        <f t="shared" si="169"/>
        <v>0</v>
      </c>
      <c r="AM137" s="6492">
        <f t="shared" si="169"/>
        <v>0</v>
      </c>
      <c r="AN137" s="6492" t="e">
        <f t="shared" si="169"/>
        <v>#DIV/0!</v>
      </c>
      <c r="AO137" s="6492">
        <f t="shared" si="169"/>
        <v>69.285807366253835</v>
      </c>
      <c r="AP137" s="6492" t="e">
        <f t="shared" si="169"/>
        <v>#DIV/0!</v>
      </c>
      <c r="AQ137" s="6492" t="e">
        <f t="shared" si="169"/>
        <v>#DIV/0!</v>
      </c>
      <c r="AR137" s="6492">
        <f t="shared" si="169"/>
        <v>-510.54241597924238</v>
      </c>
      <c r="AS137" s="6492" t="e">
        <f t="shared" si="169"/>
        <v>#DIV/0!</v>
      </c>
      <c r="AT137" s="6492" t="e">
        <f t="shared" si="169"/>
        <v>#DIV/0!</v>
      </c>
      <c r="AU137" s="6492" t="e">
        <f t="shared" si="169"/>
        <v>#DIV/0!</v>
      </c>
      <c r="AV137" s="6492" t="e">
        <f t="shared" si="169"/>
        <v>#DIV/0!</v>
      </c>
      <c r="AW137" s="6492" t="e">
        <f t="shared" si="169"/>
        <v>#DIV/0!</v>
      </c>
      <c r="AX137" s="6492" t="e">
        <f t="shared" si="169"/>
        <v>#DIV/0!</v>
      </c>
      <c r="AY137" s="6492" t="e">
        <f t="shared" si="169"/>
        <v>#DIV/0!</v>
      </c>
      <c r="AZ137" s="6492">
        <f t="shared" si="169"/>
        <v>0</v>
      </c>
      <c r="BA137" s="6492">
        <f t="shared" si="169"/>
        <v>0</v>
      </c>
      <c r="BB137" s="6492" t="e">
        <f t="shared" si="169"/>
        <v>#DIV/0!</v>
      </c>
      <c r="BF137" s="7672"/>
      <c r="BG137" s="7678"/>
      <c r="BH137" s="5163" t="s">
        <v>1228</v>
      </c>
      <c r="BI137" s="4031" t="s">
        <v>317</v>
      </c>
      <c r="BJ137" s="3375"/>
      <c r="BK137" s="3376"/>
      <c r="BL137" s="3364"/>
      <c r="BM137" s="4704"/>
      <c r="BN137" s="6501">
        <v>0.1424979305838584</v>
      </c>
      <c r="BO137" s="6397">
        <v>4.9008995558209846E-2</v>
      </c>
      <c r="BP137" s="5248">
        <v>4.9008995558209853E-2</v>
      </c>
      <c r="BQ137" s="4926"/>
      <c r="BR137" s="4979">
        <v>18620251.616109718</v>
      </c>
      <c r="BS137" s="4007">
        <v>1862025.1616109714</v>
      </c>
      <c r="BT137" s="5205">
        <v>69.501890993653532</v>
      </c>
      <c r="BU137" s="4007"/>
      <c r="BV137" s="4007"/>
      <c r="BW137" s="5413"/>
    </row>
    <row r="138" spans="1:79" ht="17.45" customHeight="1">
      <c r="A138" s="7672"/>
      <c r="B138" s="7679"/>
      <c r="C138" s="3014" t="s">
        <v>334</v>
      </c>
      <c r="D138" s="3026" t="s">
        <v>317</v>
      </c>
      <c r="E138" s="4922">
        <f>SUM(E134:E137)</f>
        <v>27.379216555422627</v>
      </c>
      <c r="F138" s="4922">
        <f>SUM(F134:F137)</f>
        <v>22.068980915896613</v>
      </c>
      <c r="G138" s="4533">
        <f>SUM(G134:G137)</f>
        <v>18.111524623028323</v>
      </c>
      <c r="H138" s="6151">
        <f t="shared" ref="H138:P138" si="170">SUM(H134:H137)</f>
        <v>18.462464990138876</v>
      </c>
      <c r="I138" s="6130">
        <f>SUM(I134:I137)</f>
        <v>18.401691328488742</v>
      </c>
      <c r="J138" s="6157">
        <f t="shared" si="170"/>
        <v>16.609183722303403</v>
      </c>
      <c r="K138" s="6158">
        <f t="shared" si="170"/>
        <v>16.609183722303403</v>
      </c>
      <c r="L138" s="3051" t="e">
        <f t="shared" si="170"/>
        <v>#DIV/0!</v>
      </c>
      <c r="M138" s="3051" t="e">
        <f t="shared" si="170"/>
        <v>#DIV/0!</v>
      </c>
      <c r="N138" s="3051">
        <f t="shared" si="170"/>
        <v>16.716883658422599</v>
      </c>
      <c r="O138" s="3051" t="e">
        <f t="shared" si="170"/>
        <v>#DIV/0!</v>
      </c>
      <c r="P138" s="3051" t="e">
        <f t="shared" si="170"/>
        <v>#DIV/0!</v>
      </c>
      <c r="Q138" s="3051" t="e">
        <f t="shared" ref="Q138:AA138" si="171">SUM(Q134:Q137)</f>
        <v>#DIV/0!</v>
      </c>
      <c r="R138" s="3051" t="e">
        <f t="shared" si="171"/>
        <v>#DIV/0!</v>
      </c>
      <c r="S138" s="3051" t="e">
        <f t="shared" si="171"/>
        <v>#DIV/0!</v>
      </c>
      <c r="T138" s="3051" t="e">
        <f t="shared" si="171"/>
        <v>#DIV/0!</v>
      </c>
      <c r="U138" s="3051" t="e">
        <f t="shared" si="171"/>
        <v>#DIV/0!</v>
      </c>
      <c r="V138" s="3051" t="e">
        <f t="shared" si="171"/>
        <v>#DIV/0!</v>
      </c>
      <c r="W138" s="3051" t="e">
        <f t="shared" si="171"/>
        <v>#DIV/0!</v>
      </c>
      <c r="X138" s="6597">
        <f t="shared" si="171"/>
        <v>16.185829917535219</v>
      </c>
      <c r="Y138" s="4041">
        <f t="shared" si="171"/>
        <v>234109206.75102484</v>
      </c>
      <c r="Z138" s="4005">
        <f t="shared" si="171"/>
        <v>23410920.675102487</v>
      </c>
      <c r="AA138" s="3008">
        <f t="shared" si="171"/>
        <v>873.67348824626265</v>
      </c>
      <c r="AB138" s="4005" t="e">
        <f t="shared" ref="AB138:AG138" si="172">SUM(AB134:AB137)</f>
        <v>#DIV/0!</v>
      </c>
      <c r="AC138" s="4005" t="e">
        <f t="shared" si="172"/>
        <v>#DIV/0!</v>
      </c>
      <c r="AD138" s="4005">
        <f t="shared" si="172"/>
        <v>14059923.500405986</v>
      </c>
      <c r="AE138" s="4005" t="e">
        <f t="shared" si="172"/>
        <v>#DIV/0!</v>
      </c>
      <c r="AF138" s="4005" t="e">
        <f t="shared" si="172"/>
        <v>#DIV/0!</v>
      </c>
      <c r="AG138" s="4005" t="e">
        <f t="shared" si="172"/>
        <v>#DIV/0!</v>
      </c>
      <c r="AH138" s="4005" t="e">
        <f t="shared" ref="AH138:AM138" si="173">SUM(AH134:AH137)</f>
        <v>#DIV/0!</v>
      </c>
      <c r="AI138" s="4005" t="e">
        <f t="shared" si="173"/>
        <v>#DIV/0!</v>
      </c>
      <c r="AJ138" s="4005" t="e">
        <f t="shared" si="173"/>
        <v>#DIV/0!</v>
      </c>
      <c r="AK138" s="4005" t="e">
        <f t="shared" si="173"/>
        <v>#DIV/0!</v>
      </c>
      <c r="AL138" s="4005">
        <f t="shared" si="173"/>
        <v>0</v>
      </c>
      <c r="AM138" s="4005">
        <f t="shared" si="173"/>
        <v>0</v>
      </c>
      <c r="AN138" s="4017" t="e">
        <f t="shared" si="90"/>
        <v>#DIV/0!</v>
      </c>
      <c r="AO138" s="4041">
        <f>SUM(AO134:AO137)</f>
        <v>873.67348824626265</v>
      </c>
      <c r="AP138" s="3008" t="e">
        <f>AB138/년간!F9</f>
        <v>#DIV/0!</v>
      </c>
      <c r="AQ138" s="3008" t="e">
        <f>AC138/년간!G9</f>
        <v>#DIV/0!</v>
      </c>
      <c r="AR138" s="3008">
        <f>AD138/년간!H9</f>
        <v>605.92044817697047</v>
      </c>
      <c r="AS138" s="3008" t="e">
        <f>AE138/년간!I9</f>
        <v>#DIV/0!</v>
      </c>
      <c r="AT138" s="3008" t="e">
        <f>AF138/년간!J9</f>
        <v>#DIV/0!</v>
      </c>
      <c r="AU138" s="3008" t="e">
        <f>AG138/년간!K9</f>
        <v>#DIV/0!</v>
      </c>
      <c r="AV138" s="4041" t="e">
        <f>AH138/년간!L9</f>
        <v>#DIV/0!</v>
      </c>
      <c r="AW138" s="5365" t="e">
        <f>AI138/년간!M9</f>
        <v>#DIV/0!</v>
      </c>
      <c r="AX138" s="3953" t="e">
        <f>AJ138/년간!N9</f>
        <v>#DIV/0!</v>
      </c>
      <c r="AY138" s="5365" t="e">
        <f>AK138/년간!O9</f>
        <v>#DIV/0!</v>
      </c>
      <c r="AZ138" s="3500"/>
      <c r="BA138" s="5378"/>
      <c r="BB138" s="3008" t="e">
        <f>AN138/년간!V9</f>
        <v>#DIV/0!</v>
      </c>
      <c r="BF138" s="7672"/>
      <c r="BG138" s="7679"/>
      <c r="BH138" s="5163" t="s">
        <v>334</v>
      </c>
      <c r="BI138" s="4031" t="s">
        <v>317</v>
      </c>
      <c r="BJ138" s="4032">
        <v>7127.51</v>
      </c>
      <c r="BK138" s="4134">
        <v>6010.71</v>
      </c>
      <c r="BL138" s="3365">
        <v>5291.6449999999995</v>
      </c>
      <c r="BM138" s="4694">
        <v>18.462464990138876</v>
      </c>
      <c r="BN138" s="6441">
        <v>18.103511271904107</v>
      </c>
      <c r="BO138" s="6397">
        <v>16.609183722303403</v>
      </c>
      <c r="BP138" s="5248">
        <v>16.609183722303403</v>
      </c>
      <c r="BQ138" s="6322"/>
      <c r="BR138" s="5365">
        <v>200915172.78300029</v>
      </c>
      <c r="BS138" s="4005">
        <v>20091517.278300028</v>
      </c>
      <c r="BT138" s="4686">
        <v>749.80518779934926</v>
      </c>
      <c r="BU138" s="4005"/>
      <c r="BV138" s="4005"/>
      <c r="BW138" s="5413"/>
    </row>
    <row r="139" spans="1:79" s="286" customFormat="1" ht="17.45" customHeight="1">
      <c r="A139" s="7672"/>
      <c r="B139" s="7682" t="s">
        <v>1389</v>
      </c>
      <c r="C139" s="7683"/>
      <c r="D139" s="3026" t="s">
        <v>1391</v>
      </c>
      <c r="E139" s="3025">
        <f t="shared" ref="E139:T139" si="174">E41</f>
        <v>538.38</v>
      </c>
      <c r="F139" s="3025">
        <f t="shared" si="174"/>
        <v>1238</v>
      </c>
      <c r="G139" s="3365">
        <f t="shared" si="174"/>
        <v>926.96999999999991</v>
      </c>
      <c r="H139" s="6152">
        <f t="shared" si="174"/>
        <v>387.37</v>
      </c>
      <c r="I139" s="6131">
        <f>I41</f>
        <v>326.14999999999998</v>
      </c>
      <c r="J139" s="6191">
        <f t="shared" si="174"/>
        <v>198</v>
      </c>
      <c r="K139" s="6192">
        <f t="shared" si="174"/>
        <v>19.8</v>
      </c>
      <c r="L139" s="6499">
        <f t="shared" si="174"/>
        <v>0</v>
      </c>
      <c r="M139" s="4144">
        <f t="shared" si="174"/>
        <v>0</v>
      </c>
      <c r="N139" s="4144">
        <f t="shared" si="174"/>
        <v>0</v>
      </c>
      <c r="O139" s="4144">
        <f t="shared" si="174"/>
        <v>0</v>
      </c>
      <c r="P139" s="4144">
        <f t="shared" si="174"/>
        <v>0</v>
      </c>
      <c r="Q139" s="4144">
        <f t="shared" si="174"/>
        <v>0</v>
      </c>
      <c r="R139" s="4144">
        <f t="shared" si="174"/>
        <v>0</v>
      </c>
      <c r="S139" s="4144">
        <f t="shared" si="174"/>
        <v>0</v>
      </c>
      <c r="T139" s="4144">
        <f t="shared" si="174"/>
        <v>0</v>
      </c>
      <c r="U139" s="4144">
        <f>U41</f>
        <v>0</v>
      </c>
      <c r="V139" s="4144">
        <f>V41</f>
        <v>0</v>
      </c>
      <c r="W139" s="4144">
        <f>W41</f>
        <v>0</v>
      </c>
      <c r="X139" s="5423">
        <f>X41</f>
        <v>0</v>
      </c>
      <c r="Y139" s="6619">
        <f t="shared" ref="Y139:AM139" si="175">Y41</f>
        <v>3297993.6458333326</v>
      </c>
      <c r="Z139" s="4686">
        <f t="shared" si="175"/>
        <v>329799.3645833332</v>
      </c>
      <c r="AA139" s="3008">
        <f t="shared" si="175"/>
        <v>12.310080421907852</v>
      </c>
      <c r="AB139" s="4005">
        <f t="shared" si="175"/>
        <v>699467.17881944438</v>
      </c>
      <c r="AC139" s="4005">
        <f t="shared" si="175"/>
        <v>699467.17881944438</v>
      </c>
      <c r="AD139" s="4005">
        <f t="shared" si="175"/>
        <v>699467.17881944438</v>
      </c>
      <c r="AE139" s="4005">
        <f t="shared" si="175"/>
        <v>699467.17881944438</v>
      </c>
      <c r="AF139" s="4005">
        <f t="shared" si="175"/>
        <v>699467.17881944438</v>
      </c>
      <c r="AG139" s="4005">
        <f t="shared" si="175"/>
        <v>699467.17881944438</v>
      </c>
      <c r="AH139" s="4005">
        <f t="shared" si="175"/>
        <v>699467.17881944438</v>
      </c>
      <c r="AI139" s="4005">
        <f t="shared" si="175"/>
        <v>699467.17881944438</v>
      </c>
      <c r="AJ139" s="4005">
        <f t="shared" si="175"/>
        <v>699467.17881944438</v>
      </c>
      <c r="AK139" s="4005">
        <f t="shared" si="175"/>
        <v>699467.17881944438</v>
      </c>
      <c r="AL139" s="4005">
        <f t="shared" si="175"/>
        <v>0</v>
      </c>
      <c r="AM139" s="4005">
        <f t="shared" si="175"/>
        <v>0</v>
      </c>
      <c r="AN139" s="4017">
        <f t="shared" si="90"/>
        <v>6994671.7881944422</v>
      </c>
      <c r="AO139" s="4041">
        <f t="shared" ref="AO139:AX139" si="176">AO41</f>
        <v>12.310080421907852</v>
      </c>
      <c r="AP139" s="3008" t="e">
        <f t="shared" si="176"/>
        <v>#DIV/0!</v>
      </c>
      <c r="AQ139" s="3008" t="e">
        <f t="shared" si="176"/>
        <v>#DIV/0!</v>
      </c>
      <c r="AR139" s="3008">
        <f t="shared" si="176"/>
        <v>30.14393829832153</v>
      </c>
      <c r="AS139" s="3008" t="e">
        <f t="shared" si="176"/>
        <v>#DIV/0!</v>
      </c>
      <c r="AT139" s="3008" t="e">
        <f t="shared" si="176"/>
        <v>#DIV/0!</v>
      </c>
      <c r="AU139" s="3008" t="e">
        <f t="shared" si="176"/>
        <v>#DIV/0!</v>
      </c>
      <c r="AV139" s="4041" t="e">
        <f t="shared" si="176"/>
        <v>#DIV/0!</v>
      </c>
      <c r="AW139" s="5365" t="e">
        <f t="shared" si="176"/>
        <v>#DIV/0!</v>
      </c>
      <c r="AX139" s="3953" t="e">
        <f t="shared" si="176"/>
        <v>#DIV/0!</v>
      </c>
      <c r="AY139" s="5365" t="e">
        <f>AY41</f>
        <v>#DIV/0!</v>
      </c>
      <c r="AZ139" s="4144"/>
      <c r="BA139" s="4573"/>
      <c r="BB139" s="3008">
        <f>BB41</f>
        <v>301.43938298321518</v>
      </c>
      <c r="BF139" s="7672"/>
      <c r="BG139" s="7662" t="s">
        <v>1389</v>
      </c>
      <c r="BH139" s="7663"/>
      <c r="BI139" s="4031" t="s">
        <v>1390</v>
      </c>
      <c r="BJ139" s="4032">
        <v>538.38</v>
      </c>
      <c r="BK139" s="4134">
        <v>1238</v>
      </c>
      <c r="BL139" s="3365">
        <v>926.96999999999991</v>
      </c>
      <c r="BM139" s="4694">
        <v>387.37</v>
      </c>
      <c r="BN139" s="6407">
        <v>326.14999999999998</v>
      </c>
      <c r="BO139" s="6368">
        <v>198</v>
      </c>
      <c r="BP139" s="5235">
        <v>19.8</v>
      </c>
      <c r="BQ139" s="6323"/>
      <c r="BR139" s="5365">
        <v>3297993.6458333326</v>
      </c>
      <c r="BS139" s="4005">
        <v>329799.3645833332</v>
      </c>
      <c r="BT139" s="4686">
        <v>12.310080421907852</v>
      </c>
      <c r="BU139" s="4005"/>
      <c r="BV139" s="4005"/>
      <c r="BW139" s="5413"/>
    </row>
    <row r="140" spans="1:79" ht="17.45" customHeight="1">
      <c r="A140" s="7672"/>
      <c r="B140" s="7649" t="s">
        <v>1232</v>
      </c>
      <c r="C140" s="3014" t="s">
        <v>1235</v>
      </c>
      <c r="D140" s="3026" t="s">
        <v>1236</v>
      </c>
      <c r="E140" s="3022">
        <f t="shared" ref="E140:T140" si="177">E48</f>
        <v>347</v>
      </c>
      <c r="F140" s="3022">
        <f t="shared" si="177"/>
        <v>242</v>
      </c>
      <c r="G140" s="3366">
        <f t="shared" si="177"/>
        <v>175</v>
      </c>
      <c r="H140" s="3366">
        <f t="shared" si="177"/>
        <v>77</v>
      </c>
      <c r="I140" s="6132">
        <f>I48</f>
        <v>66</v>
      </c>
      <c r="J140" s="6193">
        <f t="shared" si="177"/>
        <v>30</v>
      </c>
      <c r="K140" s="6194">
        <f t="shared" si="177"/>
        <v>3</v>
      </c>
      <c r="L140" s="3049">
        <f t="shared" si="177"/>
        <v>0</v>
      </c>
      <c r="M140" s="3049">
        <f t="shared" si="177"/>
        <v>1</v>
      </c>
      <c r="N140" s="3049">
        <f t="shared" si="177"/>
        <v>6</v>
      </c>
      <c r="O140" s="3049">
        <f t="shared" si="177"/>
        <v>0</v>
      </c>
      <c r="P140" s="3049">
        <f t="shared" si="177"/>
        <v>0</v>
      </c>
      <c r="Q140" s="3049">
        <f t="shared" si="177"/>
        <v>0</v>
      </c>
      <c r="R140" s="3049">
        <f t="shared" si="177"/>
        <v>0</v>
      </c>
      <c r="S140" s="3049">
        <f t="shared" si="177"/>
        <v>0</v>
      </c>
      <c r="T140" s="3049">
        <f t="shared" si="177"/>
        <v>0</v>
      </c>
      <c r="U140" s="3049">
        <f t="shared" ref="U140:X141" si="178">U48</f>
        <v>0</v>
      </c>
      <c r="V140" s="3049">
        <f t="shared" si="178"/>
        <v>0</v>
      </c>
      <c r="W140" s="3049">
        <f t="shared" si="178"/>
        <v>0</v>
      </c>
      <c r="X140" s="6599">
        <f t="shared" si="178"/>
        <v>7</v>
      </c>
      <c r="Y140" s="4042"/>
      <c r="Z140" s="4006"/>
      <c r="AA140" s="4018"/>
      <c r="AB140" s="4006"/>
      <c r="AC140" s="4006"/>
      <c r="AD140" s="4006"/>
      <c r="AE140" s="4006"/>
      <c r="AF140" s="4006"/>
      <c r="AG140" s="4006"/>
      <c r="AH140" s="4006"/>
      <c r="AI140" s="4006"/>
      <c r="AJ140" s="4006"/>
      <c r="AK140" s="4006"/>
      <c r="AL140" s="4006"/>
      <c r="AM140" s="4006"/>
      <c r="AN140" s="5400"/>
      <c r="AO140" s="4042"/>
      <c r="AP140" s="4018"/>
      <c r="AQ140" s="4018"/>
      <c r="AR140" s="4018"/>
      <c r="AS140" s="4018"/>
      <c r="AT140" s="4018"/>
      <c r="AU140" s="4018"/>
      <c r="AV140" s="4042"/>
      <c r="AW140" s="5449"/>
      <c r="AX140" s="5222"/>
      <c r="AY140" s="5449"/>
      <c r="AZ140" s="5366"/>
      <c r="BA140" s="4131"/>
      <c r="BB140" s="4018"/>
      <c r="BF140" s="7672"/>
      <c r="BG140" s="7733" t="s">
        <v>1232</v>
      </c>
      <c r="BH140" s="5163" t="s">
        <v>1235</v>
      </c>
      <c r="BI140" s="4031" t="s">
        <v>1434</v>
      </c>
      <c r="BJ140" s="3945">
        <v>347</v>
      </c>
      <c r="BK140" s="3389">
        <v>242</v>
      </c>
      <c r="BL140" s="3366">
        <v>175</v>
      </c>
      <c r="BM140" s="3389">
        <v>77</v>
      </c>
      <c r="BN140" s="6407">
        <v>66</v>
      </c>
      <c r="BO140" s="6368">
        <v>30</v>
      </c>
      <c r="BP140" s="5235">
        <v>3</v>
      </c>
      <c r="BQ140" s="6318"/>
      <c r="BR140" s="5449"/>
      <c r="BS140" s="4006"/>
      <c r="BT140" s="5204"/>
      <c r="BU140" s="4006"/>
      <c r="BV140" s="4006"/>
      <c r="BW140" s="4018"/>
    </row>
    <row r="141" spans="1:79" ht="17.45" customHeight="1">
      <c r="A141" s="7672"/>
      <c r="B141" s="7651"/>
      <c r="C141" s="3014" t="s">
        <v>1217</v>
      </c>
      <c r="D141" s="3026" t="s">
        <v>1219</v>
      </c>
      <c r="E141" s="3022">
        <f t="shared" ref="E141:T141" si="179">E49</f>
        <v>365.26666666666665</v>
      </c>
      <c r="F141" s="3022">
        <f t="shared" si="179"/>
        <v>211.08333333333331</v>
      </c>
      <c r="G141" s="3366">
        <f t="shared" si="179"/>
        <v>154.65</v>
      </c>
      <c r="H141" s="3366">
        <f t="shared" si="179"/>
        <v>66.083333333333329</v>
      </c>
      <c r="I141" s="6132">
        <f>I49</f>
        <v>99.166666666666671</v>
      </c>
      <c r="J141" s="6193">
        <f t="shared" si="179"/>
        <v>40.25</v>
      </c>
      <c r="K141" s="6194">
        <f t="shared" si="179"/>
        <v>4.0250000000000004</v>
      </c>
      <c r="L141" s="3049">
        <f t="shared" si="179"/>
        <v>0</v>
      </c>
      <c r="M141" s="3049">
        <f t="shared" si="179"/>
        <v>0.25</v>
      </c>
      <c r="N141" s="3049">
        <f t="shared" si="179"/>
        <v>4.25</v>
      </c>
      <c r="O141" s="3049">
        <f t="shared" si="179"/>
        <v>0</v>
      </c>
      <c r="P141" s="3049">
        <f t="shared" si="179"/>
        <v>0</v>
      </c>
      <c r="Q141" s="3049">
        <f t="shared" si="179"/>
        <v>0</v>
      </c>
      <c r="R141" s="3049">
        <f t="shared" si="179"/>
        <v>0</v>
      </c>
      <c r="S141" s="3049">
        <f t="shared" si="179"/>
        <v>0</v>
      </c>
      <c r="T141" s="3049">
        <f t="shared" si="179"/>
        <v>0</v>
      </c>
      <c r="U141" s="3049">
        <f t="shared" si="178"/>
        <v>0</v>
      </c>
      <c r="V141" s="3049">
        <f t="shared" si="178"/>
        <v>0</v>
      </c>
      <c r="W141" s="3049">
        <f t="shared" si="178"/>
        <v>0</v>
      </c>
      <c r="X141" s="6599">
        <f t="shared" si="178"/>
        <v>4.5</v>
      </c>
      <c r="Y141" s="4041">
        <f>Y49</f>
        <v>72779758.333333343</v>
      </c>
      <c r="Z141" s="4005">
        <f>Z49</f>
        <v>7277975.833333334</v>
      </c>
      <c r="AA141" s="3008">
        <f>AA49</f>
        <v>271.65749069961311</v>
      </c>
      <c r="AB141" s="4005">
        <f t="shared" ref="AB141:AM141" si="180">AB49</f>
        <v>10208381.944444444</v>
      </c>
      <c r="AC141" s="4005">
        <f t="shared" si="180"/>
        <v>9899556.944444444</v>
      </c>
      <c r="AD141" s="4005">
        <f t="shared" si="180"/>
        <v>4958356.944444445</v>
      </c>
      <c r="AE141" s="4005">
        <f t="shared" si="180"/>
        <v>10208381.944444444</v>
      </c>
      <c r="AF141" s="4005">
        <f t="shared" si="180"/>
        <v>10208381.944444444</v>
      </c>
      <c r="AG141" s="4005">
        <f t="shared" si="180"/>
        <v>10208381.944444444</v>
      </c>
      <c r="AH141" s="4005">
        <f t="shared" si="180"/>
        <v>10208381.944444444</v>
      </c>
      <c r="AI141" s="4005">
        <f t="shared" si="180"/>
        <v>10208381.944444444</v>
      </c>
      <c r="AJ141" s="4005">
        <f t="shared" si="180"/>
        <v>10208381.944444444</v>
      </c>
      <c r="AK141" s="4005">
        <f t="shared" si="180"/>
        <v>10208381.944444444</v>
      </c>
      <c r="AL141" s="4005">
        <f t="shared" si="180"/>
        <v>0</v>
      </c>
      <c r="AM141" s="4005">
        <f t="shared" si="180"/>
        <v>0</v>
      </c>
      <c r="AN141" s="4017">
        <f t="shared" si="90"/>
        <v>96524969.444444463</v>
      </c>
      <c r="AO141" s="4041">
        <f>AO49</f>
        <v>271.65749069961311</v>
      </c>
      <c r="AP141" s="3008" t="e">
        <f>AB141/년간!F9</f>
        <v>#DIV/0!</v>
      </c>
      <c r="AQ141" s="3008" t="e">
        <f>AC141/년간!G9</f>
        <v>#DIV/0!</v>
      </c>
      <c r="AR141" s="3008">
        <f>AD141/년간!H9</f>
        <v>213.68322963580985</v>
      </c>
      <c r="AS141" s="3008" t="e">
        <f>AE141/년간!I9</f>
        <v>#DIV/0!</v>
      </c>
      <c r="AT141" s="3008" t="e">
        <f>AF141/년간!J9</f>
        <v>#DIV/0!</v>
      </c>
      <c r="AU141" s="3008" t="e">
        <f>AG141/년간!K9</f>
        <v>#DIV/0!</v>
      </c>
      <c r="AV141" s="4041" t="e">
        <f>AH141/년간!L9</f>
        <v>#DIV/0!</v>
      </c>
      <c r="AW141" s="5365" t="e">
        <f>AI141/년간!M9</f>
        <v>#DIV/0!</v>
      </c>
      <c r="AX141" s="3953" t="e">
        <f>AJ141/년간!N9</f>
        <v>#DIV/0!</v>
      </c>
      <c r="AY141" s="5365" t="e">
        <f>AK141/년간!O9</f>
        <v>#DIV/0!</v>
      </c>
      <c r="AZ141" s="3500"/>
      <c r="BA141" s="5378"/>
      <c r="BB141" s="3008">
        <f>AN141/년간!V9</f>
        <v>4159.7987886888113</v>
      </c>
      <c r="BF141" s="7672"/>
      <c r="BG141" s="7651"/>
      <c r="BH141" s="5163" t="s">
        <v>1217</v>
      </c>
      <c r="BI141" s="4031" t="s">
        <v>1435</v>
      </c>
      <c r="BJ141" s="3945">
        <v>365.26666666666665</v>
      </c>
      <c r="BK141" s="3389">
        <v>211.08333333333331</v>
      </c>
      <c r="BL141" s="3366">
        <v>154.65</v>
      </c>
      <c r="BM141" s="3389">
        <v>66.083333333333329</v>
      </c>
      <c r="BN141" s="6407">
        <v>99.166666666666671</v>
      </c>
      <c r="BO141" s="6368">
        <v>38</v>
      </c>
      <c r="BP141" s="6371">
        <v>3.8</v>
      </c>
      <c r="BQ141" s="6332"/>
      <c r="BR141" s="5365">
        <v>75559183.333333343</v>
      </c>
      <c r="BS141" s="4005">
        <v>7555918.3333333349</v>
      </c>
      <c r="BT141" s="4686">
        <v>282.03196347031968</v>
      </c>
      <c r="BU141" s="4005"/>
      <c r="BV141" s="4005"/>
      <c r="BW141" s="5413"/>
      <c r="BX141" s="3341"/>
    </row>
    <row r="142" spans="1:79" ht="17.45" customHeight="1">
      <c r="A142" s="7672"/>
      <c r="B142" s="7684" t="s">
        <v>1233</v>
      </c>
      <c r="C142" s="7684"/>
      <c r="D142" s="3038" t="s">
        <v>1236</v>
      </c>
      <c r="E142" s="3023"/>
      <c r="F142" s="3023"/>
      <c r="G142" s="4707"/>
      <c r="H142" s="6160"/>
      <c r="I142" s="6139"/>
      <c r="J142" s="5427"/>
      <c r="K142" s="5428"/>
      <c r="L142" s="3882"/>
      <c r="M142" s="3882"/>
      <c r="N142" s="3882"/>
      <c r="O142" s="3882"/>
      <c r="P142" s="3882"/>
      <c r="Q142" s="3882"/>
      <c r="R142" s="3882"/>
      <c r="S142" s="3882"/>
      <c r="T142" s="3882"/>
      <c r="U142" s="3882"/>
      <c r="V142" s="3882"/>
      <c r="W142" s="3882"/>
      <c r="X142" s="3882"/>
      <c r="Y142" s="4042"/>
      <c r="Z142" s="4006"/>
      <c r="AA142" s="4018"/>
      <c r="AB142" s="4006"/>
      <c r="AC142" s="4006"/>
      <c r="AD142" s="4006"/>
      <c r="AE142" s="4006"/>
      <c r="AF142" s="4006"/>
      <c r="AG142" s="4006"/>
      <c r="AH142" s="4006"/>
      <c r="AI142" s="4006"/>
      <c r="AJ142" s="4006"/>
      <c r="AK142" s="4006"/>
      <c r="AL142" s="4006"/>
      <c r="AM142" s="4006"/>
      <c r="AN142" s="5400"/>
      <c r="AO142" s="4042"/>
      <c r="AP142" s="4018"/>
      <c r="AQ142" s="4018"/>
      <c r="AR142" s="4018"/>
      <c r="AS142" s="4018"/>
      <c r="AT142" s="4018"/>
      <c r="AU142" s="4018"/>
      <c r="AV142" s="4042"/>
      <c r="AW142" s="5449"/>
      <c r="AX142" s="5222"/>
      <c r="AY142" s="5449"/>
      <c r="AZ142" s="5366"/>
      <c r="BA142" s="4131"/>
      <c r="BB142" s="4018"/>
      <c r="BF142" s="7672"/>
      <c r="BG142" s="7658" t="s">
        <v>1233</v>
      </c>
      <c r="BH142" s="7658"/>
      <c r="BI142" s="4033" t="s">
        <v>1434</v>
      </c>
      <c r="BJ142" s="4705"/>
      <c r="BK142" s="4706"/>
      <c r="BL142" s="4707"/>
      <c r="BM142" s="4708"/>
      <c r="BN142" s="3882"/>
      <c r="BO142" s="5427"/>
      <c r="BP142" s="5236"/>
      <c r="BQ142" s="3882"/>
      <c r="BR142" s="5449"/>
      <c r="BS142" s="4006"/>
      <c r="BT142" s="5204"/>
      <c r="BU142" s="4006"/>
      <c r="BV142" s="4006"/>
      <c r="BW142" s="4018"/>
      <c r="BX142" s="3341"/>
    </row>
    <row r="143" spans="1:79" ht="18" customHeight="1" thickBot="1">
      <c r="A143" s="7672"/>
      <c r="B143" s="7659" t="s">
        <v>1234</v>
      </c>
      <c r="C143" s="7659"/>
      <c r="D143" s="2611" t="s">
        <v>1237</v>
      </c>
      <c r="E143" s="2613"/>
      <c r="F143" s="2613"/>
      <c r="G143" s="2614"/>
      <c r="H143" s="6161"/>
      <c r="I143" s="6140"/>
      <c r="J143" s="5429"/>
      <c r="K143" s="5430"/>
      <c r="L143" s="3885"/>
      <c r="M143" s="3885"/>
      <c r="N143" s="3885"/>
      <c r="O143" s="3885"/>
      <c r="P143" s="3885"/>
      <c r="Q143" s="3885"/>
      <c r="R143" s="3885"/>
      <c r="S143" s="3885"/>
      <c r="T143" s="3885"/>
      <c r="U143" s="3885"/>
      <c r="V143" s="3885"/>
      <c r="W143" s="3885"/>
      <c r="X143" s="3885"/>
      <c r="Y143" s="5358"/>
      <c r="Z143" s="4014"/>
      <c r="AA143" s="4026"/>
      <c r="AB143" s="4014"/>
      <c r="AC143" s="4014"/>
      <c r="AD143" s="4014"/>
      <c r="AE143" s="4014"/>
      <c r="AF143" s="4014"/>
      <c r="AG143" s="4014"/>
      <c r="AH143" s="4014"/>
      <c r="AI143" s="4014"/>
      <c r="AJ143" s="4014"/>
      <c r="AK143" s="4014"/>
      <c r="AL143" s="4014"/>
      <c r="AM143" s="4014"/>
      <c r="AN143" s="5400"/>
      <c r="AO143" s="5358"/>
      <c r="AP143" s="4026"/>
      <c r="AQ143" s="4026"/>
      <c r="AR143" s="4026"/>
      <c r="AS143" s="4026"/>
      <c r="AT143" s="4026"/>
      <c r="AU143" s="4026"/>
      <c r="AV143" s="5358"/>
      <c r="AW143" s="5457"/>
      <c r="AX143" s="5229"/>
      <c r="AY143" s="5457"/>
      <c r="AZ143" s="5366"/>
      <c r="BA143" s="4131"/>
      <c r="BB143" s="4026"/>
      <c r="BF143" s="7672"/>
      <c r="BG143" s="7659" t="s">
        <v>1234</v>
      </c>
      <c r="BH143" s="7659"/>
      <c r="BI143" s="2611" t="s">
        <v>1390</v>
      </c>
      <c r="BJ143" s="2612"/>
      <c r="BK143" s="2613"/>
      <c r="BL143" s="2614"/>
      <c r="BM143" s="2827"/>
      <c r="BN143" s="3885"/>
      <c r="BO143" s="5429"/>
      <c r="BP143" s="5237"/>
      <c r="BQ143" s="3885"/>
      <c r="BR143" s="5457"/>
      <c r="BS143" s="4014"/>
      <c r="BT143" s="5212"/>
      <c r="BU143" s="5404"/>
      <c r="BV143" s="5404"/>
      <c r="BW143" s="5405"/>
      <c r="BX143" s="3341"/>
    </row>
    <row r="144" spans="1:79" s="286" customFormat="1" ht="18" customHeight="1" thickBot="1">
      <c r="A144" s="7672"/>
      <c r="B144" s="7673" t="s">
        <v>1352</v>
      </c>
      <c r="C144" s="7674"/>
      <c r="D144" s="7674"/>
      <c r="E144" s="7674"/>
      <c r="F144" s="7674"/>
      <c r="G144" s="7674"/>
      <c r="H144" s="7674"/>
      <c r="I144" s="7675"/>
      <c r="J144" s="7676"/>
      <c r="K144" s="5425"/>
      <c r="L144" s="3834"/>
      <c r="M144" s="4177"/>
      <c r="N144" s="4177"/>
      <c r="O144" s="4177"/>
      <c r="P144" s="4640"/>
      <c r="Q144" s="4177"/>
      <c r="R144" s="4177"/>
      <c r="S144" s="5022"/>
      <c r="T144" s="5082"/>
      <c r="U144" s="5185"/>
      <c r="V144" s="5185"/>
      <c r="W144" s="5185"/>
      <c r="X144" s="5185"/>
      <c r="Y144" s="4036">
        <f t="shared" ref="Y144:AF144" si="181">Y133+Y138+Y139+Y141+Y142+Y143</f>
        <v>310186958.73019153</v>
      </c>
      <c r="Z144" s="3039">
        <f t="shared" si="181"/>
        <v>31018695.873019151</v>
      </c>
      <c r="AA144" s="3040">
        <f t="shared" si="181"/>
        <v>1157.6410593677836</v>
      </c>
      <c r="AB144" s="3039" t="e">
        <f t="shared" si="181"/>
        <v>#DIV/0!</v>
      </c>
      <c r="AC144" s="3039" t="e">
        <f t="shared" si="181"/>
        <v>#DIV/0!</v>
      </c>
      <c r="AD144" s="3039">
        <f t="shared" si="181"/>
        <v>19717747.623669874</v>
      </c>
      <c r="AE144" s="3039" t="e">
        <f t="shared" si="181"/>
        <v>#DIV/0!</v>
      </c>
      <c r="AF144" s="3039" t="e">
        <f t="shared" si="181"/>
        <v>#DIV/0!</v>
      </c>
      <c r="AG144" s="3039" t="e">
        <f t="shared" ref="AG144:AM144" si="182">AG133+AG138+AG139+AG141+AG142+AG143</f>
        <v>#DIV/0!</v>
      </c>
      <c r="AH144" s="3039" t="e">
        <f t="shared" si="182"/>
        <v>#DIV/0!</v>
      </c>
      <c r="AI144" s="3039" t="e">
        <f t="shared" si="182"/>
        <v>#DIV/0!</v>
      </c>
      <c r="AJ144" s="3039" t="e">
        <f t="shared" si="182"/>
        <v>#DIV/0!</v>
      </c>
      <c r="AK144" s="3039" t="e">
        <f t="shared" si="182"/>
        <v>#DIV/0!</v>
      </c>
      <c r="AL144" s="3039">
        <f t="shared" si="182"/>
        <v>0</v>
      </c>
      <c r="AM144" s="3039">
        <f t="shared" si="182"/>
        <v>0</v>
      </c>
      <c r="AN144" s="5399" t="e">
        <f t="shared" si="90"/>
        <v>#DIV/0!</v>
      </c>
      <c r="AO144" s="4036">
        <f>AO133+AO138+AO139+AO141+AO142+AO143</f>
        <v>1157.6410593677836</v>
      </c>
      <c r="AP144" s="3040" t="e">
        <f>AB144/년간!F9</f>
        <v>#DIV/0!</v>
      </c>
      <c r="AQ144" s="3040" t="e">
        <f>AC144/년간!G9</f>
        <v>#DIV/0!</v>
      </c>
      <c r="AR144" s="3040">
        <f>AD144/년간!H9</f>
        <v>849.74761611110182</v>
      </c>
      <c r="AS144" s="3040" t="e">
        <f>AE144/년간!I9</f>
        <v>#DIV/0!</v>
      </c>
      <c r="AT144" s="3040" t="e">
        <f>AF144/년간!J9</f>
        <v>#DIV/0!</v>
      </c>
      <c r="AU144" s="3040" t="e">
        <f>AG144/년간!K9</f>
        <v>#DIV/0!</v>
      </c>
      <c r="AV144" s="4036" t="e">
        <f>AH144/년간!L9</f>
        <v>#DIV/0!</v>
      </c>
      <c r="AW144" s="5451" t="e">
        <f>AI144/년간!M9</f>
        <v>#DIV/0!</v>
      </c>
      <c r="AX144" s="5225" t="e">
        <f>AJ144/년간!N9</f>
        <v>#DIV/0!</v>
      </c>
      <c r="AY144" s="5451" t="e">
        <f>AK144/년간!O9</f>
        <v>#DIV/0!</v>
      </c>
      <c r="AZ144" s="5367"/>
      <c r="BA144" s="5379"/>
      <c r="BB144" s="3040" t="e">
        <f>AN144/년간!V9</f>
        <v>#DIV/0!</v>
      </c>
      <c r="BF144" s="7672"/>
      <c r="BG144" s="7673" t="s">
        <v>1352</v>
      </c>
      <c r="BH144" s="7674"/>
      <c r="BI144" s="7674"/>
      <c r="BJ144" s="7674"/>
      <c r="BK144" s="7674"/>
      <c r="BL144" s="7674"/>
      <c r="BM144" s="7674"/>
      <c r="BN144" s="7674"/>
      <c r="BO144" s="7674"/>
      <c r="BP144" s="7674"/>
      <c r="BQ144" s="7674"/>
      <c r="BR144" s="5451">
        <v>279772349.76216698</v>
      </c>
      <c r="BS144" s="3039">
        <v>27977234.976216696</v>
      </c>
      <c r="BT144" s="5207">
        <v>1044.1472316915767</v>
      </c>
      <c r="BU144" s="4036"/>
      <c r="BV144" s="3039"/>
      <c r="BW144" s="5410"/>
      <c r="BX144" s="3341"/>
    </row>
    <row r="145" spans="1:79" s="286" customFormat="1" ht="18" customHeight="1" thickBot="1">
      <c r="A145" s="7672"/>
      <c r="B145" s="7740" t="s">
        <v>1392</v>
      </c>
      <c r="C145" s="7741"/>
      <c r="D145" s="2802" t="s">
        <v>1394</v>
      </c>
      <c r="E145" s="2933">
        <f t="shared" ref="E145:T145" si="183">E73</f>
        <v>44.110170695309336</v>
      </c>
      <c r="F145" s="2933">
        <f t="shared" si="183"/>
        <v>44.71</v>
      </c>
      <c r="G145" s="3002">
        <f t="shared" si="183"/>
        <v>46.04272455659865</v>
      </c>
      <c r="H145" s="3336">
        <f t="shared" si="183"/>
        <v>46.906486455981941</v>
      </c>
      <c r="I145" s="6135">
        <f>I73</f>
        <v>49.260056236092275</v>
      </c>
      <c r="J145" s="6198">
        <f t="shared" si="183"/>
        <v>50.07</v>
      </c>
      <c r="K145" s="6199">
        <f t="shared" si="183"/>
        <v>50.07</v>
      </c>
      <c r="L145" s="3003">
        <f t="shared" si="183"/>
        <v>0</v>
      </c>
      <c r="M145" s="3003">
        <f t="shared" si="183"/>
        <v>0</v>
      </c>
      <c r="N145" s="3003">
        <f t="shared" si="183"/>
        <v>48.552899738448126</v>
      </c>
      <c r="O145" s="3003" t="e">
        <f t="shared" si="183"/>
        <v>#DIV/0!</v>
      </c>
      <c r="P145" s="3003" t="e">
        <f t="shared" si="183"/>
        <v>#DIV/0!</v>
      </c>
      <c r="Q145" s="3003" t="e">
        <f t="shared" si="183"/>
        <v>#DIV/0!</v>
      </c>
      <c r="R145" s="3003" t="e">
        <f t="shared" si="183"/>
        <v>#DIV/0!</v>
      </c>
      <c r="S145" s="3003" t="e">
        <f t="shared" si="183"/>
        <v>#DIV/0!</v>
      </c>
      <c r="T145" s="3003" t="e">
        <f t="shared" si="183"/>
        <v>#DIV/0!</v>
      </c>
      <c r="U145" s="3003" t="e">
        <f>U73</f>
        <v>#DIV/0!</v>
      </c>
      <c r="V145" s="3003" t="e">
        <f>V73</f>
        <v>#DIV/0!</v>
      </c>
      <c r="W145" s="3003" t="e">
        <f>W73</f>
        <v>#DIV/0!</v>
      </c>
      <c r="X145" s="6601">
        <f>X73</f>
        <v>48.552899738448126</v>
      </c>
      <c r="Y145" s="4047">
        <f t="shared" ref="Y145:AM145" si="184">Y73</f>
        <v>108678525.39062555</v>
      </c>
      <c r="Z145" s="2824">
        <f t="shared" si="184"/>
        <v>10867852.539062556</v>
      </c>
      <c r="AA145" s="3009">
        <f t="shared" si="184"/>
        <v>405.65311257745344</v>
      </c>
      <c r="AB145" s="2824" t="e">
        <f t="shared" si="184"/>
        <v>#DIV/0!</v>
      </c>
      <c r="AC145" s="2824" t="e">
        <f t="shared" si="184"/>
        <v>#DIV/0!</v>
      </c>
      <c r="AD145" s="2824">
        <f t="shared" si="184"/>
        <v>-8475108.18149825</v>
      </c>
      <c r="AE145" s="2824" t="e">
        <f t="shared" si="184"/>
        <v>#DIV/0!</v>
      </c>
      <c r="AF145" s="2824" t="e">
        <f t="shared" si="184"/>
        <v>#DIV/0!</v>
      </c>
      <c r="AG145" s="2824" t="e">
        <f t="shared" si="184"/>
        <v>#DIV/0!</v>
      </c>
      <c r="AH145" s="2824" t="e">
        <f t="shared" si="184"/>
        <v>#DIV/0!</v>
      </c>
      <c r="AI145" s="2824" t="e">
        <f t="shared" si="184"/>
        <v>#DIV/0!</v>
      </c>
      <c r="AJ145" s="2824" t="e">
        <f t="shared" si="184"/>
        <v>#DIV/0!</v>
      </c>
      <c r="AK145" s="2824" t="e">
        <f t="shared" si="184"/>
        <v>#DIV/0!</v>
      </c>
      <c r="AL145" s="2824">
        <f t="shared" si="184"/>
        <v>0</v>
      </c>
      <c r="AM145" s="2824">
        <f t="shared" si="184"/>
        <v>0</v>
      </c>
      <c r="AN145" s="4017" t="e">
        <f t="shared" si="90"/>
        <v>#DIV/0!</v>
      </c>
      <c r="AO145" s="4047">
        <f t="shared" ref="AO145:AX145" si="185">AO73</f>
        <v>405.65311257745344</v>
      </c>
      <c r="AP145" s="3009" t="e">
        <f t="shared" si="185"/>
        <v>#DIV/0!</v>
      </c>
      <c r="AQ145" s="3009" t="e">
        <f t="shared" si="185"/>
        <v>#DIV/0!</v>
      </c>
      <c r="AR145" s="3009">
        <f t="shared" si="185"/>
        <v>-365.23963644136802</v>
      </c>
      <c r="AS145" s="3009" t="e">
        <f t="shared" si="185"/>
        <v>#DIV/0!</v>
      </c>
      <c r="AT145" s="3009" t="e">
        <f t="shared" si="185"/>
        <v>#DIV/0!</v>
      </c>
      <c r="AU145" s="3009" t="e">
        <f t="shared" si="185"/>
        <v>#DIV/0!</v>
      </c>
      <c r="AV145" s="4047" t="e">
        <f t="shared" si="185"/>
        <v>#DIV/0!</v>
      </c>
      <c r="AW145" s="5458" t="e">
        <f t="shared" si="185"/>
        <v>#DIV/0!</v>
      </c>
      <c r="AX145" s="5233" t="e">
        <f t="shared" si="185"/>
        <v>#DIV/0!</v>
      </c>
      <c r="AY145" s="5458" t="e">
        <f>AY73</f>
        <v>#DIV/0!</v>
      </c>
      <c r="AZ145" s="5372"/>
      <c r="BA145" s="4132"/>
      <c r="BB145" s="3009" t="e">
        <f>BB73</f>
        <v>#DIV/0!</v>
      </c>
      <c r="BF145" s="7672"/>
      <c r="BG145" s="7654" t="s">
        <v>1392</v>
      </c>
      <c r="BH145" s="7655"/>
      <c r="BI145" s="2912" t="s">
        <v>1393</v>
      </c>
      <c r="BJ145" s="2912">
        <v>44.110170695309336</v>
      </c>
      <c r="BK145" s="3329">
        <v>44.71</v>
      </c>
      <c r="BL145" s="3330">
        <v>46.04272455659865</v>
      </c>
      <c r="BM145" s="3330">
        <v>46.906486455981941</v>
      </c>
      <c r="BN145" s="3336">
        <v>49.260056236092275</v>
      </c>
      <c r="BO145" s="6384">
        <v>50.07</v>
      </c>
      <c r="BP145" s="6385">
        <v>50.07</v>
      </c>
      <c r="BQ145" s="6333"/>
      <c r="BR145" s="6315">
        <v>108678525.39062555</v>
      </c>
      <c r="BS145" s="6443">
        <v>10867852.539062556</v>
      </c>
      <c r="BT145" s="5213">
        <v>405.65311257745344</v>
      </c>
      <c r="BU145" s="2824"/>
      <c r="BV145" s="2824"/>
      <c r="BW145" s="5415"/>
      <c r="BX145" s="3962"/>
    </row>
    <row r="146" spans="1:79" s="286" customFormat="1" ht="17.45" customHeight="1">
      <c r="A146" s="7672"/>
      <c r="B146" s="3057" t="s">
        <v>1288</v>
      </c>
      <c r="C146" s="3000" t="s">
        <v>1336</v>
      </c>
      <c r="D146" s="2610" t="s">
        <v>1335</v>
      </c>
      <c r="E146" s="3029">
        <f t="shared" ref="E146:T146" si="186">E84</f>
        <v>78.94</v>
      </c>
      <c r="F146" s="3029">
        <f t="shared" si="186"/>
        <v>77.63</v>
      </c>
      <c r="G146" s="3041">
        <f t="shared" si="186"/>
        <v>77.150000000000006</v>
      </c>
      <c r="H146" s="3526">
        <f t="shared" si="186"/>
        <v>76.986409573006</v>
      </c>
      <c r="I146" s="6147">
        <f>I84</f>
        <v>76.756615697789272</v>
      </c>
      <c r="J146" s="6205">
        <f t="shared" si="186"/>
        <v>74.453917226855594</v>
      </c>
      <c r="K146" s="6206">
        <f t="shared" si="186"/>
        <v>74.453917226855594</v>
      </c>
      <c r="L146" s="3047">
        <f t="shared" si="186"/>
        <v>0</v>
      </c>
      <c r="M146" s="3047">
        <f t="shared" si="186"/>
        <v>0</v>
      </c>
      <c r="N146" s="3047">
        <f t="shared" si="186"/>
        <v>70.741252460757167</v>
      </c>
      <c r="O146" s="3047">
        <f t="shared" si="186"/>
        <v>0</v>
      </c>
      <c r="P146" s="3047">
        <f t="shared" si="186"/>
        <v>0</v>
      </c>
      <c r="Q146" s="3047">
        <f t="shared" si="186"/>
        <v>0</v>
      </c>
      <c r="R146" s="3047">
        <f t="shared" si="186"/>
        <v>0</v>
      </c>
      <c r="S146" s="3047">
        <f t="shared" si="186"/>
        <v>0</v>
      </c>
      <c r="T146" s="3047">
        <f t="shared" si="186"/>
        <v>0</v>
      </c>
      <c r="U146" s="3047">
        <f t="shared" ref="U146:Z146" si="187">U84</f>
        <v>0</v>
      </c>
      <c r="V146" s="3047">
        <f t="shared" si="187"/>
        <v>0</v>
      </c>
      <c r="W146" s="3047">
        <f t="shared" si="187"/>
        <v>0</v>
      </c>
      <c r="X146" s="6605">
        <f t="shared" si="187"/>
        <v>92.035957048086431</v>
      </c>
      <c r="Y146" s="4048">
        <f t="shared" si="187"/>
        <v>67860754.208262563</v>
      </c>
      <c r="Z146" s="4574">
        <f t="shared" si="187"/>
        <v>6786075.4208262563</v>
      </c>
      <c r="AA146" s="4027">
        <f>Y146/년간!E9</f>
        <v>253.2968318027045</v>
      </c>
      <c r="AB146" s="4574">
        <f t="shared" ref="AB146:AM146" si="188">AB84</f>
        <v>0</v>
      </c>
      <c r="AC146" s="4574">
        <f t="shared" si="188"/>
        <v>0</v>
      </c>
      <c r="AD146" s="4574">
        <f t="shared" si="188"/>
        <v>15354012.546319686</v>
      </c>
      <c r="AE146" s="4574">
        <f t="shared" si="188"/>
        <v>0</v>
      </c>
      <c r="AF146" s="4574">
        <f t="shared" si="188"/>
        <v>0</v>
      </c>
      <c r="AG146" s="4574">
        <f t="shared" si="188"/>
        <v>0</v>
      </c>
      <c r="AH146" s="4574">
        <f t="shared" si="188"/>
        <v>0</v>
      </c>
      <c r="AI146" s="4574">
        <f t="shared" si="188"/>
        <v>0</v>
      </c>
      <c r="AJ146" s="4574">
        <f t="shared" si="188"/>
        <v>0</v>
      </c>
      <c r="AK146" s="4574">
        <f t="shared" si="188"/>
        <v>0</v>
      </c>
      <c r="AL146" s="4574">
        <f t="shared" si="188"/>
        <v>0</v>
      </c>
      <c r="AM146" s="4574">
        <f t="shared" si="188"/>
        <v>0</v>
      </c>
      <c r="AN146" s="4017">
        <f t="shared" si="90"/>
        <v>15354012.546319686</v>
      </c>
      <c r="AO146" s="4048">
        <f>AO84</f>
        <v>253.2968318027045</v>
      </c>
      <c r="AP146" s="4027" t="e">
        <f>AB146/년간!F9</f>
        <v>#DIV/0!</v>
      </c>
      <c r="AQ146" s="4027" t="e">
        <f>AC146/년간!G9</f>
        <v>#DIV/0!</v>
      </c>
      <c r="AR146" s="4027">
        <f>AD146/년간!H9</f>
        <v>661.68995607353156</v>
      </c>
      <c r="AS146" s="4027" t="e">
        <f>AE146/년간!I9</f>
        <v>#DIV/0!</v>
      </c>
      <c r="AT146" s="4027" t="e">
        <f>AF146/년간!J9</f>
        <v>#DIV/0!</v>
      </c>
      <c r="AU146" s="4027" t="e">
        <f>AG146/년간!K9</f>
        <v>#DIV/0!</v>
      </c>
      <c r="AV146" s="4048" t="e">
        <f>AH146/년간!L9</f>
        <v>#DIV/0!</v>
      </c>
      <c r="AW146" s="5368" t="e">
        <f>AI146/년간!M9</f>
        <v>#DIV/0!</v>
      </c>
      <c r="AX146" s="5230" t="e">
        <f>AJ146/년간!N9</f>
        <v>#DIV/0!</v>
      </c>
      <c r="AY146" s="5368" t="e">
        <f>AK146/년간!O9</f>
        <v>#DIV/0!</v>
      </c>
      <c r="AZ146" s="5373"/>
      <c r="BA146" s="5383"/>
      <c r="BB146" s="4027">
        <f>AN146/년간!V9</f>
        <v>661.68995607353156</v>
      </c>
      <c r="BF146" s="7672"/>
      <c r="BG146" s="3339" t="s">
        <v>1288</v>
      </c>
      <c r="BH146" s="5159" t="s">
        <v>1336</v>
      </c>
      <c r="BI146" s="3082" t="s">
        <v>1436</v>
      </c>
      <c r="BJ146" s="3525">
        <v>78.94</v>
      </c>
      <c r="BK146" s="3525">
        <v>77.63</v>
      </c>
      <c r="BL146" s="3525">
        <v>77.150000000000006</v>
      </c>
      <c r="BM146" s="3525">
        <v>76.986409573006</v>
      </c>
      <c r="BN146" s="3526">
        <v>76.756615697789272</v>
      </c>
      <c r="BO146" s="6386">
        <v>74.453917226855594</v>
      </c>
      <c r="BP146" s="6387">
        <v>74.453917226855594</v>
      </c>
      <c r="BQ146" s="6334"/>
      <c r="BR146" s="5368">
        <v>62567615.380018078</v>
      </c>
      <c r="BS146" s="4574">
        <v>6256761.5380018074</v>
      </c>
      <c r="BT146" s="5214">
        <v>233.53967892209354</v>
      </c>
      <c r="BU146" s="4574"/>
      <c r="BV146" s="4574"/>
      <c r="BW146" s="5416"/>
      <c r="BX146" s="7769" t="s">
        <v>1839</v>
      </c>
      <c r="BY146" s="7769" t="s">
        <v>1701</v>
      </c>
      <c r="BZ146" s="7773" t="s">
        <v>1702</v>
      </c>
      <c r="CA146" s="7771" t="s">
        <v>1700</v>
      </c>
    </row>
    <row r="147" spans="1:79" s="286" customFormat="1" ht="17.45" customHeight="1">
      <c r="A147" s="7672"/>
      <c r="B147" s="2888" t="s">
        <v>1331</v>
      </c>
      <c r="C147" s="2892" t="s">
        <v>1326</v>
      </c>
      <c r="D147" s="2360" t="s">
        <v>325</v>
      </c>
      <c r="E147" s="3013">
        <f t="shared" ref="E147:T147" si="189">E90</f>
        <v>1298</v>
      </c>
      <c r="F147" s="3013">
        <f t="shared" si="189"/>
        <v>1232</v>
      </c>
      <c r="G147" s="3044">
        <f t="shared" si="189"/>
        <v>2157.8430560543561</v>
      </c>
      <c r="H147" s="6227">
        <f t="shared" si="189"/>
        <v>1232.6363636363637</v>
      </c>
      <c r="I147" s="6148">
        <f>I90</f>
        <v>1144.5999999999999</v>
      </c>
      <c r="J147" s="6207">
        <f t="shared" si="189"/>
        <v>881</v>
      </c>
      <c r="K147" s="6208">
        <f t="shared" si="189"/>
        <v>881</v>
      </c>
      <c r="L147" s="3054">
        <f t="shared" si="189"/>
        <v>0</v>
      </c>
      <c r="M147" s="3054">
        <f t="shared" si="189"/>
        <v>0</v>
      </c>
      <c r="N147" s="3054">
        <f t="shared" si="189"/>
        <v>293</v>
      </c>
      <c r="O147" s="3054">
        <f t="shared" si="189"/>
        <v>0</v>
      </c>
      <c r="P147" s="3054">
        <f t="shared" si="189"/>
        <v>0</v>
      </c>
      <c r="Q147" s="3054">
        <f t="shared" si="189"/>
        <v>0</v>
      </c>
      <c r="R147" s="3054">
        <f t="shared" si="189"/>
        <v>0</v>
      </c>
      <c r="S147" s="3054">
        <f t="shared" si="189"/>
        <v>0</v>
      </c>
      <c r="T147" s="3054">
        <f t="shared" si="189"/>
        <v>0</v>
      </c>
      <c r="U147" s="3054">
        <f t="shared" ref="U147:Z147" si="190">U90</f>
        <v>0</v>
      </c>
      <c r="V147" s="3054">
        <f t="shared" si="190"/>
        <v>0</v>
      </c>
      <c r="W147" s="3054">
        <f t="shared" si="190"/>
        <v>0</v>
      </c>
      <c r="X147" s="6606">
        <f t="shared" si="190"/>
        <v>1727.7</v>
      </c>
      <c r="Y147" s="4049">
        <f t="shared" si="190"/>
        <v>26042298.714000002</v>
      </c>
      <c r="Z147" s="4575">
        <f t="shared" si="190"/>
        <v>2604229.8714000001</v>
      </c>
      <c r="AA147" s="3010">
        <f>Y147/년간!E9</f>
        <v>97.205400000000012</v>
      </c>
      <c r="AB147" s="4575">
        <f t="shared" ref="AB147:AM147" si="191">AB90</f>
        <v>0</v>
      </c>
      <c r="AC147" s="4575">
        <f t="shared" si="191"/>
        <v>0</v>
      </c>
      <c r="AD147" s="4575">
        <f t="shared" si="191"/>
        <v>17932640.425776001</v>
      </c>
      <c r="AE147" s="4575">
        <f t="shared" si="191"/>
        <v>0</v>
      </c>
      <c r="AF147" s="4575">
        <f t="shared" si="191"/>
        <v>0</v>
      </c>
      <c r="AG147" s="4575">
        <f t="shared" si="191"/>
        <v>0</v>
      </c>
      <c r="AH147" s="4575">
        <f t="shared" si="191"/>
        <v>0</v>
      </c>
      <c r="AI147" s="4575">
        <f t="shared" si="191"/>
        <v>0</v>
      </c>
      <c r="AJ147" s="4575">
        <f t="shared" si="191"/>
        <v>0</v>
      </c>
      <c r="AK147" s="4575">
        <f t="shared" si="191"/>
        <v>0</v>
      </c>
      <c r="AL147" s="4575">
        <f t="shared" si="191"/>
        <v>0</v>
      </c>
      <c r="AM147" s="4575">
        <f t="shared" si="191"/>
        <v>0</v>
      </c>
      <c r="AN147" s="4017">
        <f t="shared" si="90"/>
        <v>17932640.425776001</v>
      </c>
      <c r="AO147" s="4049">
        <f>AO90</f>
        <v>97.205400000000012</v>
      </c>
      <c r="AP147" s="3010" t="e">
        <f>AB147/년간!F9</f>
        <v>#DIV/0!</v>
      </c>
      <c r="AQ147" s="3010" t="e">
        <f>AC147/년간!G9</f>
        <v>#DIV/0!</v>
      </c>
      <c r="AR147" s="3010">
        <f>AD147/년간!H9</f>
        <v>772.81740000000002</v>
      </c>
      <c r="AS147" s="3010" t="e">
        <f>AE147/년간!I9</f>
        <v>#DIV/0!</v>
      </c>
      <c r="AT147" s="3010" t="e">
        <f>AF147/년간!J9</f>
        <v>#DIV/0!</v>
      </c>
      <c r="AU147" s="3010" t="e">
        <f>AG147/년간!K9</f>
        <v>#DIV/0!</v>
      </c>
      <c r="AV147" s="4049" t="e">
        <f>AH147/년간!L9</f>
        <v>#DIV/0!</v>
      </c>
      <c r="AW147" s="5459" t="e">
        <f>AI147/년간!M9</f>
        <v>#DIV/0!</v>
      </c>
      <c r="AX147" s="3887" t="e">
        <f>AJ147/년간!N9</f>
        <v>#DIV/0!</v>
      </c>
      <c r="AY147" s="5459" t="e">
        <f>AK147/년간!O9</f>
        <v>#DIV/0!</v>
      </c>
      <c r="AZ147" s="5374"/>
      <c r="BA147" s="5384"/>
      <c r="BB147" s="3010">
        <f>AN147/년간!V9</f>
        <v>772.81740000000002</v>
      </c>
      <c r="BF147" s="7672"/>
      <c r="BG147" s="5157" t="s">
        <v>1331</v>
      </c>
      <c r="BH147" s="3349" t="s">
        <v>1326</v>
      </c>
      <c r="BI147" s="4341" t="s">
        <v>325</v>
      </c>
      <c r="BJ147" s="4342">
        <v>1298</v>
      </c>
      <c r="BK147" s="4342">
        <v>1232</v>
      </c>
      <c r="BL147" s="4342">
        <v>2157.8430560543561</v>
      </c>
      <c r="BM147" s="4342">
        <v>1232.6363636363637</v>
      </c>
      <c r="BN147" s="6227">
        <v>1144.5999999999999</v>
      </c>
      <c r="BO147" s="6388">
        <v>881</v>
      </c>
      <c r="BP147" s="6389">
        <v>881</v>
      </c>
      <c r="BQ147" s="6335"/>
      <c r="BR147" s="5459">
        <v>28671460.290000003</v>
      </c>
      <c r="BS147" s="4575">
        <v>2867146.0290000001</v>
      </c>
      <c r="BT147" s="5215">
        <v>107.01900000000001</v>
      </c>
      <c r="BU147" s="4575"/>
      <c r="BV147" s="4575"/>
      <c r="BW147" s="5416"/>
      <c r="BX147" s="7770"/>
      <c r="BY147" s="7770"/>
      <c r="BZ147" s="7774"/>
      <c r="CA147" s="7772"/>
    </row>
    <row r="148" spans="1:79" s="286" customFormat="1" ht="17.45" customHeight="1">
      <c r="A148" s="7672"/>
      <c r="B148" s="7723" t="s">
        <v>1429</v>
      </c>
      <c r="C148" s="7724"/>
      <c r="D148" s="2813" t="s">
        <v>700</v>
      </c>
      <c r="E148" s="3016">
        <f t="shared" ref="E148:T148" si="192">E97</f>
        <v>4795.3802621839413</v>
      </c>
      <c r="F148" s="3016">
        <f t="shared" si="192"/>
        <v>4044</v>
      </c>
      <c r="G148" s="3045">
        <f t="shared" si="192"/>
        <v>2721.9102889024402</v>
      </c>
      <c r="H148" s="6228">
        <f t="shared" si="192"/>
        <v>2354.2727272727275</v>
      </c>
      <c r="I148" s="6149">
        <f>I97</f>
        <v>1439.7</v>
      </c>
      <c r="J148" s="6209">
        <f t="shared" si="192"/>
        <v>1397</v>
      </c>
      <c r="K148" s="6210">
        <f t="shared" si="192"/>
        <v>1397</v>
      </c>
      <c r="L148" s="3055">
        <f t="shared" si="192"/>
        <v>31097</v>
      </c>
      <c r="M148" s="3055">
        <f t="shared" si="192"/>
        <v>5176</v>
      </c>
      <c r="N148" s="3055">
        <f t="shared" si="192"/>
        <v>741</v>
      </c>
      <c r="O148" s="3055">
        <f t="shared" si="192"/>
        <v>0</v>
      </c>
      <c r="P148" s="3055">
        <f t="shared" si="192"/>
        <v>0</v>
      </c>
      <c r="Q148" s="3055">
        <f t="shared" si="192"/>
        <v>0</v>
      </c>
      <c r="R148" s="3055">
        <f t="shared" si="192"/>
        <v>0</v>
      </c>
      <c r="S148" s="3055">
        <f t="shared" si="192"/>
        <v>0</v>
      </c>
      <c r="T148" s="3055">
        <f t="shared" si="192"/>
        <v>0</v>
      </c>
      <c r="U148" s="3055">
        <f>U97</f>
        <v>0</v>
      </c>
      <c r="V148" s="3055">
        <f>V97</f>
        <v>0</v>
      </c>
      <c r="W148" s="3055">
        <f>W97</f>
        <v>0</v>
      </c>
      <c r="X148" s="6607">
        <f>X97</f>
        <v>3701.4</v>
      </c>
      <c r="Y148" s="4048">
        <f t="shared" ref="Y148:AM148" si="193">Y97</f>
        <v>11439757.000000013</v>
      </c>
      <c r="Z148" s="4574">
        <f t="shared" si="193"/>
        <v>1143975.7000000014</v>
      </c>
      <c r="AA148" s="4027">
        <f t="shared" si="193"/>
        <v>42.700000000000045</v>
      </c>
      <c r="AB148" s="4574">
        <f t="shared" si="193"/>
        <v>0</v>
      </c>
      <c r="AC148" s="4574">
        <f t="shared" si="193"/>
        <v>0</v>
      </c>
      <c r="AD148" s="4574">
        <f t="shared" si="193"/>
        <v>16212802.488000002</v>
      </c>
      <c r="AE148" s="4574">
        <f t="shared" si="193"/>
        <v>0</v>
      </c>
      <c r="AF148" s="4574">
        <f t="shared" si="193"/>
        <v>0</v>
      </c>
      <c r="AG148" s="4574">
        <f t="shared" si="193"/>
        <v>0</v>
      </c>
      <c r="AH148" s="4574">
        <f t="shared" si="193"/>
        <v>0</v>
      </c>
      <c r="AI148" s="4574">
        <f t="shared" si="193"/>
        <v>0</v>
      </c>
      <c r="AJ148" s="4574">
        <f t="shared" si="193"/>
        <v>0</v>
      </c>
      <c r="AK148" s="4574">
        <f t="shared" si="193"/>
        <v>0</v>
      </c>
      <c r="AL148" s="4574">
        <f t="shared" si="193"/>
        <v>0</v>
      </c>
      <c r="AM148" s="4574">
        <f t="shared" si="193"/>
        <v>0</v>
      </c>
      <c r="AN148" s="4017">
        <f t="shared" si="90"/>
        <v>16212802.488000002</v>
      </c>
      <c r="AO148" s="4048">
        <f t="shared" ref="AO148:AX148" si="194">AO97</f>
        <v>42.700000000000045</v>
      </c>
      <c r="AP148" s="4027" t="e">
        <f t="shared" si="194"/>
        <v>#DIV/0!</v>
      </c>
      <c r="AQ148" s="4027" t="e">
        <f t="shared" si="194"/>
        <v>#DIV/0!</v>
      </c>
      <c r="AR148" s="4027">
        <f t="shared" si="194"/>
        <v>698.7</v>
      </c>
      <c r="AS148" s="4027" t="e">
        <f t="shared" si="194"/>
        <v>#DIV/0!</v>
      </c>
      <c r="AT148" s="4027" t="e">
        <f t="shared" si="194"/>
        <v>#DIV/0!</v>
      </c>
      <c r="AU148" s="4027" t="e">
        <f t="shared" si="194"/>
        <v>#DIV/0!</v>
      </c>
      <c r="AV148" s="4048" t="e">
        <f t="shared" si="194"/>
        <v>#DIV/0!</v>
      </c>
      <c r="AW148" s="5368" t="e">
        <f t="shared" si="194"/>
        <v>#DIV/0!</v>
      </c>
      <c r="AX148" s="5230" t="e">
        <f t="shared" si="194"/>
        <v>#DIV/0!</v>
      </c>
      <c r="AY148" s="5368" t="e">
        <f>AY97</f>
        <v>#DIV/0!</v>
      </c>
      <c r="AZ148" s="5374"/>
      <c r="BA148" s="5384"/>
      <c r="BB148" s="4027">
        <f>BB97</f>
        <v>698.7</v>
      </c>
      <c r="BF148" s="7672"/>
      <c r="BG148" s="7656" t="s">
        <v>1429</v>
      </c>
      <c r="BH148" s="7657"/>
      <c r="BI148" s="4343" t="s">
        <v>330</v>
      </c>
      <c r="BJ148" s="4344">
        <v>4795.3802621839413</v>
      </c>
      <c r="BK148" s="4342">
        <v>4044</v>
      </c>
      <c r="BL148" s="4342">
        <v>2721.9102889024402</v>
      </c>
      <c r="BM148" s="4342">
        <v>2354.2727272727275</v>
      </c>
      <c r="BN148" s="6227">
        <v>1439.7</v>
      </c>
      <c r="BO148" s="6388">
        <v>1397</v>
      </c>
      <c r="BP148" s="6389">
        <v>1397</v>
      </c>
      <c r="BQ148" s="6335"/>
      <c r="BR148" s="5459">
        <v>11439757.000000013</v>
      </c>
      <c r="BS148" s="4575">
        <v>1143975.7000000014</v>
      </c>
      <c r="BT148" s="5215">
        <v>42.700000000000045</v>
      </c>
      <c r="BU148" s="4574"/>
      <c r="BV148" s="4574"/>
      <c r="BW148" s="5416"/>
      <c r="BX148" s="7770"/>
      <c r="BY148" s="7770"/>
      <c r="BZ148" s="7774"/>
      <c r="CA148" s="7772"/>
    </row>
    <row r="149" spans="1:79" s="286" customFormat="1" ht="18" customHeight="1" thickBot="1">
      <c r="A149" s="7672"/>
      <c r="B149" s="7656" t="s">
        <v>1433</v>
      </c>
      <c r="C149" s="7657"/>
      <c r="D149" s="3085" t="s">
        <v>1432</v>
      </c>
      <c r="E149" s="6541"/>
      <c r="F149" s="6541"/>
      <c r="G149" s="6542"/>
      <c r="H149" s="6542"/>
      <c r="I149" s="6543"/>
      <c r="J149" s="6544"/>
      <c r="K149" s="6545"/>
      <c r="L149" s="3886"/>
      <c r="M149" s="3886"/>
      <c r="N149" s="3886"/>
      <c r="O149" s="3886"/>
      <c r="P149" s="3886"/>
      <c r="Q149" s="3886"/>
      <c r="R149" s="3886"/>
      <c r="S149" s="3886"/>
      <c r="T149" s="3886"/>
      <c r="U149" s="3886"/>
      <c r="V149" s="3886"/>
      <c r="W149" s="3886"/>
      <c r="X149" s="3886"/>
      <c r="Y149" s="4049">
        <f>협력사!D17</f>
        <v>20614</v>
      </c>
      <c r="Z149" s="4575">
        <f>Y149/12</f>
        <v>1717.8333333333333</v>
      </c>
      <c r="AA149" s="6451">
        <f>Y149/년간!E9</f>
        <v>7.6943749766712699E-2</v>
      </c>
      <c r="AB149" s="4575">
        <f>협력사!E17*1000</f>
        <v>2195000</v>
      </c>
      <c r="AC149" s="4575">
        <f>협력사!F17*1000</f>
        <v>0</v>
      </c>
      <c r="AD149" s="4575">
        <f>협력사!G17*1000</f>
        <v>2195000</v>
      </c>
      <c r="AE149" s="4575">
        <f>협력사!H17*1000</f>
        <v>0</v>
      </c>
      <c r="AF149" s="4575">
        <f>협력사!I17*1000</f>
        <v>0</v>
      </c>
      <c r="AG149" s="4575">
        <f>협력사!J17*1000</f>
        <v>0</v>
      </c>
      <c r="AH149" s="4575">
        <f>협력사!K17*1000</f>
        <v>0</v>
      </c>
      <c r="AI149" s="4575">
        <f>협력사!L17*1000</f>
        <v>0</v>
      </c>
      <c r="AJ149" s="4575">
        <f>협력사!M17*1000</f>
        <v>0</v>
      </c>
      <c r="AK149" s="4575">
        <f>협력사!N17*1000</f>
        <v>0</v>
      </c>
      <c r="AL149" s="4575">
        <f>협력사!O57*1000</f>
        <v>0</v>
      </c>
      <c r="AM149" s="4575">
        <f>협력사!P57*1000</f>
        <v>0</v>
      </c>
      <c r="AN149" s="6506">
        <f t="shared" si="90"/>
        <v>4390000</v>
      </c>
      <c r="AO149" s="4049">
        <f>Z149/(년간!E9/12)</f>
        <v>7.6943749766712699E-2</v>
      </c>
      <c r="AP149" s="3010" t="e">
        <f>AB149/년간!F9</f>
        <v>#DIV/0!</v>
      </c>
      <c r="AQ149" s="3010" t="e">
        <f>AC149/년간!G9</f>
        <v>#DIV/0!</v>
      </c>
      <c r="AR149" s="3010">
        <f>AD149/년간!H9</f>
        <v>94.594780953825676</v>
      </c>
      <c r="AS149" s="3010" t="e">
        <f>AE149/년간!I9</f>
        <v>#DIV/0!</v>
      </c>
      <c r="AT149" s="3010" t="e">
        <f>AF149/년간!J9</f>
        <v>#DIV/0!</v>
      </c>
      <c r="AU149" s="3010" t="e">
        <f>AG149/년간!K9</f>
        <v>#DIV/0!</v>
      </c>
      <c r="AV149" s="4049" t="e">
        <f>AH149/년간!L9</f>
        <v>#DIV/0!</v>
      </c>
      <c r="AW149" s="5459" t="e">
        <f>AI149/년간!M9</f>
        <v>#DIV/0!</v>
      </c>
      <c r="AX149" s="3887" t="e">
        <f>AJ149/년간!N9</f>
        <v>#DIV/0!</v>
      </c>
      <c r="AY149" s="5459" t="e">
        <f>AK149/년간!O9</f>
        <v>#DIV/0!</v>
      </c>
      <c r="AZ149" s="6546"/>
      <c r="BA149" s="6547"/>
      <c r="BB149" s="3010">
        <f>AN149/년간!V9</f>
        <v>189.18956190765135</v>
      </c>
      <c r="BF149" s="7672"/>
      <c r="BG149" s="7656" t="s">
        <v>1433</v>
      </c>
      <c r="BH149" s="7657"/>
      <c r="BI149" s="4341" t="s">
        <v>1431</v>
      </c>
      <c r="BJ149" s="4344"/>
      <c r="BK149" s="6541"/>
      <c r="BL149" s="6541"/>
      <c r="BM149" s="6541"/>
      <c r="BN149" s="6556"/>
      <c r="BO149" s="6544"/>
      <c r="BP149" s="6557"/>
      <c r="BQ149" s="3886"/>
      <c r="BR149" s="5459">
        <v>20614</v>
      </c>
      <c r="BS149" s="4575">
        <v>1717.8333333333333</v>
      </c>
      <c r="BT149" s="6659">
        <v>7.6943749766712699E-2</v>
      </c>
      <c r="BU149" s="4575"/>
      <c r="BV149" s="4575"/>
      <c r="BW149" s="5417"/>
      <c r="BX149" s="4703">
        <v>23751.795593754094</v>
      </c>
      <c r="BY149" s="4703">
        <v>23751.795593754094</v>
      </c>
      <c r="BZ149" s="4710">
        <v>29625.59101897875</v>
      </c>
      <c r="CA149" s="5419">
        <v>25079.924195909287</v>
      </c>
    </row>
    <row r="150" spans="1:79" s="286" customFormat="1" ht="18" customHeight="1" thickBot="1">
      <c r="A150" s="7672"/>
      <c r="B150" s="7673" t="s">
        <v>1981</v>
      </c>
      <c r="C150" s="7674"/>
      <c r="D150" s="7674"/>
      <c r="E150" s="7674"/>
      <c r="F150" s="7674"/>
      <c r="G150" s="7674"/>
      <c r="H150" s="7674"/>
      <c r="I150" s="7674"/>
      <c r="J150" s="7674"/>
      <c r="K150" s="7674"/>
      <c r="L150" s="7674"/>
      <c r="M150" s="7674"/>
      <c r="N150" s="7674"/>
      <c r="O150" s="7674"/>
      <c r="P150" s="7674"/>
      <c r="Q150" s="7674"/>
      <c r="R150" s="7674"/>
      <c r="S150" s="7674"/>
      <c r="T150" s="7674"/>
      <c r="U150" s="7674"/>
      <c r="V150" s="7674"/>
      <c r="W150" s="7674"/>
      <c r="X150" s="7674"/>
      <c r="Y150" s="6620">
        <f>SUM(Y145:Y149)</f>
        <v>214041949.31288809</v>
      </c>
      <c r="Z150" s="2823">
        <f t="shared" ref="Z150:BB150" si="195">SUM(Z145:Z149)</f>
        <v>21403851.364622146</v>
      </c>
      <c r="AA150" s="3012">
        <f t="shared" si="195"/>
        <v>798.9322881299247</v>
      </c>
      <c r="AB150" s="6555" t="e">
        <f t="shared" si="195"/>
        <v>#DIV/0!</v>
      </c>
      <c r="AC150" s="5460" t="e">
        <f t="shared" si="195"/>
        <v>#DIV/0!</v>
      </c>
      <c r="AD150" s="5460">
        <f t="shared" si="195"/>
        <v>43219347.278597444</v>
      </c>
      <c r="AE150" s="5460" t="e">
        <f t="shared" si="195"/>
        <v>#DIV/0!</v>
      </c>
      <c r="AF150" s="5460" t="e">
        <f t="shared" si="195"/>
        <v>#DIV/0!</v>
      </c>
      <c r="AG150" s="5460" t="e">
        <f t="shared" si="195"/>
        <v>#DIV/0!</v>
      </c>
      <c r="AH150" s="5460" t="e">
        <f t="shared" si="195"/>
        <v>#DIV/0!</v>
      </c>
      <c r="AI150" s="5460" t="e">
        <f t="shared" si="195"/>
        <v>#DIV/0!</v>
      </c>
      <c r="AJ150" s="5460" t="e">
        <f t="shared" si="195"/>
        <v>#DIV/0!</v>
      </c>
      <c r="AK150" s="5460" t="e">
        <f t="shared" si="195"/>
        <v>#DIV/0!</v>
      </c>
      <c r="AL150" s="5460">
        <f t="shared" si="195"/>
        <v>0</v>
      </c>
      <c r="AM150" s="2823">
        <f t="shared" si="195"/>
        <v>0</v>
      </c>
      <c r="AN150" s="3012" t="e">
        <f t="shared" si="195"/>
        <v>#DIV/0!</v>
      </c>
      <c r="AO150" s="6555">
        <f t="shared" si="195"/>
        <v>798.9322881299247</v>
      </c>
      <c r="AP150" s="5460" t="e">
        <f t="shared" si="195"/>
        <v>#DIV/0!</v>
      </c>
      <c r="AQ150" s="5460" t="e">
        <f t="shared" si="195"/>
        <v>#DIV/0!</v>
      </c>
      <c r="AR150" s="5460">
        <f t="shared" si="195"/>
        <v>1862.5625005859893</v>
      </c>
      <c r="AS150" s="5460" t="e">
        <f t="shared" si="195"/>
        <v>#DIV/0!</v>
      </c>
      <c r="AT150" s="5460" t="e">
        <f t="shared" si="195"/>
        <v>#DIV/0!</v>
      </c>
      <c r="AU150" s="5460" t="e">
        <f t="shared" si="195"/>
        <v>#DIV/0!</v>
      </c>
      <c r="AV150" s="5460" t="e">
        <f t="shared" si="195"/>
        <v>#DIV/0!</v>
      </c>
      <c r="AW150" s="5460" t="e">
        <f t="shared" si="195"/>
        <v>#DIV/0!</v>
      </c>
      <c r="AX150" s="5460" t="e">
        <f t="shared" si="195"/>
        <v>#DIV/0!</v>
      </c>
      <c r="AY150" s="5460" t="e">
        <f t="shared" si="195"/>
        <v>#DIV/0!</v>
      </c>
      <c r="AZ150" s="5460">
        <f t="shared" si="195"/>
        <v>0</v>
      </c>
      <c r="BA150" s="2823">
        <f t="shared" si="195"/>
        <v>0</v>
      </c>
      <c r="BB150" s="3012" t="e">
        <f t="shared" si="195"/>
        <v>#DIV/0!</v>
      </c>
      <c r="BF150" s="7672"/>
      <c r="BG150" s="7673" t="s">
        <v>1981</v>
      </c>
      <c r="BH150" s="7674"/>
      <c r="BI150" s="7674"/>
      <c r="BJ150" s="7674"/>
      <c r="BK150" s="7674"/>
      <c r="BL150" s="7674"/>
      <c r="BM150" s="7674"/>
      <c r="BN150" s="7674"/>
      <c r="BO150" s="7674"/>
      <c r="BP150" s="7674"/>
      <c r="BQ150" s="7674"/>
      <c r="BR150" s="5456">
        <v>211377972.06064361</v>
      </c>
      <c r="BS150" s="4012">
        <v>21137453.639397699</v>
      </c>
      <c r="BT150" s="6526">
        <v>788.98873524931378</v>
      </c>
      <c r="BU150" s="5445"/>
      <c r="BV150" s="4012"/>
      <c r="BW150" s="4024"/>
      <c r="BX150" s="4107"/>
      <c r="BY150" s="4107"/>
      <c r="BZ150" s="5167"/>
      <c r="CA150" s="6540"/>
    </row>
    <row r="151" spans="1:79" s="286" customFormat="1" ht="18" customHeight="1" thickBot="1">
      <c r="A151" s="7672"/>
      <c r="B151" s="7673" t="s">
        <v>1982</v>
      </c>
      <c r="C151" s="7674"/>
      <c r="D151" s="7674"/>
      <c r="E151" s="7674"/>
      <c r="F151" s="7674"/>
      <c r="G151" s="7674"/>
      <c r="H151" s="7674"/>
      <c r="I151" s="7674"/>
      <c r="J151" s="7674"/>
      <c r="K151" s="7674"/>
      <c r="L151" s="7674"/>
      <c r="M151" s="7674"/>
      <c r="N151" s="7674"/>
      <c r="O151" s="7674"/>
      <c r="P151" s="7674"/>
      <c r="Q151" s="7674"/>
      <c r="R151" s="7674"/>
      <c r="S151" s="7674"/>
      <c r="T151" s="7674"/>
      <c r="U151" s="7674"/>
      <c r="V151" s="7674"/>
      <c r="W151" s="7674"/>
      <c r="X151" s="7674"/>
      <c r="Y151" s="6552">
        <f>Y144+Y150</f>
        <v>524228908.04307961</v>
      </c>
      <c r="Z151" s="6538">
        <f t="shared" ref="Z151:BB151" si="196">Z144+Z150</f>
        <v>52422547.237641297</v>
      </c>
      <c r="AA151" s="6551">
        <f t="shared" si="196"/>
        <v>1956.5733474977083</v>
      </c>
      <c r="AB151" s="6554" t="e">
        <f t="shared" si="196"/>
        <v>#DIV/0!</v>
      </c>
      <c r="AC151" s="6538" t="e">
        <f t="shared" si="196"/>
        <v>#DIV/0!</v>
      </c>
      <c r="AD151" s="6538">
        <f t="shared" si="196"/>
        <v>62937094.902267322</v>
      </c>
      <c r="AE151" s="6538" t="e">
        <f t="shared" si="196"/>
        <v>#DIV/0!</v>
      </c>
      <c r="AF151" s="6538" t="e">
        <f t="shared" si="196"/>
        <v>#DIV/0!</v>
      </c>
      <c r="AG151" s="6538" t="e">
        <f t="shared" si="196"/>
        <v>#DIV/0!</v>
      </c>
      <c r="AH151" s="6538" t="e">
        <f t="shared" si="196"/>
        <v>#DIV/0!</v>
      </c>
      <c r="AI151" s="6538" t="e">
        <f t="shared" si="196"/>
        <v>#DIV/0!</v>
      </c>
      <c r="AJ151" s="6538" t="e">
        <f t="shared" si="196"/>
        <v>#DIV/0!</v>
      </c>
      <c r="AK151" s="6538" t="e">
        <f t="shared" si="196"/>
        <v>#DIV/0!</v>
      </c>
      <c r="AL151" s="6538">
        <f t="shared" si="196"/>
        <v>0</v>
      </c>
      <c r="AM151" s="6538">
        <f t="shared" si="196"/>
        <v>0</v>
      </c>
      <c r="AN151" s="6551" t="e">
        <f t="shared" si="196"/>
        <v>#DIV/0!</v>
      </c>
      <c r="AO151" s="6554">
        <f t="shared" si="196"/>
        <v>1956.5733474977083</v>
      </c>
      <c r="AP151" s="6538" t="e">
        <f t="shared" si="196"/>
        <v>#DIV/0!</v>
      </c>
      <c r="AQ151" s="6538" t="e">
        <f t="shared" si="196"/>
        <v>#DIV/0!</v>
      </c>
      <c r="AR151" s="6538">
        <f t="shared" si="196"/>
        <v>2712.310116697091</v>
      </c>
      <c r="AS151" s="6538" t="e">
        <f t="shared" si="196"/>
        <v>#DIV/0!</v>
      </c>
      <c r="AT151" s="6538" t="e">
        <f t="shared" si="196"/>
        <v>#DIV/0!</v>
      </c>
      <c r="AU151" s="6538" t="e">
        <f t="shared" si="196"/>
        <v>#DIV/0!</v>
      </c>
      <c r="AV151" s="6538" t="e">
        <f t="shared" si="196"/>
        <v>#DIV/0!</v>
      </c>
      <c r="AW151" s="6538" t="e">
        <f t="shared" si="196"/>
        <v>#DIV/0!</v>
      </c>
      <c r="AX151" s="6538" t="e">
        <f t="shared" si="196"/>
        <v>#DIV/0!</v>
      </c>
      <c r="AY151" s="6538" t="e">
        <f t="shared" si="196"/>
        <v>#DIV/0!</v>
      </c>
      <c r="AZ151" s="6538">
        <f t="shared" si="196"/>
        <v>0</v>
      </c>
      <c r="BA151" s="6538">
        <f t="shared" si="196"/>
        <v>0</v>
      </c>
      <c r="BB151" s="6551" t="e">
        <f t="shared" si="196"/>
        <v>#DIV/0!</v>
      </c>
      <c r="BC151" s="286" t="e">
        <f>Y151/년간!#REF!</f>
        <v>#REF!</v>
      </c>
      <c r="BF151" s="7672"/>
      <c r="BG151" s="7673" t="s">
        <v>1983</v>
      </c>
      <c r="BH151" s="7674"/>
      <c r="BI151" s="7674"/>
      <c r="BJ151" s="7674"/>
      <c r="BK151" s="7674"/>
      <c r="BL151" s="7674"/>
      <c r="BM151" s="7674"/>
      <c r="BN151" s="7674"/>
      <c r="BO151" s="7674"/>
      <c r="BP151" s="7674"/>
      <c r="BQ151" s="7674"/>
      <c r="BR151" s="6553">
        <v>491150321.82281059</v>
      </c>
      <c r="BS151" s="6538">
        <v>49114688.615614399</v>
      </c>
      <c r="BT151" s="6537">
        <v>1833.1359669408905</v>
      </c>
      <c r="BU151" s="6552"/>
      <c r="BV151" s="6538"/>
      <c r="BW151" s="6539"/>
      <c r="BX151" s="3961"/>
      <c r="BZ151" s="5255">
        <f>BY149-BZ149</f>
        <v>-5873.7954252246564</v>
      </c>
      <c r="CA151" s="5256">
        <f>BY149-CA149</f>
        <v>-1328.1286021551932</v>
      </c>
    </row>
    <row r="152" spans="1:79" ht="17.45" customHeight="1">
      <c r="A152" s="7671" t="s">
        <v>1239</v>
      </c>
      <c r="B152" s="7651" t="s">
        <v>1160</v>
      </c>
      <c r="C152" s="7651"/>
      <c r="D152" s="1152" t="s">
        <v>448</v>
      </c>
      <c r="E152" s="1463">
        <f t="shared" ref="E152:T152" si="197">E4</f>
        <v>820.61999999999978</v>
      </c>
      <c r="F152" s="1463">
        <f t="shared" si="197"/>
        <v>320</v>
      </c>
      <c r="G152" s="3360">
        <f t="shared" si="197"/>
        <v>307.49</v>
      </c>
      <c r="H152" s="6527">
        <f t="shared" si="197"/>
        <v>363.24000000000007</v>
      </c>
      <c r="I152" s="6528">
        <f>I4</f>
        <v>205.53</v>
      </c>
      <c r="J152" s="6529">
        <f t="shared" si="197"/>
        <v>150</v>
      </c>
      <c r="K152" s="6548">
        <f t="shared" si="197"/>
        <v>15</v>
      </c>
      <c r="L152" s="6531">
        <f t="shared" si="197"/>
        <v>0</v>
      </c>
      <c r="M152" s="6531">
        <f t="shared" si="197"/>
        <v>0</v>
      </c>
      <c r="N152" s="6531">
        <f t="shared" si="197"/>
        <v>0</v>
      </c>
      <c r="O152" s="6531">
        <f t="shared" si="197"/>
        <v>0</v>
      </c>
      <c r="P152" s="6531">
        <f t="shared" si="197"/>
        <v>0</v>
      </c>
      <c r="Q152" s="6531">
        <f t="shared" si="197"/>
        <v>0</v>
      </c>
      <c r="R152" s="6531">
        <f t="shared" si="197"/>
        <v>0</v>
      </c>
      <c r="S152" s="6531">
        <f t="shared" si="197"/>
        <v>0</v>
      </c>
      <c r="T152" s="6531">
        <f t="shared" si="197"/>
        <v>0</v>
      </c>
      <c r="U152" s="6531">
        <f>U4</f>
        <v>0</v>
      </c>
      <c r="V152" s="6531">
        <f>V4</f>
        <v>0</v>
      </c>
      <c r="W152" s="6531">
        <f>W4</f>
        <v>0</v>
      </c>
      <c r="X152" s="6604">
        <f>X4</f>
        <v>0</v>
      </c>
      <c r="Y152" s="4040">
        <f t="shared" ref="Y152:AM152" si="198">Y4</f>
        <v>26959648.41</v>
      </c>
      <c r="Z152" s="4004">
        <f t="shared" si="198"/>
        <v>2695964.8410000005</v>
      </c>
      <c r="AA152" s="4017">
        <f t="shared" si="198"/>
        <v>100.57318663732001</v>
      </c>
      <c r="AB152" s="4004">
        <f t="shared" si="198"/>
        <v>8315349.8675000006</v>
      </c>
      <c r="AC152" s="4004">
        <f t="shared" si="198"/>
        <v>8315349.8675000006</v>
      </c>
      <c r="AD152" s="4004">
        <f t="shared" si="198"/>
        <v>8315349.8675000006</v>
      </c>
      <c r="AE152" s="4004">
        <f t="shared" si="198"/>
        <v>8315349.8675000006</v>
      </c>
      <c r="AF152" s="4004">
        <f t="shared" si="198"/>
        <v>8315349.8675000006</v>
      </c>
      <c r="AG152" s="4004">
        <f t="shared" si="198"/>
        <v>8315349.8675000006</v>
      </c>
      <c r="AH152" s="4004">
        <f t="shared" si="198"/>
        <v>8315349.8675000006</v>
      </c>
      <c r="AI152" s="4004">
        <f t="shared" si="198"/>
        <v>8315349.8675000006</v>
      </c>
      <c r="AJ152" s="4004">
        <f t="shared" si="198"/>
        <v>8315349.8675000006</v>
      </c>
      <c r="AK152" s="4004">
        <f t="shared" si="198"/>
        <v>8315349.8675000006</v>
      </c>
      <c r="AL152" s="4004">
        <f t="shared" si="198"/>
        <v>0</v>
      </c>
      <c r="AM152" s="4004">
        <f t="shared" si="198"/>
        <v>0</v>
      </c>
      <c r="AN152" s="4017">
        <f t="shared" si="90"/>
        <v>83153498.675000012</v>
      </c>
      <c r="AO152" s="4040">
        <f t="shared" ref="AO152:AX152" si="199">AO4</f>
        <v>100.57318663732001</v>
      </c>
      <c r="AP152" s="4017" t="e">
        <f t="shared" si="199"/>
        <v>#DIV/0!</v>
      </c>
      <c r="AQ152" s="4017" t="e">
        <f t="shared" si="199"/>
        <v>#DIV/0!</v>
      </c>
      <c r="AR152" s="4017">
        <f t="shared" si="199"/>
        <v>363.7983529574928</v>
      </c>
      <c r="AS152" s="4017" t="e">
        <f t="shared" si="199"/>
        <v>#DIV/0!</v>
      </c>
      <c r="AT152" s="4017" t="e">
        <f t="shared" si="199"/>
        <v>#DIV/0!</v>
      </c>
      <c r="AU152" s="4017" t="e">
        <f t="shared" si="199"/>
        <v>#DIV/0!</v>
      </c>
      <c r="AV152" s="4040" t="e">
        <f t="shared" si="199"/>
        <v>#DIV/0!</v>
      </c>
      <c r="AW152" s="5448" t="e">
        <f t="shared" si="199"/>
        <v>#DIV/0!</v>
      </c>
      <c r="AX152" s="5221" t="e">
        <f t="shared" si="199"/>
        <v>#DIV/0!</v>
      </c>
      <c r="AY152" s="5448" t="e">
        <f>AY4</f>
        <v>#DIV/0!</v>
      </c>
      <c r="AZ152" s="6549"/>
      <c r="BA152" s="6550"/>
      <c r="BB152" s="4017">
        <f>BB4</f>
        <v>3637.9835295749281</v>
      </c>
      <c r="BF152" s="7671" t="s">
        <v>1239</v>
      </c>
      <c r="BG152" s="7689" t="s">
        <v>1160</v>
      </c>
      <c r="BH152" s="7689"/>
      <c r="BI152" s="1154" t="s">
        <v>1390</v>
      </c>
      <c r="BJ152" s="2261">
        <v>820.61999999999978</v>
      </c>
      <c r="BK152" s="2261">
        <v>320</v>
      </c>
      <c r="BL152" s="2261">
        <v>307.49</v>
      </c>
      <c r="BM152" s="2826">
        <v>363.24000000000007</v>
      </c>
      <c r="BN152" s="2580">
        <v>205.53</v>
      </c>
      <c r="BO152" s="6366">
        <v>150</v>
      </c>
      <c r="BP152" s="6367">
        <v>15</v>
      </c>
      <c r="BQ152" s="6336"/>
      <c r="BR152" s="5447">
        <v>26959648.41</v>
      </c>
      <c r="BS152" s="3068">
        <v>2695964.8410000005</v>
      </c>
      <c r="BT152" s="5202">
        <v>100.57318663732001</v>
      </c>
      <c r="BU152" s="4004"/>
      <c r="BV152" s="4004"/>
      <c r="BW152" s="5418"/>
    </row>
    <row r="153" spans="1:79" ht="17.45" customHeight="1">
      <c r="A153" s="7672"/>
      <c r="B153" s="7660" t="s">
        <v>1231</v>
      </c>
      <c r="C153" s="3014" t="s">
        <v>519</v>
      </c>
      <c r="D153" s="3015" t="s">
        <v>317</v>
      </c>
      <c r="E153" s="4883">
        <f t="shared" ref="E153:T153" si="200">E12</f>
        <v>5.9337282737341113</v>
      </c>
      <c r="F153" s="4883">
        <f t="shared" si="200"/>
        <v>2.5642489641379616</v>
      </c>
      <c r="G153" s="4918">
        <f t="shared" si="200"/>
        <v>2.6735481462132107</v>
      </c>
      <c r="H153" s="4058">
        <f t="shared" si="200"/>
        <v>2.1401601398038075</v>
      </c>
      <c r="I153" s="3279">
        <f>I12</f>
        <v>1.158198897234149</v>
      </c>
      <c r="J153" s="6157">
        <f t="shared" si="200"/>
        <v>0.97791539207640088</v>
      </c>
      <c r="K153" s="6158">
        <f t="shared" si="200"/>
        <v>0.97791539207640088</v>
      </c>
      <c r="L153" s="3051" t="e">
        <f t="shared" si="200"/>
        <v>#DIV/0!</v>
      </c>
      <c r="M153" s="3051" t="e">
        <f t="shared" si="200"/>
        <v>#DIV/0!</v>
      </c>
      <c r="N153" s="3051">
        <f t="shared" si="200"/>
        <v>6.6242202070872738</v>
      </c>
      <c r="O153" s="3051" t="e">
        <f t="shared" si="200"/>
        <v>#DIV/0!</v>
      </c>
      <c r="P153" s="3051" t="e">
        <f t="shared" si="200"/>
        <v>#DIV/0!</v>
      </c>
      <c r="Q153" s="3051" t="e">
        <f t="shared" si="200"/>
        <v>#DIV/0!</v>
      </c>
      <c r="R153" s="3051" t="e">
        <f t="shared" si="200"/>
        <v>#DIV/0!</v>
      </c>
      <c r="S153" s="3051" t="e">
        <f t="shared" si="200"/>
        <v>#DIV/0!</v>
      </c>
      <c r="T153" s="3051" t="e">
        <f t="shared" si="200"/>
        <v>#DIV/0!</v>
      </c>
      <c r="U153" s="3051" t="e">
        <f>U12</f>
        <v>#DIV/0!</v>
      </c>
      <c r="V153" s="3051" t="e">
        <f>V12</f>
        <v>#DIV/0!</v>
      </c>
      <c r="W153" s="3051" t="e">
        <f>W12</f>
        <v>#DIV/0!</v>
      </c>
      <c r="X153" s="6597">
        <f>X12</f>
        <v>6.637345271892281</v>
      </c>
      <c r="Y153" s="4041">
        <f t="shared" ref="Y153:AM153" si="201">Y12</f>
        <v>23462514.668211311</v>
      </c>
      <c r="Z153" s="4005">
        <f t="shared" si="201"/>
        <v>2346251.4668211313</v>
      </c>
      <c r="AA153" s="3008">
        <f t="shared" si="201"/>
        <v>87.527100903571252</v>
      </c>
      <c r="AB153" s="4005" t="e">
        <f t="shared" si="201"/>
        <v>#DIV/0!</v>
      </c>
      <c r="AC153" s="4005" t="e">
        <f t="shared" si="201"/>
        <v>#DIV/0!</v>
      </c>
      <c r="AD153" s="4005">
        <f t="shared" si="201"/>
        <v>-60656545.029567607</v>
      </c>
      <c r="AE153" s="4005" t="e">
        <f t="shared" si="201"/>
        <v>#DIV/0!</v>
      </c>
      <c r="AF153" s="4005" t="e">
        <f t="shared" si="201"/>
        <v>#DIV/0!</v>
      </c>
      <c r="AG153" s="4005" t="e">
        <f t="shared" si="201"/>
        <v>#DIV/0!</v>
      </c>
      <c r="AH153" s="4005" t="e">
        <f t="shared" si="201"/>
        <v>#DIV/0!</v>
      </c>
      <c r="AI153" s="4005" t="e">
        <f t="shared" si="201"/>
        <v>#DIV/0!</v>
      </c>
      <c r="AJ153" s="4005" t="e">
        <f t="shared" si="201"/>
        <v>#DIV/0!</v>
      </c>
      <c r="AK153" s="4005" t="e">
        <f t="shared" si="201"/>
        <v>#DIV/0!</v>
      </c>
      <c r="AL153" s="4005">
        <f t="shared" si="201"/>
        <v>0</v>
      </c>
      <c r="AM153" s="4005">
        <f t="shared" si="201"/>
        <v>0</v>
      </c>
      <c r="AN153" s="4017" t="e">
        <f t="shared" si="90"/>
        <v>#DIV/0!</v>
      </c>
      <c r="AO153" s="4041">
        <f t="shared" ref="AO153:AX153" si="202">AO12</f>
        <v>87.527100903571252</v>
      </c>
      <c r="AP153" s="3008" t="e">
        <f t="shared" si="202"/>
        <v>#DIV/0!</v>
      </c>
      <c r="AQ153" s="3008" t="e">
        <f t="shared" si="202"/>
        <v>#DIV/0!</v>
      </c>
      <c r="AR153" s="3008">
        <f t="shared" si="202"/>
        <v>-2653.7369478697628</v>
      </c>
      <c r="AS153" s="3008" t="e">
        <f t="shared" si="202"/>
        <v>#DIV/0!</v>
      </c>
      <c r="AT153" s="3008" t="e">
        <f t="shared" si="202"/>
        <v>#DIV/0!</v>
      </c>
      <c r="AU153" s="3008" t="e">
        <f t="shared" si="202"/>
        <v>#DIV/0!</v>
      </c>
      <c r="AV153" s="4041" t="e">
        <f t="shared" si="202"/>
        <v>#DIV/0!</v>
      </c>
      <c r="AW153" s="5365" t="e">
        <f t="shared" si="202"/>
        <v>#DIV/0!</v>
      </c>
      <c r="AX153" s="3953" t="e">
        <f t="shared" si="202"/>
        <v>#DIV/0!</v>
      </c>
      <c r="AY153" s="5365" t="e">
        <f>AY12</f>
        <v>#DIV/0!</v>
      </c>
      <c r="AZ153" s="3500"/>
      <c r="BA153" s="5378"/>
      <c r="BB153" s="3008" t="e">
        <f>BB12</f>
        <v>#DIV/0!</v>
      </c>
      <c r="BF153" s="7672"/>
      <c r="BG153" s="7664" t="s">
        <v>1231</v>
      </c>
      <c r="BH153" s="5163" t="s">
        <v>519</v>
      </c>
      <c r="BI153" s="3356" t="s">
        <v>317</v>
      </c>
      <c r="BJ153" s="3373">
        <v>1850</v>
      </c>
      <c r="BK153" s="3373">
        <v>803.91</v>
      </c>
      <c r="BL153" s="3373">
        <v>702.74799999999993</v>
      </c>
      <c r="BM153" s="4691">
        <v>624.87299999999993</v>
      </c>
      <c r="BN153" s="6151">
        <v>1.2123703559703392</v>
      </c>
      <c r="BO153" s="6378">
        <v>0.97791539207640088</v>
      </c>
      <c r="BP153" s="5568">
        <v>0.97791539207640088</v>
      </c>
      <c r="BQ153" s="6337"/>
      <c r="BR153" s="5365">
        <v>30512514.301201247</v>
      </c>
      <c r="BS153" s="4005">
        <v>3051251.4301201249</v>
      </c>
      <c r="BT153" s="4686">
        <v>113.82718160561534</v>
      </c>
      <c r="BU153" s="4005"/>
      <c r="BV153" s="4005"/>
      <c r="BW153" s="5413"/>
      <c r="BX153" s="3341"/>
    </row>
    <row r="154" spans="1:79" ht="17.45" customHeight="1">
      <c r="A154" s="7672"/>
      <c r="B154" s="7660"/>
      <c r="C154" s="3014" t="s">
        <v>1033</v>
      </c>
      <c r="D154" s="3015" t="s">
        <v>317</v>
      </c>
      <c r="E154" s="4883">
        <f t="shared" ref="E154:T154" si="203">E19</f>
        <v>1.9060738925578218</v>
      </c>
      <c r="F154" s="4883">
        <f t="shared" si="203"/>
        <v>1.616614621045144</v>
      </c>
      <c r="G154" s="4918">
        <f t="shared" si="203"/>
        <v>1.2528499645990618</v>
      </c>
      <c r="H154" s="4058">
        <f t="shared" si="203"/>
        <v>1.1972605314539384</v>
      </c>
      <c r="I154" s="3279">
        <f>I19</f>
        <v>1.3989875127212563</v>
      </c>
      <c r="J154" s="6157">
        <f t="shared" si="203"/>
        <v>0.93262702380064166</v>
      </c>
      <c r="K154" s="6158">
        <f t="shared" si="203"/>
        <v>0.93262702380064166</v>
      </c>
      <c r="L154" s="3051" t="e">
        <f t="shared" si="203"/>
        <v>#DIV/0!</v>
      </c>
      <c r="M154" s="3051" t="e">
        <f t="shared" si="203"/>
        <v>#DIV/0!</v>
      </c>
      <c r="N154" s="3051">
        <f t="shared" si="203"/>
        <v>0.5411901721264748</v>
      </c>
      <c r="O154" s="3051" t="e">
        <f t="shared" si="203"/>
        <v>#DIV/0!</v>
      </c>
      <c r="P154" s="3051" t="e">
        <f t="shared" si="203"/>
        <v>#DIV/0!</v>
      </c>
      <c r="Q154" s="3051" t="e">
        <f t="shared" si="203"/>
        <v>#DIV/0!</v>
      </c>
      <c r="R154" s="3051" t="e">
        <f t="shared" si="203"/>
        <v>#DIV/0!</v>
      </c>
      <c r="S154" s="3051" t="e">
        <f t="shared" si="203"/>
        <v>#DIV/0!</v>
      </c>
      <c r="T154" s="3051" t="e">
        <f t="shared" si="203"/>
        <v>#DIV/0!</v>
      </c>
      <c r="U154" s="3051" t="e">
        <f>U19</f>
        <v>#DIV/0!</v>
      </c>
      <c r="V154" s="3051" t="e">
        <f>V19</f>
        <v>#DIV/0!</v>
      </c>
      <c r="W154" s="3051" t="e">
        <f>W19</f>
        <v>#DIV/0!</v>
      </c>
      <c r="X154" s="6597">
        <f>X19</f>
        <v>0.6943159281848954</v>
      </c>
      <c r="Y154" s="4041">
        <f t="shared" ref="Y154:AM154" si="204">Y19</f>
        <v>60693238.698681138</v>
      </c>
      <c r="Z154" s="4005">
        <f t="shared" si="204"/>
        <v>6069323.8698681137</v>
      </c>
      <c r="AA154" s="3008">
        <f t="shared" si="204"/>
        <v>226.41661828949168</v>
      </c>
      <c r="AB154" s="4005" t="e">
        <f t="shared" si="204"/>
        <v>#DIV/0!</v>
      </c>
      <c r="AC154" s="4005" t="e">
        <f t="shared" si="204"/>
        <v>#DIV/0!</v>
      </c>
      <c r="AD154" s="4005">
        <f t="shared" si="204"/>
        <v>9518993.810404446</v>
      </c>
      <c r="AE154" s="4005" t="e">
        <f t="shared" si="204"/>
        <v>#DIV/0!</v>
      </c>
      <c r="AF154" s="4005" t="e">
        <f t="shared" si="204"/>
        <v>#DIV/0!</v>
      </c>
      <c r="AG154" s="4005" t="e">
        <f t="shared" si="204"/>
        <v>#DIV/0!</v>
      </c>
      <c r="AH154" s="4005" t="e">
        <f t="shared" si="204"/>
        <v>#DIV/0!</v>
      </c>
      <c r="AI154" s="4005" t="e">
        <f t="shared" si="204"/>
        <v>#DIV/0!</v>
      </c>
      <c r="AJ154" s="4005" t="e">
        <f t="shared" si="204"/>
        <v>#DIV/0!</v>
      </c>
      <c r="AK154" s="4005" t="e">
        <f t="shared" si="204"/>
        <v>#DIV/0!</v>
      </c>
      <c r="AL154" s="4005">
        <f t="shared" si="204"/>
        <v>0</v>
      </c>
      <c r="AM154" s="4005">
        <f t="shared" si="204"/>
        <v>0</v>
      </c>
      <c r="AN154" s="4017" t="e">
        <f t="shared" si="90"/>
        <v>#DIV/0!</v>
      </c>
      <c r="AO154" s="4041">
        <f t="shared" ref="AO154:AX154" si="205">AO19</f>
        <v>226.41661828949168</v>
      </c>
      <c r="AP154" s="3008" t="e">
        <f t="shared" si="205"/>
        <v>#DIV/0!</v>
      </c>
      <c r="AQ154" s="3008" t="e">
        <f t="shared" si="205"/>
        <v>#DIV/0!</v>
      </c>
      <c r="AR154" s="3008">
        <f t="shared" si="205"/>
        <v>416.45803546674466</v>
      </c>
      <c r="AS154" s="3008" t="e">
        <f t="shared" si="205"/>
        <v>#DIV/0!</v>
      </c>
      <c r="AT154" s="3008" t="e">
        <f t="shared" si="205"/>
        <v>#DIV/0!</v>
      </c>
      <c r="AU154" s="3008" t="e">
        <f t="shared" si="205"/>
        <v>#DIV/0!</v>
      </c>
      <c r="AV154" s="4041" t="e">
        <f t="shared" si="205"/>
        <v>#DIV/0!</v>
      </c>
      <c r="AW154" s="5365" t="e">
        <f t="shared" si="205"/>
        <v>#DIV/0!</v>
      </c>
      <c r="AX154" s="3953" t="e">
        <f t="shared" si="205"/>
        <v>#DIV/0!</v>
      </c>
      <c r="AY154" s="5365" t="e">
        <f>AY19</f>
        <v>#DIV/0!</v>
      </c>
      <c r="AZ154" s="3500"/>
      <c r="BA154" s="5378"/>
      <c r="BB154" s="3008" t="e">
        <f>BB19</f>
        <v>#DIV/0!</v>
      </c>
      <c r="BF154" s="7672"/>
      <c r="BG154" s="7664"/>
      <c r="BH154" s="5163" t="s">
        <v>1033</v>
      </c>
      <c r="BI154" s="3356" t="s">
        <v>317</v>
      </c>
      <c r="BJ154" s="3373">
        <v>594.27</v>
      </c>
      <c r="BK154" s="3373">
        <v>506.82</v>
      </c>
      <c r="BL154" s="3373">
        <v>387.63</v>
      </c>
      <c r="BM154" s="4691">
        <v>349.56999999999994</v>
      </c>
      <c r="BN154" s="6151">
        <v>1.3952560913870755</v>
      </c>
      <c r="BO154" s="6378">
        <v>0.93262702380064166</v>
      </c>
      <c r="BP154" s="5568">
        <v>0.93262702380064166</v>
      </c>
      <c r="BQ154" s="6338"/>
      <c r="BR154" s="5365">
        <v>60207622.847636476</v>
      </c>
      <c r="BS154" s="4005">
        <v>6020762.2847636472</v>
      </c>
      <c r="BT154" s="4686">
        <v>224.60502442601089</v>
      </c>
      <c r="BU154" s="4005"/>
      <c r="BV154" s="4005"/>
      <c r="BW154" s="5413"/>
    </row>
    <row r="155" spans="1:79" ht="17.45" customHeight="1">
      <c r="A155" s="7672"/>
      <c r="B155" s="7660"/>
      <c r="C155" s="3014" t="s">
        <v>1227</v>
      </c>
      <c r="D155" s="3015" t="s">
        <v>317</v>
      </c>
      <c r="E155" s="4920"/>
      <c r="F155" s="4920"/>
      <c r="G155" s="4921"/>
      <c r="H155" s="4058">
        <f t="shared" ref="H155:T155" si="206">H26</f>
        <v>1.6000280572082093</v>
      </c>
      <c r="I155" s="3279">
        <f>I26</f>
        <v>0.7659227534131795</v>
      </c>
      <c r="J155" s="6211">
        <f t="shared" si="206"/>
        <v>0.74610161904051331</v>
      </c>
      <c r="K155" s="6212">
        <f t="shared" si="206"/>
        <v>0.74610161904051331</v>
      </c>
      <c r="L155" s="4923" t="e">
        <f t="shared" si="206"/>
        <v>#DIV/0!</v>
      </c>
      <c r="M155" s="4923" t="e">
        <f t="shared" si="206"/>
        <v>#DIV/0!</v>
      </c>
      <c r="N155" s="4923">
        <f t="shared" si="206"/>
        <v>0.62912810632002503</v>
      </c>
      <c r="O155" s="4923" t="e">
        <f t="shared" si="206"/>
        <v>#DIV/0!</v>
      </c>
      <c r="P155" s="4923" t="e">
        <f t="shared" si="206"/>
        <v>#DIV/0!</v>
      </c>
      <c r="Q155" s="4923" t="e">
        <f t="shared" si="206"/>
        <v>#DIV/0!</v>
      </c>
      <c r="R155" s="4923" t="e">
        <f t="shared" si="206"/>
        <v>#DIV/0!</v>
      </c>
      <c r="S155" s="4923" t="e">
        <f t="shared" si="206"/>
        <v>#DIV/0!</v>
      </c>
      <c r="T155" s="4923" t="e">
        <f t="shared" si="206"/>
        <v>#DIV/0!</v>
      </c>
      <c r="U155" s="4923" t="e">
        <f>U26</f>
        <v>#DIV/0!</v>
      </c>
      <c r="V155" s="4923" t="e">
        <f>V26</f>
        <v>#DIV/0!</v>
      </c>
      <c r="W155" s="4923" t="e">
        <f>W26</f>
        <v>#DIV/0!</v>
      </c>
      <c r="X155" s="6608">
        <f>X26</f>
        <v>4.0766451284353229</v>
      </c>
      <c r="Y155" s="4043">
        <f t="shared" ref="Y155:AM155" si="207">Y26</f>
        <v>2579568.5276495251</v>
      </c>
      <c r="Z155" s="4007">
        <f t="shared" si="207"/>
        <v>257956.85276495252</v>
      </c>
      <c r="AA155" s="4019">
        <f t="shared" si="207"/>
        <v>9.6231012745263182</v>
      </c>
      <c r="AB155" s="4007" t="e">
        <f t="shared" si="207"/>
        <v>#DIV/0!</v>
      </c>
      <c r="AC155" s="4007" t="e">
        <f t="shared" si="207"/>
        <v>#DIV/0!</v>
      </c>
      <c r="AD155" s="4007">
        <f t="shared" si="207"/>
        <v>1518012.8654552738</v>
      </c>
      <c r="AE155" s="4007" t="e">
        <f t="shared" si="207"/>
        <v>#DIV/0!</v>
      </c>
      <c r="AF155" s="4007" t="e">
        <f t="shared" si="207"/>
        <v>#DIV/0!</v>
      </c>
      <c r="AG155" s="4007" t="e">
        <f t="shared" si="207"/>
        <v>#DIV/0!</v>
      </c>
      <c r="AH155" s="4007" t="e">
        <f t="shared" si="207"/>
        <v>#DIV/0!</v>
      </c>
      <c r="AI155" s="4007" t="e">
        <f t="shared" si="207"/>
        <v>#DIV/0!</v>
      </c>
      <c r="AJ155" s="4007" t="e">
        <f t="shared" si="207"/>
        <v>#DIV/0!</v>
      </c>
      <c r="AK155" s="4007" t="e">
        <f t="shared" si="207"/>
        <v>#DIV/0!</v>
      </c>
      <c r="AL155" s="4007">
        <f t="shared" si="207"/>
        <v>0</v>
      </c>
      <c r="AM155" s="4007">
        <f t="shared" si="207"/>
        <v>0</v>
      </c>
      <c r="AN155" s="4017" t="e">
        <f t="shared" si="90"/>
        <v>#DIV/0!</v>
      </c>
      <c r="AO155" s="4043">
        <f t="shared" ref="AO155:AX155" si="208">AO26</f>
        <v>9.6231012745263182</v>
      </c>
      <c r="AP155" s="4019" t="e">
        <f t="shared" si="208"/>
        <v>#DIV/0!</v>
      </c>
      <c r="AQ155" s="4019" t="e">
        <f t="shared" si="208"/>
        <v>#DIV/0!</v>
      </c>
      <c r="AR155" s="4019">
        <f t="shared" si="208"/>
        <v>66.413390779785203</v>
      </c>
      <c r="AS155" s="4019" t="e">
        <f t="shared" si="208"/>
        <v>#DIV/0!</v>
      </c>
      <c r="AT155" s="4019" t="e">
        <f t="shared" si="208"/>
        <v>#DIV/0!</v>
      </c>
      <c r="AU155" s="4019" t="e">
        <f t="shared" si="208"/>
        <v>#DIV/0!</v>
      </c>
      <c r="AV155" s="4043" t="e">
        <f t="shared" si="208"/>
        <v>#DIV/0!</v>
      </c>
      <c r="AW155" s="4979" t="e">
        <f t="shared" si="208"/>
        <v>#DIV/0!</v>
      </c>
      <c r="AX155" s="5223" t="e">
        <f t="shared" si="208"/>
        <v>#DIV/0!</v>
      </c>
      <c r="AY155" s="4979" t="e">
        <f>AY26</f>
        <v>#DIV/0!</v>
      </c>
      <c r="AZ155" s="3544"/>
      <c r="BA155" s="4133"/>
      <c r="BB155" s="4019" t="e">
        <f>BB26</f>
        <v>#DIV/0!</v>
      </c>
      <c r="BF155" s="7672"/>
      <c r="BG155" s="7664"/>
      <c r="BH155" s="5163" t="s">
        <v>1227</v>
      </c>
      <c r="BI155" s="3356" t="s">
        <v>317</v>
      </c>
      <c r="BJ155" s="3376"/>
      <c r="BK155" s="3376"/>
      <c r="BL155" s="3376"/>
      <c r="BM155" s="4691">
        <v>467.16800000000006</v>
      </c>
      <c r="BN155" s="4058">
        <v>1.1255439772310825</v>
      </c>
      <c r="BO155" s="6442">
        <v>0.74610161904051331</v>
      </c>
      <c r="BP155" s="6383">
        <v>0.74610161904051331</v>
      </c>
      <c r="BQ155" s="6339"/>
      <c r="BR155" s="4979">
        <v>49381511.009546198</v>
      </c>
      <c r="BS155" s="4007">
        <v>4938151.1009546192</v>
      </c>
      <c r="BT155" s="5205">
        <v>184.21812657444676</v>
      </c>
      <c r="BU155" s="4007"/>
      <c r="BV155" s="4007"/>
      <c r="BW155" s="5413"/>
    </row>
    <row r="156" spans="1:79" ht="17.45" customHeight="1">
      <c r="A156" s="7672"/>
      <c r="B156" s="7660"/>
      <c r="C156" s="3014" t="s">
        <v>1228</v>
      </c>
      <c r="D156" s="3015" t="s">
        <v>317</v>
      </c>
      <c r="E156" s="4920"/>
      <c r="F156" s="4920"/>
      <c r="G156" s="4921"/>
      <c r="H156" s="4058">
        <f t="shared" ref="H156:T156" si="209">H33</f>
        <v>1.0527617992342353</v>
      </c>
      <c r="I156" s="3279">
        <f>I33</f>
        <v>0.44009446244863637</v>
      </c>
      <c r="J156" s="6211">
        <f t="shared" si="209"/>
        <v>0.55957621428038495</v>
      </c>
      <c r="K156" s="6212">
        <f t="shared" si="209"/>
        <v>0.55957621428038495</v>
      </c>
      <c r="L156" s="4923" t="e">
        <f t="shared" si="209"/>
        <v>#DIV/0!</v>
      </c>
      <c r="M156" s="4923" t="e">
        <f t="shared" si="209"/>
        <v>#DIV/0!</v>
      </c>
      <c r="N156" s="4923">
        <f t="shared" si="209"/>
        <v>1.0858803615342851</v>
      </c>
      <c r="O156" s="4923" t="e">
        <f t="shared" si="209"/>
        <v>#DIV/0!</v>
      </c>
      <c r="P156" s="4923" t="e">
        <f t="shared" si="209"/>
        <v>#DIV/0!</v>
      </c>
      <c r="Q156" s="4923" t="e">
        <f t="shared" si="209"/>
        <v>#DIV/0!</v>
      </c>
      <c r="R156" s="4923" t="e">
        <f t="shared" si="209"/>
        <v>#DIV/0!</v>
      </c>
      <c r="S156" s="4923" t="e">
        <f t="shared" si="209"/>
        <v>#DIV/0!</v>
      </c>
      <c r="T156" s="4923" t="e">
        <f t="shared" si="209"/>
        <v>#DIV/0!</v>
      </c>
      <c r="U156" s="4923" t="e">
        <f>U33</f>
        <v>#DIV/0!</v>
      </c>
      <c r="V156" s="4923" t="e">
        <f>V33</f>
        <v>#DIV/0!</v>
      </c>
      <c r="W156" s="4923" t="e">
        <f>W33</f>
        <v>#DIV/0!</v>
      </c>
      <c r="X156" s="6608">
        <f>X33</f>
        <v>1.8060089171690286</v>
      </c>
      <c r="Y156" s="4043">
        <f t="shared" ref="Y156:AM156" si="210">Y33</f>
        <v>-15549633.076431807</v>
      </c>
      <c r="Z156" s="4007">
        <f t="shared" si="210"/>
        <v>-1554963.3076431807</v>
      </c>
      <c r="AA156" s="4019">
        <f t="shared" si="210"/>
        <v>-58.008032069058444</v>
      </c>
      <c r="AB156" s="4007" t="e">
        <f t="shared" si="210"/>
        <v>#DIV/0!</v>
      </c>
      <c r="AC156" s="4007" t="e">
        <f t="shared" si="210"/>
        <v>#DIV/0!</v>
      </c>
      <c r="AD156" s="4007">
        <f t="shared" si="210"/>
        <v>-7166298.7110456405</v>
      </c>
      <c r="AE156" s="4007" t="e">
        <f t="shared" si="210"/>
        <v>#DIV/0!</v>
      </c>
      <c r="AF156" s="4007" t="e">
        <f t="shared" si="210"/>
        <v>#DIV/0!</v>
      </c>
      <c r="AG156" s="4007" t="e">
        <f t="shared" si="210"/>
        <v>#DIV/0!</v>
      </c>
      <c r="AH156" s="4007" t="e">
        <f t="shared" si="210"/>
        <v>#DIV/0!</v>
      </c>
      <c r="AI156" s="4007" t="e">
        <f t="shared" si="210"/>
        <v>#DIV/0!</v>
      </c>
      <c r="AJ156" s="4007" t="e">
        <f t="shared" si="210"/>
        <v>#DIV/0!</v>
      </c>
      <c r="AK156" s="4007" t="e">
        <f t="shared" si="210"/>
        <v>#DIV/0!</v>
      </c>
      <c r="AL156" s="4007">
        <f t="shared" si="210"/>
        <v>0</v>
      </c>
      <c r="AM156" s="4007">
        <f t="shared" si="210"/>
        <v>0</v>
      </c>
      <c r="AN156" s="4017" t="e">
        <f t="shared" si="90"/>
        <v>#DIV/0!</v>
      </c>
      <c r="AO156" s="4043">
        <f t="shared" ref="AO156:AX156" si="211">AO33</f>
        <v>-58.008032069058444</v>
      </c>
      <c r="AP156" s="4019" t="e">
        <f t="shared" si="211"/>
        <v>#DIV/0!</v>
      </c>
      <c r="AQ156" s="4019" t="e">
        <f t="shared" si="211"/>
        <v>#DIV/0!</v>
      </c>
      <c r="AR156" s="4019">
        <f t="shared" si="211"/>
        <v>-313.52711664838523</v>
      </c>
      <c r="AS156" s="4019" t="e">
        <f t="shared" si="211"/>
        <v>#DIV/0!</v>
      </c>
      <c r="AT156" s="4019" t="e">
        <f t="shared" si="211"/>
        <v>#DIV/0!</v>
      </c>
      <c r="AU156" s="4019" t="e">
        <f t="shared" si="211"/>
        <v>#DIV/0!</v>
      </c>
      <c r="AV156" s="4043" t="e">
        <f t="shared" si="211"/>
        <v>#DIV/0!</v>
      </c>
      <c r="AW156" s="4979" t="e">
        <f t="shared" si="211"/>
        <v>#DIV/0!</v>
      </c>
      <c r="AX156" s="5223" t="e">
        <f t="shared" si="211"/>
        <v>#DIV/0!</v>
      </c>
      <c r="AY156" s="4979" t="e">
        <f>AY33</f>
        <v>#DIV/0!</v>
      </c>
      <c r="AZ156" s="3544"/>
      <c r="BA156" s="4133"/>
      <c r="BB156" s="4019" t="e">
        <f>BB33</f>
        <v>#DIV/0!</v>
      </c>
      <c r="BF156" s="7672"/>
      <c r="BG156" s="7664"/>
      <c r="BH156" s="5163" t="s">
        <v>1228</v>
      </c>
      <c r="BI156" s="3356" t="s">
        <v>317</v>
      </c>
      <c r="BJ156" s="3376"/>
      <c r="BK156" s="3376"/>
      <c r="BL156" s="3376"/>
      <c r="BM156" s="4691">
        <v>307.38</v>
      </c>
      <c r="BN156" s="4058">
        <v>0.506168830762736</v>
      </c>
      <c r="BO156" s="6454">
        <v>0.55957621428038495</v>
      </c>
      <c r="BP156" s="6383">
        <v>0.55957621428038495</v>
      </c>
      <c r="BQ156" s="6340"/>
      <c r="BR156" s="4979">
        <v>-6950561.1069475682</v>
      </c>
      <c r="BS156" s="4007">
        <v>-695056.11069475673</v>
      </c>
      <c r="BT156" s="5205">
        <v>-25.929124475668015</v>
      </c>
      <c r="BU156" s="4007"/>
      <c r="BV156" s="4007"/>
      <c r="BW156" s="5413"/>
    </row>
    <row r="157" spans="1:79" ht="17.45" customHeight="1">
      <c r="A157" s="7672"/>
      <c r="B157" s="7660"/>
      <c r="C157" s="3014" t="s">
        <v>334</v>
      </c>
      <c r="D157" s="3015" t="s">
        <v>317</v>
      </c>
      <c r="E157" s="4922">
        <f>SUM(E153:E156)</f>
        <v>7.8398021662919328</v>
      </c>
      <c r="F157" s="4922">
        <f>SUM(F153:F156)</f>
        <v>4.180863585183106</v>
      </c>
      <c r="G157" s="4533">
        <f>SUM(G153:G156)</f>
        <v>3.9263981108122725</v>
      </c>
      <c r="H157" s="6151">
        <f t="shared" ref="H157:P157" si="212">SUM(H153:H156)</f>
        <v>5.9902105277001914</v>
      </c>
      <c r="I157" s="6130">
        <f>SUM(I153:I156)</f>
        <v>3.7632036258172215</v>
      </c>
      <c r="J157" s="6157">
        <f t="shared" si="212"/>
        <v>3.2162202491979408</v>
      </c>
      <c r="K157" s="6158">
        <f t="shared" si="212"/>
        <v>3.2162202491979408</v>
      </c>
      <c r="L157" s="3051" t="e">
        <f t="shared" si="212"/>
        <v>#DIV/0!</v>
      </c>
      <c r="M157" s="3051" t="e">
        <f t="shared" si="212"/>
        <v>#DIV/0!</v>
      </c>
      <c r="N157" s="3051">
        <f t="shared" si="212"/>
        <v>8.880418847068059</v>
      </c>
      <c r="O157" s="3051" t="e">
        <f t="shared" si="212"/>
        <v>#DIV/0!</v>
      </c>
      <c r="P157" s="3051" t="e">
        <f t="shared" si="212"/>
        <v>#DIV/0!</v>
      </c>
      <c r="Q157" s="3051" t="e">
        <f t="shared" ref="Q157:X157" si="213">SUM(Q153:Q156)</f>
        <v>#DIV/0!</v>
      </c>
      <c r="R157" s="3051" t="e">
        <f t="shared" si="213"/>
        <v>#DIV/0!</v>
      </c>
      <c r="S157" s="3051" t="e">
        <f t="shared" si="213"/>
        <v>#DIV/0!</v>
      </c>
      <c r="T157" s="3051" t="e">
        <f t="shared" si="213"/>
        <v>#DIV/0!</v>
      </c>
      <c r="U157" s="3051" t="e">
        <f t="shared" si="213"/>
        <v>#DIV/0!</v>
      </c>
      <c r="V157" s="3051" t="e">
        <f t="shared" si="213"/>
        <v>#DIV/0!</v>
      </c>
      <c r="W157" s="3051" t="e">
        <f t="shared" si="213"/>
        <v>#DIV/0!</v>
      </c>
      <c r="X157" s="6597">
        <f t="shared" si="213"/>
        <v>13.214315245681528</v>
      </c>
      <c r="Y157" s="4041">
        <f t="shared" ref="Y157:AF157" si="214">SUM(Y153:Y156)</f>
        <v>71185688.818110168</v>
      </c>
      <c r="Z157" s="4005">
        <f t="shared" si="214"/>
        <v>7118568.8818110172</v>
      </c>
      <c r="AA157" s="3008">
        <f t="shared" si="214"/>
        <v>265.55878839853079</v>
      </c>
      <c r="AB157" s="4005" t="e">
        <f t="shared" si="214"/>
        <v>#DIV/0!</v>
      </c>
      <c r="AC157" s="4005" t="e">
        <f t="shared" si="214"/>
        <v>#DIV/0!</v>
      </c>
      <c r="AD157" s="4005">
        <f t="shared" si="214"/>
        <v>-56785837.064753525</v>
      </c>
      <c r="AE157" s="4005" t="e">
        <f t="shared" si="214"/>
        <v>#DIV/0!</v>
      </c>
      <c r="AF157" s="4005" t="e">
        <f t="shared" si="214"/>
        <v>#DIV/0!</v>
      </c>
      <c r="AG157" s="4005" t="e">
        <f t="shared" ref="AG157:AM157" si="215">SUM(AG153:AG156)</f>
        <v>#DIV/0!</v>
      </c>
      <c r="AH157" s="4005" t="e">
        <f t="shared" si="215"/>
        <v>#DIV/0!</v>
      </c>
      <c r="AI157" s="4005" t="e">
        <f t="shared" si="215"/>
        <v>#DIV/0!</v>
      </c>
      <c r="AJ157" s="4005" t="e">
        <f t="shared" si="215"/>
        <v>#DIV/0!</v>
      </c>
      <c r="AK157" s="4005" t="e">
        <f t="shared" si="215"/>
        <v>#DIV/0!</v>
      </c>
      <c r="AL157" s="4005">
        <f t="shared" si="215"/>
        <v>0</v>
      </c>
      <c r="AM157" s="4005">
        <f t="shared" si="215"/>
        <v>0</v>
      </c>
      <c r="AN157" s="4017" t="e">
        <f t="shared" si="90"/>
        <v>#DIV/0!</v>
      </c>
      <c r="AO157" s="4041">
        <f t="shared" ref="AO157:AT157" si="216">SUM(AO153:AO156)</f>
        <v>265.55878839853079</v>
      </c>
      <c r="AP157" s="3008" t="e">
        <f t="shared" si="216"/>
        <v>#DIV/0!</v>
      </c>
      <c r="AQ157" s="3008" t="e">
        <f t="shared" si="216"/>
        <v>#DIV/0!</v>
      </c>
      <c r="AR157" s="3008">
        <f t="shared" si="216"/>
        <v>-2484.3926382716186</v>
      </c>
      <c r="AS157" s="3008" t="e">
        <f t="shared" si="216"/>
        <v>#DIV/0!</v>
      </c>
      <c r="AT157" s="3008" t="e">
        <f t="shared" si="216"/>
        <v>#DIV/0!</v>
      </c>
      <c r="AU157" s="3008" t="e">
        <f>SUM(AU153:AU156)</f>
        <v>#DIV/0!</v>
      </c>
      <c r="AV157" s="4041" t="e">
        <f>SUM(AV153:AV156)</f>
        <v>#DIV/0!</v>
      </c>
      <c r="AW157" s="5365" t="e">
        <f>SUM(AW153:AW156)</f>
        <v>#DIV/0!</v>
      </c>
      <c r="AX157" s="3953" t="e">
        <f>SUM(AX153:AX156)</f>
        <v>#DIV/0!</v>
      </c>
      <c r="AY157" s="5365" t="e">
        <f>SUM(AY153:AY156)</f>
        <v>#DIV/0!</v>
      </c>
      <c r="AZ157" s="3500"/>
      <c r="BA157" s="5378"/>
      <c r="BB157" s="3008" t="e">
        <f>SUM(BB153:BB156)</f>
        <v>#DIV/0!</v>
      </c>
      <c r="BF157" s="7672"/>
      <c r="BG157" s="7664"/>
      <c r="BH157" s="5163" t="s">
        <v>334</v>
      </c>
      <c r="BI157" s="3356" t="s">
        <v>317</v>
      </c>
      <c r="BJ157" s="4134">
        <v>3264.89</v>
      </c>
      <c r="BK157" s="4134">
        <v>1630.7299999999998</v>
      </c>
      <c r="BL157" s="4134">
        <v>1397.8679999999999</v>
      </c>
      <c r="BM157" s="4694">
        <v>1748.991</v>
      </c>
      <c r="BN157" s="6151">
        <v>4.2393392553512328</v>
      </c>
      <c r="BO157" s="6378">
        <v>3.2162202491979408</v>
      </c>
      <c r="BP157" s="5568">
        <v>3.2162202491979408</v>
      </c>
      <c r="BQ157" s="6341"/>
      <c r="BR157" s="5365">
        <v>133151087.05143633</v>
      </c>
      <c r="BS157" s="4005">
        <v>13315108.705143636</v>
      </c>
      <c r="BT157" s="4686">
        <v>496.72120813040499</v>
      </c>
      <c r="BU157" s="4005"/>
      <c r="BV157" s="4005"/>
      <c r="BW157" s="5413"/>
    </row>
    <row r="158" spans="1:79" ht="17.45" customHeight="1">
      <c r="A158" s="7672"/>
      <c r="B158" s="7660" t="s">
        <v>1232</v>
      </c>
      <c r="C158" s="3014" t="s">
        <v>1235</v>
      </c>
      <c r="D158" s="3015" t="s">
        <v>1236</v>
      </c>
      <c r="E158" s="3022">
        <f t="shared" ref="E158:T158" si="217">E50</f>
        <v>101</v>
      </c>
      <c r="F158" s="3022">
        <f t="shared" si="217"/>
        <v>56</v>
      </c>
      <c r="G158" s="3366">
        <f t="shared" si="217"/>
        <v>49</v>
      </c>
      <c r="H158" s="3366">
        <f t="shared" si="217"/>
        <v>50</v>
      </c>
      <c r="I158" s="6132">
        <f>I50</f>
        <v>14</v>
      </c>
      <c r="J158" s="6193">
        <f t="shared" si="217"/>
        <v>15</v>
      </c>
      <c r="K158" s="6195">
        <f t="shared" si="217"/>
        <v>1.5</v>
      </c>
      <c r="L158" s="3049">
        <f t="shared" si="217"/>
        <v>0</v>
      </c>
      <c r="M158" s="3049">
        <f t="shared" si="217"/>
        <v>0</v>
      </c>
      <c r="N158" s="3049">
        <f t="shared" si="217"/>
        <v>8</v>
      </c>
      <c r="O158" s="3049">
        <f t="shared" si="217"/>
        <v>0</v>
      </c>
      <c r="P158" s="3049">
        <f t="shared" si="217"/>
        <v>0</v>
      </c>
      <c r="Q158" s="3049">
        <f t="shared" si="217"/>
        <v>0</v>
      </c>
      <c r="R158" s="3049">
        <f t="shared" si="217"/>
        <v>0</v>
      </c>
      <c r="S158" s="3049">
        <f t="shared" si="217"/>
        <v>0</v>
      </c>
      <c r="T158" s="3049">
        <f t="shared" si="217"/>
        <v>0</v>
      </c>
      <c r="U158" s="3049">
        <f t="shared" ref="U158:X159" si="218">U50</f>
        <v>0</v>
      </c>
      <c r="V158" s="3049">
        <f t="shared" si="218"/>
        <v>0</v>
      </c>
      <c r="W158" s="3049">
        <f t="shared" si="218"/>
        <v>0</v>
      </c>
      <c r="X158" s="6599">
        <f t="shared" si="218"/>
        <v>8</v>
      </c>
      <c r="Y158" s="4042"/>
      <c r="Z158" s="4006"/>
      <c r="AA158" s="4018"/>
      <c r="AB158" s="4006"/>
      <c r="AC158" s="4006"/>
      <c r="AD158" s="4006"/>
      <c r="AE158" s="4006"/>
      <c r="AF158" s="4006"/>
      <c r="AG158" s="4006"/>
      <c r="AH158" s="4006"/>
      <c r="AI158" s="4006"/>
      <c r="AJ158" s="4006"/>
      <c r="AK158" s="4006"/>
      <c r="AL158" s="4006"/>
      <c r="AM158" s="4006"/>
      <c r="AN158" s="5400"/>
      <c r="AO158" s="4042"/>
      <c r="AP158" s="4018"/>
      <c r="AQ158" s="4018"/>
      <c r="AR158" s="4018"/>
      <c r="AS158" s="4018"/>
      <c r="AT158" s="4018"/>
      <c r="AU158" s="4018"/>
      <c r="AV158" s="4042"/>
      <c r="AW158" s="5449"/>
      <c r="AX158" s="5222"/>
      <c r="AY158" s="5449"/>
      <c r="AZ158" s="5366"/>
      <c r="BA158" s="4131"/>
      <c r="BB158" s="4018"/>
      <c r="BF158" s="7672"/>
      <c r="BG158" s="7664" t="s">
        <v>1232</v>
      </c>
      <c r="BH158" s="5163" t="s">
        <v>1235</v>
      </c>
      <c r="BI158" s="3356" t="s">
        <v>1434</v>
      </c>
      <c r="BJ158" s="3389">
        <v>101</v>
      </c>
      <c r="BK158" s="3389">
        <v>56</v>
      </c>
      <c r="BL158" s="3389">
        <v>49</v>
      </c>
      <c r="BM158" s="3389">
        <v>50</v>
      </c>
      <c r="BN158" s="5334">
        <v>14</v>
      </c>
      <c r="BO158" s="6368">
        <v>15</v>
      </c>
      <c r="BP158" s="6440">
        <v>1.5</v>
      </c>
      <c r="BQ158" s="6318"/>
      <c r="BR158" s="5449"/>
      <c r="BS158" s="4006"/>
      <c r="BT158" s="5204"/>
      <c r="BU158" s="4006"/>
      <c r="BV158" s="4006"/>
      <c r="BW158" s="4018"/>
    </row>
    <row r="159" spans="1:79" ht="17.45" customHeight="1">
      <c r="A159" s="7672"/>
      <c r="B159" s="7660"/>
      <c r="C159" s="3014" t="s">
        <v>1217</v>
      </c>
      <c r="D159" s="3015" t="s">
        <v>1219</v>
      </c>
      <c r="E159" s="3022">
        <f t="shared" ref="E159:T159" si="219">E51</f>
        <v>141.85</v>
      </c>
      <c r="F159" s="3022">
        <f t="shared" si="219"/>
        <v>95.483333333333334</v>
      </c>
      <c r="G159" s="3366">
        <f t="shared" si="219"/>
        <v>81.05</v>
      </c>
      <c r="H159" s="3366">
        <f t="shared" si="219"/>
        <v>127.65000000000002</v>
      </c>
      <c r="I159" s="6132">
        <f>I51</f>
        <v>24.183333333333334</v>
      </c>
      <c r="J159" s="6193">
        <f t="shared" si="219"/>
        <v>24</v>
      </c>
      <c r="K159" s="6195">
        <f t="shared" si="219"/>
        <v>2.4000000000000004</v>
      </c>
      <c r="L159" s="3049">
        <f t="shared" si="219"/>
        <v>0</v>
      </c>
      <c r="M159" s="3049">
        <f t="shared" si="219"/>
        <v>0</v>
      </c>
      <c r="N159" s="3049">
        <f t="shared" si="219"/>
        <v>7.9333333333333336</v>
      </c>
      <c r="O159" s="3049">
        <f t="shared" si="219"/>
        <v>0</v>
      </c>
      <c r="P159" s="3049">
        <f t="shared" si="219"/>
        <v>0</v>
      </c>
      <c r="Q159" s="3049">
        <f t="shared" si="219"/>
        <v>0</v>
      </c>
      <c r="R159" s="3049">
        <f t="shared" si="219"/>
        <v>0</v>
      </c>
      <c r="S159" s="3049">
        <f t="shared" si="219"/>
        <v>0</v>
      </c>
      <c r="T159" s="3049">
        <f t="shared" si="219"/>
        <v>0</v>
      </c>
      <c r="U159" s="3049">
        <f t="shared" si="218"/>
        <v>0</v>
      </c>
      <c r="V159" s="3049">
        <f t="shared" si="218"/>
        <v>0</v>
      </c>
      <c r="W159" s="3049">
        <f t="shared" si="218"/>
        <v>0</v>
      </c>
      <c r="X159" s="6599">
        <f t="shared" si="218"/>
        <v>7.9333333333333336</v>
      </c>
      <c r="Y159" s="4041">
        <f t="shared" ref="Y159:AM159" si="220">Y51</f>
        <v>415369.90000000055</v>
      </c>
      <c r="Z159" s="4005">
        <f t="shared" si="220"/>
        <v>41536.989999999452</v>
      </c>
      <c r="AA159" s="3008">
        <f t="shared" si="220"/>
        <v>1.5495407744534826</v>
      </c>
      <c r="AB159" s="4005">
        <f t="shared" si="220"/>
        <v>4565922.1583333341</v>
      </c>
      <c r="AC159" s="4005">
        <f t="shared" si="220"/>
        <v>4565922.1583333341</v>
      </c>
      <c r="AD159" s="4005">
        <f t="shared" si="220"/>
        <v>-13408266.241666667</v>
      </c>
      <c r="AE159" s="4005">
        <f t="shared" si="220"/>
        <v>4565922.1583333341</v>
      </c>
      <c r="AF159" s="4005">
        <f t="shared" si="220"/>
        <v>4565922.1583333341</v>
      </c>
      <c r="AG159" s="4005">
        <f t="shared" si="220"/>
        <v>4565922.1583333341</v>
      </c>
      <c r="AH159" s="4005">
        <f t="shared" si="220"/>
        <v>4565922.1583333341</v>
      </c>
      <c r="AI159" s="4005">
        <f t="shared" si="220"/>
        <v>4565922.1583333341</v>
      </c>
      <c r="AJ159" s="4005">
        <f t="shared" si="220"/>
        <v>4565922.1583333341</v>
      </c>
      <c r="AK159" s="4005">
        <f t="shared" si="220"/>
        <v>4565922.1583333341</v>
      </c>
      <c r="AL159" s="4005">
        <f t="shared" si="220"/>
        <v>0</v>
      </c>
      <c r="AM159" s="4005">
        <f t="shared" si="220"/>
        <v>0</v>
      </c>
      <c r="AN159" s="4017">
        <f t="shared" si="90"/>
        <v>27685033.183333345</v>
      </c>
      <c r="AO159" s="4041">
        <f t="shared" ref="AO159:AX159" si="221">AO51</f>
        <v>1.5495407744534826</v>
      </c>
      <c r="AP159" s="3008" t="e">
        <f t="shared" si="221"/>
        <v>#REF!</v>
      </c>
      <c r="AQ159" s="3008" t="e">
        <f t="shared" si="221"/>
        <v>#REF!</v>
      </c>
      <c r="AR159" s="3008" t="e">
        <f t="shared" si="221"/>
        <v>#REF!</v>
      </c>
      <c r="AS159" s="3008" t="e">
        <f t="shared" si="221"/>
        <v>#REF!</v>
      </c>
      <c r="AT159" s="3008" t="e">
        <f t="shared" si="221"/>
        <v>#REF!</v>
      </c>
      <c r="AU159" s="3008" t="e">
        <f t="shared" si="221"/>
        <v>#REF!</v>
      </c>
      <c r="AV159" s="4041" t="e">
        <f t="shared" si="221"/>
        <v>#REF!</v>
      </c>
      <c r="AW159" s="5365" t="e">
        <f t="shared" si="221"/>
        <v>#REF!</v>
      </c>
      <c r="AX159" s="3953" t="e">
        <f t="shared" si="221"/>
        <v>#REF!</v>
      </c>
      <c r="AY159" s="5365" t="e">
        <f>AY51</f>
        <v>#REF!</v>
      </c>
      <c r="AZ159" s="3500"/>
      <c r="BA159" s="5378"/>
      <c r="BB159" s="3008">
        <f>BB51</f>
        <v>1211.2261822001085</v>
      </c>
      <c r="BF159" s="7672"/>
      <c r="BG159" s="7664"/>
      <c r="BH159" s="5163" t="s">
        <v>1217</v>
      </c>
      <c r="BI159" s="3356" t="s">
        <v>1435</v>
      </c>
      <c r="BJ159" s="3389">
        <v>141.85</v>
      </c>
      <c r="BK159" s="3389">
        <v>95.483333333333334</v>
      </c>
      <c r="BL159" s="3389">
        <v>81.05</v>
      </c>
      <c r="BM159" s="3389">
        <v>127.65000000000002</v>
      </c>
      <c r="BN159" s="5334">
        <v>24.183333333333334</v>
      </c>
      <c r="BO159" s="6368">
        <v>24</v>
      </c>
      <c r="BP159" s="6440">
        <v>2.4000000000000004</v>
      </c>
      <c r="BQ159" s="6325"/>
      <c r="BR159" s="5365">
        <v>415369.90000000055</v>
      </c>
      <c r="BS159" s="4005">
        <v>41536.989999999452</v>
      </c>
      <c r="BT159" s="4686">
        <v>1.5495407744534826</v>
      </c>
      <c r="BU159" s="4005"/>
      <c r="BV159" s="4005"/>
      <c r="BW159" s="5413"/>
      <c r="BX159" s="3341"/>
    </row>
    <row r="160" spans="1:79" ht="17.45" customHeight="1">
      <c r="A160" s="7672"/>
      <c r="B160" s="7684" t="s">
        <v>1233</v>
      </c>
      <c r="C160" s="7684"/>
      <c r="D160" s="3001" t="s">
        <v>1236</v>
      </c>
      <c r="E160" s="3070">
        <f t="shared" ref="E160:T160" si="222">E62</f>
        <v>16</v>
      </c>
      <c r="F160" s="3070">
        <f t="shared" si="222"/>
        <v>8</v>
      </c>
      <c r="G160" s="5242">
        <f t="shared" si="222"/>
        <v>5</v>
      </c>
      <c r="H160" s="5242">
        <f t="shared" si="222"/>
        <v>9</v>
      </c>
      <c r="I160" s="6133">
        <f>I62</f>
        <v>6</v>
      </c>
      <c r="J160" s="6193">
        <f t="shared" si="222"/>
        <v>5.4</v>
      </c>
      <c r="K160" s="6195">
        <f t="shared" si="222"/>
        <v>0.45</v>
      </c>
      <c r="L160" s="3049">
        <f t="shared" si="222"/>
        <v>0</v>
      </c>
      <c r="M160" s="3049">
        <f t="shared" si="222"/>
        <v>0</v>
      </c>
      <c r="N160" s="3049">
        <f t="shared" si="222"/>
        <v>0</v>
      </c>
      <c r="O160" s="3049">
        <f t="shared" si="222"/>
        <v>0</v>
      </c>
      <c r="P160" s="3049">
        <f t="shared" si="222"/>
        <v>0</v>
      </c>
      <c r="Q160" s="3049">
        <f t="shared" si="222"/>
        <v>0</v>
      </c>
      <c r="R160" s="3049">
        <f t="shared" si="222"/>
        <v>0</v>
      </c>
      <c r="S160" s="3049">
        <f t="shared" si="222"/>
        <v>0</v>
      </c>
      <c r="T160" s="3049">
        <f t="shared" si="222"/>
        <v>0</v>
      </c>
      <c r="U160" s="3049">
        <f>U62</f>
        <v>0</v>
      </c>
      <c r="V160" s="3049">
        <f>V62</f>
        <v>0</v>
      </c>
      <c r="W160" s="3049">
        <f>W62</f>
        <v>0</v>
      </c>
      <c r="X160" s="6599">
        <f>X62</f>
        <v>0</v>
      </c>
      <c r="Y160" s="4041">
        <f t="shared" ref="Y160:AM160" si="223">Y62</f>
        <v>1539425</v>
      </c>
      <c r="Z160" s="4005">
        <f t="shared" si="223"/>
        <v>1282854.1666666667</v>
      </c>
      <c r="AA160" s="3008">
        <f t="shared" si="223"/>
        <v>5.7428374244572113</v>
      </c>
      <c r="AB160" s="4005">
        <f t="shared" si="223"/>
        <v>128285.41666666667</v>
      </c>
      <c r="AC160" s="4005">
        <f t="shared" si="223"/>
        <v>128285.41666666667</v>
      </c>
      <c r="AD160" s="4005">
        <f t="shared" si="223"/>
        <v>128285.41666666667</v>
      </c>
      <c r="AE160" s="4005">
        <f t="shared" si="223"/>
        <v>128285.41666666667</v>
      </c>
      <c r="AF160" s="4005">
        <f t="shared" si="223"/>
        <v>128285.41666666667</v>
      </c>
      <c r="AG160" s="4005">
        <f t="shared" si="223"/>
        <v>128285.41666666667</v>
      </c>
      <c r="AH160" s="4005">
        <f t="shared" si="223"/>
        <v>128285.41666666667</v>
      </c>
      <c r="AI160" s="4005">
        <f t="shared" si="223"/>
        <v>128285.41666666667</v>
      </c>
      <c r="AJ160" s="4005">
        <f t="shared" si="223"/>
        <v>128285.41666666667</v>
      </c>
      <c r="AK160" s="4005">
        <f t="shared" si="223"/>
        <v>128285.41666666667</v>
      </c>
      <c r="AL160" s="4005">
        <f t="shared" si="223"/>
        <v>0</v>
      </c>
      <c r="AM160" s="4005">
        <f t="shared" si="223"/>
        <v>0</v>
      </c>
      <c r="AN160" s="4017">
        <f t="shared" si="90"/>
        <v>1282854.1666666667</v>
      </c>
      <c r="AO160" s="4041">
        <f t="shared" ref="AO160:AX160" si="224">AO62</f>
        <v>5.7428374244572113</v>
      </c>
      <c r="AP160" s="3008" t="e">
        <f t="shared" si="224"/>
        <v>#DIV/0!</v>
      </c>
      <c r="AQ160" s="3008" t="e">
        <f t="shared" si="224"/>
        <v>#DIV/0!</v>
      </c>
      <c r="AR160" s="3008">
        <f t="shared" si="224"/>
        <v>5.612514690957954</v>
      </c>
      <c r="AS160" s="3008" t="e">
        <f t="shared" si="224"/>
        <v>#DIV/0!</v>
      </c>
      <c r="AT160" s="3008" t="e">
        <f t="shared" si="224"/>
        <v>#DIV/0!</v>
      </c>
      <c r="AU160" s="3008" t="e">
        <f t="shared" si="224"/>
        <v>#DIV/0!</v>
      </c>
      <c r="AV160" s="4041" t="e">
        <f t="shared" si="224"/>
        <v>#DIV/0!</v>
      </c>
      <c r="AW160" s="5365" t="e">
        <f t="shared" si="224"/>
        <v>#DIV/0!</v>
      </c>
      <c r="AX160" s="3953" t="e">
        <f t="shared" si="224"/>
        <v>#DIV/0!</v>
      </c>
      <c r="AY160" s="5365" t="e">
        <f>AY62</f>
        <v>#DIV/0!</v>
      </c>
      <c r="AZ160" s="3500"/>
      <c r="BA160" s="5378"/>
      <c r="BB160" s="3008">
        <f>BB62</f>
        <v>56.125146909579541</v>
      </c>
      <c r="BF160" s="7672"/>
      <c r="BG160" s="7658" t="s">
        <v>1233</v>
      </c>
      <c r="BH160" s="7658"/>
      <c r="BI160" s="5239" t="s">
        <v>1434</v>
      </c>
      <c r="BJ160" s="4697">
        <v>16</v>
      </c>
      <c r="BK160" s="4697">
        <v>8</v>
      </c>
      <c r="BL160" s="4697">
        <v>5</v>
      </c>
      <c r="BM160" s="4697">
        <v>9</v>
      </c>
      <c r="BN160" s="5334">
        <v>6</v>
      </c>
      <c r="BO160" s="6368">
        <v>5.4</v>
      </c>
      <c r="BP160" s="6440">
        <v>0.45</v>
      </c>
      <c r="BQ160" s="6318"/>
      <c r="BR160" s="5365">
        <v>1539425</v>
      </c>
      <c r="BS160" s="4005">
        <v>1282854.1666666667</v>
      </c>
      <c r="BT160" s="4686">
        <v>5.7428374244572113</v>
      </c>
      <c r="BU160" s="4005"/>
      <c r="BV160" s="4005"/>
      <c r="BW160" s="5413"/>
      <c r="BX160" s="3341"/>
    </row>
    <row r="161" spans="1:79" ht="18" customHeight="1" thickBot="1">
      <c r="A161" s="7672"/>
      <c r="B161" s="7684" t="s">
        <v>1234</v>
      </c>
      <c r="C161" s="7684"/>
      <c r="D161" s="3001" t="s">
        <v>1237</v>
      </c>
      <c r="E161" s="3070">
        <f t="shared" ref="E161:T161" si="225">E68</f>
        <v>431</v>
      </c>
      <c r="F161" s="3070">
        <f t="shared" si="225"/>
        <v>104</v>
      </c>
      <c r="G161" s="5242">
        <f t="shared" si="225"/>
        <v>122</v>
      </c>
      <c r="H161" s="2822">
        <f t="shared" si="225"/>
        <v>68.194000000000003</v>
      </c>
      <c r="I161" s="6134">
        <f>I68</f>
        <v>72.98</v>
      </c>
      <c r="J161" s="6196">
        <f t="shared" si="225"/>
        <v>65.682000000000002</v>
      </c>
      <c r="K161" s="6197">
        <f t="shared" si="225"/>
        <v>5.4735000000000005</v>
      </c>
      <c r="L161" s="3049">
        <f t="shared" si="225"/>
        <v>0</v>
      </c>
      <c r="M161" s="3049">
        <f t="shared" si="225"/>
        <v>0</v>
      </c>
      <c r="N161" s="3049">
        <f t="shared" si="225"/>
        <v>0</v>
      </c>
      <c r="O161" s="3049">
        <f t="shared" si="225"/>
        <v>0</v>
      </c>
      <c r="P161" s="3049">
        <f t="shared" si="225"/>
        <v>0</v>
      </c>
      <c r="Q161" s="3049">
        <f t="shared" si="225"/>
        <v>0</v>
      </c>
      <c r="R161" s="3049">
        <f t="shared" si="225"/>
        <v>0</v>
      </c>
      <c r="S161" s="3049">
        <f t="shared" si="225"/>
        <v>0</v>
      </c>
      <c r="T161" s="3049">
        <f t="shared" si="225"/>
        <v>0</v>
      </c>
      <c r="U161" s="3049">
        <f>U68</f>
        <v>0</v>
      </c>
      <c r="V161" s="3049">
        <f>V68</f>
        <v>0</v>
      </c>
      <c r="W161" s="3049">
        <f>W68</f>
        <v>0</v>
      </c>
      <c r="X161" s="6599">
        <f>X68</f>
        <v>0</v>
      </c>
      <c r="Y161" s="4041">
        <f t="shared" ref="Y161:AM161" si="226">Y68</f>
        <v>249736.39999999991</v>
      </c>
      <c r="Z161" s="4005">
        <f t="shared" si="226"/>
        <v>20811.366666666658</v>
      </c>
      <c r="AA161" s="3008">
        <f t="shared" si="226"/>
        <v>0.93164366186674585</v>
      </c>
      <c r="AB161" s="4005">
        <f t="shared" si="226"/>
        <v>20811.366666666658</v>
      </c>
      <c r="AC161" s="4005">
        <f t="shared" si="226"/>
        <v>20811.366666666658</v>
      </c>
      <c r="AD161" s="4005">
        <f t="shared" si="226"/>
        <v>20811.366666666658</v>
      </c>
      <c r="AE161" s="4005">
        <f t="shared" si="226"/>
        <v>20811.366666666658</v>
      </c>
      <c r="AF161" s="4005">
        <f t="shared" si="226"/>
        <v>20811.366666666658</v>
      </c>
      <c r="AG161" s="4005">
        <f t="shared" si="226"/>
        <v>20811.366666666658</v>
      </c>
      <c r="AH161" s="4005">
        <f t="shared" si="226"/>
        <v>20811.366666666658</v>
      </c>
      <c r="AI161" s="4005">
        <f t="shared" si="226"/>
        <v>20811.366666666658</v>
      </c>
      <c r="AJ161" s="4005">
        <f t="shared" si="226"/>
        <v>20811.366666666658</v>
      </c>
      <c r="AK161" s="4005">
        <f t="shared" si="226"/>
        <v>20811.366666666658</v>
      </c>
      <c r="AL161" s="4005">
        <f t="shared" si="226"/>
        <v>0</v>
      </c>
      <c r="AM161" s="4005">
        <f t="shared" si="226"/>
        <v>0</v>
      </c>
      <c r="AN161" s="4017">
        <f t="shared" si="90"/>
        <v>208113.6666666666</v>
      </c>
      <c r="AO161" s="4041">
        <f t="shared" ref="AO161:AX161" si="227">AO68</f>
        <v>0.93164366186674585</v>
      </c>
      <c r="AP161" s="3008" t="e">
        <f t="shared" si="227"/>
        <v>#DIV/0!</v>
      </c>
      <c r="AQ161" s="3008" t="e">
        <f t="shared" si="227"/>
        <v>#DIV/0!</v>
      </c>
      <c r="AR161" s="3008">
        <f t="shared" si="227"/>
        <v>0.91050178726924091</v>
      </c>
      <c r="AS161" s="3008" t="e">
        <f t="shared" si="227"/>
        <v>#DIV/0!</v>
      </c>
      <c r="AT161" s="3008" t="e">
        <f t="shared" si="227"/>
        <v>#DIV/0!</v>
      </c>
      <c r="AU161" s="3008" t="e">
        <f t="shared" si="227"/>
        <v>#DIV/0!</v>
      </c>
      <c r="AV161" s="4041" t="e">
        <f t="shared" si="227"/>
        <v>#DIV/0!</v>
      </c>
      <c r="AW161" s="5365" t="e">
        <f t="shared" si="227"/>
        <v>#DIV/0!</v>
      </c>
      <c r="AX161" s="3953" t="e">
        <f t="shared" si="227"/>
        <v>#DIV/0!</v>
      </c>
      <c r="AY161" s="5365" t="e">
        <f>AY68</f>
        <v>#DIV/0!</v>
      </c>
      <c r="AZ161" s="3500"/>
      <c r="BA161" s="5378"/>
      <c r="BB161" s="3008">
        <f>BB68</f>
        <v>9.1050178726924109</v>
      </c>
      <c r="BF161" s="7672"/>
      <c r="BG161" s="7658" t="s">
        <v>1234</v>
      </c>
      <c r="BH161" s="7658"/>
      <c r="BI161" s="5239" t="s">
        <v>1390</v>
      </c>
      <c r="BJ161" s="4697">
        <v>431</v>
      </c>
      <c r="BK161" s="4697">
        <v>104</v>
      </c>
      <c r="BL161" s="4697">
        <v>122</v>
      </c>
      <c r="BM161" s="4697">
        <v>68.194000000000003</v>
      </c>
      <c r="BN161" s="5334">
        <v>61.72</v>
      </c>
      <c r="BO161" s="6372">
        <v>55.548000000000002</v>
      </c>
      <c r="BP161" s="6373">
        <v>4.6290000000000004</v>
      </c>
      <c r="BQ161" s="6325"/>
      <c r="BR161" s="5365">
        <v>249736.39999999991</v>
      </c>
      <c r="BS161" s="4005">
        <v>20811.366666666658</v>
      </c>
      <c r="BT161" s="4686">
        <v>0.93164366186674585</v>
      </c>
      <c r="BU161" s="4008"/>
      <c r="BV161" s="4008"/>
      <c r="BW161" s="5414"/>
      <c r="BX161" s="3341"/>
    </row>
    <row r="162" spans="1:79" s="286" customFormat="1" ht="18" customHeight="1" thickBot="1">
      <c r="A162" s="7672"/>
      <c r="B162" s="7673" t="s">
        <v>1352</v>
      </c>
      <c r="C162" s="7674"/>
      <c r="D162" s="7674"/>
      <c r="E162" s="7674"/>
      <c r="F162" s="7674"/>
      <c r="G162" s="7674"/>
      <c r="H162" s="7674"/>
      <c r="I162" s="7675"/>
      <c r="J162" s="7676"/>
      <c r="K162" s="5425"/>
      <c r="L162" s="3834"/>
      <c r="M162" s="4177"/>
      <c r="N162" s="4177"/>
      <c r="O162" s="4177"/>
      <c r="P162" s="4640"/>
      <c r="Q162" s="4177"/>
      <c r="R162" s="4177"/>
      <c r="S162" s="5022"/>
      <c r="T162" s="5082"/>
      <c r="U162" s="5185"/>
      <c r="V162" s="5185"/>
      <c r="W162" s="5185"/>
      <c r="X162" s="5185"/>
      <c r="Y162" s="4036">
        <f t="shared" ref="Y162:AF162" si="228">Y152+Y157+Y159+Y160+Y161</f>
        <v>100349868.52811018</v>
      </c>
      <c r="Z162" s="3039">
        <f t="shared" si="228"/>
        <v>11159736.246144351</v>
      </c>
      <c r="AA162" s="3040">
        <f t="shared" si="228"/>
        <v>374.35599689662826</v>
      </c>
      <c r="AB162" s="3039" t="e">
        <f t="shared" si="228"/>
        <v>#DIV/0!</v>
      </c>
      <c r="AC162" s="3039" t="e">
        <f t="shared" si="228"/>
        <v>#DIV/0!</v>
      </c>
      <c r="AD162" s="3039">
        <f t="shared" si="228"/>
        <v>-61729656.655586861</v>
      </c>
      <c r="AE162" s="3039" t="e">
        <f t="shared" si="228"/>
        <v>#DIV/0!</v>
      </c>
      <c r="AF162" s="3039" t="e">
        <f t="shared" si="228"/>
        <v>#DIV/0!</v>
      </c>
      <c r="AG162" s="3039" t="e">
        <f t="shared" ref="AG162:AM162" si="229">AG152+AG157+AG159+AG160+AG161</f>
        <v>#DIV/0!</v>
      </c>
      <c r="AH162" s="3039" t="e">
        <f t="shared" si="229"/>
        <v>#DIV/0!</v>
      </c>
      <c r="AI162" s="3039" t="e">
        <f t="shared" si="229"/>
        <v>#DIV/0!</v>
      </c>
      <c r="AJ162" s="3039" t="e">
        <f t="shared" si="229"/>
        <v>#DIV/0!</v>
      </c>
      <c r="AK162" s="3039" t="e">
        <f t="shared" si="229"/>
        <v>#DIV/0!</v>
      </c>
      <c r="AL162" s="3039">
        <f t="shared" si="229"/>
        <v>0</v>
      </c>
      <c r="AM162" s="3039">
        <f t="shared" si="229"/>
        <v>0</v>
      </c>
      <c r="AN162" s="5399" t="e">
        <f t="shared" si="90"/>
        <v>#DIV/0!</v>
      </c>
      <c r="AO162" s="4036">
        <f>AO152+AO157+AO159+AO160+AO161</f>
        <v>374.35599689662826</v>
      </c>
      <c r="AP162" s="3040" t="e">
        <f>AB162/년간!F10</f>
        <v>#DIV/0!</v>
      </c>
      <c r="AQ162" s="3040" t="e">
        <f>AC162/년간!G10</f>
        <v>#DIV/0!</v>
      </c>
      <c r="AR162" s="3040">
        <f>AD162/년간!H10</f>
        <v>-2700.6858133181286</v>
      </c>
      <c r="AS162" s="3040" t="e">
        <f>AE162/년간!I10</f>
        <v>#DIV/0!</v>
      </c>
      <c r="AT162" s="3040" t="e">
        <f>AF162/년간!J10</f>
        <v>#DIV/0!</v>
      </c>
      <c r="AU162" s="3040" t="e">
        <f>AG162/년간!K10</f>
        <v>#DIV/0!</v>
      </c>
      <c r="AV162" s="4036" t="e">
        <f>AH162/년간!L10</f>
        <v>#DIV/0!</v>
      </c>
      <c r="AW162" s="5451" t="e">
        <f>AI162/년간!M10</f>
        <v>#DIV/0!</v>
      </c>
      <c r="AX162" s="5225" t="e">
        <f>AJ162/년간!N10</f>
        <v>#DIV/0!</v>
      </c>
      <c r="AY162" s="5451" t="e">
        <f>AK162/년간!O10</f>
        <v>#DIV/0!</v>
      </c>
      <c r="AZ162" s="5367"/>
      <c r="BA162" s="5379"/>
      <c r="BB162" s="3040" t="e">
        <f>AN162/년간!V10</f>
        <v>#DIV/0!</v>
      </c>
      <c r="BF162" s="7672"/>
      <c r="BG162" s="7673" t="s">
        <v>1352</v>
      </c>
      <c r="BH162" s="7674"/>
      <c r="BI162" s="7674"/>
      <c r="BJ162" s="7674"/>
      <c r="BK162" s="7674"/>
      <c r="BL162" s="7674"/>
      <c r="BM162" s="7674"/>
      <c r="BN162" s="7674"/>
      <c r="BO162" s="7674"/>
      <c r="BP162" s="7674"/>
      <c r="BQ162" s="7674"/>
      <c r="BR162" s="5451">
        <v>162315266.76143634</v>
      </c>
      <c r="BS162" s="3039">
        <v>17356276.06947697</v>
      </c>
      <c r="BT162" s="5207">
        <v>605.51841662850234</v>
      </c>
      <c r="BU162" s="4036"/>
      <c r="BV162" s="3039"/>
      <c r="BW162" s="5410"/>
      <c r="BX162" s="3341"/>
    </row>
    <row r="163" spans="1:79" s="286" customFormat="1" ht="17.45" customHeight="1">
      <c r="A163" s="7672"/>
      <c r="B163" s="7654" t="s">
        <v>1392</v>
      </c>
      <c r="C163" s="7655"/>
      <c r="D163" s="2802" t="s">
        <v>1394</v>
      </c>
      <c r="E163" s="2933">
        <f t="shared" ref="E163:T163" si="230">E74</f>
        <v>39.166384432747506</v>
      </c>
      <c r="F163" s="2933">
        <f t="shared" si="230"/>
        <v>39.29</v>
      </c>
      <c r="G163" s="3002">
        <f t="shared" si="230"/>
        <v>39.056847287531163</v>
      </c>
      <c r="H163" s="3336">
        <f t="shared" si="230"/>
        <v>39.078220717254119</v>
      </c>
      <c r="I163" s="3336">
        <f>I74</f>
        <v>39.517993080100453</v>
      </c>
      <c r="J163" s="6198">
        <f t="shared" si="230"/>
        <v>40.049999999999997</v>
      </c>
      <c r="K163" s="6199">
        <f t="shared" si="230"/>
        <v>40.049999999999997</v>
      </c>
      <c r="L163" s="3003">
        <f t="shared" si="230"/>
        <v>0</v>
      </c>
      <c r="M163" s="3003">
        <f t="shared" si="230"/>
        <v>0</v>
      </c>
      <c r="N163" s="3003">
        <f t="shared" si="230"/>
        <v>37.159860185335717</v>
      </c>
      <c r="O163" s="3003" t="e">
        <f t="shared" si="230"/>
        <v>#DIV/0!</v>
      </c>
      <c r="P163" s="3003" t="e">
        <f t="shared" si="230"/>
        <v>#DIV/0!</v>
      </c>
      <c r="Q163" s="3003" t="e">
        <f t="shared" si="230"/>
        <v>#DIV/0!</v>
      </c>
      <c r="R163" s="3003" t="e">
        <f t="shared" si="230"/>
        <v>#DIV/0!</v>
      </c>
      <c r="S163" s="3003" t="e">
        <f t="shared" si="230"/>
        <v>#DIV/0!</v>
      </c>
      <c r="T163" s="3003" t="e">
        <f t="shared" si="230"/>
        <v>#DIV/0!</v>
      </c>
      <c r="U163" s="3003" t="e">
        <f>U74</f>
        <v>#DIV/0!</v>
      </c>
      <c r="V163" s="3003" t="e">
        <f>V74</f>
        <v>#DIV/0!</v>
      </c>
      <c r="W163" s="3003" t="e">
        <f>W74</f>
        <v>#DIV/0!</v>
      </c>
      <c r="X163" s="6601">
        <f>X74</f>
        <v>37.159860185335717</v>
      </c>
      <c r="Y163" s="4047">
        <f t="shared" ref="Y163:AM163" si="231">Y74</f>
        <v>204033928.47362828</v>
      </c>
      <c r="Z163" s="2824">
        <f t="shared" si="231"/>
        <v>20403392.847362828</v>
      </c>
      <c r="AA163" s="3009">
        <f t="shared" si="231"/>
        <v>761.15022186685178</v>
      </c>
      <c r="AB163" s="2824" t="e">
        <f t="shared" si="231"/>
        <v>#DIV/0!</v>
      </c>
      <c r="AC163" s="2824" t="e">
        <f t="shared" si="231"/>
        <v>#DIV/0!</v>
      </c>
      <c r="AD163" s="2824">
        <f t="shared" si="231"/>
        <v>-82985424.98418653</v>
      </c>
      <c r="AE163" s="2824" t="e">
        <f t="shared" si="231"/>
        <v>#DIV/0!</v>
      </c>
      <c r="AF163" s="2824" t="e">
        <f t="shared" si="231"/>
        <v>#DIV/0!</v>
      </c>
      <c r="AG163" s="2824" t="e">
        <f t="shared" si="231"/>
        <v>#DIV/0!</v>
      </c>
      <c r="AH163" s="2824" t="e">
        <f t="shared" si="231"/>
        <v>#DIV/0!</v>
      </c>
      <c r="AI163" s="2824" t="e">
        <f t="shared" si="231"/>
        <v>#DIV/0!</v>
      </c>
      <c r="AJ163" s="2824" t="e">
        <f t="shared" si="231"/>
        <v>#DIV/0!</v>
      </c>
      <c r="AK163" s="2824" t="e">
        <f t="shared" si="231"/>
        <v>#DIV/0!</v>
      </c>
      <c r="AL163" s="2824">
        <f t="shared" si="231"/>
        <v>0</v>
      </c>
      <c r="AM163" s="2824">
        <f t="shared" si="231"/>
        <v>0</v>
      </c>
      <c r="AN163" s="4017" t="e">
        <f t="shared" si="90"/>
        <v>#DIV/0!</v>
      </c>
      <c r="AO163" s="4047">
        <f t="shared" ref="AO163:AX163" si="232">AO74</f>
        <v>761.15022186685178</v>
      </c>
      <c r="AP163" s="3009" t="e">
        <f t="shared" si="232"/>
        <v>#DIV/0!</v>
      </c>
      <c r="AQ163" s="3009" t="e">
        <f t="shared" si="232"/>
        <v>#DIV/0!</v>
      </c>
      <c r="AR163" s="3009">
        <f t="shared" si="232"/>
        <v>-3630.6302692951153</v>
      </c>
      <c r="AS163" s="3009" t="e">
        <f t="shared" si="232"/>
        <v>#DIV/0!</v>
      </c>
      <c r="AT163" s="3009" t="e">
        <f t="shared" si="232"/>
        <v>#DIV/0!</v>
      </c>
      <c r="AU163" s="3009" t="e">
        <f t="shared" si="232"/>
        <v>#DIV/0!</v>
      </c>
      <c r="AV163" s="4047" t="e">
        <f t="shared" si="232"/>
        <v>#DIV/0!</v>
      </c>
      <c r="AW163" s="5458" t="e">
        <f t="shared" si="232"/>
        <v>#DIV/0!</v>
      </c>
      <c r="AX163" s="5233" t="e">
        <f t="shared" si="232"/>
        <v>#DIV/0!</v>
      </c>
      <c r="AY163" s="5458" t="e">
        <f>AY74</f>
        <v>#DIV/0!</v>
      </c>
      <c r="AZ163" s="5372"/>
      <c r="BA163" s="4132"/>
      <c r="BB163" s="3009" t="e">
        <f>BB74</f>
        <v>#DIV/0!</v>
      </c>
      <c r="BF163" s="7672"/>
      <c r="BG163" s="7654" t="s">
        <v>1392</v>
      </c>
      <c r="BH163" s="7655"/>
      <c r="BI163" s="2802" t="s">
        <v>1393</v>
      </c>
      <c r="BJ163" s="2933">
        <v>39.166384432747506</v>
      </c>
      <c r="BK163" s="2933">
        <v>39.29</v>
      </c>
      <c r="BL163" s="2933">
        <v>39.056847287531163</v>
      </c>
      <c r="BM163" s="3077">
        <v>39.078220717254119</v>
      </c>
      <c r="BN163" s="3002">
        <v>39.618417436875419</v>
      </c>
      <c r="BO163" s="6376">
        <v>40.049999999999997</v>
      </c>
      <c r="BP163" s="6377">
        <v>40.049999999999997</v>
      </c>
      <c r="BQ163" s="6342"/>
      <c r="BR163" s="5458">
        <v>165099879.94673961</v>
      </c>
      <c r="BS163" s="2824">
        <v>16509987.994673962</v>
      </c>
      <c r="BT163" s="5208">
        <v>615.90643865828406</v>
      </c>
      <c r="BU163" s="2824"/>
      <c r="BV163" s="2824"/>
      <c r="BW163" s="5415"/>
      <c r="BX163" s="3962"/>
    </row>
    <row r="164" spans="1:79" s="286" customFormat="1" ht="18" customHeight="1" thickBot="1">
      <c r="A164" s="7672"/>
      <c r="B164" s="7684" t="s">
        <v>1288</v>
      </c>
      <c r="C164" s="3000" t="s">
        <v>451</v>
      </c>
      <c r="D164" s="3001" t="s">
        <v>1293</v>
      </c>
      <c r="E164" s="3018">
        <v>19.101947616711083</v>
      </c>
      <c r="F164" s="3018">
        <v>20.55</v>
      </c>
      <c r="G164" s="3042">
        <v>20.22</v>
      </c>
      <c r="H164" s="5243">
        <f>H79</f>
        <v>19.778588486790369</v>
      </c>
      <c r="I164" s="5243">
        <f>I79</f>
        <v>19.756643880855766</v>
      </c>
      <c r="J164" s="6157">
        <f t="shared" ref="J164:T164" si="233">J79</f>
        <v>19.03</v>
      </c>
      <c r="K164" s="6158">
        <f t="shared" si="233"/>
        <v>19.03</v>
      </c>
      <c r="L164" s="3051">
        <f t="shared" si="233"/>
        <v>0</v>
      </c>
      <c r="M164" s="3051">
        <f t="shared" si="233"/>
        <v>0</v>
      </c>
      <c r="N164" s="3051">
        <f t="shared" si="233"/>
        <v>20.529526364536427</v>
      </c>
      <c r="O164" s="3051">
        <f t="shared" si="233"/>
        <v>0</v>
      </c>
      <c r="P164" s="3051">
        <f t="shared" si="233"/>
        <v>0</v>
      </c>
      <c r="Q164" s="3051">
        <f t="shared" si="233"/>
        <v>0</v>
      </c>
      <c r="R164" s="3051">
        <f t="shared" si="233"/>
        <v>0</v>
      </c>
      <c r="S164" s="3051">
        <f t="shared" si="233"/>
        <v>0</v>
      </c>
      <c r="T164" s="3051">
        <f t="shared" si="233"/>
        <v>0</v>
      </c>
      <c r="U164" s="3051">
        <f>U79</f>
        <v>0</v>
      </c>
      <c r="V164" s="3051">
        <f>V79</f>
        <v>0</v>
      </c>
      <c r="W164" s="3051">
        <f>W79</f>
        <v>0</v>
      </c>
      <c r="X164" s="6597">
        <f>X79</f>
        <v>2.0529526364536426</v>
      </c>
      <c r="Y164" s="4041">
        <f t="shared" ref="Y164:AM164" si="234">Y79</f>
        <v>98229651.233517557</v>
      </c>
      <c r="Z164" s="4005">
        <f t="shared" si="234"/>
        <v>9822965.1233517565</v>
      </c>
      <c r="AA164" s="3008">
        <f t="shared" si="234"/>
        <v>366.44650911556204</v>
      </c>
      <c r="AB164" s="4005">
        <f t="shared" si="234"/>
        <v>0</v>
      </c>
      <c r="AC164" s="4005">
        <f t="shared" si="234"/>
        <v>0</v>
      </c>
      <c r="AD164" s="4005">
        <f t="shared" si="234"/>
        <v>-8908861.9898803309</v>
      </c>
      <c r="AE164" s="4005">
        <f t="shared" si="234"/>
        <v>0</v>
      </c>
      <c r="AF164" s="4005">
        <f t="shared" si="234"/>
        <v>0</v>
      </c>
      <c r="AG164" s="4005">
        <f t="shared" si="234"/>
        <v>0</v>
      </c>
      <c r="AH164" s="4005">
        <f t="shared" si="234"/>
        <v>0</v>
      </c>
      <c r="AI164" s="4005">
        <f t="shared" si="234"/>
        <v>0</v>
      </c>
      <c r="AJ164" s="4005">
        <f t="shared" si="234"/>
        <v>0</v>
      </c>
      <c r="AK164" s="4005">
        <f t="shared" si="234"/>
        <v>0</v>
      </c>
      <c r="AL164" s="4005">
        <f t="shared" si="234"/>
        <v>0</v>
      </c>
      <c r="AM164" s="4005">
        <f t="shared" si="234"/>
        <v>0</v>
      </c>
      <c r="AN164" s="4017">
        <f t="shared" si="90"/>
        <v>-8908861.9898803309</v>
      </c>
      <c r="AO164" s="4041">
        <f t="shared" ref="AO164:AX164" si="235">AO79</f>
        <v>366.44650911556204</v>
      </c>
      <c r="AP164" s="3008" t="e">
        <f t="shared" si="235"/>
        <v>#DIV/0!</v>
      </c>
      <c r="AQ164" s="3008" t="e">
        <f t="shared" si="235"/>
        <v>#DIV/0!</v>
      </c>
      <c r="AR164" s="3008">
        <f t="shared" si="235"/>
        <v>-389.7646365201573</v>
      </c>
      <c r="AS164" s="3008" t="e">
        <f t="shared" si="235"/>
        <v>#DIV/0!</v>
      </c>
      <c r="AT164" s="3008" t="e">
        <f t="shared" si="235"/>
        <v>#DIV/0!</v>
      </c>
      <c r="AU164" s="3008" t="e">
        <f t="shared" si="235"/>
        <v>#DIV/0!</v>
      </c>
      <c r="AV164" s="4041" t="e">
        <f t="shared" si="235"/>
        <v>#DIV/0!</v>
      </c>
      <c r="AW164" s="5365" t="e">
        <f t="shared" si="235"/>
        <v>#DIV/0!</v>
      </c>
      <c r="AX164" s="3953" t="e">
        <f t="shared" si="235"/>
        <v>#DIV/0!</v>
      </c>
      <c r="AY164" s="5365" t="e">
        <f>AY79</f>
        <v>#DIV/0!</v>
      </c>
      <c r="AZ164" s="3500"/>
      <c r="BA164" s="5378"/>
      <c r="BB164" s="3008">
        <f>BB79</f>
        <v>-389.7646365201573</v>
      </c>
      <c r="BF164" s="7672"/>
      <c r="BG164" s="7658" t="s">
        <v>1288</v>
      </c>
      <c r="BH164" s="5159" t="s">
        <v>451</v>
      </c>
      <c r="BI164" s="5239" t="s">
        <v>1293</v>
      </c>
      <c r="BJ164" s="5240">
        <v>19.101947616711083</v>
      </c>
      <c r="BK164" s="5240">
        <v>20.55</v>
      </c>
      <c r="BL164" s="5240">
        <v>20.22</v>
      </c>
      <c r="BM164" s="5240">
        <v>19.778588486790369</v>
      </c>
      <c r="BN164" s="6151">
        <v>19.756643880855766</v>
      </c>
      <c r="BO164" s="6378">
        <v>19.03</v>
      </c>
      <c r="BP164" s="5568">
        <v>19.03</v>
      </c>
      <c r="BQ164" s="6338"/>
      <c r="BR164" s="5365">
        <v>117651934.22726302</v>
      </c>
      <c r="BS164" s="4005">
        <v>11765193.422726301</v>
      </c>
      <c r="BT164" s="4686">
        <v>438.90149305104461</v>
      </c>
      <c r="BU164" s="4005"/>
      <c r="BV164" s="4005"/>
      <c r="BW164" s="5413"/>
      <c r="BX164" s="3341"/>
    </row>
    <row r="165" spans="1:79" s="286" customFormat="1" ht="17.45" customHeight="1">
      <c r="A165" s="7672"/>
      <c r="B165" s="7681"/>
      <c r="C165" s="2888" t="s">
        <v>1292</v>
      </c>
      <c r="D165" s="2797" t="s">
        <v>315</v>
      </c>
      <c r="E165" s="2804">
        <v>81.21731478694231</v>
      </c>
      <c r="F165" s="2804">
        <v>85.08</v>
      </c>
      <c r="G165" s="2807">
        <v>82.8</v>
      </c>
      <c r="H165" s="5244">
        <f>H85</f>
        <v>82.462816674231007</v>
      </c>
      <c r="I165" s="5244">
        <f>I85</f>
        <v>75.174145548344455</v>
      </c>
      <c r="J165" s="6213">
        <f t="shared" ref="J165:T165" si="236">J85</f>
        <v>82.8</v>
      </c>
      <c r="K165" s="6214">
        <f t="shared" si="236"/>
        <v>82.8</v>
      </c>
      <c r="L165" s="3052">
        <f t="shared" si="236"/>
        <v>0</v>
      </c>
      <c r="M165" s="3052">
        <f t="shared" si="236"/>
        <v>0</v>
      </c>
      <c r="N165" s="3052">
        <f t="shared" si="236"/>
        <v>111.11981740409844</v>
      </c>
      <c r="O165" s="3052">
        <f t="shared" si="236"/>
        <v>0</v>
      </c>
      <c r="P165" s="3052">
        <f t="shared" si="236"/>
        <v>0</v>
      </c>
      <c r="Q165" s="3052">
        <f t="shared" si="236"/>
        <v>0</v>
      </c>
      <c r="R165" s="3052">
        <f t="shared" si="236"/>
        <v>0</v>
      </c>
      <c r="S165" s="3052">
        <f t="shared" si="236"/>
        <v>0</v>
      </c>
      <c r="T165" s="3052">
        <f t="shared" si="236"/>
        <v>0</v>
      </c>
      <c r="U165" s="3052">
        <f>U85</f>
        <v>0</v>
      </c>
      <c r="V165" s="3052">
        <f>V85</f>
        <v>0</v>
      </c>
      <c r="W165" s="3052">
        <f>W85</f>
        <v>0</v>
      </c>
      <c r="X165" s="6609">
        <f>X85</f>
        <v>11.111981740409844</v>
      </c>
      <c r="Y165" s="4051">
        <f t="shared" ref="Y165:AM165" si="237">Y85</f>
        <v>-224860519.87418631</v>
      </c>
      <c r="Z165" s="4008">
        <f t="shared" si="237"/>
        <v>-22486051.987418629</v>
      </c>
      <c r="AA165" s="4028">
        <f t="shared" si="237"/>
        <v>-838.84398968210962</v>
      </c>
      <c r="AB165" s="4008">
        <f t="shared" si="237"/>
        <v>0</v>
      </c>
      <c r="AC165" s="4008">
        <f t="shared" si="237"/>
        <v>0</v>
      </c>
      <c r="AD165" s="4008">
        <f t="shared" si="237"/>
        <v>-90377242.997483686</v>
      </c>
      <c r="AE165" s="4008">
        <f t="shared" si="237"/>
        <v>0</v>
      </c>
      <c r="AF165" s="4008">
        <f t="shared" si="237"/>
        <v>0</v>
      </c>
      <c r="AG165" s="4008">
        <f t="shared" si="237"/>
        <v>0</v>
      </c>
      <c r="AH165" s="4008">
        <f t="shared" si="237"/>
        <v>0</v>
      </c>
      <c r="AI165" s="4008">
        <f t="shared" si="237"/>
        <v>0</v>
      </c>
      <c r="AJ165" s="4008">
        <f t="shared" si="237"/>
        <v>0</v>
      </c>
      <c r="AK165" s="4008">
        <f t="shared" si="237"/>
        <v>0</v>
      </c>
      <c r="AL165" s="4008">
        <f t="shared" si="237"/>
        <v>0</v>
      </c>
      <c r="AM165" s="4008">
        <f t="shared" si="237"/>
        <v>0</v>
      </c>
      <c r="AN165" s="4017">
        <f t="shared" si="90"/>
        <v>-90377242.997483686</v>
      </c>
      <c r="AO165" s="4051">
        <f t="shared" ref="AO165:AX165" si="238">AO85</f>
        <v>-838.84398968210962</v>
      </c>
      <c r="AP165" s="4028" t="e">
        <f t="shared" si="238"/>
        <v>#DIV/0!</v>
      </c>
      <c r="AQ165" s="4028" t="e">
        <f t="shared" si="238"/>
        <v>#DIV/0!</v>
      </c>
      <c r="AR165" s="4028">
        <f t="shared" si="238"/>
        <v>-3954.0239041329382</v>
      </c>
      <c r="AS165" s="4028" t="e">
        <f t="shared" si="238"/>
        <v>#DIV/0!</v>
      </c>
      <c r="AT165" s="4028" t="e">
        <f t="shared" si="238"/>
        <v>#DIV/0!</v>
      </c>
      <c r="AU165" s="4028" t="e">
        <f t="shared" si="238"/>
        <v>#DIV/0!</v>
      </c>
      <c r="AV165" s="4051" t="e">
        <f t="shared" si="238"/>
        <v>#DIV/0!</v>
      </c>
      <c r="AW165" s="5461" t="e">
        <f t="shared" si="238"/>
        <v>#DIV/0!</v>
      </c>
      <c r="AX165" s="5224" t="e">
        <f t="shared" si="238"/>
        <v>#DIV/0!</v>
      </c>
      <c r="AY165" s="5461" t="e">
        <f>AY85</f>
        <v>#DIV/0!</v>
      </c>
      <c r="AZ165" s="3500"/>
      <c r="BA165" s="5378"/>
      <c r="BB165" s="4028">
        <f>BB85</f>
        <v>-3954.0239041329382</v>
      </c>
      <c r="BF165" s="7672"/>
      <c r="BG165" s="7661"/>
      <c r="BH165" s="5157" t="s">
        <v>1292</v>
      </c>
      <c r="BI165" s="3085" t="s">
        <v>315</v>
      </c>
      <c r="BJ165" s="5241">
        <v>81.21731478694231</v>
      </c>
      <c r="BK165" s="5241">
        <v>85.08</v>
      </c>
      <c r="BL165" s="5241">
        <v>82.8</v>
      </c>
      <c r="BM165" s="5241">
        <v>82.462816674231007</v>
      </c>
      <c r="BN165" s="6411">
        <v>75.174145548344455</v>
      </c>
      <c r="BO165" s="6379">
        <v>82.8</v>
      </c>
      <c r="BP165" s="6380">
        <v>82.8</v>
      </c>
      <c r="BQ165" s="6343"/>
      <c r="BR165" s="5461">
        <v>-207205387.20022675</v>
      </c>
      <c r="BS165" s="4008">
        <v>-20720538.720022675</v>
      </c>
      <c r="BT165" s="5206">
        <v>-772.98137432002818</v>
      </c>
      <c r="BU165" s="4008"/>
      <c r="BV165" s="4008"/>
      <c r="BW165" s="5413"/>
      <c r="BX165" s="7769" t="s">
        <v>1839</v>
      </c>
      <c r="BY165" s="7775" t="s">
        <v>1701</v>
      </c>
      <c r="BZ165" s="7778" t="s">
        <v>1838</v>
      </c>
      <c r="CA165" s="7781" t="s">
        <v>1700</v>
      </c>
    </row>
    <row r="166" spans="1:79" s="286" customFormat="1" ht="17.45" customHeight="1">
      <c r="A166" s="7672"/>
      <c r="B166" s="7684" t="s">
        <v>1287</v>
      </c>
      <c r="C166" s="3000" t="s">
        <v>1289</v>
      </c>
      <c r="D166" s="3001" t="s">
        <v>1117</v>
      </c>
      <c r="E166" s="3018">
        <v>102.28</v>
      </c>
      <c r="F166" s="3018">
        <v>101.81</v>
      </c>
      <c r="G166" s="3042">
        <v>101.58</v>
      </c>
      <c r="H166" s="5243">
        <f>H91</f>
        <v>99.984010721754942</v>
      </c>
      <c r="I166" s="5243">
        <f>I91</f>
        <v>100.3372491265694</v>
      </c>
      <c r="J166" s="6157">
        <f t="shared" ref="J166:T166" si="239">J91</f>
        <v>99.99</v>
      </c>
      <c r="K166" s="6158">
        <f t="shared" si="239"/>
        <v>99.99</v>
      </c>
      <c r="L166" s="3051">
        <f t="shared" si="239"/>
        <v>0</v>
      </c>
      <c r="M166" s="3051">
        <f t="shared" si="239"/>
        <v>0</v>
      </c>
      <c r="N166" s="3051">
        <f t="shared" si="239"/>
        <v>101.0991167</v>
      </c>
      <c r="O166" s="3051">
        <f t="shared" si="239"/>
        <v>0</v>
      </c>
      <c r="P166" s="3051">
        <f t="shared" si="239"/>
        <v>0</v>
      </c>
      <c r="Q166" s="3051">
        <f t="shared" si="239"/>
        <v>0</v>
      </c>
      <c r="R166" s="3051">
        <f t="shared" si="239"/>
        <v>0</v>
      </c>
      <c r="S166" s="3051">
        <f t="shared" si="239"/>
        <v>0</v>
      </c>
      <c r="T166" s="3051">
        <f t="shared" si="239"/>
        <v>0</v>
      </c>
      <c r="U166" s="3051">
        <f t="shared" ref="U166:Z167" si="240">U91</f>
        <v>0</v>
      </c>
      <c r="V166" s="3051">
        <f t="shared" si="240"/>
        <v>0</v>
      </c>
      <c r="W166" s="3051">
        <f t="shared" si="240"/>
        <v>0</v>
      </c>
      <c r="X166" s="6597">
        <f t="shared" si="240"/>
        <v>10.109911669999999</v>
      </c>
      <c r="Y166" s="4041">
        <f t="shared" si="240"/>
        <v>98833201.385992154</v>
      </c>
      <c r="Z166" s="4005">
        <f t="shared" si="240"/>
        <v>9883320.1385992151</v>
      </c>
      <c r="AA166" s="3008">
        <f>Y166/년간!E10</f>
        <v>368.69805784522924</v>
      </c>
      <c r="AB166" s="4005">
        <f t="shared" ref="AB166:AM166" si="241">AB91</f>
        <v>0</v>
      </c>
      <c r="AC166" s="4005">
        <f t="shared" si="241"/>
        <v>0</v>
      </c>
      <c r="AD166" s="4005">
        <f t="shared" si="241"/>
        <v>-18489662.154162198</v>
      </c>
      <c r="AE166" s="4005">
        <f t="shared" si="241"/>
        <v>0</v>
      </c>
      <c r="AF166" s="4005">
        <f t="shared" si="241"/>
        <v>0</v>
      </c>
      <c r="AG166" s="4005">
        <f t="shared" si="241"/>
        <v>0</v>
      </c>
      <c r="AH166" s="4005">
        <f t="shared" si="241"/>
        <v>0</v>
      </c>
      <c r="AI166" s="4005">
        <f t="shared" si="241"/>
        <v>0</v>
      </c>
      <c r="AJ166" s="4005">
        <f t="shared" si="241"/>
        <v>0</v>
      </c>
      <c r="AK166" s="4005">
        <f t="shared" si="241"/>
        <v>0</v>
      </c>
      <c r="AL166" s="4005">
        <f t="shared" si="241"/>
        <v>0</v>
      </c>
      <c r="AM166" s="4005">
        <f t="shared" si="241"/>
        <v>0</v>
      </c>
      <c r="AN166" s="4017">
        <f t="shared" si="90"/>
        <v>-18489662.154162198</v>
      </c>
      <c r="AO166" s="4041">
        <f>AO91</f>
        <v>368.69805784522924</v>
      </c>
      <c r="AP166" s="3008" t="e">
        <f>AB166/년간!F10</f>
        <v>#DIV/0!</v>
      </c>
      <c r="AQ166" s="3008" t="e">
        <f>AC166/년간!G10</f>
        <v>#DIV/0!</v>
      </c>
      <c r="AR166" s="3008">
        <f>AD166/년간!H10</f>
        <v>-808.92671332024327</v>
      </c>
      <c r="AS166" s="3008" t="e">
        <f>AE166/년간!I10</f>
        <v>#DIV/0!</v>
      </c>
      <c r="AT166" s="3008" t="e">
        <f>AF166/년간!J10</f>
        <v>#DIV/0!</v>
      </c>
      <c r="AU166" s="3008" t="e">
        <f>AG166/년간!K10</f>
        <v>#DIV/0!</v>
      </c>
      <c r="AV166" s="4041" t="e">
        <f>AH166/년간!L10</f>
        <v>#DIV/0!</v>
      </c>
      <c r="AW166" s="5365" t="e">
        <f>AI166/년간!M10</f>
        <v>#DIV/0!</v>
      </c>
      <c r="AX166" s="3953" t="e">
        <f>AJ166/년간!N10</f>
        <v>#DIV/0!</v>
      </c>
      <c r="AY166" s="5365" t="e">
        <f>AK166/년간!O10</f>
        <v>#DIV/0!</v>
      </c>
      <c r="AZ166" s="5365"/>
      <c r="BA166" s="4005"/>
      <c r="BB166" s="3008">
        <f>AN166/년간!V10</f>
        <v>-808.92671332024327</v>
      </c>
      <c r="BC166" s="286" t="s">
        <v>1355</v>
      </c>
      <c r="BF166" s="7672"/>
      <c r="BG166" s="7658" t="s">
        <v>1287</v>
      </c>
      <c r="BH166" s="5159" t="s">
        <v>1289</v>
      </c>
      <c r="BI166" s="5239" t="s">
        <v>1117</v>
      </c>
      <c r="BJ166" s="5240">
        <v>102.28</v>
      </c>
      <c r="BK166" s="5240">
        <v>101.81</v>
      </c>
      <c r="BL166" s="5240">
        <v>101.58</v>
      </c>
      <c r="BM166" s="5240">
        <v>99.984010721754942</v>
      </c>
      <c r="BN166" s="6151">
        <v>100.3372491265694</v>
      </c>
      <c r="BO166" s="6378">
        <v>99.99</v>
      </c>
      <c r="BP166" s="5568">
        <v>99.99</v>
      </c>
      <c r="BQ166" s="6338"/>
      <c r="BR166" s="5365">
        <v>98777896.677315369</v>
      </c>
      <c r="BS166" s="4005">
        <v>9877789.6677315366</v>
      </c>
      <c r="BT166" s="4686">
        <v>368.49174318180769</v>
      </c>
      <c r="BU166" s="4005"/>
      <c r="BV166" s="4005"/>
      <c r="BW166" s="5413"/>
      <c r="BX166" s="7770"/>
      <c r="BY166" s="7776"/>
      <c r="BZ166" s="7779"/>
      <c r="CA166" s="7782"/>
    </row>
    <row r="167" spans="1:79" s="286" customFormat="1" ht="17.45" customHeight="1">
      <c r="A167" s="7672"/>
      <c r="B167" s="7681"/>
      <c r="C167" s="2888" t="s">
        <v>1291</v>
      </c>
      <c r="D167" s="2797" t="s">
        <v>317</v>
      </c>
      <c r="E167" s="2804">
        <v>5.35</v>
      </c>
      <c r="F167" s="2804">
        <v>4.5</v>
      </c>
      <c r="G167" s="2807">
        <v>4.18</v>
      </c>
      <c r="H167" s="5244">
        <f>H92</f>
        <v>4.1374715776825299</v>
      </c>
      <c r="I167" s="5244">
        <f>I92</f>
        <v>4.275902450111003</v>
      </c>
      <c r="J167" s="6213">
        <f t="shared" ref="J167:T167" si="242">J92</f>
        <v>3.5</v>
      </c>
      <c r="K167" s="6214">
        <f t="shared" si="242"/>
        <v>3.5</v>
      </c>
      <c r="L167" s="3052">
        <f t="shared" si="242"/>
        <v>0</v>
      </c>
      <c r="M167" s="3052">
        <f t="shared" si="242"/>
        <v>0</v>
      </c>
      <c r="N167" s="3052">
        <f t="shared" si="242"/>
        <v>2.1656356928262332</v>
      </c>
      <c r="O167" s="3052">
        <f t="shared" si="242"/>
        <v>0</v>
      </c>
      <c r="P167" s="3052">
        <f t="shared" si="242"/>
        <v>0</v>
      </c>
      <c r="Q167" s="3052">
        <f t="shared" si="242"/>
        <v>0</v>
      </c>
      <c r="R167" s="3052">
        <f t="shared" si="242"/>
        <v>0</v>
      </c>
      <c r="S167" s="3052">
        <f t="shared" si="242"/>
        <v>0</v>
      </c>
      <c r="T167" s="3052">
        <f t="shared" si="242"/>
        <v>0</v>
      </c>
      <c r="U167" s="3052">
        <f t="shared" si="240"/>
        <v>0</v>
      </c>
      <c r="V167" s="3052">
        <f t="shared" si="240"/>
        <v>0</v>
      </c>
      <c r="W167" s="3052">
        <f t="shared" si="240"/>
        <v>0</v>
      </c>
      <c r="X167" s="6609">
        <f t="shared" si="240"/>
        <v>0.21656356928262332</v>
      </c>
      <c r="Y167" s="4051">
        <f t="shared" si="240"/>
        <v>134287301.44119063</v>
      </c>
      <c r="Z167" s="4008">
        <f t="shared" si="240"/>
        <v>13428730.144119063</v>
      </c>
      <c r="AA167" s="4028">
        <f>Y167/년간!E10</f>
        <v>500.95986510926895</v>
      </c>
      <c r="AB167" s="4008">
        <f t="shared" ref="AB167:AM167" si="243">AB92</f>
        <v>0</v>
      </c>
      <c r="AC167" s="4008">
        <f t="shared" si="243"/>
        <v>0</v>
      </c>
      <c r="AD167" s="4008">
        <f t="shared" si="243"/>
        <v>31142463.634638514</v>
      </c>
      <c r="AE167" s="4008">
        <f t="shared" si="243"/>
        <v>0</v>
      </c>
      <c r="AF167" s="4008">
        <f t="shared" si="243"/>
        <v>0</v>
      </c>
      <c r="AG167" s="4008">
        <f t="shared" si="243"/>
        <v>0</v>
      </c>
      <c r="AH167" s="4008">
        <f t="shared" si="243"/>
        <v>0</v>
      </c>
      <c r="AI167" s="4008">
        <f t="shared" si="243"/>
        <v>0</v>
      </c>
      <c r="AJ167" s="4008">
        <f t="shared" si="243"/>
        <v>0</v>
      </c>
      <c r="AK167" s="4008">
        <f t="shared" si="243"/>
        <v>0</v>
      </c>
      <c r="AL167" s="4008">
        <f t="shared" si="243"/>
        <v>0</v>
      </c>
      <c r="AM167" s="4008">
        <f t="shared" si="243"/>
        <v>0</v>
      </c>
      <c r="AN167" s="4017">
        <f t="shared" si="90"/>
        <v>31142463.634638514</v>
      </c>
      <c r="AO167" s="4051">
        <f>AO92</f>
        <v>500.95986510926895</v>
      </c>
      <c r="AP167" s="4028" t="e">
        <f>AB167/년간!F10</f>
        <v>#DIV/0!</v>
      </c>
      <c r="AQ167" s="4028" t="e">
        <f>AC167/년간!G10</f>
        <v>#DIV/0!</v>
      </c>
      <c r="AR167" s="4028">
        <f>AD167/년간!H10</f>
        <v>1362.4895113073972</v>
      </c>
      <c r="AS167" s="4028" t="e">
        <f>AE167/년간!I10</f>
        <v>#DIV/0!</v>
      </c>
      <c r="AT167" s="4028" t="e">
        <f>AF167/년간!J10</f>
        <v>#DIV/0!</v>
      </c>
      <c r="AU167" s="4028" t="e">
        <f>AG167/년간!K10</f>
        <v>#DIV/0!</v>
      </c>
      <c r="AV167" s="4051" t="e">
        <f>AH167/년간!L10</f>
        <v>#DIV/0!</v>
      </c>
      <c r="AW167" s="5461" t="e">
        <f>AI167/년간!M10</f>
        <v>#DIV/0!</v>
      </c>
      <c r="AX167" s="5224" t="e">
        <f>AJ167/년간!N10</f>
        <v>#DIV/0!</v>
      </c>
      <c r="AY167" s="5461" t="e">
        <f>AK167/년간!O10</f>
        <v>#DIV/0!</v>
      </c>
      <c r="AZ167" s="3500"/>
      <c r="BA167" s="5378"/>
      <c r="BB167" s="4028">
        <f>AN167/년간!V10</f>
        <v>1362.4895113073972</v>
      </c>
      <c r="BF167" s="7672"/>
      <c r="BG167" s="7661"/>
      <c r="BH167" s="5157" t="s">
        <v>1291</v>
      </c>
      <c r="BI167" s="3085" t="s">
        <v>317</v>
      </c>
      <c r="BJ167" s="5241">
        <v>5.35</v>
      </c>
      <c r="BK167" s="5241">
        <v>4.5</v>
      </c>
      <c r="BL167" s="5241">
        <v>4.18</v>
      </c>
      <c r="BM167" s="5241">
        <v>4.1374715776825299</v>
      </c>
      <c r="BN167" s="6411">
        <v>4.275902450111003</v>
      </c>
      <c r="BO167" s="6379">
        <v>3.5</v>
      </c>
      <c r="BP167" s="6380">
        <v>3.5</v>
      </c>
      <c r="BQ167" s="6343"/>
      <c r="BR167" s="5461">
        <v>134212157.46142425</v>
      </c>
      <c r="BS167" s="4008">
        <v>13421215.746142425</v>
      </c>
      <c r="BT167" s="5206">
        <v>500.67953988444469</v>
      </c>
      <c r="BU167" s="4008"/>
      <c r="BV167" s="4008"/>
      <c r="BW167" s="5413"/>
      <c r="BX167" s="7770"/>
      <c r="BY167" s="7777"/>
      <c r="BZ167" s="7780"/>
      <c r="CA167" s="7783"/>
    </row>
    <row r="168" spans="1:79" s="286" customFormat="1" ht="18" customHeight="1" thickBot="1">
      <c r="A168" s="7672"/>
      <c r="B168" s="7723" t="s">
        <v>1429</v>
      </c>
      <c r="C168" s="7724"/>
      <c r="D168" s="1668" t="s">
        <v>700</v>
      </c>
      <c r="E168" s="3019">
        <f t="shared" ref="E168:T168" si="244">E98</f>
        <v>6617.8326432033155</v>
      </c>
      <c r="F168" s="3019">
        <f t="shared" si="244"/>
        <v>7820</v>
      </c>
      <c r="G168" s="3043">
        <f t="shared" si="244"/>
        <v>5759</v>
      </c>
      <c r="H168" s="6229">
        <f t="shared" si="244"/>
        <v>6270.6033332895695</v>
      </c>
      <c r="I168" s="6229">
        <f>I98</f>
        <v>5681.7422428610062</v>
      </c>
      <c r="J168" s="6215">
        <f t="shared" si="244"/>
        <v>5512</v>
      </c>
      <c r="K168" s="6216">
        <f t="shared" si="244"/>
        <v>5512</v>
      </c>
      <c r="L168" s="3053">
        <f t="shared" si="244"/>
        <v>0</v>
      </c>
      <c r="M168" s="3053">
        <f t="shared" si="244"/>
        <v>0</v>
      </c>
      <c r="N168" s="3053">
        <f t="shared" si="244"/>
        <v>6935.3027055571092</v>
      </c>
      <c r="O168" s="3053">
        <f t="shared" si="244"/>
        <v>0</v>
      </c>
      <c r="P168" s="3053">
        <f t="shared" si="244"/>
        <v>0</v>
      </c>
      <c r="Q168" s="3053">
        <f t="shared" si="244"/>
        <v>0</v>
      </c>
      <c r="R168" s="3053">
        <f t="shared" si="244"/>
        <v>0</v>
      </c>
      <c r="S168" s="3053">
        <f t="shared" si="244"/>
        <v>0</v>
      </c>
      <c r="T168" s="3053">
        <f t="shared" si="244"/>
        <v>0</v>
      </c>
      <c r="U168" s="3053">
        <f>U98</f>
        <v>0</v>
      </c>
      <c r="V168" s="3053">
        <f>V98</f>
        <v>0</v>
      </c>
      <c r="W168" s="3053">
        <f>W98</f>
        <v>0</v>
      </c>
      <c r="X168" s="6610">
        <f>X98</f>
        <v>693.5302705557109</v>
      </c>
      <c r="Y168" s="4049">
        <f t="shared" ref="Y168:AM168" si="245">Y98</f>
        <v>45475644.284892164</v>
      </c>
      <c r="Z168" s="4575">
        <f t="shared" si="245"/>
        <v>4547564.4284892166</v>
      </c>
      <c r="AA168" s="3010">
        <f t="shared" si="245"/>
        <v>169.64725913934254</v>
      </c>
      <c r="AB168" s="4575">
        <f t="shared" si="245"/>
        <v>0</v>
      </c>
      <c r="AC168" s="4575">
        <f t="shared" si="245"/>
        <v>0</v>
      </c>
      <c r="AD168" s="4575">
        <f t="shared" si="245"/>
        <v>-28652669.102658708</v>
      </c>
      <c r="AE168" s="4575">
        <f t="shared" si="245"/>
        <v>0</v>
      </c>
      <c r="AF168" s="4575">
        <f t="shared" si="245"/>
        <v>0</v>
      </c>
      <c r="AG168" s="4575">
        <f t="shared" si="245"/>
        <v>0</v>
      </c>
      <c r="AH168" s="4575">
        <f t="shared" si="245"/>
        <v>0</v>
      </c>
      <c r="AI168" s="4575">
        <f t="shared" si="245"/>
        <v>0</v>
      </c>
      <c r="AJ168" s="4575">
        <f t="shared" si="245"/>
        <v>0</v>
      </c>
      <c r="AK168" s="4575">
        <f t="shared" si="245"/>
        <v>0</v>
      </c>
      <c r="AL168" s="4575">
        <f t="shared" si="245"/>
        <v>0</v>
      </c>
      <c r="AM168" s="4575">
        <f t="shared" si="245"/>
        <v>0</v>
      </c>
      <c r="AN168" s="4017">
        <f t="shared" si="90"/>
        <v>-28652669.102658708</v>
      </c>
      <c r="AO168" s="4049">
        <f t="shared" ref="AO168:AX168" si="246">AO98</f>
        <v>169.64725913934254</v>
      </c>
      <c r="AP168" s="3010" t="e">
        <f t="shared" si="246"/>
        <v>#DIV/0!</v>
      </c>
      <c r="AQ168" s="3010" t="e">
        <f t="shared" si="246"/>
        <v>#DIV/0!</v>
      </c>
      <c r="AR168" s="3010">
        <f t="shared" si="246"/>
        <v>-1253.5604626961031</v>
      </c>
      <c r="AS168" s="3010" t="e">
        <f t="shared" si="246"/>
        <v>#DIV/0!</v>
      </c>
      <c r="AT168" s="3010" t="e">
        <f t="shared" si="246"/>
        <v>#DIV/0!</v>
      </c>
      <c r="AU168" s="3010" t="e">
        <f t="shared" si="246"/>
        <v>#DIV/0!</v>
      </c>
      <c r="AV168" s="4049" t="e">
        <f t="shared" si="246"/>
        <v>#DIV/0!</v>
      </c>
      <c r="AW168" s="5459" t="e">
        <f t="shared" si="246"/>
        <v>#DIV/0!</v>
      </c>
      <c r="AX168" s="3887" t="e">
        <f t="shared" si="246"/>
        <v>#DIV/0!</v>
      </c>
      <c r="AY168" s="5459" t="e">
        <f>AY98</f>
        <v>#DIV/0!</v>
      </c>
      <c r="AZ168" s="5368"/>
      <c r="BA168" s="4574"/>
      <c r="BB168" s="3010">
        <f>BB98</f>
        <v>-1253.5604626961031</v>
      </c>
      <c r="BF168" s="7672"/>
      <c r="BG168" s="7687" t="s">
        <v>1429</v>
      </c>
      <c r="BH168" s="7688"/>
      <c r="BI168" s="2806" t="s">
        <v>330</v>
      </c>
      <c r="BJ168" s="3020">
        <v>6617.8326432033155</v>
      </c>
      <c r="BK168" s="3020">
        <v>7820</v>
      </c>
      <c r="BL168" s="3020">
        <v>5759</v>
      </c>
      <c r="BM168" s="3020">
        <v>6270.6033332895695</v>
      </c>
      <c r="BN168" s="6229">
        <v>5681.7422428610062</v>
      </c>
      <c r="BO168" s="6381">
        <v>5512</v>
      </c>
      <c r="BP168" s="6382">
        <v>5512</v>
      </c>
      <c r="BQ168" s="6344"/>
      <c r="BR168" s="5462">
        <v>45475644.284892164</v>
      </c>
      <c r="BS168" s="2825">
        <v>4547564.4284892166</v>
      </c>
      <c r="BT168" s="5216">
        <v>169.64725913934254</v>
      </c>
      <c r="BU168" s="4575"/>
      <c r="BV168" s="4575"/>
      <c r="BW168" s="5417"/>
      <c r="BX168" s="4703">
        <v>61008.6414621734</v>
      </c>
      <c r="BY168" s="4703">
        <v>61008.6414621734</v>
      </c>
      <c r="BZ168" s="4709">
        <v>47523.055015177291</v>
      </c>
      <c r="CA168" s="5420">
        <v>57139.105935188898</v>
      </c>
    </row>
    <row r="169" spans="1:79" s="286" customFormat="1" ht="18" customHeight="1" thickBot="1">
      <c r="A169" s="7672"/>
      <c r="B169" s="7673" t="s">
        <v>1981</v>
      </c>
      <c r="C169" s="7674"/>
      <c r="D169" s="7674"/>
      <c r="E169" s="7674"/>
      <c r="F169" s="7674"/>
      <c r="G169" s="7674"/>
      <c r="H169" s="7674"/>
      <c r="I169" s="7674"/>
      <c r="J169" s="7674"/>
      <c r="K169" s="7674"/>
      <c r="L169" s="7674"/>
      <c r="M169" s="7674"/>
      <c r="N169" s="7674"/>
      <c r="O169" s="7674"/>
      <c r="P169" s="7674"/>
      <c r="Q169" s="7674"/>
      <c r="R169" s="7674"/>
      <c r="S169" s="7674"/>
      <c r="T169" s="7674"/>
      <c r="U169" s="7674"/>
      <c r="V169" s="7674"/>
      <c r="W169" s="7674"/>
      <c r="X169" s="7674"/>
      <c r="Y169" s="4050">
        <f>SUM(Y163:Y168)</f>
        <v>355999206.94503444</v>
      </c>
      <c r="Z169" s="2823">
        <f t="shared" ref="Z169:BB169" si="247">SUM(Z163:Z168)</f>
        <v>35599920.694503449</v>
      </c>
      <c r="AA169" s="3012">
        <f t="shared" si="247"/>
        <v>1328.0579233941451</v>
      </c>
      <c r="AB169" s="5232" t="e">
        <f t="shared" si="247"/>
        <v>#DIV/0!</v>
      </c>
      <c r="AC169" s="2823" t="e">
        <f t="shared" si="247"/>
        <v>#DIV/0!</v>
      </c>
      <c r="AD169" s="2823">
        <f t="shared" si="247"/>
        <v>-198271397.59373292</v>
      </c>
      <c r="AE169" s="2823" t="e">
        <f t="shared" si="247"/>
        <v>#DIV/0!</v>
      </c>
      <c r="AF169" s="2823" t="e">
        <f t="shared" si="247"/>
        <v>#DIV/0!</v>
      </c>
      <c r="AG169" s="2823" t="e">
        <f t="shared" si="247"/>
        <v>#DIV/0!</v>
      </c>
      <c r="AH169" s="2823" t="e">
        <f t="shared" si="247"/>
        <v>#DIV/0!</v>
      </c>
      <c r="AI169" s="2823" t="e">
        <f t="shared" si="247"/>
        <v>#DIV/0!</v>
      </c>
      <c r="AJ169" s="2823" t="e">
        <f t="shared" si="247"/>
        <v>#DIV/0!</v>
      </c>
      <c r="AK169" s="2823" t="e">
        <f t="shared" si="247"/>
        <v>#DIV/0!</v>
      </c>
      <c r="AL169" s="2823">
        <f t="shared" si="247"/>
        <v>0</v>
      </c>
      <c r="AM169" s="2823">
        <f t="shared" si="247"/>
        <v>0</v>
      </c>
      <c r="AN169" s="3012" t="e">
        <f t="shared" si="247"/>
        <v>#DIV/0!</v>
      </c>
      <c r="AO169" s="5232">
        <f t="shared" si="247"/>
        <v>1328.0579233941451</v>
      </c>
      <c r="AP169" s="2823" t="e">
        <f t="shared" si="247"/>
        <v>#DIV/0!</v>
      </c>
      <c r="AQ169" s="2823" t="e">
        <f t="shared" si="247"/>
        <v>#DIV/0!</v>
      </c>
      <c r="AR169" s="2823">
        <f t="shared" si="247"/>
        <v>-8674.4164746571587</v>
      </c>
      <c r="AS169" s="2823" t="e">
        <f t="shared" si="247"/>
        <v>#DIV/0!</v>
      </c>
      <c r="AT169" s="2823" t="e">
        <f t="shared" si="247"/>
        <v>#DIV/0!</v>
      </c>
      <c r="AU169" s="2823" t="e">
        <f t="shared" si="247"/>
        <v>#DIV/0!</v>
      </c>
      <c r="AV169" s="2823" t="e">
        <f t="shared" si="247"/>
        <v>#DIV/0!</v>
      </c>
      <c r="AW169" s="2823" t="e">
        <f t="shared" si="247"/>
        <v>#DIV/0!</v>
      </c>
      <c r="AX169" s="2823" t="e">
        <f t="shared" si="247"/>
        <v>#DIV/0!</v>
      </c>
      <c r="AY169" s="2823" t="e">
        <f t="shared" si="247"/>
        <v>#DIV/0!</v>
      </c>
      <c r="AZ169" s="2823">
        <f t="shared" si="247"/>
        <v>0</v>
      </c>
      <c r="BA169" s="2823">
        <f t="shared" si="247"/>
        <v>0</v>
      </c>
      <c r="BB169" s="3012" t="e">
        <f t="shared" si="247"/>
        <v>#DIV/0!</v>
      </c>
      <c r="BC169" s="286" t="e">
        <f>Y169/년간!#REF!</f>
        <v>#REF!</v>
      </c>
      <c r="BF169" s="7672"/>
      <c r="BG169" s="7673" t="s">
        <v>1981</v>
      </c>
      <c r="BH169" s="7674"/>
      <c r="BI169" s="7674"/>
      <c r="BJ169" s="7674"/>
      <c r="BK169" s="7674"/>
      <c r="BL169" s="7674"/>
      <c r="BM169" s="7674"/>
      <c r="BN169" s="7674"/>
      <c r="BO169" s="7674"/>
      <c r="BP169" s="7674"/>
      <c r="BQ169" s="7674"/>
      <c r="BR169" s="5460">
        <v>354012125.39740765</v>
      </c>
      <c r="BS169" s="2823">
        <v>35401212.539740764</v>
      </c>
      <c r="BT169" s="5211">
        <v>1320.6450995948953</v>
      </c>
      <c r="BU169" s="4050"/>
      <c r="BV169" s="2823"/>
      <c r="BW169" s="5411"/>
      <c r="BX169" s="3961"/>
      <c r="BY169" s="3377"/>
      <c r="BZ169" s="5255">
        <f>BY168-BZ168</f>
        <v>13485.586446996109</v>
      </c>
      <c r="CA169" s="5255">
        <f>BY168-CA168</f>
        <v>3869.5355269845022</v>
      </c>
    </row>
    <row r="170" spans="1:79" s="286" customFormat="1" ht="18" customHeight="1" thickBot="1">
      <c r="A170" s="6429"/>
      <c r="B170" s="7673" t="s">
        <v>1984</v>
      </c>
      <c r="C170" s="7674"/>
      <c r="D170" s="7674"/>
      <c r="E170" s="7674"/>
      <c r="F170" s="7674"/>
      <c r="G170" s="7674"/>
      <c r="H170" s="7674"/>
      <c r="I170" s="7674"/>
      <c r="J170" s="7674"/>
      <c r="K170" s="7674"/>
      <c r="L170" s="7674"/>
      <c r="M170" s="7674"/>
      <c r="N170" s="7674"/>
      <c r="O170" s="7674"/>
      <c r="P170" s="7674"/>
      <c r="Q170" s="7674"/>
      <c r="R170" s="7674"/>
      <c r="S170" s="7674"/>
      <c r="T170" s="7674"/>
      <c r="U170" s="7674"/>
      <c r="V170" s="7674"/>
      <c r="W170" s="7674"/>
      <c r="X170" s="7674"/>
      <c r="Y170" s="6569">
        <f>Y162+Y169</f>
        <v>456349075.47314465</v>
      </c>
      <c r="Z170" s="6560">
        <f t="shared" ref="Z170:BB170" si="248">Z162+Z169</f>
        <v>46759656.940647796</v>
      </c>
      <c r="AA170" s="6551">
        <f t="shared" si="248"/>
        <v>1702.4139202907734</v>
      </c>
      <c r="AB170" s="6561" t="e">
        <f t="shared" si="248"/>
        <v>#DIV/0!</v>
      </c>
      <c r="AC170" s="6560" t="e">
        <f t="shared" si="248"/>
        <v>#DIV/0!</v>
      </c>
      <c r="AD170" s="6560">
        <f t="shared" si="248"/>
        <v>-260001054.24931979</v>
      </c>
      <c r="AE170" s="6560" t="e">
        <f t="shared" si="248"/>
        <v>#DIV/0!</v>
      </c>
      <c r="AF170" s="6560" t="e">
        <f t="shared" si="248"/>
        <v>#DIV/0!</v>
      </c>
      <c r="AG170" s="6560" t="e">
        <f t="shared" si="248"/>
        <v>#DIV/0!</v>
      </c>
      <c r="AH170" s="6560" t="e">
        <f t="shared" si="248"/>
        <v>#DIV/0!</v>
      </c>
      <c r="AI170" s="6560" t="e">
        <f t="shared" si="248"/>
        <v>#DIV/0!</v>
      </c>
      <c r="AJ170" s="6560" t="e">
        <f t="shared" si="248"/>
        <v>#DIV/0!</v>
      </c>
      <c r="AK170" s="6560" t="e">
        <f t="shared" si="248"/>
        <v>#DIV/0!</v>
      </c>
      <c r="AL170" s="6560">
        <f t="shared" si="248"/>
        <v>0</v>
      </c>
      <c r="AM170" s="6560">
        <f t="shared" si="248"/>
        <v>0</v>
      </c>
      <c r="AN170" s="6551" t="e">
        <f t="shared" si="248"/>
        <v>#DIV/0!</v>
      </c>
      <c r="AO170" s="6561">
        <f t="shared" si="248"/>
        <v>1702.4139202907734</v>
      </c>
      <c r="AP170" s="6560" t="e">
        <f t="shared" si="248"/>
        <v>#DIV/0!</v>
      </c>
      <c r="AQ170" s="6560" t="e">
        <f t="shared" si="248"/>
        <v>#DIV/0!</v>
      </c>
      <c r="AR170" s="6560">
        <f t="shared" si="248"/>
        <v>-11375.102287975287</v>
      </c>
      <c r="AS170" s="6560" t="e">
        <f t="shared" si="248"/>
        <v>#DIV/0!</v>
      </c>
      <c r="AT170" s="6560" t="e">
        <f t="shared" si="248"/>
        <v>#DIV/0!</v>
      </c>
      <c r="AU170" s="6560" t="e">
        <f t="shared" si="248"/>
        <v>#DIV/0!</v>
      </c>
      <c r="AV170" s="6560" t="e">
        <f t="shared" si="248"/>
        <v>#DIV/0!</v>
      </c>
      <c r="AW170" s="6560" t="e">
        <f t="shared" si="248"/>
        <v>#DIV/0!</v>
      </c>
      <c r="AX170" s="6560" t="e">
        <f t="shared" si="248"/>
        <v>#DIV/0!</v>
      </c>
      <c r="AY170" s="6560" t="e">
        <f t="shared" si="248"/>
        <v>#DIV/0!</v>
      </c>
      <c r="AZ170" s="6560">
        <f t="shared" si="248"/>
        <v>0</v>
      </c>
      <c r="BA170" s="6560">
        <f t="shared" si="248"/>
        <v>0</v>
      </c>
      <c r="BB170" s="6551" t="e">
        <f t="shared" si="248"/>
        <v>#DIV/0!</v>
      </c>
      <c r="BF170" s="6429"/>
      <c r="BG170" s="7673" t="s">
        <v>1985</v>
      </c>
      <c r="BH170" s="7674"/>
      <c r="BI170" s="7674"/>
      <c r="BJ170" s="7674"/>
      <c r="BK170" s="7674"/>
      <c r="BL170" s="7674"/>
      <c r="BM170" s="7674"/>
      <c r="BN170" s="7674"/>
      <c r="BO170" s="7674"/>
      <c r="BP170" s="7674"/>
      <c r="BQ170" s="7674"/>
      <c r="BR170" s="6553">
        <v>516327392.15884399</v>
      </c>
      <c r="BS170" s="6538">
        <v>52757488.609217733</v>
      </c>
      <c r="BT170" s="6537">
        <v>1926.1635162233977</v>
      </c>
      <c r="BU170" s="6554"/>
      <c r="BV170" s="6538"/>
      <c r="BW170" s="6565"/>
      <c r="BX170" s="3961"/>
      <c r="BY170" s="3377"/>
      <c r="BZ170" s="5255"/>
      <c r="CA170" s="5255"/>
    </row>
    <row r="171" spans="1:79" ht="17.45" customHeight="1">
      <c r="A171" s="7671" t="s">
        <v>1240</v>
      </c>
      <c r="B171" s="7689" t="s">
        <v>1160</v>
      </c>
      <c r="C171" s="7689"/>
      <c r="D171" s="2358" t="s">
        <v>448</v>
      </c>
      <c r="E171" s="2263">
        <f t="shared" ref="E171:T171" si="249">E5</f>
        <v>139.78</v>
      </c>
      <c r="F171" s="2261">
        <f t="shared" si="249"/>
        <v>125.91</v>
      </c>
      <c r="G171" s="2262">
        <f t="shared" si="249"/>
        <v>92.647999999999996</v>
      </c>
      <c r="H171" s="6150">
        <f t="shared" si="249"/>
        <v>83.9</v>
      </c>
      <c r="I171" s="6128">
        <f>I5</f>
        <v>60.204000000000008</v>
      </c>
      <c r="J171" s="6153">
        <f t="shared" si="249"/>
        <v>32</v>
      </c>
      <c r="K171" s="6204">
        <f t="shared" si="249"/>
        <v>2.6666666666666665</v>
      </c>
      <c r="L171" s="3048">
        <f t="shared" si="249"/>
        <v>11.54</v>
      </c>
      <c r="M171" s="3048">
        <f t="shared" si="249"/>
        <v>0</v>
      </c>
      <c r="N171" s="3048">
        <f t="shared" si="249"/>
        <v>9.27</v>
      </c>
      <c r="O171" s="3048">
        <f t="shared" si="249"/>
        <v>0</v>
      </c>
      <c r="P171" s="3048">
        <f t="shared" si="249"/>
        <v>0</v>
      </c>
      <c r="Q171" s="3048">
        <f t="shared" si="249"/>
        <v>0</v>
      </c>
      <c r="R171" s="3048">
        <f t="shared" si="249"/>
        <v>0</v>
      </c>
      <c r="S171" s="3048">
        <f t="shared" si="249"/>
        <v>0</v>
      </c>
      <c r="T171" s="3048">
        <f t="shared" si="249"/>
        <v>0</v>
      </c>
      <c r="U171" s="3048">
        <f>U5</f>
        <v>0</v>
      </c>
      <c r="V171" s="3048">
        <f>V5</f>
        <v>0</v>
      </c>
      <c r="W171" s="3048">
        <f>W5</f>
        <v>0</v>
      </c>
      <c r="X171" s="6611">
        <f>X5</f>
        <v>20.81</v>
      </c>
      <c r="Y171" s="4039">
        <f t="shared" ref="Y171:AM171" si="250">Y5</f>
        <v>20504618.244000006</v>
      </c>
      <c r="Z171" s="3068">
        <f t="shared" si="250"/>
        <v>1708718.1870000004</v>
      </c>
      <c r="AA171" s="4017">
        <f t="shared" si="250"/>
        <v>126.53891117117789</v>
      </c>
      <c r="AB171" s="3068">
        <f t="shared" si="250"/>
        <v>-4742292.7529999996</v>
      </c>
      <c r="AC171" s="3068">
        <f t="shared" si="250"/>
        <v>3647414.1870000004</v>
      </c>
      <c r="AD171" s="3068">
        <f t="shared" si="250"/>
        <v>-3091977.7829999994</v>
      </c>
      <c r="AE171" s="3068">
        <f t="shared" si="250"/>
        <v>3647414.1870000004</v>
      </c>
      <c r="AF171" s="3068">
        <f t="shared" si="250"/>
        <v>3647414.1870000004</v>
      </c>
      <c r="AG171" s="3068">
        <f t="shared" si="250"/>
        <v>3647414.1870000004</v>
      </c>
      <c r="AH171" s="3068">
        <f t="shared" si="250"/>
        <v>3647414.1870000004</v>
      </c>
      <c r="AI171" s="3068">
        <f t="shared" si="250"/>
        <v>3647414.1870000004</v>
      </c>
      <c r="AJ171" s="3068">
        <f t="shared" si="250"/>
        <v>3647414.1870000004</v>
      </c>
      <c r="AK171" s="3068">
        <f t="shared" si="250"/>
        <v>3647414.1870000004</v>
      </c>
      <c r="AL171" s="3068">
        <f t="shared" si="250"/>
        <v>0</v>
      </c>
      <c r="AM171" s="3068">
        <f t="shared" si="250"/>
        <v>0</v>
      </c>
      <c r="AN171" s="4017">
        <f t="shared" si="90"/>
        <v>21345042.960000005</v>
      </c>
      <c r="AO171" s="4039">
        <f t="shared" ref="AO171:AX171" si="251">AO5</f>
        <v>126.53891117117789</v>
      </c>
      <c r="AP171" s="3069">
        <f t="shared" si="251"/>
        <v>-382.30268353144606</v>
      </c>
      <c r="AQ171" s="3069">
        <f t="shared" si="251"/>
        <v>305.14276474633448</v>
      </c>
      <c r="AR171" s="3069">
        <f t="shared" si="251"/>
        <v>-237.27680571862692</v>
      </c>
      <c r="AS171" s="3069" t="e">
        <f t="shared" si="251"/>
        <v>#DIV/0!</v>
      </c>
      <c r="AT171" s="3069" t="e">
        <f t="shared" si="251"/>
        <v>#DIV/0!</v>
      </c>
      <c r="AU171" s="3069" t="e">
        <f t="shared" si="251"/>
        <v>#DIV/0!</v>
      </c>
      <c r="AV171" s="4039" t="e">
        <f t="shared" si="251"/>
        <v>#DIV/0!</v>
      </c>
      <c r="AW171" s="5447" t="e">
        <f t="shared" si="251"/>
        <v>#DIV/0!</v>
      </c>
      <c r="AX171" s="5220" t="e">
        <f t="shared" si="251"/>
        <v>#DIV/0!</v>
      </c>
      <c r="AY171" s="5447" t="e">
        <f>AY5</f>
        <v>#DIV/0!</v>
      </c>
      <c r="AZ171" s="5363"/>
      <c r="BA171" s="5376"/>
      <c r="BB171" s="4017">
        <f>BB5</f>
        <v>570.89418940810879</v>
      </c>
      <c r="BF171" s="7671" t="s">
        <v>1240</v>
      </c>
      <c r="BG171" s="7651" t="s">
        <v>1160</v>
      </c>
      <c r="BH171" s="7651"/>
      <c r="BI171" s="3359" t="s">
        <v>1390</v>
      </c>
      <c r="BJ171" s="1839">
        <v>139.78</v>
      </c>
      <c r="BK171" s="1463">
        <v>125.91</v>
      </c>
      <c r="BL171" s="3360">
        <v>92.647999999999996</v>
      </c>
      <c r="BM171" s="3361">
        <v>83.9</v>
      </c>
      <c r="BN171" s="1577">
        <v>56.695679999999989</v>
      </c>
      <c r="BO171" s="6562">
        <v>32</v>
      </c>
      <c r="BP171" s="6563">
        <v>2.6666666666666665</v>
      </c>
      <c r="BQ171" s="6564"/>
      <c r="BR171" s="5448">
        <v>17954031.012479991</v>
      </c>
      <c r="BS171" s="4004">
        <v>1496169.2510399995</v>
      </c>
      <c r="BT171" s="5203">
        <v>110.79862635909203</v>
      </c>
      <c r="BU171" s="4004"/>
      <c r="BV171" s="4004"/>
      <c r="BW171" s="5418"/>
    </row>
    <row r="172" spans="1:79" ht="17.45" customHeight="1">
      <c r="A172" s="7672"/>
      <c r="B172" s="7677" t="s">
        <v>1231</v>
      </c>
      <c r="C172" s="3014" t="s">
        <v>519</v>
      </c>
      <c r="D172" s="3026" t="s">
        <v>317</v>
      </c>
      <c r="E172" s="4924">
        <f t="shared" ref="E172:T172" si="252">E13</f>
        <v>4.9024831787199821</v>
      </c>
      <c r="F172" s="4883">
        <f t="shared" si="252"/>
        <v>1.6164350932909886</v>
      </c>
      <c r="G172" s="4918">
        <f t="shared" si="252"/>
        <v>0.40448129362749535</v>
      </c>
      <c r="H172" s="4058">
        <f t="shared" si="252"/>
        <v>0.23536599392254112</v>
      </c>
      <c r="I172" s="3279">
        <f>I13</f>
        <v>0.30624591959697789</v>
      </c>
      <c r="J172" s="6157">
        <f t="shared" si="252"/>
        <v>0.24244177435479689</v>
      </c>
      <c r="K172" s="6158">
        <f t="shared" si="252"/>
        <v>0.24244177435479689</v>
      </c>
      <c r="L172" s="3051">
        <f t="shared" si="252"/>
        <v>0.21766206754779494</v>
      </c>
      <c r="M172" s="3051">
        <f t="shared" si="252"/>
        <v>0.15895404889426545</v>
      </c>
      <c r="N172" s="3051">
        <f t="shared" si="252"/>
        <v>0.14043327117434445</v>
      </c>
      <c r="O172" s="3051" t="e">
        <f t="shared" si="252"/>
        <v>#DIV/0!</v>
      </c>
      <c r="P172" s="3051" t="e">
        <f t="shared" si="252"/>
        <v>#DIV/0!</v>
      </c>
      <c r="Q172" s="3051" t="e">
        <f t="shared" si="252"/>
        <v>#DIV/0!</v>
      </c>
      <c r="R172" s="3051" t="e">
        <f t="shared" si="252"/>
        <v>#DIV/0!</v>
      </c>
      <c r="S172" s="3051" t="e">
        <f t="shared" si="252"/>
        <v>#DIV/0!</v>
      </c>
      <c r="T172" s="3051" t="e">
        <f t="shared" si="252"/>
        <v>#DIV/0!</v>
      </c>
      <c r="U172" s="3051" t="e">
        <f>U13</f>
        <v>#DIV/0!</v>
      </c>
      <c r="V172" s="3051" t="e">
        <f>V13</f>
        <v>#DIV/0!</v>
      </c>
      <c r="W172" s="3051" t="e">
        <f>W13</f>
        <v>#DIV/0!</v>
      </c>
      <c r="X172" s="6597">
        <f>X13</f>
        <v>0.17197668071098315</v>
      </c>
      <c r="Y172" s="4041">
        <f t="shared" ref="Y172:AM172" si="253">Y13</f>
        <v>7516531.3259877861</v>
      </c>
      <c r="Z172" s="4005">
        <f t="shared" si="253"/>
        <v>626377.61049898225</v>
      </c>
      <c r="AA172" s="3008">
        <f t="shared" si="253"/>
        <v>46.386315436663246</v>
      </c>
      <c r="AB172" s="4005">
        <f t="shared" si="253"/>
        <v>798870.81881901668</v>
      </c>
      <c r="AC172" s="4005">
        <f t="shared" si="253"/>
        <v>1279975.8220508876</v>
      </c>
      <c r="AD172" s="4005">
        <f t="shared" si="253"/>
        <v>1570868.0824125814</v>
      </c>
      <c r="AE172" s="4005" t="e">
        <f t="shared" si="253"/>
        <v>#DIV/0!</v>
      </c>
      <c r="AF172" s="4005" t="e">
        <f t="shared" si="253"/>
        <v>#DIV/0!</v>
      </c>
      <c r="AG172" s="4005" t="e">
        <f t="shared" si="253"/>
        <v>#DIV/0!</v>
      </c>
      <c r="AH172" s="4005" t="e">
        <f t="shared" si="253"/>
        <v>#DIV/0!</v>
      </c>
      <c r="AI172" s="4005" t="e">
        <f t="shared" si="253"/>
        <v>#DIV/0!</v>
      </c>
      <c r="AJ172" s="4005" t="e">
        <f t="shared" si="253"/>
        <v>#DIV/0!</v>
      </c>
      <c r="AK172" s="4005" t="e">
        <f t="shared" si="253"/>
        <v>#DIV/0!</v>
      </c>
      <c r="AL172" s="4005">
        <f t="shared" si="253"/>
        <v>0</v>
      </c>
      <c r="AM172" s="4005">
        <f t="shared" si="253"/>
        <v>0</v>
      </c>
      <c r="AN172" s="4017" t="e">
        <f t="shared" si="90"/>
        <v>#DIV/0!</v>
      </c>
      <c r="AO172" s="4041">
        <f t="shared" ref="AO172:AX172" si="254">AO13</f>
        <v>46.386315436663246</v>
      </c>
      <c r="AP172" s="3008">
        <f t="shared" si="254"/>
        <v>64.401434862128539</v>
      </c>
      <c r="AQ172" s="3008">
        <f t="shared" si="254"/>
        <v>107.08281021144968</v>
      </c>
      <c r="AR172" s="3008">
        <f t="shared" si="254"/>
        <v>120.54761934238716</v>
      </c>
      <c r="AS172" s="3008" t="e">
        <f t="shared" si="254"/>
        <v>#DIV/0!</v>
      </c>
      <c r="AT172" s="3008" t="e">
        <f t="shared" si="254"/>
        <v>#DIV/0!</v>
      </c>
      <c r="AU172" s="3008" t="e">
        <f t="shared" si="254"/>
        <v>#DIV/0!</v>
      </c>
      <c r="AV172" s="4041" t="e">
        <f t="shared" si="254"/>
        <v>#DIV/0!</v>
      </c>
      <c r="AW172" s="5365" t="e">
        <f t="shared" si="254"/>
        <v>#DIV/0!</v>
      </c>
      <c r="AX172" s="3953" t="e">
        <f t="shared" si="254"/>
        <v>#DIV/0!</v>
      </c>
      <c r="AY172" s="5365" t="e">
        <f>AY13</f>
        <v>#DIV/0!</v>
      </c>
      <c r="AZ172" s="3500"/>
      <c r="BA172" s="5378"/>
      <c r="BB172" s="3008" t="e">
        <f>BB13</f>
        <v>#DIV/0!</v>
      </c>
      <c r="BF172" s="7672"/>
      <c r="BG172" s="7761" t="s">
        <v>1231</v>
      </c>
      <c r="BH172" s="5163" t="s">
        <v>519</v>
      </c>
      <c r="BI172" s="4031" t="s">
        <v>317</v>
      </c>
      <c r="BJ172" s="6398">
        <v>4.9024831787199821</v>
      </c>
      <c r="BK172" s="6401">
        <v>1.6164350932909886</v>
      </c>
      <c r="BL172" s="4918">
        <v>0.40448129362749535</v>
      </c>
      <c r="BM172" s="3836">
        <v>0.23536599392254112</v>
      </c>
      <c r="BN172" s="6412">
        <v>0.27494324292030115</v>
      </c>
      <c r="BO172" s="6397">
        <v>0.24244177435479689</v>
      </c>
      <c r="BP172" s="5248">
        <v>0.24244177435479689</v>
      </c>
      <c r="BQ172" s="6322"/>
      <c r="BR172" s="5365">
        <v>3828878.2913075401</v>
      </c>
      <c r="BS172" s="4005">
        <v>319073.19094229501</v>
      </c>
      <c r="BT172" s="4686">
        <v>23.628925163275817</v>
      </c>
      <c r="BU172" s="4005"/>
      <c r="BV172" s="4005"/>
      <c r="BW172" s="5413"/>
    </row>
    <row r="173" spans="1:79" ht="17.45" customHeight="1">
      <c r="A173" s="7672"/>
      <c r="B173" s="7678"/>
      <c r="C173" s="3014" t="s">
        <v>1033</v>
      </c>
      <c r="D173" s="3026" t="s">
        <v>317</v>
      </c>
      <c r="E173" s="4883">
        <f t="shared" ref="E173:T173" si="255">E20</f>
        <v>6.9486644032283227</v>
      </c>
      <c r="F173" s="4883">
        <f t="shared" si="255"/>
        <v>3.3509329098848748</v>
      </c>
      <c r="G173" s="4918">
        <f t="shared" si="255"/>
        <v>3.4277214650782906</v>
      </c>
      <c r="H173" s="4058">
        <f t="shared" si="255"/>
        <v>3.577497104820067</v>
      </c>
      <c r="I173" s="3279">
        <f>I20</f>
        <v>3.1897814731026322</v>
      </c>
      <c r="J173" s="6157">
        <f t="shared" si="255"/>
        <v>2.9686747880179216</v>
      </c>
      <c r="K173" s="6158">
        <f t="shared" si="255"/>
        <v>2.9686747880179212</v>
      </c>
      <c r="L173" s="3051">
        <f t="shared" si="255"/>
        <v>3.3326481008984605</v>
      </c>
      <c r="M173" s="3051">
        <f t="shared" si="255"/>
        <v>3.7814331631688414</v>
      </c>
      <c r="N173" s="3051">
        <f t="shared" si="255"/>
        <v>2.9230072672299348</v>
      </c>
      <c r="O173" s="3051" t="e">
        <f t="shared" si="255"/>
        <v>#DIV/0!</v>
      </c>
      <c r="P173" s="3051" t="e">
        <f t="shared" si="255"/>
        <v>#DIV/0!</v>
      </c>
      <c r="Q173" s="3051" t="e">
        <f t="shared" si="255"/>
        <v>#DIV/0!</v>
      </c>
      <c r="R173" s="3051" t="e">
        <f t="shared" si="255"/>
        <v>#DIV/0!</v>
      </c>
      <c r="S173" s="3051" t="e">
        <f t="shared" si="255"/>
        <v>#DIV/0!</v>
      </c>
      <c r="T173" s="3051" t="e">
        <f t="shared" si="255"/>
        <v>#DIV/0!</v>
      </c>
      <c r="U173" s="3051" t="e">
        <f>U20</f>
        <v>#DIV/0!</v>
      </c>
      <c r="V173" s="3051" t="e">
        <f>V20</f>
        <v>#DIV/0!</v>
      </c>
      <c r="W173" s="3051" t="e">
        <f>W20</f>
        <v>#DIV/0!</v>
      </c>
      <c r="X173" s="6597">
        <f>X20</f>
        <v>3.3333520555225244</v>
      </c>
      <c r="Y173" s="4041">
        <f t="shared" ref="Y173:AM173" si="256">Y20</f>
        <v>26047764.114953186</v>
      </c>
      <c r="Z173" s="4005">
        <f t="shared" si="256"/>
        <v>2170647.0095794364</v>
      </c>
      <c r="AA173" s="3008">
        <f t="shared" si="256"/>
        <v>160.7469922301205</v>
      </c>
      <c r="AB173" s="4005">
        <f t="shared" si="256"/>
        <v>-1288406.1517870941</v>
      </c>
      <c r="AC173" s="4005">
        <f t="shared" si="256"/>
        <v>-5141491.2088990603</v>
      </c>
      <c r="AD173" s="4005">
        <f t="shared" si="256"/>
        <v>2527352.9444402792</v>
      </c>
      <c r="AE173" s="4005" t="e">
        <f t="shared" si="256"/>
        <v>#DIV/0!</v>
      </c>
      <c r="AF173" s="4005" t="e">
        <f t="shared" si="256"/>
        <v>#DIV/0!</v>
      </c>
      <c r="AG173" s="4005" t="e">
        <f t="shared" si="256"/>
        <v>#DIV/0!</v>
      </c>
      <c r="AH173" s="4005" t="e">
        <f t="shared" si="256"/>
        <v>#DIV/0!</v>
      </c>
      <c r="AI173" s="4005" t="e">
        <f t="shared" si="256"/>
        <v>#DIV/0!</v>
      </c>
      <c r="AJ173" s="4005" t="e">
        <f t="shared" si="256"/>
        <v>#DIV/0!</v>
      </c>
      <c r="AK173" s="4005" t="e">
        <f t="shared" si="256"/>
        <v>#DIV/0!</v>
      </c>
      <c r="AL173" s="4005">
        <f t="shared" si="256"/>
        <v>0</v>
      </c>
      <c r="AM173" s="4005">
        <f t="shared" si="256"/>
        <v>0</v>
      </c>
      <c r="AN173" s="4017" t="e">
        <f t="shared" si="90"/>
        <v>#DIV/0!</v>
      </c>
      <c r="AO173" s="4041">
        <f t="shared" ref="AO173:AX173" si="257">AO20</f>
        <v>160.7469922301205</v>
      </c>
      <c r="AP173" s="3008">
        <f t="shared" si="257"/>
        <v>-103.86560994047296</v>
      </c>
      <c r="AQ173" s="3008">
        <f t="shared" si="257"/>
        <v>-430.13728684672486</v>
      </c>
      <c r="AR173" s="3008">
        <f t="shared" si="257"/>
        <v>193.94778218571565</v>
      </c>
      <c r="AS173" s="3008" t="e">
        <f t="shared" si="257"/>
        <v>#DIV/0!</v>
      </c>
      <c r="AT173" s="3008" t="e">
        <f t="shared" si="257"/>
        <v>#DIV/0!</v>
      </c>
      <c r="AU173" s="3008" t="e">
        <f t="shared" si="257"/>
        <v>#DIV/0!</v>
      </c>
      <c r="AV173" s="4041" t="e">
        <f t="shared" si="257"/>
        <v>#DIV/0!</v>
      </c>
      <c r="AW173" s="5365" t="e">
        <f t="shared" si="257"/>
        <v>#DIV/0!</v>
      </c>
      <c r="AX173" s="3953" t="e">
        <f t="shared" si="257"/>
        <v>#DIV/0!</v>
      </c>
      <c r="AY173" s="5365" t="e">
        <f>AY20</f>
        <v>#DIV/0!</v>
      </c>
      <c r="AZ173" s="3500"/>
      <c r="BA173" s="5378"/>
      <c r="BB173" s="3008" t="e">
        <f>BB20</f>
        <v>#DIV/0!</v>
      </c>
      <c r="BF173" s="7672"/>
      <c r="BG173" s="7678"/>
      <c r="BH173" s="5163" t="s">
        <v>1033</v>
      </c>
      <c r="BI173" s="4031" t="s">
        <v>317</v>
      </c>
      <c r="BJ173" s="6398">
        <v>6.9486644032283227</v>
      </c>
      <c r="BK173" s="6401">
        <v>3.3509329098848748</v>
      </c>
      <c r="BL173" s="4918">
        <v>3.4277214650782906</v>
      </c>
      <c r="BM173" s="3836">
        <v>3.577497104820067</v>
      </c>
      <c r="BN173" s="6412">
        <v>3.0639502927470428</v>
      </c>
      <c r="BO173" s="6397">
        <v>2.9686747880179216</v>
      </c>
      <c r="BP173" s="5248">
        <v>2.9686747880179212</v>
      </c>
      <c r="BQ173" s="6322"/>
      <c r="BR173" s="5365">
        <v>11224056.261195628</v>
      </c>
      <c r="BS173" s="4005">
        <v>935338.02176630648</v>
      </c>
      <c r="BT173" s="4686">
        <v>69.266339968623129</v>
      </c>
      <c r="BU173" s="4005"/>
      <c r="BV173" s="4005"/>
      <c r="BW173" s="5413"/>
    </row>
    <row r="174" spans="1:79" ht="17.45" customHeight="1">
      <c r="A174" s="7672"/>
      <c r="B174" s="7678"/>
      <c r="C174" s="3014" t="s">
        <v>1227</v>
      </c>
      <c r="D174" s="3026" t="s">
        <v>317</v>
      </c>
      <c r="E174" s="4920"/>
      <c r="F174" s="4920"/>
      <c r="G174" s="4921"/>
      <c r="H174" s="4058">
        <f t="shared" ref="H174:T174" si="258">H27</f>
        <v>1.3320817617901037</v>
      </c>
      <c r="I174" s="3279">
        <f>I27</f>
        <v>1.4115263569674605</v>
      </c>
      <c r="J174" s="6157">
        <f t="shared" si="258"/>
        <v>0.79164661013811233</v>
      </c>
      <c r="K174" s="6158">
        <f t="shared" si="258"/>
        <v>0.79164661013811222</v>
      </c>
      <c r="L174" s="3051">
        <f t="shared" si="258"/>
        <v>0.66266007231217583</v>
      </c>
      <c r="M174" s="3051">
        <f t="shared" si="258"/>
        <v>1.8003637537918908</v>
      </c>
      <c r="N174" s="3051">
        <f t="shared" si="258"/>
        <v>1.3974261574233948</v>
      </c>
      <c r="O174" s="3051" t="e">
        <f t="shared" si="258"/>
        <v>#DIV/0!</v>
      </c>
      <c r="P174" s="3051" t="e">
        <f t="shared" si="258"/>
        <v>#DIV/0!</v>
      </c>
      <c r="Q174" s="3051" t="e">
        <f t="shared" si="258"/>
        <v>#DIV/0!</v>
      </c>
      <c r="R174" s="3051" t="e">
        <f t="shared" si="258"/>
        <v>#DIV/0!</v>
      </c>
      <c r="S174" s="3051" t="e">
        <f t="shared" si="258"/>
        <v>#DIV/0!</v>
      </c>
      <c r="T174" s="3051" t="e">
        <f t="shared" si="258"/>
        <v>#DIV/0!</v>
      </c>
      <c r="U174" s="3051" t="e">
        <f>U27</f>
        <v>#DIV/0!</v>
      </c>
      <c r="V174" s="3051" t="e">
        <f>V27</f>
        <v>#DIV/0!</v>
      </c>
      <c r="W174" s="3051" t="e">
        <f>W27</f>
        <v>#DIV/0!</v>
      </c>
      <c r="X174" s="6597">
        <f>X27</f>
        <v>1.2824699595787936</v>
      </c>
      <c r="Y174" s="4043">
        <f t="shared" ref="Y174:AM174" si="259">Y27</f>
        <v>73025749.623362646</v>
      </c>
      <c r="Z174" s="4007">
        <f t="shared" si="259"/>
        <v>6085479.1352802208</v>
      </c>
      <c r="AA174" s="4019">
        <f t="shared" si="259"/>
        <v>450.65939462215135</v>
      </c>
      <c r="AB174" s="4007">
        <f t="shared" si="259"/>
        <v>6753459.1030921433</v>
      </c>
      <c r="AC174" s="4007">
        <f t="shared" si="259"/>
        <v>-3379021.9668607409</v>
      </c>
      <c r="AD174" s="4007">
        <f t="shared" si="259"/>
        <v>133581.80832480962</v>
      </c>
      <c r="AE174" s="4007" t="e">
        <f t="shared" si="259"/>
        <v>#DIV/0!</v>
      </c>
      <c r="AF174" s="4007" t="e">
        <f t="shared" si="259"/>
        <v>#DIV/0!</v>
      </c>
      <c r="AG174" s="4007" t="e">
        <f t="shared" si="259"/>
        <v>#DIV/0!</v>
      </c>
      <c r="AH174" s="4007" t="e">
        <f t="shared" si="259"/>
        <v>#DIV/0!</v>
      </c>
      <c r="AI174" s="4007" t="e">
        <f t="shared" si="259"/>
        <v>#DIV/0!</v>
      </c>
      <c r="AJ174" s="4007" t="e">
        <f t="shared" si="259"/>
        <v>#DIV/0!</v>
      </c>
      <c r="AK174" s="4007" t="e">
        <f t="shared" si="259"/>
        <v>#DIV/0!</v>
      </c>
      <c r="AL174" s="4007">
        <f t="shared" si="259"/>
        <v>0</v>
      </c>
      <c r="AM174" s="4007">
        <f t="shared" si="259"/>
        <v>0</v>
      </c>
      <c r="AN174" s="4017" t="e">
        <f t="shared" si="90"/>
        <v>#DIV/0!</v>
      </c>
      <c r="AO174" s="4043">
        <f t="shared" ref="AO174:AX174" si="260">AO27</f>
        <v>450.65939462215135</v>
      </c>
      <c r="AP174" s="4019">
        <f t="shared" si="260"/>
        <v>544.4340264735232</v>
      </c>
      <c r="AQ174" s="4019">
        <f t="shared" si="260"/>
        <v>-282.68906470272589</v>
      </c>
      <c r="AR174" s="4019">
        <f t="shared" si="260"/>
        <v>10.251000170730761</v>
      </c>
      <c r="AS174" s="4019" t="e">
        <f t="shared" si="260"/>
        <v>#DIV/0!</v>
      </c>
      <c r="AT174" s="4019" t="e">
        <f t="shared" si="260"/>
        <v>#DIV/0!</v>
      </c>
      <c r="AU174" s="4019" t="e">
        <f t="shared" si="260"/>
        <v>#DIV/0!</v>
      </c>
      <c r="AV174" s="4043" t="e">
        <f t="shared" si="260"/>
        <v>#DIV/0!</v>
      </c>
      <c r="AW174" s="4979" t="e">
        <f t="shared" si="260"/>
        <v>#DIV/0!</v>
      </c>
      <c r="AX174" s="5223" t="e">
        <f t="shared" si="260"/>
        <v>#DIV/0!</v>
      </c>
      <c r="AY174" s="4979" t="e">
        <f>AY27</f>
        <v>#DIV/0!</v>
      </c>
      <c r="AZ174" s="3544"/>
      <c r="BA174" s="4133"/>
      <c r="BB174" s="4019" t="e">
        <f>BB27</f>
        <v>#DIV/0!</v>
      </c>
      <c r="BF174" s="7672"/>
      <c r="BG174" s="7678"/>
      <c r="BH174" s="5163" t="s">
        <v>1227</v>
      </c>
      <c r="BI174" s="4031" t="s">
        <v>317</v>
      </c>
      <c r="BJ174" s="6399"/>
      <c r="BK174" s="6402"/>
      <c r="BL174" s="4921"/>
      <c r="BM174" s="3836">
        <v>1.3320817617901037</v>
      </c>
      <c r="BN174" s="6412">
        <v>1.0341665670928426</v>
      </c>
      <c r="BO174" s="6397">
        <v>0.79164661013811233</v>
      </c>
      <c r="BP174" s="5248">
        <v>0.79164661013811222</v>
      </c>
      <c r="BQ174" s="6321"/>
      <c r="BR174" s="4979">
        <v>28570382.797359575</v>
      </c>
      <c r="BS174" s="4007">
        <v>2380865.2331132991</v>
      </c>
      <c r="BT174" s="5205">
        <v>176.31467642561543</v>
      </c>
      <c r="BU174" s="4007"/>
      <c r="BV174" s="4007"/>
      <c r="BW174" s="5413"/>
    </row>
    <row r="175" spans="1:79" ht="17.45" customHeight="1">
      <c r="A175" s="7672"/>
      <c r="B175" s="7678"/>
      <c r="C175" s="3014" t="s">
        <v>1228</v>
      </c>
      <c r="D175" s="3026" t="s">
        <v>317</v>
      </c>
      <c r="E175" s="4920"/>
      <c r="F175" s="4920"/>
      <c r="G175" s="4921"/>
      <c r="H175" s="4058">
        <f t="shared" ref="H175:T175" si="261">H34</f>
        <v>0.53508472033932741</v>
      </c>
      <c r="I175" s="3279">
        <f>I34</f>
        <v>0.27723521838479376</v>
      </c>
      <c r="J175" s="6157">
        <f t="shared" si="261"/>
        <v>0.26718073092161287</v>
      </c>
      <c r="K175" s="6158">
        <f t="shared" si="261"/>
        <v>0.26718073092161287</v>
      </c>
      <c r="L175" s="3051">
        <f t="shared" si="261"/>
        <v>0.68684474648415283</v>
      </c>
      <c r="M175" s="3051">
        <f t="shared" si="261"/>
        <v>0</v>
      </c>
      <c r="N175" s="3051">
        <f t="shared" si="261"/>
        <v>0</v>
      </c>
      <c r="O175" s="3051" t="e">
        <f t="shared" si="261"/>
        <v>#DIV/0!</v>
      </c>
      <c r="P175" s="3051" t="e">
        <f t="shared" si="261"/>
        <v>#DIV/0!</v>
      </c>
      <c r="Q175" s="3051" t="e">
        <f t="shared" si="261"/>
        <v>#DIV/0!</v>
      </c>
      <c r="R175" s="3051" t="e">
        <f t="shared" si="261"/>
        <v>#DIV/0!</v>
      </c>
      <c r="S175" s="3051" t="e">
        <f t="shared" si="261"/>
        <v>#DIV/0!</v>
      </c>
      <c r="T175" s="3051" t="e">
        <f t="shared" si="261"/>
        <v>#DIV/0!</v>
      </c>
      <c r="U175" s="3051" t="e">
        <f>U34</f>
        <v>#DIV/0!</v>
      </c>
      <c r="V175" s="3051" t="e">
        <f>V34</f>
        <v>#DIV/0!</v>
      </c>
      <c r="W175" s="3051" t="e">
        <f>W34</f>
        <v>#DIV/0!</v>
      </c>
      <c r="X175" s="6597">
        <f>X34</f>
        <v>0.22787578843819228</v>
      </c>
      <c r="Y175" s="4043">
        <f t="shared" ref="Y175:AM175" si="262">Y34</f>
        <v>1184482.1319506986</v>
      </c>
      <c r="Z175" s="4007">
        <f t="shared" si="262"/>
        <v>98706.844329224885</v>
      </c>
      <c r="AA175" s="4019">
        <f t="shared" si="262"/>
        <v>7.3097229850945959</v>
      </c>
      <c r="AB175" s="4007">
        <f t="shared" si="262"/>
        <v>-3693958.7920282157</v>
      </c>
      <c r="AC175" s="4007">
        <f t="shared" si="262"/>
        <v>2409191.864157639</v>
      </c>
      <c r="AD175" s="4007">
        <f t="shared" si="262"/>
        <v>2626457.9935501977</v>
      </c>
      <c r="AE175" s="4007" t="e">
        <f t="shared" si="262"/>
        <v>#DIV/0!</v>
      </c>
      <c r="AF175" s="4007" t="e">
        <f t="shared" si="262"/>
        <v>#DIV/0!</v>
      </c>
      <c r="AG175" s="4007" t="e">
        <f t="shared" si="262"/>
        <v>#DIV/0!</v>
      </c>
      <c r="AH175" s="4007" t="e">
        <f t="shared" si="262"/>
        <v>#DIV/0!</v>
      </c>
      <c r="AI175" s="4007" t="e">
        <f t="shared" si="262"/>
        <v>#DIV/0!</v>
      </c>
      <c r="AJ175" s="4007" t="e">
        <f t="shared" si="262"/>
        <v>#DIV/0!</v>
      </c>
      <c r="AK175" s="4007" t="e">
        <f t="shared" si="262"/>
        <v>#DIV/0!</v>
      </c>
      <c r="AL175" s="4007">
        <f t="shared" si="262"/>
        <v>0</v>
      </c>
      <c r="AM175" s="4007">
        <f t="shared" si="262"/>
        <v>0</v>
      </c>
      <c r="AN175" s="4017" t="e">
        <f t="shared" si="90"/>
        <v>#DIV/0!</v>
      </c>
      <c r="AO175" s="4043">
        <f t="shared" ref="AO175:AX175" si="263">AO34</f>
        <v>7.3097229850945959</v>
      </c>
      <c r="AP175" s="4019">
        <f t="shared" si="263"/>
        <v>-297.79063263304317</v>
      </c>
      <c r="AQ175" s="4019">
        <f t="shared" si="263"/>
        <v>201.55305335314731</v>
      </c>
      <c r="AR175" s="4019">
        <f t="shared" si="263"/>
        <v>201.55305335314728</v>
      </c>
      <c r="AS175" s="4019" t="e">
        <f t="shared" si="263"/>
        <v>#DIV/0!</v>
      </c>
      <c r="AT175" s="4019" t="e">
        <f t="shared" si="263"/>
        <v>#DIV/0!</v>
      </c>
      <c r="AU175" s="4019" t="e">
        <f t="shared" si="263"/>
        <v>#DIV/0!</v>
      </c>
      <c r="AV175" s="4043" t="e">
        <f t="shared" si="263"/>
        <v>#DIV/0!</v>
      </c>
      <c r="AW175" s="4979" t="e">
        <f t="shared" si="263"/>
        <v>#DIV/0!</v>
      </c>
      <c r="AX175" s="5223" t="e">
        <f t="shared" si="263"/>
        <v>#DIV/0!</v>
      </c>
      <c r="AY175" s="4979" t="e">
        <f>AY34</f>
        <v>#DIV/0!</v>
      </c>
      <c r="AZ175" s="3544"/>
      <c r="BA175" s="4133"/>
      <c r="BB175" s="4019" t="e">
        <f>BB34</f>
        <v>#DIV/0!</v>
      </c>
      <c r="BF175" s="7672"/>
      <c r="BG175" s="7678"/>
      <c r="BH175" s="5163" t="s">
        <v>1228</v>
      </c>
      <c r="BI175" s="4031" t="s">
        <v>317</v>
      </c>
      <c r="BJ175" s="6399"/>
      <c r="BK175" s="6402"/>
      <c r="BL175" s="4921"/>
      <c r="BM175" s="3836">
        <v>0.53508472033932741</v>
      </c>
      <c r="BN175" s="6412">
        <v>0.25200143386306606</v>
      </c>
      <c r="BO175" s="6397">
        <v>0.26718073092161287</v>
      </c>
      <c r="BP175" s="5248">
        <v>0.26718073092161287</v>
      </c>
      <c r="BQ175" s="6321"/>
      <c r="BR175" s="4979">
        <v>-1788217.0729498719</v>
      </c>
      <c r="BS175" s="4007">
        <v>-149018.08941248932</v>
      </c>
      <c r="BT175" s="5205">
        <v>-11.03551593383118</v>
      </c>
      <c r="BU175" s="4007"/>
      <c r="BV175" s="4007"/>
      <c r="BW175" s="5413"/>
    </row>
    <row r="176" spans="1:79" ht="17.45" customHeight="1">
      <c r="A176" s="7672"/>
      <c r="B176" s="7679"/>
      <c r="C176" s="3014" t="s">
        <v>334</v>
      </c>
      <c r="D176" s="3026" t="s">
        <v>317</v>
      </c>
      <c r="E176" s="4922">
        <f>SUM(E172:E175)</f>
        <v>11.851147581948304</v>
      </c>
      <c r="F176" s="4922">
        <f>SUM(F172:F175)</f>
        <v>4.9673680031758636</v>
      </c>
      <c r="G176" s="4533">
        <f>SUM(G172:G175)</f>
        <v>3.8322027587057859</v>
      </c>
      <c r="H176" s="6151">
        <f t="shared" ref="H176:P176" si="264">SUM(H172:H175)</f>
        <v>5.6800295808720387</v>
      </c>
      <c r="I176" s="6130">
        <f>SUM(I172:I175)</f>
        <v>5.1847889680518646</v>
      </c>
      <c r="J176" s="6157">
        <f t="shared" si="264"/>
        <v>4.269943903432444</v>
      </c>
      <c r="K176" s="6158">
        <f t="shared" si="264"/>
        <v>4.2699439034324431</v>
      </c>
      <c r="L176" s="4925">
        <f t="shared" si="264"/>
        <v>4.8998149872425838</v>
      </c>
      <c r="M176" s="4925">
        <f t="shared" si="264"/>
        <v>5.740750965854998</v>
      </c>
      <c r="N176" s="4925">
        <f t="shared" si="264"/>
        <v>4.4608666958276739</v>
      </c>
      <c r="O176" s="4925" t="e">
        <f t="shared" si="264"/>
        <v>#DIV/0!</v>
      </c>
      <c r="P176" s="4925" t="e">
        <f t="shared" si="264"/>
        <v>#DIV/0!</v>
      </c>
      <c r="Q176" s="4925" t="e">
        <f t="shared" ref="Q176:X176" si="265">SUM(Q172:Q175)</f>
        <v>#DIV/0!</v>
      </c>
      <c r="R176" s="4925" t="e">
        <f t="shared" si="265"/>
        <v>#DIV/0!</v>
      </c>
      <c r="S176" s="4925" t="e">
        <f t="shared" si="265"/>
        <v>#DIV/0!</v>
      </c>
      <c r="T176" s="4925" t="e">
        <f t="shared" si="265"/>
        <v>#DIV/0!</v>
      </c>
      <c r="U176" s="4925" t="e">
        <f t="shared" si="265"/>
        <v>#DIV/0!</v>
      </c>
      <c r="V176" s="4925" t="e">
        <f t="shared" si="265"/>
        <v>#DIV/0!</v>
      </c>
      <c r="W176" s="4925" t="e">
        <f t="shared" si="265"/>
        <v>#DIV/0!</v>
      </c>
      <c r="X176" s="6597">
        <f t="shared" si="265"/>
        <v>5.0156744842504928</v>
      </c>
      <c r="Y176" s="4043">
        <f t="shared" ref="Y176:AF176" si="266">SUM(Y172:Y175)</f>
        <v>107774527.19625431</v>
      </c>
      <c r="Z176" s="4007">
        <f t="shared" si="266"/>
        <v>8981210.599687865</v>
      </c>
      <c r="AA176" s="4019">
        <f t="shared" si="266"/>
        <v>665.10242527402966</v>
      </c>
      <c r="AB176" s="4007">
        <f t="shared" si="266"/>
        <v>2569964.97809585</v>
      </c>
      <c r="AC176" s="4007">
        <f t="shared" si="266"/>
        <v>-4831345.4895512741</v>
      </c>
      <c r="AD176" s="4007">
        <f t="shared" si="266"/>
        <v>6858260.8287278675</v>
      </c>
      <c r="AE176" s="4007" t="e">
        <f t="shared" si="266"/>
        <v>#DIV/0!</v>
      </c>
      <c r="AF176" s="4007" t="e">
        <f t="shared" si="266"/>
        <v>#DIV/0!</v>
      </c>
      <c r="AG176" s="4007" t="e">
        <f t="shared" ref="AG176:AM176" si="267">SUM(AG172:AG175)</f>
        <v>#DIV/0!</v>
      </c>
      <c r="AH176" s="4007" t="e">
        <f t="shared" si="267"/>
        <v>#DIV/0!</v>
      </c>
      <c r="AI176" s="4007" t="e">
        <f t="shared" si="267"/>
        <v>#DIV/0!</v>
      </c>
      <c r="AJ176" s="4007" t="e">
        <f t="shared" si="267"/>
        <v>#DIV/0!</v>
      </c>
      <c r="AK176" s="4007" t="e">
        <f t="shared" si="267"/>
        <v>#DIV/0!</v>
      </c>
      <c r="AL176" s="4007">
        <f t="shared" si="267"/>
        <v>0</v>
      </c>
      <c r="AM176" s="4007">
        <f t="shared" si="267"/>
        <v>0</v>
      </c>
      <c r="AN176" s="4017" t="e">
        <f t="shared" si="90"/>
        <v>#DIV/0!</v>
      </c>
      <c r="AO176" s="4043">
        <f t="shared" ref="AO176:AT176" si="268">SUM(AO172:AO175)</f>
        <v>665.10242527402966</v>
      </c>
      <c r="AP176" s="4019">
        <f t="shared" si="268"/>
        <v>207.17921876213563</v>
      </c>
      <c r="AQ176" s="4019">
        <f t="shared" si="268"/>
        <v>-404.19048798485369</v>
      </c>
      <c r="AR176" s="4019">
        <f t="shared" si="268"/>
        <v>526.29945505198089</v>
      </c>
      <c r="AS176" s="4019" t="e">
        <f t="shared" si="268"/>
        <v>#DIV/0!</v>
      </c>
      <c r="AT176" s="4019" t="e">
        <f t="shared" si="268"/>
        <v>#DIV/0!</v>
      </c>
      <c r="AU176" s="4019" t="e">
        <f>SUM(AU172:AU175)</f>
        <v>#DIV/0!</v>
      </c>
      <c r="AV176" s="4043" t="e">
        <f>SUM(AV172:AV175)</f>
        <v>#DIV/0!</v>
      </c>
      <c r="AW176" s="4979" t="e">
        <f>SUM(AW172:AW175)</f>
        <v>#DIV/0!</v>
      </c>
      <c r="AX176" s="5223" t="e">
        <f>SUM(AX172:AX175)</f>
        <v>#DIV/0!</v>
      </c>
      <c r="AY176" s="4979" t="e">
        <f>SUM(AY172:AY175)</f>
        <v>#DIV/0!</v>
      </c>
      <c r="AZ176" s="3544"/>
      <c r="BA176" s="4133"/>
      <c r="BB176" s="4019" t="e">
        <f>SUM(BB172:BB175)</f>
        <v>#DIV/0!</v>
      </c>
      <c r="BF176" s="7672"/>
      <c r="BG176" s="7679"/>
      <c r="BH176" s="5163" t="s">
        <v>334</v>
      </c>
      <c r="BI176" s="4031" t="s">
        <v>317</v>
      </c>
      <c r="BJ176" s="6400">
        <v>11.851147581948304</v>
      </c>
      <c r="BK176" s="4583">
        <v>4.9673680031758636</v>
      </c>
      <c r="BL176" s="4533">
        <v>3.8322027587057859</v>
      </c>
      <c r="BM176" s="6403">
        <v>5.6800295808720387</v>
      </c>
      <c r="BN176" s="6412">
        <v>4.625061536623253</v>
      </c>
      <c r="BO176" s="6397">
        <v>4.269943903432444</v>
      </c>
      <c r="BP176" s="5248">
        <v>4.2699439034324431</v>
      </c>
      <c r="BQ176" s="6331"/>
      <c r="BR176" s="4979">
        <v>41835100.276912868</v>
      </c>
      <c r="BS176" s="4007">
        <v>3486258.3564094114</v>
      </c>
      <c r="BT176" s="5205">
        <v>258.17442562368325</v>
      </c>
      <c r="BU176" s="4007"/>
      <c r="BV176" s="4007"/>
      <c r="BW176" s="5413"/>
    </row>
    <row r="177" spans="1:79" s="286" customFormat="1" ht="17.45" customHeight="1">
      <c r="A177" s="7672"/>
      <c r="B177" s="7682" t="s">
        <v>1389</v>
      </c>
      <c r="C177" s="7683"/>
      <c r="D177" s="3026" t="s">
        <v>1391</v>
      </c>
      <c r="E177" s="3021">
        <f t="shared" ref="E177:T177" si="269">E43</f>
        <v>420.60000000000008</v>
      </c>
      <c r="F177" s="3021">
        <f t="shared" si="269"/>
        <v>1029.94</v>
      </c>
      <c r="G177" s="3365">
        <f t="shared" si="269"/>
        <v>384</v>
      </c>
      <c r="H177" s="6152">
        <f t="shared" si="269"/>
        <v>1686.7099999999998</v>
      </c>
      <c r="I177" s="6131">
        <f>I43</f>
        <v>216.29</v>
      </c>
      <c r="J177" s="6217">
        <f t="shared" si="269"/>
        <v>36</v>
      </c>
      <c r="K177" s="6218">
        <f t="shared" si="269"/>
        <v>3</v>
      </c>
      <c r="L177" s="3034">
        <f t="shared" si="269"/>
        <v>0</v>
      </c>
      <c r="M177" s="3034">
        <f t="shared" si="269"/>
        <v>0</v>
      </c>
      <c r="N177" s="3034">
        <f t="shared" si="269"/>
        <v>0</v>
      </c>
      <c r="O177" s="3034">
        <f t="shared" si="269"/>
        <v>0</v>
      </c>
      <c r="P177" s="3034">
        <f t="shared" si="269"/>
        <v>0</v>
      </c>
      <c r="Q177" s="3034">
        <f t="shared" si="269"/>
        <v>0</v>
      </c>
      <c r="R177" s="3034">
        <f t="shared" si="269"/>
        <v>0</v>
      </c>
      <c r="S177" s="3034">
        <f t="shared" si="269"/>
        <v>0</v>
      </c>
      <c r="T177" s="3034">
        <f t="shared" si="269"/>
        <v>0</v>
      </c>
      <c r="U177" s="3034">
        <f>U43</f>
        <v>0</v>
      </c>
      <c r="V177" s="3034">
        <f>V43</f>
        <v>0</v>
      </c>
      <c r="W177" s="3034">
        <f>W43</f>
        <v>0</v>
      </c>
      <c r="X177" s="6612">
        <f>X43</f>
        <v>0</v>
      </c>
      <c r="Y177" s="4041">
        <f t="shared" ref="Y177:AM177" si="270">Y43</f>
        <v>10662144.554285714</v>
      </c>
      <c r="Z177" s="4005">
        <f t="shared" si="270"/>
        <v>888512.04619047605</v>
      </c>
      <c r="AA177" s="3008">
        <f t="shared" si="270"/>
        <v>65.798648216423615</v>
      </c>
      <c r="AB177" s="4005">
        <f t="shared" si="270"/>
        <v>1065928.6176190474</v>
      </c>
      <c r="AC177" s="4005">
        <f t="shared" si="270"/>
        <v>1065928.6176190474</v>
      </c>
      <c r="AD177" s="4005">
        <f t="shared" si="270"/>
        <v>1065928.6176190474</v>
      </c>
      <c r="AE177" s="4005">
        <f t="shared" si="270"/>
        <v>1065928.6176190474</v>
      </c>
      <c r="AF177" s="4005">
        <f t="shared" si="270"/>
        <v>1065928.6176190474</v>
      </c>
      <c r="AG177" s="4005">
        <f t="shared" si="270"/>
        <v>1065928.6176190474</v>
      </c>
      <c r="AH177" s="4005">
        <f t="shared" si="270"/>
        <v>1065928.6176190474</v>
      </c>
      <c r="AI177" s="4005">
        <f t="shared" si="270"/>
        <v>1065928.6176190474</v>
      </c>
      <c r="AJ177" s="4005">
        <f t="shared" si="270"/>
        <v>1065928.6176190474</v>
      </c>
      <c r="AK177" s="4005">
        <f t="shared" si="270"/>
        <v>1065928.6176190474</v>
      </c>
      <c r="AL177" s="4005">
        <f t="shared" si="270"/>
        <v>0</v>
      </c>
      <c r="AM177" s="4005">
        <f t="shared" si="270"/>
        <v>0</v>
      </c>
      <c r="AN177" s="4017">
        <f t="shared" si="90"/>
        <v>10659286.176190471</v>
      </c>
      <c r="AO177" s="4041">
        <f t="shared" ref="AO177:AX177" si="271">AO43</f>
        <v>65.798648216423615</v>
      </c>
      <c r="AP177" s="3008">
        <f t="shared" si="271"/>
        <v>85.930454359009175</v>
      </c>
      <c r="AQ177" s="3008">
        <f t="shared" si="271"/>
        <v>89.175615580428868</v>
      </c>
      <c r="AR177" s="3008">
        <f t="shared" si="271"/>
        <v>81.79882109868295</v>
      </c>
      <c r="AS177" s="3008" t="e">
        <f t="shared" si="271"/>
        <v>#DIV/0!</v>
      </c>
      <c r="AT177" s="3008" t="e">
        <f t="shared" si="271"/>
        <v>#DIV/0!</v>
      </c>
      <c r="AU177" s="3008" t="e">
        <f t="shared" si="271"/>
        <v>#DIV/0!</v>
      </c>
      <c r="AV177" s="4041" t="e">
        <f t="shared" si="271"/>
        <v>#DIV/0!</v>
      </c>
      <c r="AW177" s="5365" t="e">
        <f t="shared" si="271"/>
        <v>#DIV/0!</v>
      </c>
      <c r="AX177" s="3953" t="e">
        <f t="shared" si="271"/>
        <v>#DIV/0!</v>
      </c>
      <c r="AY177" s="5365" t="e">
        <f>AY43</f>
        <v>#DIV/0!</v>
      </c>
      <c r="AZ177" s="4144"/>
      <c r="BA177" s="4573"/>
      <c r="BB177" s="3008">
        <f>BB43</f>
        <v>285.09310347273799</v>
      </c>
      <c r="BF177" s="7672"/>
      <c r="BG177" s="7662" t="s">
        <v>1389</v>
      </c>
      <c r="BH177" s="7663"/>
      <c r="BI177" s="4031" t="s">
        <v>1390</v>
      </c>
      <c r="BJ177" s="4134">
        <v>420.60000000000008</v>
      </c>
      <c r="BK177" s="4134">
        <v>1029.94</v>
      </c>
      <c r="BL177" s="4134">
        <v>384</v>
      </c>
      <c r="BM177" s="4134">
        <v>1686.7099999999998</v>
      </c>
      <c r="BN177" s="6152">
        <v>58.809999999999995</v>
      </c>
      <c r="BO177" s="6369">
        <v>36</v>
      </c>
      <c r="BP177" s="6370">
        <v>3</v>
      </c>
      <c r="BQ177" s="6345"/>
      <c r="BR177" s="5365">
        <v>1348957.3314285711</v>
      </c>
      <c r="BS177" s="4005">
        <v>112413.11095238093</v>
      </c>
      <c r="BT177" s="4686">
        <v>8.3247388419580801</v>
      </c>
      <c r="BU177" s="4005"/>
      <c r="BV177" s="4005"/>
      <c r="BW177" s="5413"/>
      <c r="BX177" s="3341"/>
    </row>
    <row r="178" spans="1:79" ht="17.45" customHeight="1">
      <c r="A178" s="7672"/>
      <c r="B178" s="7649" t="s">
        <v>1232</v>
      </c>
      <c r="C178" s="3014" t="s">
        <v>1235</v>
      </c>
      <c r="D178" s="3026" t="s">
        <v>1236</v>
      </c>
      <c r="E178" s="3022">
        <f t="shared" ref="E178:T178" si="272">E52</f>
        <v>183</v>
      </c>
      <c r="F178" s="3022">
        <f t="shared" si="272"/>
        <v>145</v>
      </c>
      <c r="G178" s="3366">
        <f t="shared" si="272"/>
        <v>56</v>
      </c>
      <c r="H178" s="3366">
        <f t="shared" si="272"/>
        <v>61</v>
      </c>
      <c r="I178" s="6132">
        <f>I52</f>
        <v>35</v>
      </c>
      <c r="J178" s="6193">
        <f t="shared" si="272"/>
        <v>33</v>
      </c>
      <c r="K178" s="6194">
        <f t="shared" si="272"/>
        <v>2.75</v>
      </c>
      <c r="L178" s="3049">
        <f t="shared" si="272"/>
        <v>13</v>
      </c>
      <c r="M178" s="3049">
        <f t="shared" si="272"/>
        <v>9</v>
      </c>
      <c r="N178" s="3049">
        <f t="shared" si="272"/>
        <v>13</v>
      </c>
      <c r="O178" s="3049">
        <f t="shared" si="272"/>
        <v>0</v>
      </c>
      <c r="P178" s="3049">
        <f t="shared" si="272"/>
        <v>0</v>
      </c>
      <c r="Q178" s="3049">
        <f t="shared" si="272"/>
        <v>0</v>
      </c>
      <c r="R178" s="3049">
        <f t="shared" si="272"/>
        <v>0</v>
      </c>
      <c r="S178" s="3049">
        <f t="shared" si="272"/>
        <v>0</v>
      </c>
      <c r="T178" s="3049">
        <f t="shared" si="272"/>
        <v>0</v>
      </c>
      <c r="U178" s="3049">
        <f t="shared" ref="U178:X179" si="273">U52</f>
        <v>0</v>
      </c>
      <c r="V178" s="3049">
        <f t="shared" si="273"/>
        <v>0</v>
      </c>
      <c r="W178" s="3049">
        <f t="shared" si="273"/>
        <v>0</v>
      </c>
      <c r="X178" s="6599">
        <f t="shared" si="273"/>
        <v>35</v>
      </c>
      <c r="Y178" s="4042"/>
      <c r="Z178" s="4006"/>
      <c r="AA178" s="4018"/>
      <c r="AB178" s="4006"/>
      <c r="AC178" s="4006"/>
      <c r="AD178" s="4006"/>
      <c r="AE178" s="4006"/>
      <c r="AF178" s="4006"/>
      <c r="AG178" s="4006"/>
      <c r="AH178" s="4006"/>
      <c r="AI178" s="4006"/>
      <c r="AJ178" s="4006"/>
      <c r="AK178" s="4006"/>
      <c r="AL178" s="4006"/>
      <c r="AM178" s="4006"/>
      <c r="AN178" s="5400"/>
      <c r="AO178" s="4042"/>
      <c r="AP178" s="4018"/>
      <c r="AQ178" s="4018"/>
      <c r="AR178" s="4018"/>
      <c r="AS178" s="4018"/>
      <c r="AT178" s="4018"/>
      <c r="AU178" s="4018"/>
      <c r="AV178" s="4042"/>
      <c r="AW178" s="5449"/>
      <c r="AX178" s="5222"/>
      <c r="AY178" s="5449"/>
      <c r="AZ178" s="5366"/>
      <c r="BA178" s="4131"/>
      <c r="BB178" s="4018"/>
      <c r="BF178" s="7672"/>
      <c r="BG178" s="7733" t="s">
        <v>1232</v>
      </c>
      <c r="BH178" s="5163" t="s">
        <v>1235</v>
      </c>
      <c r="BI178" s="4031" t="s">
        <v>1434</v>
      </c>
      <c r="BJ178" s="3945">
        <v>183</v>
      </c>
      <c r="BK178" s="3389">
        <v>145</v>
      </c>
      <c r="BL178" s="3366">
        <v>56</v>
      </c>
      <c r="BM178" s="3389">
        <v>61</v>
      </c>
      <c r="BN178" s="6407">
        <v>35</v>
      </c>
      <c r="BO178" s="6368">
        <v>33</v>
      </c>
      <c r="BP178" s="5235">
        <v>2.75</v>
      </c>
      <c r="BQ178" s="6318"/>
      <c r="BR178" s="5449"/>
      <c r="BS178" s="4006"/>
      <c r="BT178" s="5204"/>
      <c r="BU178" s="4006"/>
      <c r="BV178" s="4006"/>
      <c r="BW178" s="4018"/>
      <c r="BX178" s="3341"/>
    </row>
    <row r="179" spans="1:79" ht="17.45" customHeight="1">
      <c r="A179" s="7672"/>
      <c r="B179" s="7651"/>
      <c r="C179" s="3014" t="s">
        <v>1217</v>
      </c>
      <c r="D179" s="3026" t="s">
        <v>1219</v>
      </c>
      <c r="E179" s="3071">
        <f t="shared" ref="E179:T179" si="274">E53</f>
        <v>149.81666666666666</v>
      </c>
      <c r="F179" s="3022">
        <f t="shared" si="274"/>
        <v>138.06666666666666</v>
      </c>
      <c r="G179" s="3366">
        <f t="shared" si="274"/>
        <v>30.799999999999997</v>
      </c>
      <c r="H179" s="3366">
        <f t="shared" si="274"/>
        <v>47.3</v>
      </c>
      <c r="I179" s="6132">
        <f>I53</f>
        <v>28.249999999999996</v>
      </c>
      <c r="J179" s="6193">
        <f t="shared" si="274"/>
        <v>21.5</v>
      </c>
      <c r="K179" s="6194">
        <f t="shared" si="274"/>
        <v>1.7916666666666667</v>
      </c>
      <c r="L179" s="3049">
        <f t="shared" si="274"/>
        <v>11.366666666666665</v>
      </c>
      <c r="M179" s="3049">
        <f t="shared" si="274"/>
        <v>6.0333333333333332</v>
      </c>
      <c r="N179" s="3049">
        <f t="shared" si="274"/>
        <v>10.333333333333334</v>
      </c>
      <c r="O179" s="3049">
        <f t="shared" si="274"/>
        <v>0</v>
      </c>
      <c r="P179" s="3049">
        <f t="shared" si="274"/>
        <v>0</v>
      </c>
      <c r="Q179" s="3049">
        <f t="shared" si="274"/>
        <v>0</v>
      </c>
      <c r="R179" s="3049">
        <f t="shared" si="274"/>
        <v>0</v>
      </c>
      <c r="S179" s="3049">
        <f t="shared" si="274"/>
        <v>0</v>
      </c>
      <c r="T179" s="3049">
        <f t="shared" si="274"/>
        <v>0</v>
      </c>
      <c r="U179" s="3049">
        <f t="shared" si="273"/>
        <v>0</v>
      </c>
      <c r="V179" s="3049">
        <f t="shared" si="273"/>
        <v>0</v>
      </c>
      <c r="W179" s="3049">
        <f t="shared" si="273"/>
        <v>0</v>
      </c>
      <c r="X179" s="6599">
        <f t="shared" si="273"/>
        <v>27.733333333333331</v>
      </c>
      <c r="Y179" s="4041">
        <f t="shared" ref="Y179:AM179" si="275">Y53</f>
        <v>9780088.4999999944</v>
      </c>
      <c r="Z179" s="4005">
        <f t="shared" si="275"/>
        <v>815007.37499999965</v>
      </c>
      <c r="AA179" s="3008">
        <f t="shared" si="275"/>
        <v>60.355269004332179</v>
      </c>
      <c r="AB179" s="4005">
        <f t="shared" si="275"/>
        <v>-13058229.274999999</v>
      </c>
      <c r="AC179" s="4005">
        <f t="shared" si="275"/>
        <v>-5330751.9416666664</v>
      </c>
      <c r="AD179" s="4005">
        <f t="shared" si="275"/>
        <v>-11561030.541666668</v>
      </c>
      <c r="AE179" s="4005">
        <f t="shared" si="275"/>
        <v>3410956.7916666665</v>
      </c>
      <c r="AF179" s="4005">
        <f t="shared" si="275"/>
        <v>3410956.7916666665</v>
      </c>
      <c r="AG179" s="4005">
        <f t="shared" si="275"/>
        <v>3410956.7916666665</v>
      </c>
      <c r="AH179" s="4005">
        <f t="shared" si="275"/>
        <v>3410956.7916666665</v>
      </c>
      <c r="AI179" s="4005">
        <f t="shared" si="275"/>
        <v>3410956.7916666665</v>
      </c>
      <c r="AJ179" s="4005">
        <f t="shared" si="275"/>
        <v>3410956.7916666665</v>
      </c>
      <c r="AK179" s="4005">
        <f t="shared" si="275"/>
        <v>3410956.7916666665</v>
      </c>
      <c r="AL179" s="4005">
        <f t="shared" si="275"/>
        <v>0</v>
      </c>
      <c r="AM179" s="4005">
        <f t="shared" si="275"/>
        <v>0</v>
      </c>
      <c r="AN179" s="4017">
        <f t="shared" si="90"/>
        <v>-6073314.2166666649</v>
      </c>
      <c r="AO179" s="4041">
        <f t="shared" ref="AO179:AX179" si="276">AO53</f>
        <v>60.355269004332179</v>
      </c>
      <c r="AP179" s="3008" t="e">
        <f t="shared" si="276"/>
        <v>#REF!</v>
      </c>
      <c r="AQ179" s="3008" t="e">
        <f t="shared" si="276"/>
        <v>#REF!</v>
      </c>
      <c r="AR179" s="3008" t="e">
        <f t="shared" si="276"/>
        <v>#REF!</v>
      </c>
      <c r="AS179" s="3008" t="e">
        <f t="shared" si="276"/>
        <v>#REF!</v>
      </c>
      <c r="AT179" s="3008" t="e">
        <f t="shared" si="276"/>
        <v>#REF!</v>
      </c>
      <c r="AU179" s="3008" t="e">
        <f t="shared" si="276"/>
        <v>#REF!</v>
      </c>
      <c r="AV179" s="4041" t="e">
        <f t="shared" si="276"/>
        <v>#REF!</v>
      </c>
      <c r="AW179" s="5365" t="e">
        <f t="shared" si="276"/>
        <v>#REF!</v>
      </c>
      <c r="AX179" s="3953" t="e">
        <f t="shared" si="276"/>
        <v>#REF!</v>
      </c>
      <c r="AY179" s="5365" t="e">
        <f>AY53</f>
        <v>#REF!</v>
      </c>
      <c r="AZ179" s="3500"/>
      <c r="BA179" s="5378"/>
      <c r="BB179" s="3008">
        <f>BB53</f>
        <v>-162.43676825772283</v>
      </c>
      <c r="BF179" s="7672"/>
      <c r="BG179" s="7651"/>
      <c r="BH179" s="5163" t="s">
        <v>1217</v>
      </c>
      <c r="BI179" s="4031" t="s">
        <v>1435</v>
      </c>
      <c r="BJ179" s="3945">
        <v>149.81666666666666</v>
      </c>
      <c r="BK179" s="3389">
        <v>138.06666666666666</v>
      </c>
      <c r="BL179" s="3366">
        <v>30.799999999999997</v>
      </c>
      <c r="BM179" s="3389">
        <v>47.3</v>
      </c>
      <c r="BN179" s="6407">
        <v>28.249999999999996</v>
      </c>
      <c r="BO179" s="6368">
        <v>21.5</v>
      </c>
      <c r="BP179" s="6371">
        <v>1.7916666666666667</v>
      </c>
      <c r="BQ179" s="6325"/>
      <c r="BR179" s="5365">
        <v>9780088.4999999944</v>
      </c>
      <c r="BS179" s="4005">
        <v>815007.37499999965</v>
      </c>
      <c r="BT179" s="4686">
        <v>60.355269004332179</v>
      </c>
      <c r="BU179" s="4005"/>
      <c r="BV179" s="4005"/>
      <c r="BW179" s="5413"/>
      <c r="BX179" s="3341"/>
    </row>
    <row r="180" spans="1:79" ht="17.45" customHeight="1">
      <c r="A180" s="7672"/>
      <c r="B180" s="7684" t="s">
        <v>1233</v>
      </c>
      <c r="C180" s="7684"/>
      <c r="D180" s="3038" t="s">
        <v>1236</v>
      </c>
      <c r="E180" s="3072">
        <f>E63/2</f>
        <v>16</v>
      </c>
      <c r="F180" s="3070">
        <f>F63/2</f>
        <v>6</v>
      </c>
      <c r="G180" s="5242">
        <f t="shared" ref="G180:T180" si="277">G63</f>
        <v>7</v>
      </c>
      <c r="H180" s="5242">
        <f t="shared" si="277"/>
        <v>20</v>
      </c>
      <c r="I180" s="6133">
        <f>I63</f>
        <v>8</v>
      </c>
      <c r="J180" s="6193">
        <f t="shared" si="277"/>
        <v>7.2</v>
      </c>
      <c r="K180" s="6194">
        <f t="shared" si="277"/>
        <v>0.6</v>
      </c>
      <c r="L180" s="3049">
        <f t="shared" si="277"/>
        <v>0</v>
      </c>
      <c r="M180" s="3049">
        <f t="shared" si="277"/>
        <v>0</v>
      </c>
      <c r="N180" s="3049">
        <f t="shared" si="277"/>
        <v>0</v>
      </c>
      <c r="O180" s="3049">
        <f t="shared" si="277"/>
        <v>0</v>
      </c>
      <c r="P180" s="3049">
        <f t="shared" si="277"/>
        <v>0</v>
      </c>
      <c r="Q180" s="3049">
        <f t="shared" si="277"/>
        <v>0</v>
      </c>
      <c r="R180" s="3049">
        <f t="shared" si="277"/>
        <v>0</v>
      </c>
      <c r="S180" s="3049">
        <f t="shared" si="277"/>
        <v>0</v>
      </c>
      <c r="T180" s="3049">
        <f t="shared" si="277"/>
        <v>0</v>
      </c>
      <c r="U180" s="3049">
        <f>U63</f>
        <v>0</v>
      </c>
      <c r="V180" s="3049">
        <f>V63</f>
        <v>0</v>
      </c>
      <c r="W180" s="3049">
        <f>W63</f>
        <v>0</v>
      </c>
      <c r="X180" s="6599">
        <f>X63</f>
        <v>0</v>
      </c>
      <c r="Y180" s="4041">
        <f t="shared" ref="Y180:AM180" si="278">Y63</f>
        <v>5831940</v>
      </c>
      <c r="Z180" s="4005">
        <f t="shared" si="278"/>
        <v>485995</v>
      </c>
      <c r="AA180" s="3008">
        <f t="shared" si="278"/>
        <v>35.990298811419258</v>
      </c>
      <c r="AB180" s="4005">
        <f t="shared" si="278"/>
        <v>485995</v>
      </c>
      <c r="AC180" s="4005">
        <f t="shared" si="278"/>
        <v>485995</v>
      </c>
      <c r="AD180" s="4005">
        <f t="shared" si="278"/>
        <v>485995</v>
      </c>
      <c r="AE180" s="4005">
        <f t="shared" si="278"/>
        <v>485995</v>
      </c>
      <c r="AF180" s="4005">
        <f t="shared" si="278"/>
        <v>485995</v>
      </c>
      <c r="AG180" s="4005">
        <f t="shared" si="278"/>
        <v>485995</v>
      </c>
      <c r="AH180" s="4005">
        <f t="shared" si="278"/>
        <v>485995</v>
      </c>
      <c r="AI180" s="4005">
        <f t="shared" si="278"/>
        <v>485995</v>
      </c>
      <c r="AJ180" s="4005">
        <f t="shared" si="278"/>
        <v>485995</v>
      </c>
      <c r="AK180" s="4005">
        <f t="shared" si="278"/>
        <v>485995</v>
      </c>
      <c r="AL180" s="4005">
        <f t="shared" si="278"/>
        <v>0</v>
      </c>
      <c r="AM180" s="4005">
        <f t="shared" si="278"/>
        <v>0</v>
      </c>
      <c r="AN180" s="4017">
        <f t="shared" si="90"/>
        <v>4859950</v>
      </c>
      <c r="AO180" s="4041">
        <f t="shared" ref="AO180:AX180" si="279">AO63</f>
        <v>35.990298811419258</v>
      </c>
      <c r="AP180" s="3008">
        <f t="shared" si="279"/>
        <v>39.178769080700221</v>
      </c>
      <c r="AQ180" s="3008">
        <f t="shared" si="279"/>
        <v>40.658354206509756</v>
      </c>
      <c r="AR180" s="3008">
        <f t="shared" si="279"/>
        <v>37.295009630806298</v>
      </c>
      <c r="AS180" s="3008" t="e">
        <f t="shared" si="279"/>
        <v>#DIV/0!</v>
      </c>
      <c r="AT180" s="3008" t="e">
        <f t="shared" si="279"/>
        <v>#DIV/0!</v>
      </c>
      <c r="AU180" s="3008" t="e">
        <f t="shared" si="279"/>
        <v>#DIV/0!</v>
      </c>
      <c r="AV180" s="4041" t="e">
        <f t="shared" si="279"/>
        <v>#DIV/0!</v>
      </c>
      <c r="AW180" s="5365" t="e">
        <f t="shared" si="279"/>
        <v>#DIV/0!</v>
      </c>
      <c r="AX180" s="3953" t="e">
        <f t="shared" si="279"/>
        <v>#DIV/0!</v>
      </c>
      <c r="AY180" s="5365" t="e">
        <f>AY63</f>
        <v>#DIV/0!</v>
      </c>
      <c r="AZ180" s="3500"/>
      <c r="BA180" s="5378"/>
      <c r="BB180" s="3008">
        <f>BB63</f>
        <v>129.98414765495218</v>
      </c>
      <c r="BF180" s="7672"/>
      <c r="BG180" s="7658" t="s">
        <v>1233</v>
      </c>
      <c r="BH180" s="7658"/>
      <c r="BI180" s="4033" t="s">
        <v>1434</v>
      </c>
      <c r="BJ180" s="3922">
        <v>16</v>
      </c>
      <c r="BK180" s="4697">
        <v>6</v>
      </c>
      <c r="BL180" s="5242">
        <v>7</v>
      </c>
      <c r="BM180" s="4697">
        <v>20</v>
      </c>
      <c r="BN180" s="6407">
        <v>6</v>
      </c>
      <c r="BO180" s="6368">
        <v>5.4</v>
      </c>
      <c r="BP180" s="5235">
        <v>0.45</v>
      </c>
      <c r="BQ180" s="6318"/>
      <c r="BR180" s="5365">
        <v>5831940</v>
      </c>
      <c r="BS180" s="4005">
        <v>485995</v>
      </c>
      <c r="BT180" s="4686">
        <v>35.990298811419258</v>
      </c>
      <c r="BU180" s="4005"/>
      <c r="BV180" s="4005"/>
      <c r="BW180" s="5413"/>
      <c r="BX180" s="3341"/>
    </row>
    <row r="181" spans="1:79" ht="18" customHeight="1" thickBot="1">
      <c r="A181" s="7672"/>
      <c r="B181" s="7681" t="s">
        <v>1234</v>
      </c>
      <c r="C181" s="7681"/>
      <c r="D181" s="2610" t="s">
        <v>1237</v>
      </c>
      <c r="E181" s="3065">
        <f>E69/2</f>
        <v>166</v>
      </c>
      <c r="F181" s="3066">
        <f>F69/2</f>
        <v>43</v>
      </c>
      <c r="G181" s="6143">
        <f>G69/2</f>
        <v>50.5</v>
      </c>
      <c r="H181" s="2822">
        <f t="shared" ref="H181:T181" si="280">H69</f>
        <v>308.73</v>
      </c>
      <c r="I181" s="6232">
        <f>I69</f>
        <v>44.61</v>
      </c>
      <c r="J181" s="6196">
        <f t="shared" si="280"/>
        <v>40.149000000000001</v>
      </c>
      <c r="K181" s="6197">
        <f t="shared" si="280"/>
        <v>3.3457500000000002</v>
      </c>
      <c r="L181" s="3067">
        <f t="shared" si="280"/>
        <v>0</v>
      </c>
      <c r="M181" s="3067">
        <f t="shared" si="280"/>
        <v>0</v>
      </c>
      <c r="N181" s="3067">
        <f t="shared" si="280"/>
        <v>0</v>
      </c>
      <c r="O181" s="3067">
        <f t="shared" si="280"/>
        <v>0</v>
      </c>
      <c r="P181" s="3067">
        <f t="shared" si="280"/>
        <v>0</v>
      </c>
      <c r="Q181" s="3067">
        <f t="shared" si="280"/>
        <v>0</v>
      </c>
      <c r="R181" s="3067">
        <f t="shared" si="280"/>
        <v>0</v>
      </c>
      <c r="S181" s="3067">
        <f t="shared" si="280"/>
        <v>0</v>
      </c>
      <c r="T181" s="3067">
        <f t="shared" si="280"/>
        <v>0</v>
      </c>
      <c r="U181" s="3067">
        <f>U69</f>
        <v>0</v>
      </c>
      <c r="V181" s="3067">
        <f>V69</f>
        <v>0</v>
      </c>
      <c r="W181" s="3067">
        <f>W69</f>
        <v>0</v>
      </c>
      <c r="X181" s="6600">
        <f>X69</f>
        <v>0</v>
      </c>
      <c r="Y181" s="4051">
        <f t="shared" ref="Y181:AM181" si="281">Y69</f>
        <v>407290.89999999991</v>
      </c>
      <c r="Z181" s="4008">
        <f t="shared" si="281"/>
        <v>33940.908333333326</v>
      </c>
      <c r="AA181" s="4028">
        <f t="shared" si="281"/>
        <v>2.5134897125436608</v>
      </c>
      <c r="AB181" s="4008">
        <f t="shared" si="281"/>
        <v>33940.908333333326</v>
      </c>
      <c r="AC181" s="4008">
        <f t="shared" si="281"/>
        <v>33940.908333333326</v>
      </c>
      <c r="AD181" s="4008">
        <f t="shared" si="281"/>
        <v>33940.908333333326</v>
      </c>
      <c r="AE181" s="4008">
        <f t="shared" si="281"/>
        <v>33940.908333333326</v>
      </c>
      <c r="AF181" s="4008">
        <f t="shared" si="281"/>
        <v>33940.908333333326</v>
      </c>
      <c r="AG181" s="4008">
        <f t="shared" si="281"/>
        <v>33940.908333333326</v>
      </c>
      <c r="AH181" s="4008">
        <f t="shared" si="281"/>
        <v>33940.908333333326</v>
      </c>
      <c r="AI181" s="4008">
        <f t="shared" si="281"/>
        <v>33940.908333333326</v>
      </c>
      <c r="AJ181" s="4008">
        <f t="shared" si="281"/>
        <v>33940.908333333326</v>
      </c>
      <c r="AK181" s="4008">
        <f t="shared" si="281"/>
        <v>33940.908333333326</v>
      </c>
      <c r="AL181" s="4008">
        <f t="shared" si="281"/>
        <v>0</v>
      </c>
      <c r="AM181" s="4008">
        <f t="shared" si="281"/>
        <v>0</v>
      </c>
      <c r="AN181" s="4017">
        <f t="shared" ref="AN181:AN188" si="282">SUM(AB181:AM181)</f>
        <v>339409.08333333326</v>
      </c>
      <c r="AO181" s="4051">
        <f t="shared" ref="AO181:AX181" si="283">AO69</f>
        <v>2.5134897125436608</v>
      </c>
      <c r="AP181" s="4028">
        <f t="shared" si="283"/>
        <v>2.7361660304753759</v>
      </c>
      <c r="AQ181" s="4028">
        <f t="shared" si="283"/>
        <v>2.8394972645960248</v>
      </c>
      <c r="AR181" s="4028">
        <f t="shared" si="283"/>
        <v>2.6046080786221673</v>
      </c>
      <c r="AS181" s="4028" t="e">
        <f t="shared" si="283"/>
        <v>#DIV/0!</v>
      </c>
      <c r="AT181" s="4028" t="e">
        <f t="shared" si="283"/>
        <v>#DIV/0!</v>
      </c>
      <c r="AU181" s="4028" t="e">
        <f t="shared" si="283"/>
        <v>#DIV/0!</v>
      </c>
      <c r="AV181" s="4051" t="e">
        <f t="shared" si="283"/>
        <v>#DIV/0!</v>
      </c>
      <c r="AW181" s="5461" t="e">
        <f t="shared" si="283"/>
        <v>#DIV/0!</v>
      </c>
      <c r="AX181" s="5224" t="e">
        <f t="shared" si="283"/>
        <v>#DIV/0!</v>
      </c>
      <c r="AY181" s="5461" t="e">
        <f>AY69</f>
        <v>#DIV/0!</v>
      </c>
      <c r="AZ181" s="3500"/>
      <c r="BA181" s="5378"/>
      <c r="BB181" s="4028">
        <f>BB69</f>
        <v>9.0778301018389005</v>
      </c>
      <c r="BF181" s="7672"/>
      <c r="BG181" s="7659" t="s">
        <v>1234</v>
      </c>
      <c r="BH181" s="7659"/>
      <c r="BI181" s="2611" t="s">
        <v>1390</v>
      </c>
      <c r="BJ181" s="3922">
        <v>166</v>
      </c>
      <c r="BK181" s="4697">
        <v>43</v>
      </c>
      <c r="BL181" s="5242">
        <v>50.5</v>
      </c>
      <c r="BM181" s="2821">
        <v>308.73</v>
      </c>
      <c r="BN181" s="6407">
        <v>13.34</v>
      </c>
      <c r="BO181" s="6372">
        <v>12.006</v>
      </c>
      <c r="BP181" s="6373">
        <v>1.0004999999999999</v>
      </c>
      <c r="BQ181" s="6324"/>
      <c r="BR181" s="5365">
        <v>407290.89999999991</v>
      </c>
      <c r="BS181" s="4005">
        <v>33940.908333333326</v>
      </c>
      <c r="BT181" s="4686">
        <v>2.5134897125436608</v>
      </c>
      <c r="BU181" s="4008"/>
      <c r="BV181" s="4008"/>
      <c r="BW181" s="5414"/>
      <c r="BX181" s="3341"/>
    </row>
    <row r="182" spans="1:79" s="286" customFormat="1" ht="18" customHeight="1" thickBot="1">
      <c r="A182" s="7672"/>
      <c r="B182" s="7673" t="s">
        <v>1352</v>
      </c>
      <c r="C182" s="7674"/>
      <c r="D182" s="7674"/>
      <c r="E182" s="7674"/>
      <c r="F182" s="7674"/>
      <c r="G182" s="7674"/>
      <c r="H182" s="7674"/>
      <c r="I182" s="7675"/>
      <c r="J182" s="7676"/>
      <c r="K182" s="5425"/>
      <c r="L182" s="3834"/>
      <c r="M182" s="4177"/>
      <c r="N182" s="4177"/>
      <c r="O182" s="4177"/>
      <c r="P182" s="4640"/>
      <c r="Q182" s="4177"/>
      <c r="R182" s="4177"/>
      <c r="S182" s="5022"/>
      <c r="T182" s="5082"/>
      <c r="U182" s="5185"/>
      <c r="V182" s="5185"/>
      <c r="W182" s="5185"/>
      <c r="X182" s="5185"/>
      <c r="Y182" s="4036">
        <f t="shared" ref="Y182:AF182" si="284">Y171+Y176+Y177+Y179+Y180+Y181</f>
        <v>154960609.39454004</v>
      </c>
      <c r="Z182" s="3039">
        <f t="shared" si="284"/>
        <v>12913384.116211675</v>
      </c>
      <c r="AA182" s="3040">
        <f t="shared" si="284"/>
        <v>956.29904218992635</v>
      </c>
      <c r="AB182" s="3039">
        <f t="shared" si="284"/>
        <v>-13644692.523951767</v>
      </c>
      <c r="AC182" s="3039">
        <f t="shared" si="284"/>
        <v>-4928818.7182655595</v>
      </c>
      <c r="AD182" s="3039">
        <f t="shared" si="284"/>
        <v>-6208882.9699864192</v>
      </c>
      <c r="AE182" s="3039" t="e">
        <f t="shared" si="284"/>
        <v>#DIV/0!</v>
      </c>
      <c r="AF182" s="3039" t="e">
        <f t="shared" si="284"/>
        <v>#DIV/0!</v>
      </c>
      <c r="AG182" s="3039" t="e">
        <f t="shared" ref="AG182:AM182" si="285">AG171+AG176+AG177+AG179+AG180+AG181</f>
        <v>#DIV/0!</v>
      </c>
      <c r="AH182" s="3039" t="e">
        <f t="shared" si="285"/>
        <v>#DIV/0!</v>
      </c>
      <c r="AI182" s="3039" t="e">
        <f t="shared" si="285"/>
        <v>#DIV/0!</v>
      </c>
      <c r="AJ182" s="3039" t="e">
        <f t="shared" si="285"/>
        <v>#DIV/0!</v>
      </c>
      <c r="AK182" s="3039" t="e">
        <f t="shared" si="285"/>
        <v>#DIV/0!</v>
      </c>
      <c r="AL182" s="3039">
        <f t="shared" si="285"/>
        <v>0</v>
      </c>
      <c r="AM182" s="3039">
        <f t="shared" si="285"/>
        <v>0</v>
      </c>
      <c r="AN182" s="5399" t="e">
        <f t="shared" si="282"/>
        <v>#DIV/0!</v>
      </c>
      <c r="AO182" s="4036">
        <f>AO171+AO176+AO177+AO179+AO180+AO181</f>
        <v>956.29904218992635</v>
      </c>
      <c r="AP182" s="3040">
        <f>AB182/년간!F11</f>
        <v>-1099.9748095619564</v>
      </c>
      <c r="AQ182" s="3040">
        <f>AC182/년간!G11</f>
        <v>-412.34510080744974</v>
      </c>
      <c r="AR182" s="3040">
        <f>AD182/년간!H11</f>
        <v>-476.46652776714313</v>
      </c>
      <c r="AS182" s="3040" t="e">
        <f>AE182/년간!I11</f>
        <v>#DIV/0!</v>
      </c>
      <c r="AT182" s="3040" t="e">
        <f>AF182/년간!J11</f>
        <v>#DIV/0!</v>
      </c>
      <c r="AU182" s="3040" t="e">
        <f>AG182/년간!K11</f>
        <v>#DIV/0!</v>
      </c>
      <c r="AV182" s="4036" t="e">
        <f>AH182/년간!L11</f>
        <v>#DIV/0!</v>
      </c>
      <c r="AW182" s="5451" t="e">
        <f>AI182/년간!M11</f>
        <v>#DIV/0!</v>
      </c>
      <c r="AX182" s="5225" t="e">
        <f>AJ182/년간!N11</f>
        <v>#DIV/0!</v>
      </c>
      <c r="AY182" s="5451" t="e">
        <f>AK182/년간!O11</f>
        <v>#DIV/0!</v>
      </c>
      <c r="AZ182" s="5367"/>
      <c r="BA182" s="5379"/>
      <c r="BB182" s="3040" t="e">
        <f>AN182/년간!V11</f>
        <v>#DIV/0!</v>
      </c>
      <c r="BF182" s="7672"/>
      <c r="BG182" s="7673" t="s">
        <v>1352</v>
      </c>
      <c r="BH182" s="7674"/>
      <c r="BI182" s="7674"/>
      <c r="BJ182" s="7674"/>
      <c r="BK182" s="7674"/>
      <c r="BL182" s="7674"/>
      <c r="BM182" s="7674"/>
      <c r="BN182" s="7674"/>
      <c r="BO182" s="7674"/>
      <c r="BP182" s="7674"/>
      <c r="BQ182" s="7674"/>
      <c r="BR182" s="5451">
        <v>77157408.020821437</v>
      </c>
      <c r="BS182" s="3039">
        <v>6429784.0017351247</v>
      </c>
      <c r="BT182" s="5207">
        <v>476.15684835302847</v>
      </c>
      <c r="BU182" s="4036"/>
      <c r="BV182" s="3039"/>
      <c r="BW182" s="5403"/>
      <c r="BX182" s="3341"/>
    </row>
    <row r="183" spans="1:79" s="286" customFormat="1" ht="17.45" customHeight="1">
      <c r="A183" s="7672"/>
      <c r="B183" s="7685" t="s">
        <v>1392</v>
      </c>
      <c r="C183" s="7686"/>
      <c r="D183" s="2802" t="s">
        <v>1394</v>
      </c>
      <c r="E183" s="3061">
        <f t="shared" ref="E183:T183" si="286">E75</f>
        <v>19.959255318262262</v>
      </c>
      <c r="F183" s="3061">
        <f t="shared" si="286"/>
        <v>22.3</v>
      </c>
      <c r="G183" s="3062">
        <f t="shared" si="286"/>
        <v>23.635136290988044</v>
      </c>
      <c r="H183" s="6230">
        <f t="shared" si="286"/>
        <v>23.126629659404287</v>
      </c>
      <c r="I183" s="6231">
        <f>I75</f>
        <v>22.529190340300044</v>
      </c>
      <c r="J183" s="6219">
        <f t="shared" si="286"/>
        <v>24</v>
      </c>
      <c r="K183" s="6220">
        <f t="shared" si="286"/>
        <v>24</v>
      </c>
      <c r="L183" s="3064">
        <f t="shared" si="286"/>
        <v>21.081832087015638</v>
      </c>
      <c r="M183" s="3064">
        <f t="shared" si="286"/>
        <v>21.265148550080056</v>
      </c>
      <c r="N183" s="3064">
        <f t="shared" si="286"/>
        <v>21.541975478716076</v>
      </c>
      <c r="O183" s="3064" t="e">
        <f t="shared" si="286"/>
        <v>#DIV/0!</v>
      </c>
      <c r="P183" s="3064" t="e">
        <f t="shared" si="286"/>
        <v>#DIV/0!</v>
      </c>
      <c r="Q183" s="3064" t="e">
        <f t="shared" si="286"/>
        <v>#DIV/0!</v>
      </c>
      <c r="R183" s="3064" t="e">
        <f t="shared" si="286"/>
        <v>#DIV/0!</v>
      </c>
      <c r="S183" s="3064" t="e">
        <f t="shared" si="286"/>
        <v>#DIV/0!</v>
      </c>
      <c r="T183" s="3064" t="e">
        <f t="shared" si="286"/>
        <v>#DIV/0!</v>
      </c>
      <c r="U183" s="3064" t="e">
        <f>U75</f>
        <v>#DIV/0!</v>
      </c>
      <c r="V183" s="3064" t="e">
        <f>V75</f>
        <v>#DIV/0!</v>
      </c>
      <c r="W183" s="3064" t="e">
        <f>W75</f>
        <v>#DIV/0!</v>
      </c>
      <c r="X183" s="6613">
        <f>X75</f>
        <v>21.299097080465227</v>
      </c>
      <c r="Y183" s="4047">
        <f t="shared" ref="Y183:AM183" si="287">Y75</f>
        <v>638528786.98715091</v>
      </c>
      <c r="Z183" s="2824">
        <f t="shared" si="287"/>
        <v>53210732.24892924</v>
      </c>
      <c r="AA183" s="3009">
        <f t="shared" si="287"/>
        <v>3940.5141073743284</v>
      </c>
      <c r="AB183" s="2824">
        <f t="shared" si="287"/>
        <v>-54718970.751226053</v>
      </c>
      <c r="AC183" s="2824">
        <f t="shared" si="287"/>
        <v>-45694975.128547385</v>
      </c>
      <c r="AD183" s="2824">
        <f t="shared" si="287"/>
        <v>-38378819.003076844</v>
      </c>
      <c r="AE183" s="2824" t="e">
        <f t="shared" si="287"/>
        <v>#DIV/0!</v>
      </c>
      <c r="AF183" s="2824" t="e">
        <f t="shared" si="287"/>
        <v>#DIV/0!</v>
      </c>
      <c r="AG183" s="2824" t="e">
        <f t="shared" si="287"/>
        <v>#DIV/0!</v>
      </c>
      <c r="AH183" s="2824" t="e">
        <f t="shared" si="287"/>
        <v>#DIV/0!</v>
      </c>
      <c r="AI183" s="2824" t="e">
        <f t="shared" si="287"/>
        <v>#DIV/0!</v>
      </c>
      <c r="AJ183" s="2824" t="e">
        <f t="shared" si="287"/>
        <v>#DIV/0!</v>
      </c>
      <c r="AK183" s="2824" t="e">
        <f t="shared" si="287"/>
        <v>#DIV/0!</v>
      </c>
      <c r="AL183" s="2824">
        <f t="shared" si="287"/>
        <v>0</v>
      </c>
      <c r="AM183" s="2824">
        <f t="shared" si="287"/>
        <v>0</v>
      </c>
      <c r="AN183" s="4017" t="e">
        <f t="shared" si="282"/>
        <v>#DIV/0!</v>
      </c>
      <c r="AO183" s="4047">
        <f t="shared" ref="AO183:AX183" si="288">AO75</f>
        <v>3940.5141073743284</v>
      </c>
      <c r="AP183" s="3009">
        <f t="shared" si="288"/>
        <v>-4411.2015954811777</v>
      </c>
      <c r="AQ183" s="3009">
        <f t="shared" si="288"/>
        <v>-3822.8427951607182</v>
      </c>
      <c r="AR183" s="3009">
        <f t="shared" si="288"/>
        <v>-2945.1710909345215</v>
      </c>
      <c r="AS183" s="3009" t="e">
        <f t="shared" si="288"/>
        <v>#DIV/0!</v>
      </c>
      <c r="AT183" s="3009" t="e">
        <f t="shared" si="288"/>
        <v>#DIV/0!</v>
      </c>
      <c r="AU183" s="3009" t="e">
        <f t="shared" si="288"/>
        <v>#DIV/0!</v>
      </c>
      <c r="AV183" s="4047" t="e">
        <f t="shared" si="288"/>
        <v>#DIV/0!</v>
      </c>
      <c r="AW183" s="5458" t="e">
        <f t="shared" si="288"/>
        <v>#DIV/0!</v>
      </c>
      <c r="AX183" s="5233" t="e">
        <f t="shared" si="288"/>
        <v>#DIV/0!</v>
      </c>
      <c r="AY183" s="5458" t="e">
        <f>AY75</f>
        <v>#DIV/0!</v>
      </c>
      <c r="AZ183" s="5372"/>
      <c r="BA183" s="4132"/>
      <c r="BB183" s="3009" t="e">
        <f>BB75</f>
        <v>#DIV/0!</v>
      </c>
      <c r="BF183" s="7672"/>
      <c r="BG183" s="7654" t="s">
        <v>1392</v>
      </c>
      <c r="BH183" s="7655"/>
      <c r="BI183" s="2802" t="s">
        <v>1393</v>
      </c>
      <c r="BJ183" s="3525">
        <v>19.959255318262262</v>
      </c>
      <c r="BK183" s="3525">
        <v>22.3</v>
      </c>
      <c r="BL183" s="3525">
        <v>23.635136290988044</v>
      </c>
      <c r="BM183" s="3574">
        <v>23.126629659404287</v>
      </c>
      <c r="BN183" s="3526">
        <v>22.732617557023499</v>
      </c>
      <c r="BO183" s="6356">
        <v>24</v>
      </c>
      <c r="BP183" s="6357">
        <v>24</v>
      </c>
      <c r="BQ183" s="6346"/>
      <c r="BR183" s="5368">
        <v>545290376.48042536</v>
      </c>
      <c r="BS183" s="4574">
        <v>45440864.706702113</v>
      </c>
      <c r="BT183" s="5214">
        <v>3365.117540393388</v>
      </c>
      <c r="BU183" s="2824"/>
      <c r="BV183" s="2824"/>
      <c r="BW183" s="5415"/>
      <c r="BX183" s="3962"/>
    </row>
    <row r="184" spans="1:79" s="286" customFormat="1" ht="18" customHeight="1" thickBot="1">
      <c r="A184" s="7672"/>
      <c r="B184" s="7684" t="s">
        <v>1288</v>
      </c>
      <c r="C184" s="3000" t="s">
        <v>451</v>
      </c>
      <c r="D184" s="3001" t="s">
        <v>1293</v>
      </c>
      <c r="E184" s="2805">
        <f t="shared" ref="E184:T184" si="289">E80</f>
        <v>36.084247210762676</v>
      </c>
      <c r="F184" s="2805">
        <f t="shared" si="289"/>
        <v>27.81</v>
      </c>
      <c r="G184" s="3032">
        <f t="shared" si="289"/>
        <v>24.83</v>
      </c>
      <c r="H184" s="3032">
        <f t="shared" si="289"/>
        <v>23.751775128874105</v>
      </c>
      <c r="I184" s="6144">
        <f>I80</f>
        <v>25.514762264233507</v>
      </c>
      <c r="J184" s="6221">
        <f t="shared" si="289"/>
        <v>24</v>
      </c>
      <c r="K184" s="6222">
        <f t="shared" si="289"/>
        <v>24</v>
      </c>
      <c r="L184" s="3033">
        <f t="shared" si="289"/>
        <v>26.291804217001022</v>
      </c>
      <c r="M184" s="3033">
        <f t="shared" si="289"/>
        <v>27.79980825122102</v>
      </c>
      <c r="N184" s="3033">
        <f t="shared" si="289"/>
        <v>30.39789426832731</v>
      </c>
      <c r="O184" s="3033">
        <f t="shared" si="289"/>
        <v>0</v>
      </c>
      <c r="P184" s="3033">
        <f t="shared" si="289"/>
        <v>0</v>
      </c>
      <c r="Q184" s="3033">
        <f t="shared" si="289"/>
        <v>0</v>
      </c>
      <c r="R184" s="3033">
        <f t="shared" si="289"/>
        <v>0</v>
      </c>
      <c r="S184" s="3033">
        <f t="shared" si="289"/>
        <v>0</v>
      </c>
      <c r="T184" s="3033">
        <f t="shared" si="289"/>
        <v>0</v>
      </c>
      <c r="U184" s="3033">
        <f>U80</f>
        <v>0</v>
      </c>
      <c r="V184" s="3033">
        <f>V80</f>
        <v>0</v>
      </c>
      <c r="W184" s="3033">
        <f>W80</f>
        <v>0</v>
      </c>
      <c r="X184" s="6614">
        <f>X80</f>
        <v>8.4489506736549345</v>
      </c>
      <c r="Y184" s="4047">
        <f t="shared" ref="Y184:AM184" si="290">Y80</f>
        <v>123783010.36979298</v>
      </c>
      <c r="Z184" s="2824">
        <f t="shared" si="290"/>
        <v>10315250.864149416</v>
      </c>
      <c r="AA184" s="4027">
        <f t="shared" si="290"/>
        <v>763.89460985295773</v>
      </c>
      <c r="AB184" s="2824">
        <f t="shared" si="290"/>
        <v>-4860874.9573485106</v>
      </c>
      <c r="AC184" s="2824">
        <f t="shared" si="290"/>
        <v>-13774185.235182226</v>
      </c>
      <c r="AD184" s="2824">
        <f t="shared" si="290"/>
        <v>-38456350.604472727</v>
      </c>
      <c r="AE184" s="2824">
        <f t="shared" si="290"/>
        <v>0</v>
      </c>
      <c r="AF184" s="2824">
        <f t="shared" si="290"/>
        <v>0</v>
      </c>
      <c r="AG184" s="2824">
        <f t="shared" si="290"/>
        <v>0</v>
      </c>
      <c r="AH184" s="2824">
        <f t="shared" si="290"/>
        <v>0</v>
      </c>
      <c r="AI184" s="2824">
        <f t="shared" si="290"/>
        <v>0</v>
      </c>
      <c r="AJ184" s="2824">
        <f t="shared" si="290"/>
        <v>0</v>
      </c>
      <c r="AK184" s="2824">
        <f t="shared" si="290"/>
        <v>0</v>
      </c>
      <c r="AL184" s="2824">
        <f t="shared" si="290"/>
        <v>0</v>
      </c>
      <c r="AM184" s="2824">
        <f t="shared" si="290"/>
        <v>0</v>
      </c>
      <c r="AN184" s="4017">
        <f t="shared" si="282"/>
        <v>-57091410.797003463</v>
      </c>
      <c r="AO184" s="4048">
        <f t="shared" ref="AO184:AX184" si="291">AO80</f>
        <v>763.89460985295773</v>
      </c>
      <c r="AP184" s="4027">
        <f t="shared" si="291"/>
        <v>-391.8622567806579</v>
      </c>
      <c r="AQ184" s="4027">
        <f t="shared" si="291"/>
        <v>-1152.3486912378025</v>
      </c>
      <c r="AR184" s="4027">
        <f t="shared" si="291"/>
        <v>-2951.1208266740891</v>
      </c>
      <c r="AS184" s="4027" t="e">
        <f t="shared" si="291"/>
        <v>#DIV/0!</v>
      </c>
      <c r="AT184" s="4027" t="e">
        <f t="shared" si="291"/>
        <v>#DIV/0!</v>
      </c>
      <c r="AU184" s="4027" t="e">
        <f t="shared" si="291"/>
        <v>#DIV/0!</v>
      </c>
      <c r="AV184" s="4048" t="e">
        <f t="shared" si="291"/>
        <v>#DIV/0!</v>
      </c>
      <c r="AW184" s="5368" t="e">
        <f t="shared" si="291"/>
        <v>#DIV/0!</v>
      </c>
      <c r="AX184" s="5230" t="e">
        <f t="shared" si="291"/>
        <v>#DIV/0!</v>
      </c>
      <c r="AY184" s="5368" t="e">
        <f>AY80</f>
        <v>#DIV/0!</v>
      </c>
      <c r="AZ184" s="5374"/>
      <c r="BA184" s="5384"/>
      <c r="BB184" s="4027">
        <f>BB80</f>
        <v>-1526.965991598109</v>
      </c>
      <c r="BF184" s="7672"/>
      <c r="BG184" s="7658" t="s">
        <v>1288</v>
      </c>
      <c r="BH184" s="5159" t="s">
        <v>451</v>
      </c>
      <c r="BI184" s="5239" t="s">
        <v>1293</v>
      </c>
      <c r="BJ184" s="5240">
        <v>36.084247210762676</v>
      </c>
      <c r="BK184" s="5240">
        <v>27.81</v>
      </c>
      <c r="BL184" s="5243">
        <v>24.83</v>
      </c>
      <c r="BM184" s="5240">
        <v>23.751775128874105</v>
      </c>
      <c r="BN184" s="6413">
        <v>24.952807446344984</v>
      </c>
      <c r="BO184" s="6374">
        <v>24</v>
      </c>
      <c r="BP184" s="6375">
        <v>24</v>
      </c>
      <c r="BQ184" s="6347"/>
      <c r="BR184" s="5368">
        <v>93290085.483973742</v>
      </c>
      <c r="BS184" s="4574">
        <v>7774173.7903311448</v>
      </c>
      <c r="BT184" s="5214">
        <v>575.71546564454729</v>
      </c>
      <c r="BU184" s="2824"/>
      <c r="BV184" s="4574"/>
      <c r="BW184" s="5416"/>
      <c r="BX184" s="3962"/>
    </row>
    <row r="185" spans="1:79" s="286" customFormat="1" ht="17.45" customHeight="1">
      <c r="A185" s="7672"/>
      <c r="B185" s="7681"/>
      <c r="C185" s="2888" t="s">
        <v>1292</v>
      </c>
      <c r="D185" s="2797" t="s">
        <v>315</v>
      </c>
      <c r="E185" s="2804">
        <f t="shared" ref="E185:T185" si="292">E86</f>
        <v>79.070682134390594</v>
      </c>
      <c r="F185" s="2804">
        <f t="shared" si="292"/>
        <v>72.349999999999994</v>
      </c>
      <c r="G185" s="2807">
        <f t="shared" si="292"/>
        <v>65.83</v>
      </c>
      <c r="H185" s="5244">
        <f t="shared" si="292"/>
        <v>67.750527960591967</v>
      </c>
      <c r="I185" s="6142">
        <f>I86</f>
        <v>59.494253790444112</v>
      </c>
      <c r="J185" s="6223">
        <f t="shared" si="292"/>
        <v>58</v>
      </c>
      <c r="K185" s="6224">
        <f t="shared" si="292"/>
        <v>58</v>
      </c>
      <c r="L185" s="2808">
        <f t="shared" si="292"/>
        <v>62.393154124896355</v>
      </c>
      <c r="M185" s="2808">
        <f t="shared" si="292"/>
        <v>51.158942336490668</v>
      </c>
      <c r="N185" s="2808">
        <f t="shared" si="292"/>
        <v>72.947717383797226</v>
      </c>
      <c r="O185" s="2808">
        <f t="shared" si="292"/>
        <v>0</v>
      </c>
      <c r="P185" s="2808">
        <f t="shared" si="292"/>
        <v>0</v>
      </c>
      <c r="Q185" s="2808">
        <f t="shared" si="292"/>
        <v>0</v>
      </c>
      <c r="R185" s="2808">
        <f t="shared" si="292"/>
        <v>0</v>
      </c>
      <c r="S185" s="2808">
        <f t="shared" si="292"/>
        <v>0</v>
      </c>
      <c r="T185" s="2808">
        <f t="shared" si="292"/>
        <v>0</v>
      </c>
      <c r="U185" s="2808">
        <f>U86</f>
        <v>0</v>
      </c>
      <c r="V185" s="2808">
        <f>V86</f>
        <v>0</v>
      </c>
      <c r="W185" s="2808">
        <f>W86</f>
        <v>0</v>
      </c>
      <c r="X185" s="6615">
        <f>X86</f>
        <v>18.649981384518423</v>
      </c>
      <c r="Y185" s="4049">
        <f t="shared" ref="Y185:AM185" si="293">Y86</f>
        <v>26634505.998225939</v>
      </c>
      <c r="Z185" s="4575">
        <f t="shared" si="293"/>
        <v>2219542.1665188284</v>
      </c>
      <c r="AA185" s="3010">
        <f t="shared" si="293"/>
        <v>164.36791694885238</v>
      </c>
      <c r="AB185" s="4575">
        <f t="shared" si="293"/>
        <v>-3955550.9558102535</v>
      </c>
      <c r="AC185" s="4575">
        <f t="shared" si="293"/>
        <v>10959645.922797997</v>
      </c>
      <c r="AD185" s="4575">
        <f t="shared" si="293"/>
        <v>-17780288.012926888</v>
      </c>
      <c r="AE185" s="4575">
        <f t="shared" si="293"/>
        <v>0</v>
      </c>
      <c r="AF185" s="4575">
        <f t="shared" si="293"/>
        <v>0</v>
      </c>
      <c r="AG185" s="4575">
        <f t="shared" si="293"/>
        <v>0</v>
      </c>
      <c r="AH185" s="4575">
        <f t="shared" si="293"/>
        <v>0</v>
      </c>
      <c r="AI185" s="4575">
        <f t="shared" si="293"/>
        <v>0</v>
      </c>
      <c r="AJ185" s="4575">
        <f t="shared" si="293"/>
        <v>0</v>
      </c>
      <c r="AK185" s="4575">
        <f t="shared" si="293"/>
        <v>0</v>
      </c>
      <c r="AL185" s="4575">
        <f t="shared" si="293"/>
        <v>0</v>
      </c>
      <c r="AM185" s="4575">
        <f t="shared" si="293"/>
        <v>0</v>
      </c>
      <c r="AN185" s="4017">
        <f t="shared" si="282"/>
        <v>-10776193.045939144</v>
      </c>
      <c r="AO185" s="4049">
        <f t="shared" ref="AO185:AX185" si="294">AO86</f>
        <v>164.36791694885238</v>
      </c>
      <c r="AP185" s="3010">
        <f t="shared" si="294"/>
        <v>-318.87903678974675</v>
      </c>
      <c r="AQ185" s="3010">
        <f t="shared" si="294"/>
        <v>916.88425993487874</v>
      </c>
      <c r="AR185" s="3010">
        <f t="shared" si="294"/>
        <v>-1364.4502776378731</v>
      </c>
      <c r="AS185" s="3010" t="e">
        <f t="shared" si="294"/>
        <v>#DIV/0!</v>
      </c>
      <c r="AT185" s="3010" t="e">
        <f t="shared" si="294"/>
        <v>#DIV/0!</v>
      </c>
      <c r="AU185" s="3010" t="e">
        <f t="shared" si="294"/>
        <v>#DIV/0!</v>
      </c>
      <c r="AV185" s="4049" t="e">
        <f t="shared" si="294"/>
        <v>#DIV/0!</v>
      </c>
      <c r="AW185" s="5459" t="e">
        <f t="shared" si="294"/>
        <v>#DIV/0!</v>
      </c>
      <c r="AX185" s="3887" t="e">
        <f t="shared" si="294"/>
        <v>#DIV/0!</v>
      </c>
      <c r="AY185" s="5459" t="e">
        <f>AY86</f>
        <v>#DIV/0!</v>
      </c>
      <c r="AZ185" s="5374"/>
      <c r="BA185" s="5384"/>
      <c r="BB185" s="3010">
        <f>BB86</f>
        <v>-288.21989280581539</v>
      </c>
      <c r="BC185" s="743"/>
      <c r="BF185" s="7672"/>
      <c r="BG185" s="7661"/>
      <c r="BH185" s="5157" t="s">
        <v>1292</v>
      </c>
      <c r="BI185" s="3085" t="s">
        <v>315</v>
      </c>
      <c r="BJ185" s="5241">
        <v>79.070682134390594</v>
      </c>
      <c r="BK185" s="5241">
        <v>72.349999999999994</v>
      </c>
      <c r="BL185" s="5244">
        <v>65.83</v>
      </c>
      <c r="BM185" s="5241">
        <v>67.750527960591967</v>
      </c>
      <c r="BN185" s="6414">
        <v>60.084905053672479</v>
      </c>
      <c r="BO185" s="6360">
        <v>58</v>
      </c>
      <c r="BP185" s="6361">
        <v>58</v>
      </c>
      <c r="BQ185" s="6348"/>
      <c r="BR185" s="5459">
        <v>34257187.938746415</v>
      </c>
      <c r="BS185" s="4575">
        <v>2854765.6615622011</v>
      </c>
      <c r="BT185" s="5215">
        <v>211.40931325672614</v>
      </c>
      <c r="BU185" s="4575"/>
      <c r="BV185" s="4575"/>
      <c r="BW185" s="5416"/>
      <c r="BX185" s="7769" t="s">
        <v>1839</v>
      </c>
      <c r="BY185" s="7784" t="s">
        <v>1701</v>
      </c>
      <c r="BZ185" s="7773" t="s">
        <v>1838</v>
      </c>
      <c r="CA185" s="7771" t="s">
        <v>1700</v>
      </c>
    </row>
    <row r="186" spans="1:79" s="286" customFormat="1" ht="17.45" customHeight="1">
      <c r="A186" s="7672"/>
      <c r="B186" s="2888" t="s">
        <v>1331</v>
      </c>
      <c r="C186" s="2892" t="s">
        <v>1328</v>
      </c>
      <c r="D186" s="2360" t="s">
        <v>1321</v>
      </c>
      <c r="E186" s="3028">
        <f t="shared" ref="E186:T186" si="295">E93</f>
        <v>26.925635918047181</v>
      </c>
      <c r="F186" s="3028">
        <f t="shared" si="295"/>
        <v>24.51</v>
      </c>
      <c r="G186" s="3030">
        <f t="shared" si="295"/>
        <v>25.5164081871166</v>
      </c>
      <c r="H186" s="3575">
        <f t="shared" si="295"/>
        <v>24.863893783777399</v>
      </c>
      <c r="I186" s="6145">
        <f>I93</f>
        <v>24.336999999999996</v>
      </c>
      <c r="J186" s="6200">
        <f t="shared" si="295"/>
        <v>24.336999999999996</v>
      </c>
      <c r="K186" s="6201">
        <f t="shared" si="295"/>
        <v>24.336999999999996</v>
      </c>
      <c r="L186" s="3031">
        <f t="shared" si="295"/>
        <v>24.97</v>
      </c>
      <c r="M186" s="3031">
        <f t="shared" si="295"/>
        <v>25.808281338627342</v>
      </c>
      <c r="N186" s="3031">
        <f t="shared" si="295"/>
        <v>24.73</v>
      </c>
      <c r="O186" s="3031">
        <f t="shared" si="295"/>
        <v>0</v>
      </c>
      <c r="P186" s="3031">
        <f t="shared" si="295"/>
        <v>0</v>
      </c>
      <c r="Q186" s="3031">
        <f t="shared" si="295"/>
        <v>0</v>
      </c>
      <c r="R186" s="3031">
        <f t="shared" si="295"/>
        <v>0</v>
      </c>
      <c r="S186" s="3031">
        <f t="shared" si="295"/>
        <v>0</v>
      </c>
      <c r="T186" s="3031">
        <f t="shared" si="295"/>
        <v>0</v>
      </c>
      <c r="U186" s="3031">
        <f>U93</f>
        <v>0</v>
      </c>
      <c r="V186" s="3031">
        <f>V93</f>
        <v>0</v>
      </c>
      <c r="W186" s="3031">
        <f>W93</f>
        <v>0</v>
      </c>
      <c r="X186" s="6602">
        <f>X93</f>
        <v>7.5508281338627343</v>
      </c>
      <c r="Y186" s="4049">
        <f t="shared" ref="Y186:AM186" si="296">Y93</f>
        <v>0</v>
      </c>
      <c r="Z186" s="4575">
        <f t="shared" si="296"/>
        <v>0</v>
      </c>
      <c r="AA186" s="3010">
        <f t="shared" si="296"/>
        <v>0</v>
      </c>
      <c r="AB186" s="4575">
        <f t="shared" si="296"/>
        <v>-30725189.62695013</v>
      </c>
      <c r="AC186" s="4575">
        <f t="shared" si="296"/>
        <v>-68815707.711660296</v>
      </c>
      <c r="AD186" s="4575">
        <f t="shared" si="296"/>
        <v>-20039342.859900214</v>
      </c>
      <c r="AE186" s="4575">
        <f t="shared" si="296"/>
        <v>0</v>
      </c>
      <c r="AF186" s="4575">
        <f t="shared" si="296"/>
        <v>0</v>
      </c>
      <c r="AG186" s="4575">
        <f t="shared" si="296"/>
        <v>0</v>
      </c>
      <c r="AH186" s="4575">
        <f t="shared" si="296"/>
        <v>0</v>
      </c>
      <c r="AI186" s="4575">
        <f t="shared" si="296"/>
        <v>0</v>
      </c>
      <c r="AJ186" s="4575">
        <f t="shared" si="296"/>
        <v>0</v>
      </c>
      <c r="AK186" s="4575">
        <f t="shared" si="296"/>
        <v>0</v>
      </c>
      <c r="AL186" s="4575">
        <f t="shared" si="296"/>
        <v>0</v>
      </c>
      <c r="AM186" s="4575">
        <f t="shared" si="296"/>
        <v>0</v>
      </c>
      <c r="AN186" s="4017">
        <f t="shared" si="282"/>
        <v>-119580240.19851065</v>
      </c>
      <c r="AO186" s="4049">
        <f t="shared" ref="AO186:AX186" si="297">AO93</f>
        <v>0</v>
      </c>
      <c r="AP186" s="3010">
        <f t="shared" si="297"/>
        <v>-2476.9290000000101</v>
      </c>
      <c r="AQ186" s="3010">
        <f t="shared" si="297"/>
        <v>-5757.1238780488056</v>
      </c>
      <c r="AR186" s="3010">
        <f t="shared" si="297"/>
        <v>-1537.8090000000163</v>
      </c>
      <c r="AS186" s="3010" t="e">
        <f t="shared" si="297"/>
        <v>#DIV/0!</v>
      </c>
      <c r="AT186" s="3010" t="e">
        <f t="shared" si="297"/>
        <v>#DIV/0!</v>
      </c>
      <c r="AU186" s="3010" t="e">
        <f t="shared" si="297"/>
        <v>#DIV/0!</v>
      </c>
      <c r="AV186" s="4049" t="e">
        <f t="shared" si="297"/>
        <v>#DIV/0!</v>
      </c>
      <c r="AW186" s="5459" t="e">
        <f t="shared" si="297"/>
        <v>#DIV/0!</v>
      </c>
      <c r="AX186" s="3887" t="e">
        <f t="shared" si="297"/>
        <v>#DIV/0!</v>
      </c>
      <c r="AY186" s="5459" t="e">
        <f>AY93</f>
        <v>#DIV/0!</v>
      </c>
      <c r="AZ186" s="5374"/>
      <c r="BA186" s="5384"/>
      <c r="BB186" s="3010">
        <f>BB93</f>
        <v>-3198.2912578478908</v>
      </c>
      <c r="BC186" s="743"/>
      <c r="BF186" s="7672"/>
      <c r="BG186" s="5157" t="s">
        <v>1331</v>
      </c>
      <c r="BH186" s="3349" t="s">
        <v>1328</v>
      </c>
      <c r="BI186" s="4341" t="s">
        <v>1321</v>
      </c>
      <c r="BJ186" s="3574">
        <v>26.925635918047181</v>
      </c>
      <c r="BK186" s="3574">
        <v>24.51</v>
      </c>
      <c r="BL186" s="3575">
        <v>25.57</v>
      </c>
      <c r="BM186" s="3574">
        <v>24.881323443696086</v>
      </c>
      <c r="BN186" s="5245">
        <v>24.336999999999996</v>
      </c>
      <c r="BO186" s="6362">
        <v>24.336999999999996</v>
      </c>
      <c r="BP186" s="6363">
        <v>24.336999999999996</v>
      </c>
      <c r="BQ186" s="6349"/>
      <c r="BR186" s="5459">
        <v>0</v>
      </c>
      <c r="BS186" s="4575">
        <v>0</v>
      </c>
      <c r="BT186" s="5215">
        <v>0</v>
      </c>
      <c r="BU186" s="4575"/>
      <c r="BV186" s="4575"/>
      <c r="BW186" s="5416"/>
      <c r="BX186" s="7770"/>
      <c r="BY186" s="7785"/>
      <c r="BZ186" s="7774"/>
      <c r="CA186" s="7772"/>
    </row>
    <row r="187" spans="1:79" s="286" customFormat="1" ht="17.45" customHeight="1">
      <c r="A187" s="7672"/>
      <c r="B187" s="7652" t="s">
        <v>1429</v>
      </c>
      <c r="C187" s="7653"/>
      <c r="D187" s="1668" t="s">
        <v>700</v>
      </c>
      <c r="E187" s="3058">
        <f t="shared" ref="E187:T187" si="298">E99</f>
        <v>7519.3209617538841</v>
      </c>
      <c r="F187" s="3058">
        <f t="shared" si="298"/>
        <v>5677</v>
      </c>
      <c r="G187" s="3059">
        <f t="shared" si="298"/>
        <v>4118</v>
      </c>
      <c r="H187" s="5247">
        <f t="shared" si="298"/>
        <v>4571.6205676967529</v>
      </c>
      <c r="I187" s="6146">
        <f>I99</f>
        <v>4183.5830391436812</v>
      </c>
      <c r="J187" s="6225">
        <f t="shared" si="298"/>
        <v>4000</v>
      </c>
      <c r="K187" s="6226">
        <f t="shared" si="298"/>
        <v>4000</v>
      </c>
      <c r="L187" s="3060">
        <f t="shared" si="298"/>
        <v>4656.855266817417</v>
      </c>
      <c r="M187" s="3060">
        <f t="shared" si="298"/>
        <v>5483.0622748499563</v>
      </c>
      <c r="N187" s="3060">
        <f t="shared" si="298"/>
        <v>5551.301118094405</v>
      </c>
      <c r="O187" s="3060">
        <f t="shared" si="298"/>
        <v>0</v>
      </c>
      <c r="P187" s="3060">
        <f t="shared" si="298"/>
        <v>0</v>
      </c>
      <c r="Q187" s="3060">
        <f t="shared" si="298"/>
        <v>0</v>
      </c>
      <c r="R187" s="3060">
        <f t="shared" si="298"/>
        <v>0</v>
      </c>
      <c r="S187" s="3060">
        <f t="shared" si="298"/>
        <v>0</v>
      </c>
      <c r="T187" s="3060">
        <f t="shared" si="298"/>
        <v>0</v>
      </c>
      <c r="U187" s="3060">
        <f>U99</f>
        <v>0</v>
      </c>
      <c r="V187" s="3060">
        <f>V99</f>
        <v>0</v>
      </c>
      <c r="W187" s="3060">
        <f>W99</f>
        <v>0</v>
      </c>
      <c r="X187" s="6616">
        <f>X99</f>
        <v>1569.1218659761778</v>
      </c>
      <c r="Y187" s="4049">
        <f t="shared" ref="Y187:AM187" si="299">Y99</f>
        <v>29742288.171667784</v>
      </c>
      <c r="Z187" s="4575">
        <f t="shared" si="299"/>
        <v>2478524.0143056489</v>
      </c>
      <c r="AA187" s="3010">
        <f t="shared" si="299"/>
        <v>183.54678522647083</v>
      </c>
      <c r="AB187" s="4575">
        <f t="shared" si="299"/>
        <v>-5870729.0117902411</v>
      </c>
      <c r="AC187" s="4575">
        <f t="shared" si="299"/>
        <v>-15532857.231490105</v>
      </c>
      <c r="AD187" s="4575">
        <f t="shared" si="299"/>
        <v>-17822871.058614776</v>
      </c>
      <c r="AE187" s="4575">
        <f t="shared" si="299"/>
        <v>0</v>
      </c>
      <c r="AF187" s="4575">
        <f t="shared" si="299"/>
        <v>0</v>
      </c>
      <c r="AG187" s="4575">
        <f t="shared" si="299"/>
        <v>0</v>
      </c>
      <c r="AH187" s="4575">
        <f t="shared" si="299"/>
        <v>0</v>
      </c>
      <c r="AI187" s="4575">
        <f t="shared" si="299"/>
        <v>0</v>
      </c>
      <c r="AJ187" s="4575">
        <f t="shared" si="299"/>
        <v>0</v>
      </c>
      <c r="AK187" s="4575">
        <f t="shared" si="299"/>
        <v>0</v>
      </c>
      <c r="AL187" s="4575">
        <f t="shared" si="299"/>
        <v>0</v>
      </c>
      <c r="AM187" s="4575">
        <f t="shared" si="299"/>
        <v>0</v>
      </c>
      <c r="AN187" s="4017">
        <f t="shared" si="282"/>
        <v>-39226457.301895127</v>
      </c>
      <c r="AO187" s="4049">
        <f t="shared" ref="AO187:AX187" si="300">AO99</f>
        <v>183.54678522647083</v>
      </c>
      <c r="AP187" s="3010">
        <f t="shared" si="300"/>
        <v>-473.27222767373587</v>
      </c>
      <c r="AQ187" s="3010">
        <f t="shared" si="300"/>
        <v>-1299.4792357062752</v>
      </c>
      <c r="AR187" s="3010">
        <f t="shared" si="300"/>
        <v>-1367.7180789507236</v>
      </c>
      <c r="AS187" s="3010" t="e">
        <f t="shared" si="300"/>
        <v>#DIV/0!</v>
      </c>
      <c r="AT187" s="3010" t="e">
        <f t="shared" si="300"/>
        <v>#DIV/0!</v>
      </c>
      <c r="AU187" s="3010" t="e">
        <f t="shared" si="300"/>
        <v>#DIV/0!</v>
      </c>
      <c r="AV187" s="4049" t="e">
        <f t="shared" si="300"/>
        <v>#DIV/0!</v>
      </c>
      <c r="AW187" s="5459" t="e">
        <f t="shared" si="300"/>
        <v>#DIV/0!</v>
      </c>
      <c r="AX187" s="3887" t="e">
        <f t="shared" si="300"/>
        <v>#DIV/0!</v>
      </c>
      <c r="AY187" s="5459" t="e">
        <f>AY99</f>
        <v>#DIV/0!</v>
      </c>
      <c r="AZ187" s="5372"/>
      <c r="BA187" s="4132"/>
      <c r="BB187" s="3010">
        <f>BB99</f>
        <v>-1049.1502212800983</v>
      </c>
      <c r="BC187" s="743"/>
      <c r="BF187" s="7672"/>
      <c r="BG187" s="7656" t="s">
        <v>1429</v>
      </c>
      <c r="BH187" s="7657"/>
      <c r="BI187" s="3084" t="s">
        <v>330</v>
      </c>
      <c r="BJ187" s="5245">
        <v>7519.3209617538841</v>
      </c>
      <c r="BK187" s="5246">
        <v>5677</v>
      </c>
      <c r="BL187" s="5247">
        <v>4118</v>
      </c>
      <c r="BM187" s="5247">
        <v>4571.6205676967529</v>
      </c>
      <c r="BN187" s="6409">
        <v>4183.5830391436812</v>
      </c>
      <c r="BO187" s="6364">
        <v>4000</v>
      </c>
      <c r="BP187" s="6365">
        <v>4000</v>
      </c>
      <c r="BQ187" s="6350"/>
      <c r="BR187" s="5459">
        <v>29742288.171667784</v>
      </c>
      <c r="BS187" s="4575">
        <v>2478524.0143056489</v>
      </c>
      <c r="BT187" s="5215">
        <v>183.54678522647083</v>
      </c>
      <c r="BU187" s="4575"/>
      <c r="BV187" s="4575"/>
      <c r="BW187" s="5416"/>
      <c r="BX187" s="7770"/>
      <c r="BY187" s="7786"/>
      <c r="BZ187" s="7774"/>
      <c r="CA187" s="7772"/>
    </row>
    <row r="188" spans="1:79" s="286" customFormat="1" ht="18" customHeight="1" thickBot="1">
      <c r="A188" s="7672"/>
      <c r="B188" s="7687" t="s">
        <v>1438</v>
      </c>
      <c r="C188" s="7688"/>
      <c r="D188" s="2627" t="s">
        <v>1432</v>
      </c>
      <c r="E188" s="3073"/>
      <c r="F188" s="3073"/>
      <c r="G188" s="3074"/>
      <c r="H188" s="3074"/>
      <c r="I188" s="6141"/>
      <c r="J188" s="5431"/>
      <c r="K188" s="5432"/>
      <c r="L188" s="3888"/>
      <c r="M188" s="3888"/>
      <c r="N188" s="3888"/>
      <c r="O188" s="3888"/>
      <c r="P188" s="3888"/>
      <c r="Q188" s="3888"/>
      <c r="R188" s="3888"/>
      <c r="S188" s="3888"/>
      <c r="T188" s="3888"/>
      <c r="U188" s="3888"/>
      <c r="V188" s="3888"/>
      <c r="W188" s="3888"/>
      <c r="X188" s="5424"/>
      <c r="Y188" s="5359">
        <f>협력사!D27*1000</f>
        <v>69073143</v>
      </c>
      <c r="Z188" s="2825">
        <f>Y188/12</f>
        <v>5756095.25</v>
      </c>
      <c r="AA188" s="3011">
        <f>Y188/년간!E11</f>
        <v>426.26691228200099</v>
      </c>
      <c r="AB188" s="2825">
        <f>협력사!E27*1000</f>
        <v>9730084.9529694077</v>
      </c>
      <c r="AC188" s="2825">
        <f>협력사!F27*1000</f>
        <v>13718265.811817637</v>
      </c>
      <c r="AD188" s="2825">
        <f>협력사!G27*1000</f>
        <v>9852547.2737852447</v>
      </c>
      <c r="AE188" s="2825">
        <f>협력사!H27*1000</f>
        <v>0</v>
      </c>
      <c r="AF188" s="2825">
        <f>협력사!I27*1000</f>
        <v>0</v>
      </c>
      <c r="AG188" s="2825">
        <f>협력사!J27*1000</f>
        <v>0</v>
      </c>
      <c r="AH188" s="2825">
        <f>협력사!K27*1000</f>
        <v>0</v>
      </c>
      <c r="AI188" s="2825">
        <f>협력사!L27*1000</f>
        <v>0</v>
      </c>
      <c r="AJ188" s="2825">
        <f>협력사!M27*1000</f>
        <v>0</v>
      </c>
      <c r="AK188" s="2825">
        <f>협력사!N27*1000</f>
        <v>0</v>
      </c>
      <c r="AL188" s="2825">
        <f>협력사!O27*1000</f>
        <v>0</v>
      </c>
      <c r="AM188" s="2825">
        <f>협력사!P27*1000</f>
        <v>0</v>
      </c>
      <c r="AN188" s="4017">
        <f t="shared" si="282"/>
        <v>33300898.038572289</v>
      </c>
      <c r="AO188" s="5359">
        <f>Z188/(년간!E11/12)</f>
        <v>426.26691228200099</v>
      </c>
      <c r="AP188" s="3011">
        <f>AB188/년간!F11</f>
        <v>784.39644751074457</v>
      </c>
      <c r="AQ188" s="3011">
        <f>AC188/년간!G11</f>
        <v>1147.6704708401003</v>
      </c>
      <c r="AR188" s="3011">
        <f>AD188/년간!H11</f>
        <v>756.07947708061829</v>
      </c>
      <c r="AS188" s="3011" t="e">
        <f>AE188/년간!I11</f>
        <v>#DIV/0!</v>
      </c>
      <c r="AT188" s="3011" t="e">
        <f>AF188/년간!J11</f>
        <v>#DIV/0!</v>
      </c>
      <c r="AU188" s="3011" t="e">
        <f>AG188/년간!K11</f>
        <v>#DIV/0!</v>
      </c>
      <c r="AV188" s="5359" t="e">
        <f>AH188/년간!L11</f>
        <v>#DIV/0!</v>
      </c>
      <c r="AW188" s="5462" t="e">
        <f>AI188/년간!M11</f>
        <v>#DIV/0!</v>
      </c>
      <c r="AX188" s="5231" t="e">
        <f>AJ188/년간!N11</f>
        <v>#DIV/0!</v>
      </c>
      <c r="AY188" s="5462" t="e">
        <f>AK188/년간!O11</f>
        <v>#DIV/0!</v>
      </c>
      <c r="AZ188" s="5372"/>
      <c r="BA188" s="4132"/>
      <c r="BB188" s="3011">
        <f>AN188/년간!V11</f>
        <v>890.66530472294744</v>
      </c>
      <c r="BC188" s="743"/>
      <c r="BF188" s="7672"/>
      <c r="BG188" s="7687" t="s">
        <v>1438</v>
      </c>
      <c r="BH188" s="7688"/>
      <c r="BI188" s="2627" t="s">
        <v>1431</v>
      </c>
      <c r="BJ188" s="3073"/>
      <c r="BK188" s="3073"/>
      <c r="BL188" s="3074"/>
      <c r="BM188" s="3074"/>
      <c r="BN188" s="4345"/>
      <c r="BO188" s="5431"/>
      <c r="BP188" s="5238"/>
      <c r="BQ188" s="3888"/>
      <c r="BR188" s="5462">
        <v>69073143</v>
      </c>
      <c r="BS188" s="2825">
        <v>5756095.25</v>
      </c>
      <c r="BT188" s="5216">
        <v>426.26691228200099</v>
      </c>
      <c r="BU188" s="4575"/>
      <c r="BV188" s="4575"/>
      <c r="BW188" s="5417"/>
      <c r="BX188" s="4703">
        <v>64371.54080029796</v>
      </c>
      <c r="BY188" s="4703">
        <v>64371.54080029796</v>
      </c>
      <c r="BZ188" s="4709">
        <v>64199.383452329646</v>
      </c>
      <c r="CA188" s="5419">
        <v>71166.482833912247</v>
      </c>
    </row>
    <row r="189" spans="1:79" s="286" customFormat="1" ht="18" customHeight="1" thickBot="1">
      <c r="A189" s="7672"/>
      <c r="B189" s="7673" t="s">
        <v>1981</v>
      </c>
      <c r="C189" s="7674"/>
      <c r="D189" s="7674"/>
      <c r="E189" s="7674"/>
      <c r="F189" s="7674"/>
      <c r="G189" s="7674"/>
      <c r="H189" s="7674"/>
      <c r="I189" s="7674"/>
      <c r="J189" s="7674"/>
      <c r="K189" s="7674"/>
      <c r="L189" s="7674"/>
      <c r="M189" s="7674"/>
      <c r="N189" s="7674"/>
      <c r="O189" s="7674"/>
      <c r="P189" s="7674"/>
      <c r="Q189" s="7674"/>
      <c r="R189" s="7674"/>
      <c r="S189" s="7674"/>
      <c r="T189" s="7674"/>
      <c r="U189" s="7674"/>
      <c r="V189" s="7674"/>
      <c r="W189" s="7674"/>
      <c r="X189" s="7674"/>
      <c r="Y189" s="4050">
        <f>SUM(Y183:Y188)</f>
        <v>887761734.52683759</v>
      </c>
      <c r="Z189" s="2823">
        <f t="shared" ref="Z189:BB189" si="301">SUM(Z183:Z188)</f>
        <v>73980144.543903127</v>
      </c>
      <c r="AA189" s="3012">
        <f t="shared" si="301"/>
        <v>5478.5903316846106</v>
      </c>
      <c r="AB189" s="5232">
        <f t="shared" si="301"/>
        <v>-90401230.350155801</v>
      </c>
      <c r="AC189" s="2823">
        <f t="shared" si="301"/>
        <v>-119139813.57226439</v>
      </c>
      <c r="AD189" s="2823">
        <f t="shared" si="301"/>
        <v>-122625124.26520622</v>
      </c>
      <c r="AE189" s="2823" t="e">
        <f t="shared" si="301"/>
        <v>#DIV/0!</v>
      </c>
      <c r="AF189" s="2823" t="e">
        <f t="shared" si="301"/>
        <v>#DIV/0!</v>
      </c>
      <c r="AG189" s="2823" t="e">
        <f t="shared" si="301"/>
        <v>#DIV/0!</v>
      </c>
      <c r="AH189" s="2823" t="e">
        <f t="shared" si="301"/>
        <v>#DIV/0!</v>
      </c>
      <c r="AI189" s="2823" t="e">
        <f t="shared" si="301"/>
        <v>#DIV/0!</v>
      </c>
      <c r="AJ189" s="2823" t="e">
        <f t="shared" si="301"/>
        <v>#DIV/0!</v>
      </c>
      <c r="AK189" s="2823" t="e">
        <f t="shared" si="301"/>
        <v>#DIV/0!</v>
      </c>
      <c r="AL189" s="2823">
        <f t="shared" si="301"/>
        <v>0</v>
      </c>
      <c r="AM189" s="2823">
        <f t="shared" si="301"/>
        <v>0</v>
      </c>
      <c r="AN189" s="3012" t="e">
        <f t="shared" si="301"/>
        <v>#DIV/0!</v>
      </c>
      <c r="AO189" s="5232">
        <f t="shared" si="301"/>
        <v>5478.5903316846106</v>
      </c>
      <c r="AP189" s="2823">
        <f t="shared" si="301"/>
        <v>-7287.7476692145829</v>
      </c>
      <c r="AQ189" s="2823">
        <f t="shared" si="301"/>
        <v>-9967.2398693786199</v>
      </c>
      <c r="AR189" s="2823">
        <f t="shared" si="301"/>
        <v>-9410.1897971166054</v>
      </c>
      <c r="AS189" s="2823" t="e">
        <f t="shared" si="301"/>
        <v>#DIV/0!</v>
      </c>
      <c r="AT189" s="2823" t="e">
        <f t="shared" si="301"/>
        <v>#DIV/0!</v>
      </c>
      <c r="AU189" s="2823" t="e">
        <f t="shared" si="301"/>
        <v>#DIV/0!</v>
      </c>
      <c r="AV189" s="2823" t="e">
        <f t="shared" si="301"/>
        <v>#DIV/0!</v>
      </c>
      <c r="AW189" s="2823" t="e">
        <f t="shared" si="301"/>
        <v>#DIV/0!</v>
      </c>
      <c r="AX189" s="2823" t="e">
        <f t="shared" si="301"/>
        <v>#DIV/0!</v>
      </c>
      <c r="AY189" s="2823" t="e">
        <f t="shared" si="301"/>
        <v>#DIV/0!</v>
      </c>
      <c r="AZ189" s="2823">
        <f t="shared" si="301"/>
        <v>0</v>
      </c>
      <c r="BA189" s="2823">
        <f t="shared" si="301"/>
        <v>0</v>
      </c>
      <c r="BB189" s="3012" t="e">
        <f t="shared" si="301"/>
        <v>#DIV/0!</v>
      </c>
      <c r="BC189" s="286" t="e">
        <f>Y189/년간!#REF!</f>
        <v>#REF!</v>
      </c>
      <c r="BF189" s="7672"/>
      <c r="BG189" s="7673" t="s">
        <v>1981</v>
      </c>
      <c r="BH189" s="7674"/>
      <c r="BI189" s="7674"/>
      <c r="BJ189" s="7674"/>
      <c r="BK189" s="7674"/>
      <c r="BL189" s="7674"/>
      <c r="BM189" s="7674"/>
      <c r="BN189" s="7674"/>
      <c r="BO189" s="7674"/>
      <c r="BP189" s="7674"/>
      <c r="BQ189" s="7674"/>
      <c r="BR189" s="5460">
        <v>771653081.07481337</v>
      </c>
      <c r="BS189" s="2823">
        <v>64304423.422901116</v>
      </c>
      <c r="BT189" s="5211">
        <v>4762.0560168031334</v>
      </c>
      <c r="BU189" s="4050"/>
      <c r="BV189" s="2823"/>
      <c r="BW189" s="5411"/>
      <c r="BX189" s="3961"/>
      <c r="BY189"/>
      <c r="BZ189" s="5255">
        <f>BY188-BZ188</f>
        <v>172.15734796831384</v>
      </c>
      <c r="CA189" s="5256">
        <f>BY188-CA188</f>
        <v>-6794.9420336142866</v>
      </c>
    </row>
    <row r="190" spans="1:79" s="286" customFormat="1" ht="18" customHeight="1" thickBot="1">
      <c r="A190" s="6429"/>
      <c r="B190" s="7673" t="s">
        <v>1986</v>
      </c>
      <c r="C190" s="7674"/>
      <c r="D190" s="7674"/>
      <c r="E190" s="7674"/>
      <c r="F190" s="7674"/>
      <c r="G190" s="7674"/>
      <c r="H190" s="7674"/>
      <c r="I190" s="7674"/>
      <c r="J190" s="7674"/>
      <c r="K190" s="7674"/>
      <c r="L190" s="7674"/>
      <c r="M190" s="7674"/>
      <c r="N190" s="7674"/>
      <c r="O190" s="7674"/>
      <c r="P190" s="7674"/>
      <c r="Q190" s="7674"/>
      <c r="R190" s="7674"/>
      <c r="S190" s="7674"/>
      <c r="T190" s="7674"/>
      <c r="U190" s="7674"/>
      <c r="V190" s="7674"/>
      <c r="W190" s="7674"/>
      <c r="X190" s="7674"/>
      <c r="Y190" s="6569">
        <f>Y182+Y189</f>
        <v>1042722343.9213777</v>
      </c>
      <c r="Z190" s="6560">
        <f t="shared" ref="Z190:BB190" si="302">Z182+Z189</f>
        <v>86893528.660114795</v>
      </c>
      <c r="AA190" s="6551">
        <f t="shared" si="302"/>
        <v>6434.8893738745373</v>
      </c>
      <c r="AB190" s="6561">
        <f t="shared" si="302"/>
        <v>-104045922.87410757</v>
      </c>
      <c r="AC190" s="6560">
        <f t="shared" si="302"/>
        <v>-124068632.29052995</v>
      </c>
      <c r="AD190" s="6560">
        <f t="shared" si="302"/>
        <v>-128834007.23519264</v>
      </c>
      <c r="AE190" s="6560" t="e">
        <f t="shared" si="302"/>
        <v>#DIV/0!</v>
      </c>
      <c r="AF190" s="6560" t="e">
        <f t="shared" si="302"/>
        <v>#DIV/0!</v>
      </c>
      <c r="AG190" s="6560" t="e">
        <f t="shared" si="302"/>
        <v>#DIV/0!</v>
      </c>
      <c r="AH190" s="6560" t="e">
        <f t="shared" si="302"/>
        <v>#DIV/0!</v>
      </c>
      <c r="AI190" s="6560" t="e">
        <f t="shared" si="302"/>
        <v>#DIV/0!</v>
      </c>
      <c r="AJ190" s="6560" t="e">
        <f t="shared" si="302"/>
        <v>#DIV/0!</v>
      </c>
      <c r="AK190" s="6560" t="e">
        <f t="shared" si="302"/>
        <v>#DIV/0!</v>
      </c>
      <c r="AL190" s="6560">
        <f t="shared" si="302"/>
        <v>0</v>
      </c>
      <c r="AM190" s="6560">
        <f t="shared" si="302"/>
        <v>0</v>
      </c>
      <c r="AN190" s="6551" t="e">
        <f t="shared" si="302"/>
        <v>#DIV/0!</v>
      </c>
      <c r="AO190" s="6561">
        <f t="shared" si="302"/>
        <v>6434.8893738745373</v>
      </c>
      <c r="AP190" s="6560">
        <f t="shared" si="302"/>
        <v>-8387.722478776539</v>
      </c>
      <c r="AQ190" s="6560">
        <f t="shared" si="302"/>
        <v>-10379.58497018607</v>
      </c>
      <c r="AR190" s="6560">
        <f t="shared" si="302"/>
        <v>-9886.6563248837483</v>
      </c>
      <c r="AS190" s="6560" t="e">
        <f t="shared" si="302"/>
        <v>#DIV/0!</v>
      </c>
      <c r="AT190" s="6560" t="e">
        <f t="shared" si="302"/>
        <v>#DIV/0!</v>
      </c>
      <c r="AU190" s="6560" t="e">
        <f t="shared" si="302"/>
        <v>#DIV/0!</v>
      </c>
      <c r="AV190" s="6560" t="e">
        <f t="shared" si="302"/>
        <v>#DIV/0!</v>
      </c>
      <c r="AW190" s="6560" t="e">
        <f t="shared" si="302"/>
        <v>#DIV/0!</v>
      </c>
      <c r="AX190" s="6560" t="e">
        <f t="shared" si="302"/>
        <v>#DIV/0!</v>
      </c>
      <c r="AY190" s="6560" t="e">
        <f t="shared" si="302"/>
        <v>#DIV/0!</v>
      </c>
      <c r="AZ190" s="6560">
        <f t="shared" si="302"/>
        <v>0</v>
      </c>
      <c r="BA190" s="6560">
        <f t="shared" si="302"/>
        <v>0</v>
      </c>
      <c r="BB190" s="6551" t="e">
        <f t="shared" si="302"/>
        <v>#DIV/0!</v>
      </c>
      <c r="BF190" s="6429"/>
      <c r="BG190" s="7673" t="s">
        <v>1986</v>
      </c>
      <c r="BH190" s="7674"/>
      <c r="BI190" s="7674"/>
      <c r="BJ190" s="7674"/>
      <c r="BK190" s="7674"/>
      <c r="BL190" s="7674"/>
      <c r="BM190" s="7674"/>
      <c r="BN190" s="7674"/>
      <c r="BO190" s="7674"/>
      <c r="BP190" s="7674"/>
      <c r="BQ190" s="7674"/>
      <c r="BR190" s="6578">
        <v>848810489.09563482</v>
      </c>
      <c r="BS190" s="6538">
        <v>70734207.424636245</v>
      </c>
      <c r="BT190" s="6537">
        <v>5238.2128651561616</v>
      </c>
      <c r="BU190" s="6554"/>
      <c r="BV190" s="6538"/>
      <c r="BW190" s="6565"/>
      <c r="BX190" s="3961"/>
      <c r="BZ190" s="5255"/>
      <c r="CA190" s="5256"/>
    </row>
    <row r="191" spans="1:79" ht="16.5">
      <c r="A191" s="7671" t="s">
        <v>1241</v>
      </c>
      <c r="B191" s="7689" t="s">
        <v>1160</v>
      </c>
      <c r="C191" s="7689"/>
      <c r="D191" s="2358" t="s">
        <v>448</v>
      </c>
      <c r="E191" s="5391">
        <f t="shared" ref="E191:L191" si="303">E6</f>
        <v>53.02000000000001</v>
      </c>
      <c r="F191" s="5391">
        <f t="shared" si="303"/>
        <v>95</v>
      </c>
      <c r="G191" s="5391">
        <f t="shared" si="303"/>
        <v>73.749999999999986</v>
      </c>
      <c r="H191" s="6150">
        <f t="shared" si="303"/>
        <v>73.5</v>
      </c>
      <c r="I191" s="6128">
        <f t="shared" si="303"/>
        <v>44.603999999999999</v>
      </c>
      <c r="J191" s="6153">
        <f t="shared" si="303"/>
        <v>37.205999999999996</v>
      </c>
      <c r="K191" s="6154">
        <f t="shared" si="303"/>
        <v>3.1004999999999998</v>
      </c>
      <c r="L191" s="3048">
        <f t="shared" si="303"/>
        <v>3.47</v>
      </c>
      <c r="M191" s="3048">
        <f t="shared" ref="M191:T191" si="304">M6</f>
        <v>0.96</v>
      </c>
      <c r="N191" s="3048">
        <f t="shared" si="304"/>
        <v>5.6</v>
      </c>
      <c r="O191" s="3048">
        <f t="shared" si="304"/>
        <v>0</v>
      </c>
      <c r="P191" s="3048">
        <f t="shared" si="304"/>
        <v>0</v>
      </c>
      <c r="Q191" s="3048">
        <f t="shared" si="304"/>
        <v>0</v>
      </c>
      <c r="R191" s="3048">
        <f t="shared" si="304"/>
        <v>0</v>
      </c>
      <c r="S191" s="3048">
        <f t="shared" si="304"/>
        <v>0</v>
      </c>
      <c r="T191" s="3048">
        <f t="shared" si="304"/>
        <v>0</v>
      </c>
      <c r="U191" s="3048">
        <f t="shared" ref="U191:AB191" si="305">U6</f>
        <v>0</v>
      </c>
      <c r="V191" s="3048">
        <f t="shared" si="305"/>
        <v>0</v>
      </c>
      <c r="W191" s="3048">
        <f t="shared" si="305"/>
        <v>0</v>
      </c>
      <c r="X191" s="6611">
        <f t="shared" si="305"/>
        <v>10.029999999999999</v>
      </c>
      <c r="Y191" s="4039">
        <f t="shared" si="305"/>
        <v>9020486.1127910037</v>
      </c>
      <c r="Z191" s="3068">
        <f t="shared" si="305"/>
        <v>751707.17606591701</v>
      </c>
      <c r="AA191" s="3069">
        <f t="shared" si="305"/>
        <v>149.37743787634426</v>
      </c>
      <c r="AB191" s="3068">
        <f t="shared" si="305"/>
        <v>301170.59608804761</v>
      </c>
      <c r="AC191" s="3068">
        <f t="shared" ref="AC191:AM191" si="306">AC6</f>
        <v>3361649.1231366298</v>
      </c>
      <c r="AD191" s="3068">
        <f t="shared" si="306"/>
        <v>-2295968.5523635373</v>
      </c>
      <c r="AE191" s="3068">
        <f t="shared" si="306"/>
        <v>4532190.7111711474</v>
      </c>
      <c r="AF191" s="3068">
        <f t="shared" si="306"/>
        <v>4532190.7111711474</v>
      </c>
      <c r="AG191" s="3068">
        <f t="shared" si="306"/>
        <v>4532190.7111711474</v>
      </c>
      <c r="AH191" s="3068">
        <f t="shared" si="306"/>
        <v>4532190.7111711474</v>
      </c>
      <c r="AI191" s="3068">
        <f t="shared" si="306"/>
        <v>4532190.7111711474</v>
      </c>
      <c r="AJ191" s="3068">
        <f t="shared" si="306"/>
        <v>4532190.7111711474</v>
      </c>
      <c r="AK191" s="3068">
        <f t="shared" si="306"/>
        <v>4532190.7111711474</v>
      </c>
      <c r="AL191" s="3068">
        <f t="shared" si="306"/>
        <v>0</v>
      </c>
      <c r="AM191" s="3068">
        <f t="shared" si="306"/>
        <v>0</v>
      </c>
      <c r="AN191" s="3069">
        <f>SUM(AB191:AM191)</f>
        <v>33092186.145059168</v>
      </c>
      <c r="AO191" s="4039">
        <f>AO6</f>
        <v>149.37743787634426</v>
      </c>
      <c r="AP191" s="3069">
        <f>AP6</f>
        <v>61.038360657634513</v>
      </c>
      <c r="AQ191" s="3069">
        <f t="shared" ref="AQ191:AX191" si="307">AQ6</f>
        <v>705.50995794970027</v>
      </c>
      <c r="AR191" s="3069">
        <f t="shared" si="307"/>
        <v>-414.06254889351038</v>
      </c>
      <c r="AS191" s="3069" t="e">
        <f t="shared" si="307"/>
        <v>#DIV/0!</v>
      </c>
      <c r="AT191" s="3069" t="e">
        <f t="shared" si="307"/>
        <v>#DIV/0!</v>
      </c>
      <c r="AU191" s="3069" t="e">
        <f t="shared" si="307"/>
        <v>#DIV/0!</v>
      </c>
      <c r="AV191" s="4039" t="e">
        <f t="shared" si="307"/>
        <v>#DIV/0!</v>
      </c>
      <c r="AW191" s="5447" t="e">
        <f t="shared" si="307"/>
        <v>#DIV/0!</v>
      </c>
      <c r="AX191" s="5220" t="e">
        <f t="shared" si="307"/>
        <v>#DIV/0!</v>
      </c>
      <c r="AY191" s="5447" t="e">
        <f>AY6</f>
        <v>#DIV/0!</v>
      </c>
      <c r="AZ191" s="5363"/>
      <c r="BA191" s="5376"/>
      <c r="BB191" s="3069">
        <f>BB6</f>
        <v>2170.8406380930905</v>
      </c>
      <c r="BF191" s="7671" t="s">
        <v>1241</v>
      </c>
      <c r="BG191" s="7689" t="s">
        <v>1160</v>
      </c>
      <c r="BH191" s="7689"/>
      <c r="BI191" s="2358" t="s">
        <v>1390</v>
      </c>
      <c r="BJ191" s="2263">
        <v>53.02000000000001</v>
      </c>
      <c r="BK191" s="2261">
        <v>95</v>
      </c>
      <c r="BL191" s="2262">
        <v>73.749999999999986</v>
      </c>
      <c r="BM191" s="2826">
        <v>73.5</v>
      </c>
      <c r="BN191" s="6406">
        <v>57.283200000000001</v>
      </c>
      <c r="BO191" s="6366">
        <v>37.205999999999996</v>
      </c>
      <c r="BP191" s="6367">
        <v>3.1004999999999998</v>
      </c>
      <c r="BQ191" s="6351"/>
      <c r="BR191" s="5448">
        <v>25358190.927510671</v>
      </c>
      <c r="BS191" s="4004">
        <v>2113182.5772925559</v>
      </c>
      <c r="BT191" s="5203">
        <v>419.92654747945568</v>
      </c>
      <c r="BU191" s="4004"/>
      <c r="BV191" s="4004"/>
      <c r="BW191" s="5418"/>
    </row>
    <row r="192" spans="1:79" ht="16.5">
      <c r="A192" s="7672"/>
      <c r="B192" s="7649" t="s">
        <v>1231</v>
      </c>
      <c r="C192" s="3014" t="s">
        <v>519</v>
      </c>
      <c r="D192" s="3026" t="s">
        <v>317</v>
      </c>
      <c r="E192" s="4883">
        <f t="shared" ref="E192:K192" si="308">E14</f>
        <v>7.5697612445800431</v>
      </c>
      <c r="F192" s="4883">
        <f t="shared" si="308"/>
        <v>4.1547518923465097</v>
      </c>
      <c r="G192" s="4918">
        <f t="shared" si="308"/>
        <v>2.3977272727272729</v>
      </c>
      <c r="H192" s="4058">
        <f t="shared" si="308"/>
        <v>2.1509988324319407</v>
      </c>
      <c r="I192" s="3279">
        <f>I14</f>
        <v>2.6676841017914397</v>
      </c>
      <c r="J192" s="6157">
        <f t="shared" si="308"/>
        <v>2.0537462852644648</v>
      </c>
      <c r="K192" s="6158">
        <f t="shared" si="308"/>
        <v>2.0537462852644648</v>
      </c>
      <c r="L192" s="3051">
        <f t="shared" ref="L192:S192" si="309">L14</f>
        <v>2.6821398749929068</v>
      </c>
      <c r="M192" s="3051">
        <f t="shared" si="309"/>
        <v>2.0787642842901666</v>
      </c>
      <c r="N192" s="3051">
        <f t="shared" si="309"/>
        <v>1.2014470746513062</v>
      </c>
      <c r="O192" s="3051" t="e">
        <f t="shared" si="309"/>
        <v>#DIV/0!</v>
      </c>
      <c r="P192" s="3051" t="e">
        <f t="shared" si="309"/>
        <v>#DIV/0!</v>
      </c>
      <c r="Q192" s="3051" t="e">
        <f t="shared" si="309"/>
        <v>#DIV/0!</v>
      </c>
      <c r="R192" s="3051" t="e">
        <f t="shared" si="309"/>
        <v>#DIV/0!</v>
      </c>
      <c r="S192" s="3051" t="e">
        <f t="shared" si="309"/>
        <v>#DIV/0!</v>
      </c>
      <c r="T192" s="3051" t="e">
        <f t="shared" ref="T192:AA192" si="310">T14</f>
        <v>#DIV/0!</v>
      </c>
      <c r="U192" s="3051" t="e">
        <f t="shared" si="310"/>
        <v>#DIV/0!</v>
      </c>
      <c r="V192" s="3051" t="e">
        <f t="shared" si="310"/>
        <v>#DIV/0!</v>
      </c>
      <c r="W192" s="3051" t="e">
        <f t="shared" si="310"/>
        <v>#DIV/0!</v>
      </c>
      <c r="X192" s="6597">
        <f t="shared" si="310"/>
        <v>1.9549395005887582</v>
      </c>
      <c r="Y192" s="4041">
        <f t="shared" si="310"/>
        <v>45204840.025501154</v>
      </c>
      <c r="Z192" s="4005">
        <f t="shared" si="310"/>
        <v>3767070.002125096</v>
      </c>
      <c r="AA192" s="3008">
        <f t="shared" si="310"/>
        <v>748.58306949159328</v>
      </c>
      <c r="AB192" s="4005">
        <f t="shared" ref="AB192:AI192" si="311">AB14</f>
        <v>-86969.435002207916</v>
      </c>
      <c r="AC192" s="4005">
        <f t="shared" si="311"/>
        <v>3421535.2408533767</v>
      </c>
      <c r="AD192" s="4005">
        <f t="shared" si="311"/>
        <v>9913334.9874998108</v>
      </c>
      <c r="AE192" s="4005" t="e">
        <f t="shared" si="311"/>
        <v>#DIV/0!</v>
      </c>
      <c r="AF192" s="4005" t="e">
        <f t="shared" si="311"/>
        <v>#DIV/0!</v>
      </c>
      <c r="AG192" s="4005" t="e">
        <f t="shared" si="311"/>
        <v>#DIV/0!</v>
      </c>
      <c r="AH192" s="4005" t="e">
        <f t="shared" si="311"/>
        <v>#DIV/0!</v>
      </c>
      <c r="AI192" s="4005" t="e">
        <f t="shared" si="311"/>
        <v>#DIV/0!</v>
      </c>
      <c r="AJ192" s="4005" t="e">
        <f>AJ14</f>
        <v>#DIV/0!</v>
      </c>
      <c r="AK192" s="4005" t="e">
        <f>AK14</f>
        <v>#DIV/0!</v>
      </c>
      <c r="AL192" s="4005">
        <f>AL14</f>
        <v>0</v>
      </c>
      <c r="AM192" s="4005">
        <f>AM14</f>
        <v>0</v>
      </c>
      <c r="AN192" s="3008" t="e">
        <f>SUM(AB192:AM192)</f>
        <v>#DIV/0!</v>
      </c>
      <c r="AO192" s="4041">
        <f>AO14</f>
        <v>748.58306949159328</v>
      </c>
      <c r="AP192" s="3008">
        <f t="shared" ref="AP192:AW192" si="312">AP14</f>
        <v>-17.62612887449189</v>
      </c>
      <c r="AQ192" s="3008">
        <f t="shared" si="312"/>
        <v>718.07826916972761</v>
      </c>
      <c r="AR192" s="3008">
        <f t="shared" si="312"/>
        <v>1787.8035606079391</v>
      </c>
      <c r="AS192" s="3008" t="e">
        <f t="shared" si="312"/>
        <v>#DIV/0!</v>
      </c>
      <c r="AT192" s="3008" t="e">
        <f t="shared" si="312"/>
        <v>#DIV/0!</v>
      </c>
      <c r="AU192" s="3008" t="e">
        <f t="shared" si="312"/>
        <v>#DIV/0!</v>
      </c>
      <c r="AV192" s="4041" t="e">
        <f t="shared" si="312"/>
        <v>#DIV/0!</v>
      </c>
      <c r="AW192" s="5365" t="e">
        <f t="shared" si="312"/>
        <v>#DIV/0!</v>
      </c>
      <c r="AX192" s="3953" t="e">
        <f>AX14</f>
        <v>#DIV/0!</v>
      </c>
      <c r="AY192" s="5365" t="e">
        <f>AY14</f>
        <v>#DIV/0!</v>
      </c>
      <c r="AZ192" s="3500"/>
      <c r="BA192" s="5378"/>
      <c r="BB192" s="3008" t="e">
        <f>BB14</f>
        <v>#DIV/0!</v>
      </c>
      <c r="BF192" s="7672"/>
      <c r="BG192" s="7733" t="s">
        <v>1231</v>
      </c>
      <c r="BH192" s="5163" t="s">
        <v>519</v>
      </c>
      <c r="BI192" s="4031" t="s">
        <v>317</v>
      </c>
      <c r="BJ192" s="4127">
        <v>7.5697612445800431</v>
      </c>
      <c r="BK192" s="6401">
        <v>4.1547518923465097</v>
      </c>
      <c r="BL192" s="4918">
        <v>2.3977272727272729</v>
      </c>
      <c r="BM192" s="3836">
        <v>2.1509988324319407</v>
      </c>
      <c r="BN192" s="6412">
        <v>2.3372129671319222</v>
      </c>
      <c r="BO192" s="6397">
        <v>2.0537462852644648</v>
      </c>
      <c r="BP192" s="5248">
        <v>2.0537462852644648</v>
      </c>
      <c r="BQ192" s="6322"/>
      <c r="BR192" s="5365">
        <v>21620318.045328248</v>
      </c>
      <c r="BS192" s="4005">
        <v>1801693.1704440205</v>
      </c>
      <c r="BT192" s="4686">
        <v>358.02812346257997</v>
      </c>
      <c r="BU192" s="4005"/>
      <c r="BV192" s="4005"/>
      <c r="BW192" s="5413"/>
    </row>
    <row r="193" spans="1:79" ht="16.5">
      <c r="A193" s="7672"/>
      <c r="B193" s="7650"/>
      <c r="C193" s="3014" t="s">
        <v>1033</v>
      </c>
      <c r="D193" s="3026" t="s">
        <v>317</v>
      </c>
      <c r="E193" s="4883">
        <f t="shared" ref="E193:L193" si="313">E21</f>
        <v>7.7981843885154776</v>
      </c>
      <c r="F193" s="4883">
        <f t="shared" si="313"/>
        <v>6.7283431455004203</v>
      </c>
      <c r="G193" s="4918">
        <f t="shared" si="313"/>
        <v>5.5958132045088576</v>
      </c>
      <c r="H193" s="4058">
        <f t="shared" si="313"/>
        <v>5.0262406536484958</v>
      </c>
      <c r="I193" s="3279">
        <f t="shared" si="313"/>
        <v>4.5690483667398576</v>
      </c>
      <c r="J193" s="6157">
        <f t="shared" si="313"/>
        <v>4.5182418275818224</v>
      </c>
      <c r="K193" s="6158">
        <f t="shared" si="313"/>
        <v>4.5182418275818224</v>
      </c>
      <c r="L193" s="3051">
        <f t="shared" si="313"/>
        <v>3.8953247995589892</v>
      </c>
      <c r="M193" s="3051">
        <f t="shared" ref="M193:T193" si="314">M21</f>
        <v>4.3149312150434955</v>
      </c>
      <c r="N193" s="3051">
        <f t="shared" si="314"/>
        <v>3.6573621545974917</v>
      </c>
      <c r="O193" s="3051" t="e">
        <f t="shared" si="314"/>
        <v>#DIV/0!</v>
      </c>
      <c r="P193" s="3051" t="e">
        <f t="shared" si="314"/>
        <v>#DIV/0!</v>
      </c>
      <c r="Q193" s="3051" t="e">
        <f t="shared" si="314"/>
        <v>#DIV/0!</v>
      </c>
      <c r="R193" s="3051" t="e">
        <f t="shared" si="314"/>
        <v>#DIV/0!</v>
      </c>
      <c r="S193" s="3051" t="e">
        <f t="shared" si="314"/>
        <v>#DIV/0!</v>
      </c>
      <c r="T193" s="3051" t="e">
        <f t="shared" si="314"/>
        <v>#DIV/0!</v>
      </c>
      <c r="U193" s="3051" t="e">
        <f t="shared" ref="U193:AB193" si="315">U21</f>
        <v>#DIV/0!</v>
      </c>
      <c r="V193" s="3051" t="e">
        <f t="shared" si="315"/>
        <v>#DIV/0!</v>
      </c>
      <c r="W193" s="3051" t="e">
        <f t="shared" si="315"/>
        <v>#DIV/0!</v>
      </c>
      <c r="X193" s="6597">
        <f t="shared" si="315"/>
        <v>3.9399237074380324</v>
      </c>
      <c r="Y193" s="4041">
        <f t="shared" si="315"/>
        <v>3740935.0150161851</v>
      </c>
      <c r="Z193" s="4005">
        <f t="shared" si="315"/>
        <v>311744.58458468213</v>
      </c>
      <c r="AA193" s="3008">
        <f t="shared" si="315"/>
        <v>61.94913232144215</v>
      </c>
      <c r="AB193" s="4005">
        <f t="shared" si="315"/>
        <v>4053284.2601214368</v>
      </c>
      <c r="AC193" s="4005">
        <f t="shared" ref="AC193:AM193" si="316">AC21</f>
        <v>1476382.2917752408</v>
      </c>
      <c r="AD193" s="4005">
        <f t="shared" si="316"/>
        <v>6163976.6675925804</v>
      </c>
      <c r="AE193" s="4005" t="e">
        <f t="shared" si="316"/>
        <v>#DIV/0!</v>
      </c>
      <c r="AF193" s="4005" t="e">
        <f t="shared" si="316"/>
        <v>#DIV/0!</v>
      </c>
      <c r="AG193" s="4005" t="e">
        <f t="shared" si="316"/>
        <v>#DIV/0!</v>
      </c>
      <c r="AH193" s="4005" t="e">
        <f t="shared" si="316"/>
        <v>#DIV/0!</v>
      </c>
      <c r="AI193" s="4005" t="e">
        <f t="shared" si="316"/>
        <v>#DIV/0!</v>
      </c>
      <c r="AJ193" s="4005" t="e">
        <f t="shared" si="316"/>
        <v>#DIV/0!</v>
      </c>
      <c r="AK193" s="4005" t="e">
        <f t="shared" si="316"/>
        <v>#DIV/0!</v>
      </c>
      <c r="AL193" s="4005">
        <f t="shared" si="316"/>
        <v>0</v>
      </c>
      <c r="AM193" s="4005">
        <f t="shared" si="316"/>
        <v>0</v>
      </c>
      <c r="AN193" s="3008" t="e">
        <f t="shared" ref="AN193:AN213" si="317">SUM(AB193:AM193)</f>
        <v>#DIV/0!</v>
      </c>
      <c r="AO193" s="4041">
        <f>AO21</f>
        <v>61.94913232144215</v>
      </c>
      <c r="AP193" s="3008">
        <f>AP21</f>
        <v>821.4806814835141</v>
      </c>
      <c r="AQ193" s="3008">
        <f t="shared" ref="AQ193:AX193" si="318">AQ21</f>
        <v>309.84863988902919</v>
      </c>
      <c r="AR193" s="3008">
        <f t="shared" si="318"/>
        <v>1111.6319026565614</v>
      </c>
      <c r="AS193" s="3008" t="e">
        <f t="shared" si="318"/>
        <v>#DIV/0!</v>
      </c>
      <c r="AT193" s="3008" t="e">
        <f t="shared" si="318"/>
        <v>#DIV/0!</v>
      </c>
      <c r="AU193" s="3008" t="e">
        <f t="shared" si="318"/>
        <v>#DIV/0!</v>
      </c>
      <c r="AV193" s="4041" t="e">
        <f t="shared" si="318"/>
        <v>#DIV/0!</v>
      </c>
      <c r="AW193" s="5365" t="e">
        <f t="shared" si="318"/>
        <v>#DIV/0!</v>
      </c>
      <c r="AX193" s="3953" t="e">
        <f t="shared" si="318"/>
        <v>#DIV/0!</v>
      </c>
      <c r="AY193" s="5365" t="e">
        <f>AY21</f>
        <v>#DIV/0!</v>
      </c>
      <c r="AZ193" s="3500"/>
      <c r="BA193" s="5378"/>
      <c r="BB193" s="3008" t="e">
        <f>BB21</f>
        <v>#DIV/0!</v>
      </c>
      <c r="BF193" s="7672"/>
      <c r="BG193" s="7650"/>
      <c r="BH193" s="5163" t="s">
        <v>1033</v>
      </c>
      <c r="BI193" s="4031" t="s">
        <v>317</v>
      </c>
      <c r="BJ193" s="4127">
        <v>7.7981843885154776</v>
      </c>
      <c r="BK193" s="6401">
        <v>6.7283431455004203</v>
      </c>
      <c r="BL193" s="4918">
        <v>5.5958132045088576</v>
      </c>
      <c r="BM193" s="3836">
        <v>5.0262406536484958</v>
      </c>
      <c r="BN193" s="6412">
        <v>4.9052228725799178</v>
      </c>
      <c r="BO193" s="6397">
        <v>4.5182418275818224</v>
      </c>
      <c r="BP193" s="5248">
        <v>4.5182418275818224</v>
      </c>
      <c r="BQ193" s="6331"/>
      <c r="BR193" s="5365">
        <v>29515473.265688293</v>
      </c>
      <c r="BS193" s="4005">
        <v>2459622.7721406906</v>
      </c>
      <c r="BT193" s="4686">
        <v>488.77030783123655</v>
      </c>
      <c r="BU193" s="4005"/>
      <c r="BV193" s="4005"/>
      <c r="BW193" s="5413"/>
    </row>
    <row r="194" spans="1:79" ht="16.5">
      <c r="A194" s="7672"/>
      <c r="B194" s="7650"/>
      <c r="C194" s="3014" t="s">
        <v>1227</v>
      </c>
      <c r="D194" s="3026" t="s">
        <v>317</v>
      </c>
      <c r="E194" s="4920"/>
      <c r="F194" s="4920"/>
      <c r="G194" s="4921"/>
      <c r="H194" s="4058">
        <f>H28</f>
        <v>2.8719045580662459</v>
      </c>
      <c r="I194" s="3279">
        <f>I28</f>
        <v>1.5451146477741862</v>
      </c>
      <c r="J194" s="6157">
        <f>J28</f>
        <v>1.4376223996851252</v>
      </c>
      <c r="K194" s="6158">
        <f>K28</f>
        <v>1.4376223996851254</v>
      </c>
      <c r="L194" s="3051">
        <f t="shared" ref="L194:S194" si="319">L28</f>
        <v>0.77014746297212056</v>
      </c>
      <c r="M194" s="3051">
        <f t="shared" si="319"/>
        <v>0</v>
      </c>
      <c r="N194" s="3051">
        <f t="shared" si="319"/>
        <v>1.864749737600496</v>
      </c>
      <c r="O194" s="3051" t="e">
        <f t="shared" si="319"/>
        <v>#DIV/0!</v>
      </c>
      <c r="P194" s="3051" t="e">
        <f t="shared" si="319"/>
        <v>#DIV/0!</v>
      </c>
      <c r="Q194" s="3051" t="e">
        <f t="shared" si="319"/>
        <v>#DIV/0!</v>
      </c>
      <c r="R194" s="3051" t="e">
        <f t="shared" si="319"/>
        <v>#DIV/0!</v>
      </c>
      <c r="S194" s="3051" t="e">
        <f t="shared" si="319"/>
        <v>#DIV/0!</v>
      </c>
      <c r="T194" s="3051" t="e">
        <f t="shared" ref="T194:AA194" si="320">T28</f>
        <v>#DIV/0!</v>
      </c>
      <c r="U194" s="3051" t="e">
        <f t="shared" si="320"/>
        <v>#DIV/0!</v>
      </c>
      <c r="V194" s="3051" t="e">
        <f t="shared" si="320"/>
        <v>#DIV/0!</v>
      </c>
      <c r="W194" s="3051" t="e">
        <f t="shared" si="320"/>
        <v>#DIV/0!</v>
      </c>
      <c r="X194" s="6597">
        <f t="shared" si="320"/>
        <v>0.92758110594694942</v>
      </c>
      <c r="Y194" s="4043">
        <f t="shared" si="320"/>
        <v>7914759.032658455</v>
      </c>
      <c r="Z194" s="4007">
        <f t="shared" si="320"/>
        <v>659563.25272153667</v>
      </c>
      <c r="AA194" s="4019">
        <f t="shared" si="320"/>
        <v>131.06681956205185</v>
      </c>
      <c r="AB194" s="4007">
        <f t="shared" ref="AB194:AK194" si="321">AB28</f>
        <v>4662390.4005803531</v>
      </c>
      <c r="AC194" s="4007">
        <f t="shared" si="321"/>
        <v>8976882.864884574</v>
      </c>
      <c r="AD194" s="4007">
        <f t="shared" si="321"/>
        <v>-2161076.0474301972</v>
      </c>
      <c r="AE194" s="4007" t="e">
        <f t="shared" si="321"/>
        <v>#DIV/0!</v>
      </c>
      <c r="AF194" s="4007" t="e">
        <f t="shared" si="321"/>
        <v>#DIV/0!</v>
      </c>
      <c r="AG194" s="4007" t="e">
        <f t="shared" si="321"/>
        <v>#DIV/0!</v>
      </c>
      <c r="AH194" s="4007" t="e">
        <f t="shared" si="321"/>
        <v>#DIV/0!</v>
      </c>
      <c r="AI194" s="4007" t="e">
        <f t="shared" si="321"/>
        <v>#DIV/0!</v>
      </c>
      <c r="AJ194" s="4007" t="e">
        <f t="shared" si="321"/>
        <v>#DIV/0!</v>
      </c>
      <c r="AK194" s="4007" t="e">
        <f t="shared" si="321"/>
        <v>#DIV/0!</v>
      </c>
      <c r="AL194" s="4007">
        <f>AL28</f>
        <v>0</v>
      </c>
      <c r="AM194" s="4007">
        <f>AM28</f>
        <v>0</v>
      </c>
      <c r="AN194" s="3008" t="e">
        <f t="shared" si="317"/>
        <v>#DIV/0!</v>
      </c>
      <c r="AO194" s="4043">
        <f>AO28</f>
        <v>131.06681956205185</v>
      </c>
      <c r="AP194" s="4019">
        <f t="shared" ref="AP194:AW194" si="322">AP28</f>
        <v>944.92845747171805</v>
      </c>
      <c r="AQ194" s="4019">
        <f t="shared" si="322"/>
        <v>1883.9801598968643</v>
      </c>
      <c r="AR194" s="4019">
        <f t="shared" si="322"/>
        <v>-389.73558920504621</v>
      </c>
      <c r="AS194" s="4019" t="e">
        <f t="shared" si="322"/>
        <v>#DIV/0!</v>
      </c>
      <c r="AT194" s="4019" t="e">
        <f t="shared" si="322"/>
        <v>#DIV/0!</v>
      </c>
      <c r="AU194" s="4019" t="e">
        <f t="shared" si="322"/>
        <v>#DIV/0!</v>
      </c>
      <c r="AV194" s="4043" t="e">
        <f t="shared" si="322"/>
        <v>#DIV/0!</v>
      </c>
      <c r="AW194" s="4979" t="e">
        <f t="shared" si="322"/>
        <v>#DIV/0!</v>
      </c>
      <c r="AX194" s="5223" t="e">
        <f>AX28</f>
        <v>#DIV/0!</v>
      </c>
      <c r="AY194" s="4979" t="e">
        <f>AY28</f>
        <v>#DIV/0!</v>
      </c>
      <c r="AZ194" s="3544"/>
      <c r="BA194" s="4133"/>
      <c r="BB194" s="4019" t="e">
        <f>BB28</f>
        <v>#DIV/0!</v>
      </c>
      <c r="BF194" s="7672"/>
      <c r="BG194" s="7650"/>
      <c r="BH194" s="5163" t="s">
        <v>1227</v>
      </c>
      <c r="BI194" s="4031" t="s">
        <v>317</v>
      </c>
      <c r="BJ194" s="6404"/>
      <c r="BK194" s="6402"/>
      <c r="BL194" s="4921"/>
      <c r="BM194" s="3836">
        <v>2.8719045580662459</v>
      </c>
      <c r="BN194" s="6412">
        <v>1.5880234128770825</v>
      </c>
      <c r="BO194" s="6397">
        <v>1.4376223996851252</v>
      </c>
      <c r="BP194" s="5248">
        <v>1.4376223996851254</v>
      </c>
      <c r="BQ194" s="6321"/>
      <c r="BR194" s="4979">
        <v>11471251.993806299</v>
      </c>
      <c r="BS194" s="4007">
        <v>955937.66615052347</v>
      </c>
      <c r="BT194" s="5205">
        <v>189.96162852453048</v>
      </c>
      <c r="BU194" s="4007"/>
      <c r="BV194" s="4007"/>
      <c r="BW194" s="5413"/>
    </row>
    <row r="195" spans="1:79" ht="16.5">
      <c r="A195" s="7672"/>
      <c r="B195" s="7650"/>
      <c r="C195" s="3014" t="s">
        <v>1228</v>
      </c>
      <c r="D195" s="3026" t="s">
        <v>317</v>
      </c>
      <c r="E195" s="4920"/>
      <c r="F195" s="4920"/>
      <c r="G195" s="4921"/>
      <c r="H195" s="4058">
        <f>H35</f>
        <v>4.0059482923309782</v>
      </c>
      <c r="I195" s="3279">
        <f>I35</f>
        <v>0.24344020863431806</v>
      </c>
      <c r="J195" s="6157">
        <f>J35</f>
        <v>0.19871758928538605</v>
      </c>
      <c r="K195" s="6158">
        <f>K35</f>
        <v>0.19871758928538605</v>
      </c>
      <c r="L195" s="3051">
        <f>L35</f>
        <v>0</v>
      </c>
      <c r="M195" s="3051">
        <f t="shared" ref="M195:T195" si="323">M35</f>
        <v>0</v>
      </c>
      <c r="N195" s="3051">
        <f t="shared" si="323"/>
        <v>0</v>
      </c>
      <c r="O195" s="3051" t="e">
        <f t="shared" si="323"/>
        <v>#DIV/0!</v>
      </c>
      <c r="P195" s="3051" t="e">
        <f t="shared" si="323"/>
        <v>#DIV/0!</v>
      </c>
      <c r="Q195" s="3051" t="e">
        <f t="shared" si="323"/>
        <v>#DIV/0!</v>
      </c>
      <c r="R195" s="3051" t="e">
        <f t="shared" si="323"/>
        <v>#DIV/0!</v>
      </c>
      <c r="S195" s="3051" t="e">
        <f t="shared" si="323"/>
        <v>#DIV/0!</v>
      </c>
      <c r="T195" s="3051" t="e">
        <f t="shared" si="323"/>
        <v>#DIV/0!</v>
      </c>
      <c r="U195" s="3051" t="e">
        <f t="shared" ref="U195:AB195" si="324">U35</f>
        <v>#DIV/0!</v>
      </c>
      <c r="V195" s="3051" t="e">
        <f t="shared" si="324"/>
        <v>#DIV/0!</v>
      </c>
      <c r="W195" s="3051" t="e">
        <f t="shared" si="324"/>
        <v>#DIV/0!</v>
      </c>
      <c r="X195" s="6597">
        <f t="shared" si="324"/>
        <v>0</v>
      </c>
      <c r="Y195" s="4043">
        <f t="shared" si="324"/>
        <v>3292970.0675980863</v>
      </c>
      <c r="Z195" s="4007">
        <f t="shared" si="324"/>
        <v>274414.17229984049</v>
      </c>
      <c r="AA195" s="4019">
        <f t="shared" si="324"/>
        <v>54.530922785168869</v>
      </c>
      <c r="AB195" s="4007">
        <f t="shared" si="324"/>
        <v>122049.60783186975</v>
      </c>
      <c r="AC195" s="4007">
        <f t="shared" ref="AC195:AM195" si="325">AC35</f>
        <v>117862.57202453216</v>
      </c>
      <c r="AD195" s="4007">
        <f t="shared" si="325"/>
        <v>137159.74366970427</v>
      </c>
      <c r="AE195" s="4007" t="e">
        <f t="shared" si="325"/>
        <v>#DIV/0!</v>
      </c>
      <c r="AF195" s="4007" t="e">
        <f t="shared" si="325"/>
        <v>#DIV/0!</v>
      </c>
      <c r="AG195" s="4007" t="e">
        <f t="shared" si="325"/>
        <v>#DIV/0!</v>
      </c>
      <c r="AH195" s="4007" t="e">
        <f t="shared" si="325"/>
        <v>#DIV/0!</v>
      </c>
      <c r="AI195" s="4007" t="e">
        <f t="shared" si="325"/>
        <v>#DIV/0!</v>
      </c>
      <c r="AJ195" s="4007" t="e">
        <f t="shared" si="325"/>
        <v>#DIV/0!</v>
      </c>
      <c r="AK195" s="4007" t="e">
        <f t="shared" si="325"/>
        <v>#DIV/0!</v>
      </c>
      <c r="AL195" s="4007">
        <f t="shared" si="325"/>
        <v>0</v>
      </c>
      <c r="AM195" s="4007">
        <f t="shared" si="325"/>
        <v>0</v>
      </c>
      <c r="AN195" s="3008" t="e">
        <f t="shared" si="317"/>
        <v>#DIV/0!</v>
      </c>
      <c r="AO195" s="4043">
        <f>AO35</f>
        <v>54.530922785168869</v>
      </c>
      <c r="AP195" s="4019">
        <f>AP35</f>
        <v>24.73584100748862</v>
      </c>
      <c r="AQ195" s="4019">
        <f t="shared" ref="AQ195:AX195" si="326">AQ35</f>
        <v>24.73584100748862</v>
      </c>
      <c r="AR195" s="4019">
        <f t="shared" si="326"/>
        <v>24.735841007488624</v>
      </c>
      <c r="AS195" s="4019" t="e">
        <f t="shared" si="326"/>
        <v>#DIV/0!</v>
      </c>
      <c r="AT195" s="4019" t="e">
        <f t="shared" si="326"/>
        <v>#DIV/0!</v>
      </c>
      <c r="AU195" s="4019" t="e">
        <f t="shared" si="326"/>
        <v>#DIV/0!</v>
      </c>
      <c r="AV195" s="4043" t="e">
        <f t="shared" si="326"/>
        <v>#DIV/0!</v>
      </c>
      <c r="AW195" s="4979" t="e">
        <f t="shared" si="326"/>
        <v>#DIV/0!</v>
      </c>
      <c r="AX195" s="5223" t="e">
        <f t="shared" si="326"/>
        <v>#DIV/0!</v>
      </c>
      <c r="AY195" s="4979" t="e">
        <f>AY35</f>
        <v>#DIV/0!</v>
      </c>
      <c r="AZ195" s="3544"/>
      <c r="BA195" s="4133"/>
      <c r="BB195" s="4019" t="e">
        <f>BB35</f>
        <v>#DIV/0!</v>
      </c>
      <c r="BF195" s="7672"/>
      <c r="BG195" s="7650"/>
      <c r="BH195" s="5163" t="s">
        <v>1228</v>
      </c>
      <c r="BI195" s="4031" t="s">
        <v>317</v>
      </c>
      <c r="BJ195" s="6404"/>
      <c r="BK195" s="6402"/>
      <c r="BL195" s="4921"/>
      <c r="BM195" s="3836">
        <v>4.0059482923309782</v>
      </c>
      <c r="BN195" s="6412">
        <v>0.38293561458802339</v>
      </c>
      <c r="BO195" s="6397">
        <v>0.19871758928538605</v>
      </c>
      <c r="BP195" s="5248">
        <v>0.19871758928538605</v>
      </c>
      <c r="BQ195" s="6321"/>
      <c r="BR195" s="4979">
        <v>14050512.993225912</v>
      </c>
      <c r="BS195" s="4007">
        <v>1170876.082768826</v>
      </c>
      <c r="BT195" s="5205">
        <v>232.67367251973724</v>
      </c>
      <c r="BU195" s="4007"/>
      <c r="BV195" s="4007"/>
      <c r="BW195" s="5413"/>
    </row>
    <row r="196" spans="1:79" ht="16.5">
      <c r="A196" s="7672"/>
      <c r="B196" s="7651"/>
      <c r="C196" s="3014" t="s">
        <v>334</v>
      </c>
      <c r="D196" s="3026" t="s">
        <v>317</v>
      </c>
      <c r="E196" s="4922">
        <f>SUM(E192:E195)</f>
        <v>15.36794563309552</v>
      </c>
      <c r="F196" s="4922">
        <f>SUM(F192:F195)</f>
        <v>10.88309503784693</v>
      </c>
      <c r="G196" s="4533">
        <f>SUM(G192:G195)</f>
        <v>7.9935404772361309</v>
      </c>
      <c r="H196" s="6151">
        <f t="shared" ref="H196:P196" si="327">SUM(H192:H195)</f>
        <v>14.05509233647766</v>
      </c>
      <c r="I196" s="6130">
        <f>SUM(I192:I195)</f>
        <v>9.0252873249398018</v>
      </c>
      <c r="J196" s="6157">
        <f t="shared" si="327"/>
        <v>8.2083281018167984</v>
      </c>
      <c r="K196" s="6158">
        <f t="shared" si="327"/>
        <v>8.2083281018167984</v>
      </c>
      <c r="L196" s="4925">
        <f t="shared" si="327"/>
        <v>7.3476121375240169</v>
      </c>
      <c r="M196" s="4925">
        <f t="shared" si="327"/>
        <v>6.3936954993336617</v>
      </c>
      <c r="N196" s="4925">
        <f t="shared" si="327"/>
        <v>6.7235589668492937</v>
      </c>
      <c r="O196" s="4925" t="e">
        <f t="shared" si="327"/>
        <v>#DIV/0!</v>
      </c>
      <c r="P196" s="4925" t="e">
        <f t="shared" si="327"/>
        <v>#DIV/0!</v>
      </c>
      <c r="Q196" s="4925" t="e">
        <f t="shared" ref="Q196:X196" si="328">SUM(Q192:Q195)</f>
        <v>#DIV/0!</v>
      </c>
      <c r="R196" s="4925" t="e">
        <f t="shared" si="328"/>
        <v>#DIV/0!</v>
      </c>
      <c r="S196" s="4925" t="e">
        <f t="shared" si="328"/>
        <v>#DIV/0!</v>
      </c>
      <c r="T196" s="4925" t="e">
        <f t="shared" si="328"/>
        <v>#DIV/0!</v>
      </c>
      <c r="U196" s="4925" t="e">
        <f t="shared" si="328"/>
        <v>#DIV/0!</v>
      </c>
      <c r="V196" s="4925" t="e">
        <f t="shared" si="328"/>
        <v>#DIV/0!</v>
      </c>
      <c r="W196" s="4925" t="e">
        <f t="shared" si="328"/>
        <v>#DIV/0!</v>
      </c>
      <c r="X196" s="6597">
        <f t="shared" si="328"/>
        <v>6.8224443139737403</v>
      </c>
      <c r="Y196" s="4043">
        <f t="shared" ref="Y196:AF196" si="329">SUM(Y192:Y195)</f>
        <v>60153504.140773885</v>
      </c>
      <c r="Z196" s="4007">
        <f t="shared" si="329"/>
        <v>5012792.0117311552</v>
      </c>
      <c r="AA196" s="4019">
        <f t="shared" si="329"/>
        <v>996.12994416025606</v>
      </c>
      <c r="AB196" s="4007">
        <f t="shared" si="329"/>
        <v>8750754.8335314505</v>
      </c>
      <c r="AC196" s="4007">
        <f t="shared" si="329"/>
        <v>13992662.969537724</v>
      </c>
      <c r="AD196" s="4007">
        <f t="shared" si="329"/>
        <v>14053395.351331899</v>
      </c>
      <c r="AE196" s="4007" t="e">
        <f t="shared" si="329"/>
        <v>#DIV/0!</v>
      </c>
      <c r="AF196" s="4007" t="e">
        <f t="shared" si="329"/>
        <v>#DIV/0!</v>
      </c>
      <c r="AG196" s="4007" t="e">
        <f t="shared" ref="AG196:AM196" si="330">SUM(AG192:AG195)</f>
        <v>#DIV/0!</v>
      </c>
      <c r="AH196" s="4007" t="e">
        <f t="shared" si="330"/>
        <v>#DIV/0!</v>
      </c>
      <c r="AI196" s="4007" t="e">
        <f t="shared" si="330"/>
        <v>#DIV/0!</v>
      </c>
      <c r="AJ196" s="4007" t="e">
        <f t="shared" si="330"/>
        <v>#DIV/0!</v>
      </c>
      <c r="AK196" s="4007" t="e">
        <f t="shared" si="330"/>
        <v>#DIV/0!</v>
      </c>
      <c r="AL196" s="4007">
        <f t="shared" si="330"/>
        <v>0</v>
      </c>
      <c r="AM196" s="4007">
        <f t="shared" si="330"/>
        <v>0</v>
      </c>
      <c r="AN196" s="3008" t="e">
        <f t="shared" si="317"/>
        <v>#DIV/0!</v>
      </c>
      <c r="AO196" s="4043">
        <f t="shared" ref="AO196:AT196" si="331">SUM(AO192:AO195)</f>
        <v>996.12994416025606</v>
      </c>
      <c r="AP196" s="4019">
        <f t="shared" si="331"/>
        <v>1773.518851088229</v>
      </c>
      <c r="AQ196" s="4019">
        <f t="shared" si="331"/>
        <v>2936.6429099631096</v>
      </c>
      <c r="AR196" s="4019">
        <f t="shared" si="331"/>
        <v>2534.4357150669425</v>
      </c>
      <c r="AS196" s="4019" t="e">
        <f t="shared" si="331"/>
        <v>#DIV/0!</v>
      </c>
      <c r="AT196" s="4019" t="e">
        <f t="shared" si="331"/>
        <v>#DIV/0!</v>
      </c>
      <c r="AU196" s="4019" t="e">
        <f>SUM(AU192:AU195)</f>
        <v>#DIV/0!</v>
      </c>
      <c r="AV196" s="4043" t="e">
        <f>SUM(AV192:AV195)</f>
        <v>#DIV/0!</v>
      </c>
      <c r="AW196" s="4979" t="e">
        <f>SUM(AW192:AW195)</f>
        <v>#DIV/0!</v>
      </c>
      <c r="AX196" s="5223" t="e">
        <f>SUM(AX192:AX195)</f>
        <v>#DIV/0!</v>
      </c>
      <c r="AY196" s="4979" t="e">
        <f>SUM(AY192:AY195)</f>
        <v>#DIV/0!</v>
      </c>
      <c r="AZ196" s="3544"/>
      <c r="BA196" s="4133"/>
      <c r="BB196" s="4019" t="e">
        <f>SUM(BB192:BB195)</f>
        <v>#DIV/0!</v>
      </c>
      <c r="BF196" s="7672"/>
      <c r="BG196" s="7651"/>
      <c r="BH196" s="5163" t="s">
        <v>334</v>
      </c>
      <c r="BI196" s="4031" t="s">
        <v>317</v>
      </c>
      <c r="BJ196" s="6405">
        <v>15.36794563309552</v>
      </c>
      <c r="BK196" s="4583">
        <v>10.88309503784693</v>
      </c>
      <c r="BL196" s="4533">
        <v>7.9935404772361309</v>
      </c>
      <c r="BM196" s="6403">
        <v>14.05509233647766</v>
      </c>
      <c r="BN196" s="6412">
        <v>9.2133948671769463</v>
      </c>
      <c r="BO196" s="6397">
        <v>8.2083281018167984</v>
      </c>
      <c r="BP196" s="5248">
        <v>8.2083281018167984</v>
      </c>
      <c r="BQ196" s="6321"/>
      <c r="BR196" s="4979">
        <v>76657556.298048764</v>
      </c>
      <c r="BS196" s="4007">
        <v>6388129.6915040603</v>
      </c>
      <c r="BT196" s="5205">
        <v>1269.4337323380842</v>
      </c>
      <c r="BU196" s="4007"/>
      <c r="BV196" s="4007"/>
      <c r="BW196" s="5413"/>
    </row>
    <row r="197" spans="1:79" s="286" customFormat="1" ht="16.5">
      <c r="A197" s="7672"/>
      <c r="B197" s="7682" t="s">
        <v>1389</v>
      </c>
      <c r="C197" s="7683"/>
      <c r="D197" s="3026" t="s">
        <v>1391</v>
      </c>
      <c r="E197" s="3027">
        <f t="shared" ref="E197:L197" si="332">E44</f>
        <v>401.6500000000002</v>
      </c>
      <c r="F197" s="3027">
        <f t="shared" si="332"/>
        <v>321.48</v>
      </c>
      <c r="G197" s="3884">
        <f t="shared" si="332"/>
        <v>171.09</v>
      </c>
      <c r="H197" s="6152">
        <f t="shared" si="332"/>
        <v>226.51299999999998</v>
      </c>
      <c r="I197" s="6131">
        <f t="shared" si="332"/>
        <v>68.7</v>
      </c>
      <c r="J197" s="6217">
        <f t="shared" si="332"/>
        <v>48</v>
      </c>
      <c r="K197" s="6218">
        <f t="shared" si="332"/>
        <v>4</v>
      </c>
      <c r="L197" s="3034">
        <f t="shared" si="332"/>
        <v>0</v>
      </c>
      <c r="M197" s="3034">
        <f t="shared" ref="M197:T197" si="333">M44</f>
        <v>0</v>
      </c>
      <c r="N197" s="3034">
        <f t="shared" si="333"/>
        <v>0</v>
      </c>
      <c r="O197" s="3034">
        <f t="shared" si="333"/>
        <v>0</v>
      </c>
      <c r="P197" s="3034">
        <f t="shared" si="333"/>
        <v>0</v>
      </c>
      <c r="Q197" s="3034">
        <f t="shared" si="333"/>
        <v>0</v>
      </c>
      <c r="R197" s="3034">
        <f t="shared" si="333"/>
        <v>0</v>
      </c>
      <c r="S197" s="3034">
        <f t="shared" si="333"/>
        <v>0</v>
      </c>
      <c r="T197" s="3034">
        <f t="shared" si="333"/>
        <v>0</v>
      </c>
      <c r="U197" s="3034">
        <f t="shared" ref="U197:AB197" si="334">U44</f>
        <v>0</v>
      </c>
      <c r="V197" s="3034">
        <f t="shared" si="334"/>
        <v>0</v>
      </c>
      <c r="W197" s="3034">
        <f t="shared" si="334"/>
        <v>0</v>
      </c>
      <c r="X197" s="6612">
        <f t="shared" si="334"/>
        <v>0</v>
      </c>
      <c r="Y197" s="4041">
        <f t="shared" si="334"/>
        <v>3476730.6</v>
      </c>
      <c r="Z197" s="4686">
        <f t="shared" si="334"/>
        <v>289727.5500000001</v>
      </c>
      <c r="AA197" s="3008">
        <f t="shared" si="334"/>
        <v>57.573960285561157</v>
      </c>
      <c r="AB197" s="3953">
        <f t="shared" si="334"/>
        <v>961559.55000000016</v>
      </c>
      <c r="AC197" s="4005">
        <f t="shared" ref="AC197:AM197" si="335">AC44</f>
        <v>961559.55000000016</v>
      </c>
      <c r="AD197" s="4005">
        <f t="shared" si="335"/>
        <v>961559.55000000016</v>
      </c>
      <c r="AE197" s="4005">
        <f t="shared" si="335"/>
        <v>961559.55000000016</v>
      </c>
      <c r="AF197" s="4005">
        <f t="shared" si="335"/>
        <v>961559.55000000016</v>
      </c>
      <c r="AG197" s="4005">
        <f t="shared" si="335"/>
        <v>961559.55000000016</v>
      </c>
      <c r="AH197" s="4005">
        <f t="shared" si="335"/>
        <v>961559.55000000016</v>
      </c>
      <c r="AI197" s="4005">
        <f t="shared" si="335"/>
        <v>961559.55000000016</v>
      </c>
      <c r="AJ197" s="4005">
        <f t="shared" si="335"/>
        <v>961559.55000000016</v>
      </c>
      <c r="AK197" s="4005">
        <f t="shared" si="335"/>
        <v>961559.55000000016</v>
      </c>
      <c r="AL197" s="4005">
        <f t="shared" si="335"/>
        <v>0</v>
      </c>
      <c r="AM197" s="4005">
        <f t="shared" si="335"/>
        <v>0</v>
      </c>
      <c r="AN197" s="3008">
        <f t="shared" si="317"/>
        <v>9615595.5000000019</v>
      </c>
      <c r="AO197" s="4041">
        <f>AO44</f>
        <v>57.573960285561157</v>
      </c>
      <c r="AP197" s="3008">
        <f>AP44</f>
        <v>194.87964419187213</v>
      </c>
      <c r="AQ197" s="3008">
        <f t="shared" ref="AQ197:AX197" si="336">AQ44</f>
        <v>201.80269053590357</v>
      </c>
      <c r="AR197" s="3008">
        <f t="shared" si="336"/>
        <v>173.41082384426997</v>
      </c>
      <c r="AS197" s="3008" t="e">
        <f t="shared" si="336"/>
        <v>#DIV/0!</v>
      </c>
      <c r="AT197" s="3008" t="e">
        <f t="shared" si="336"/>
        <v>#DIV/0!</v>
      </c>
      <c r="AU197" s="3008" t="e">
        <f t="shared" si="336"/>
        <v>#DIV/0!</v>
      </c>
      <c r="AV197" s="4041" t="e">
        <f t="shared" si="336"/>
        <v>#DIV/0!</v>
      </c>
      <c r="AW197" s="5365" t="e">
        <f t="shared" si="336"/>
        <v>#DIV/0!</v>
      </c>
      <c r="AX197" s="3953" t="e">
        <f t="shared" si="336"/>
        <v>#DIV/0!</v>
      </c>
      <c r="AY197" s="5365" t="e">
        <f>AY44</f>
        <v>#DIV/0!</v>
      </c>
      <c r="AZ197" s="4144"/>
      <c r="BA197" s="4573"/>
      <c r="BB197" s="3008">
        <f>BB44</f>
        <v>630.78109676297822</v>
      </c>
      <c r="BF197" s="7672"/>
      <c r="BG197" s="7662" t="s">
        <v>1389</v>
      </c>
      <c r="BH197" s="7663"/>
      <c r="BI197" s="4031" t="s">
        <v>1390</v>
      </c>
      <c r="BJ197" s="5249">
        <v>401.6500000000002</v>
      </c>
      <c r="BK197" s="5249">
        <v>321.48</v>
      </c>
      <c r="BL197" s="5249">
        <v>171.09</v>
      </c>
      <c r="BM197" s="5249">
        <v>226.51299999999998</v>
      </c>
      <c r="BN197" s="6415">
        <v>67.45</v>
      </c>
      <c r="BO197" s="6369">
        <v>48</v>
      </c>
      <c r="BP197" s="6370">
        <v>4</v>
      </c>
      <c r="BQ197" s="6345"/>
      <c r="BR197" s="5365">
        <v>3266783.1</v>
      </c>
      <c r="BS197" s="4005">
        <v>272231.92500000005</v>
      </c>
      <c r="BT197" s="4686">
        <v>54.097271862520024</v>
      </c>
      <c r="BU197" s="3953"/>
      <c r="BV197" s="4005"/>
      <c r="BW197" s="5413"/>
      <c r="BX197" s="3341"/>
    </row>
    <row r="198" spans="1:79" ht="16.5">
      <c r="A198" s="7672"/>
      <c r="B198" s="7660" t="s">
        <v>1232</v>
      </c>
      <c r="C198" s="3014" t="s">
        <v>1235</v>
      </c>
      <c r="D198" s="3026" t="s">
        <v>1236</v>
      </c>
      <c r="E198" s="3035">
        <f t="shared" ref="E198:L198" si="337">E54</f>
        <v>275</v>
      </c>
      <c r="F198" s="3389">
        <f t="shared" si="337"/>
        <v>213</v>
      </c>
      <c r="G198" s="3889">
        <f t="shared" si="337"/>
        <v>204</v>
      </c>
      <c r="H198" s="3366">
        <f t="shared" si="337"/>
        <v>125</v>
      </c>
      <c r="I198" s="6132">
        <f t="shared" si="337"/>
        <v>61</v>
      </c>
      <c r="J198" s="6193">
        <f t="shared" si="337"/>
        <v>44</v>
      </c>
      <c r="K198" s="6194">
        <f t="shared" si="337"/>
        <v>3.666666666666667</v>
      </c>
      <c r="L198" s="3049">
        <f t="shared" si="337"/>
        <v>6</v>
      </c>
      <c r="M198" s="3049">
        <f t="shared" ref="M198:T198" si="338">M54</f>
        <v>5</v>
      </c>
      <c r="N198" s="3049">
        <f t="shared" si="338"/>
        <v>8</v>
      </c>
      <c r="O198" s="3049">
        <f t="shared" si="338"/>
        <v>0</v>
      </c>
      <c r="P198" s="3049">
        <f t="shared" si="338"/>
        <v>0</v>
      </c>
      <c r="Q198" s="3049">
        <f t="shared" si="338"/>
        <v>0</v>
      </c>
      <c r="R198" s="3049">
        <f t="shared" si="338"/>
        <v>0</v>
      </c>
      <c r="S198" s="3049">
        <f t="shared" si="338"/>
        <v>0</v>
      </c>
      <c r="T198" s="3049">
        <f t="shared" si="338"/>
        <v>0</v>
      </c>
      <c r="U198" s="3049">
        <f t="shared" ref="U198:X199" si="339">U54</f>
        <v>0</v>
      </c>
      <c r="V198" s="3049">
        <f t="shared" si="339"/>
        <v>0</v>
      </c>
      <c r="W198" s="3049">
        <f t="shared" si="339"/>
        <v>0</v>
      </c>
      <c r="X198" s="6599">
        <f t="shared" si="339"/>
        <v>19</v>
      </c>
      <c r="Y198" s="4042"/>
      <c r="Z198" s="4006"/>
      <c r="AA198" s="4018"/>
      <c r="AB198" s="4006"/>
      <c r="AC198" s="4006"/>
      <c r="AD198" s="4006"/>
      <c r="AE198" s="4006"/>
      <c r="AF198" s="4006"/>
      <c r="AG198" s="4006"/>
      <c r="AH198" s="4006"/>
      <c r="AI198" s="4006"/>
      <c r="AJ198" s="4006"/>
      <c r="AK198" s="4006"/>
      <c r="AL198" s="4006"/>
      <c r="AM198" s="4006"/>
      <c r="AN198" s="4018"/>
      <c r="AO198" s="4042"/>
      <c r="AP198" s="4018"/>
      <c r="AQ198" s="4018"/>
      <c r="AR198" s="4018"/>
      <c r="AS198" s="4018"/>
      <c r="AT198" s="4018"/>
      <c r="AU198" s="4018"/>
      <c r="AV198" s="4042"/>
      <c r="AW198" s="5449"/>
      <c r="AX198" s="5222"/>
      <c r="AY198" s="5449"/>
      <c r="AZ198" s="5366"/>
      <c r="BA198" s="4131"/>
      <c r="BB198" s="4018"/>
      <c r="BF198" s="7672"/>
      <c r="BG198" s="7664" t="s">
        <v>1232</v>
      </c>
      <c r="BH198" s="5163" t="s">
        <v>1235</v>
      </c>
      <c r="BI198" s="4031" t="s">
        <v>1434</v>
      </c>
      <c r="BJ198" s="3945">
        <v>275</v>
      </c>
      <c r="BK198" s="3389">
        <v>213</v>
      </c>
      <c r="BL198" s="3366">
        <v>204</v>
      </c>
      <c r="BM198" s="3389">
        <v>125</v>
      </c>
      <c r="BN198" s="6407">
        <v>61</v>
      </c>
      <c r="BO198" s="6368">
        <v>44</v>
      </c>
      <c r="BP198" s="5235">
        <v>3.666666666666667</v>
      </c>
      <c r="BQ198" s="6323"/>
      <c r="BR198" s="5449"/>
      <c r="BS198" s="4006"/>
      <c r="BT198" s="5204"/>
      <c r="BU198" s="4006"/>
      <c r="BV198" s="4006"/>
      <c r="BW198" s="4018"/>
      <c r="BX198" s="3341"/>
    </row>
    <row r="199" spans="1:79" ht="16.5">
      <c r="A199" s="7672"/>
      <c r="B199" s="7660"/>
      <c r="C199" s="3014" t="s">
        <v>1217</v>
      </c>
      <c r="D199" s="3026" t="s">
        <v>1219</v>
      </c>
      <c r="E199" s="5390">
        <f t="shared" ref="E199:K199" si="340">E55</f>
        <v>136.38333333333333</v>
      </c>
      <c r="F199" s="5390">
        <f t="shared" si="340"/>
        <v>137.19999999999999</v>
      </c>
      <c r="G199" s="3889">
        <f t="shared" si="340"/>
        <v>83.98</v>
      </c>
      <c r="H199" s="3366">
        <f t="shared" si="340"/>
        <v>74.75</v>
      </c>
      <c r="I199" s="6132">
        <f t="shared" si="340"/>
        <v>46.400000000000006</v>
      </c>
      <c r="J199" s="6193">
        <f t="shared" si="340"/>
        <v>34</v>
      </c>
      <c r="K199" s="6194">
        <f t="shared" si="340"/>
        <v>2.8333333333333335</v>
      </c>
      <c r="L199" s="3049">
        <f t="shared" ref="L199:S199" si="341">L55</f>
        <v>2.95</v>
      </c>
      <c r="M199" s="3049">
        <f t="shared" si="341"/>
        <v>3.0833333333333335</v>
      </c>
      <c r="N199" s="3049">
        <f t="shared" si="341"/>
        <v>5.5</v>
      </c>
      <c r="O199" s="3049">
        <f t="shared" si="341"/>
        <v>0</v>
      </c>
      <c r="P199" s="3049">
        <f t="shared" si="341"/>
        <v>0</v>
      </c>
      <c r="Q199" s="3049">
        <f t="shared" si="341"/>
        <v>0</v>
      </c>
      <c r="R199" s="3049">
        <f t="shared" si="341"/>
        <v>0</v>
      </c>
      <c r="S199" s="3049">
        <f t="shared" si="341"/>
        <v>0</v>
      </c>
      <c r="T199" s="3049">
        <f>T55</f>
        <v>0</v>
      </c>
      <c r="U199" s="3049">
        <f t="shared" si="339"/>
        <v>0</v>
      </c>
      <c r="V199" s="3049">
        <f t="shared" si="339"/>
        <v>0</v>
      </c>
      <c r="W199" s="3049">
        <f t="shared" si="339"/>
        <v>0</v>
      </c>
      <c r="X199" s="6599">
        <f t="shared" si="339"/>
        <v>11.533333333333333</v>
      </c>
      <c r="Y199" s="4041">
        <f t="shared" ref="Y199:AM199" si="342">Y55</f>
        <v>19785452.40000001</v>
      </c>
      <c r="Z199" s="4005">
        <f t="shared" si="342"/>
        <v>1648787.7000000004</v>
      </c>
      <c r="AA199" s="3008">
        <f t="shared" si="342"/>
        <v>327.64311698739647</v>
      </c>
      <c r="AB199" s="4005">
        <f t="shared" si="342"/>
        <v>1462634.2500000005</v>
      </c>
      <c r="AC199" s="4005">
        <f t="shared" si="342"/>
        <v>1249887.4500000004</v>
      </c>
      <c r="AD199" s="4005">
        <f t="shared" si="342"/>
        <v>-2606148.2999999993</v>
      </c>
      <c r="AE199" s="4005">
        <f t="shared" si="342"/>
        <v>6169657.2000000011</v>
      </c>
      <c r="AF199" s="4005">
        <f t="shared" si="342"/>
        <v>6169657.2000000011</v>
      </c>
      <c r="AG199" s="4005">
        <f t="shared" si="342"/>
        <v>6169657.2000000011</v>
      </c>
      <c r="AH199" s="4005">
        <f t="shared" si="342"/>
        <v>6169657.2000000011</v>
      </c>
      <c r="AI199" s="4005">
        <f t="shared" si="342"/>
        <v>6169657.2000000011</v>
      </c>
      <c r="AJ199" s="4005">
        <f t="shared" si="342"/>
        <v>6169657.2000000011</v>
      </c>
      <c r="AK199" s="4005">
        <f t="shared" si="342"/>
        <v>6169657.2000000011</v>
      </c>
      <c r="AL199" s="4005">
        <f t="shared" si="342"/>
        <v>0</v>
      </c>
      <c r="AM199" s="4005">
        <f t="shared" si="342"/>
        <v>0</v>
      </c>
      <c r="AN199" s="3008">
        <f t="shared" si="317"/>
        <v>43293973.800000019</v>
      </c>
      <c r="AO199" s="4041">
        <f t="shared" ref="AO199:AX199" si="343">AO55</f>
        <v>327.64311698739647</v>
      </c>
      <c r="AP199" s="3008" t="e">
        <f t="shared" si="343"/>
        <v>#REF!</v>
      </c>
      <c r="AQ199" s="3008" t="e">
        <f t="shared" si="343"/>
        <v>#REF!</v>
      </c>
      <c r="AR199" s="3008" t="e">
        <f t="shared" si="343"/>
        <v>#REF!</v>
      </c>
      <c r="AS199" s="3008" t="e">
        <f t="shared" si="343"/>
        <v>#REF!</v>
      </c>
      <c r="AT199" s="3008" t="e">
        <f t="shared" si="343"/>
        <v>#REF!</v>
      </c>
      <c r="AU199" s="3008" t="e">
        <f t="shared" si="343"/>
        <v>#REF!</v>
      </c>
      <c r="AV199" s="4041" t="e">
        <f t="shared" si="343"/>
        <v>#REF!</v>
      </c>
      <c r="AW199" s="5365" t="e">
        <f t="shared" si="343"/>
        <v>#REF!</v>
      </c>
      <c r="AX199" s="3953" t="e">
        <f t="shared" si="343"/>
        <v>#REF!</v>
      </c>
      <c r="AY199" s="5365" t="e">
        <f>AY55</f>
        <v>#REF!</v>
      </c>
      <c r="AZ199" s="3500"/>
      <c r="BA199" s="5378"/>
      <c r="BB199" s="3008">
        <f>BB55</f>
        <v>2840.0758202434422</v>
      </c>
      <c r="BF199" s="7672"/>
      <c r="BG199" s="7664"/>
      <c r="BH199" s="5163" t="s">
        <v>1217</v>
      </c>
      <c r="BI199" s="4031" t="s">
        <v>1435</v>
      </c>
      <c r="BJ199" s="3945">
        <v>136.38333333333333</v>
      </c>
      <c r="BK199" s="3389">
        <v>137.19999999999999</v>
      </c>
      <c r="BL199" s="3366">
        <v>83.98</v>
      </c>
      <c r="BM199" s="3389">
        <v>74.75</v>
      </c>
      <c r="BN199" s="6407">
        <v>46.400000000000006</v>
      </c>
      <c r="BO199" s="6368">
        <v>34</v>
      </c>
      <c r="BP199" s="6371">
        <v>2.8333333333333335</v>
      </c>
      <c r="BQ199" s="6332"/>
      <c r="BR199" s="5365">
        <v>19785452.40000001</v>
      </c>
      <c r="BS199" s="4005">
        <v>1648787.7000000004</v>
      </c>
      <c r="BT199" s="4686">
        <v>327.64311698739647</v>
      </c>
      <c r="BU199" s="4005"/>
      <c r="BV199" s="4005"/>
      <c r="BW199" s="5413"/>
      <c r="BX199" s="3341"/>
    </row>
    <row r="200" spans="1:79" ht="16.5">
      <c r="A200" s="7672"/>
      <c r="B200" s="7684" t="s">
        <v>1233</v>
      </c>
      <c r="C200" s="7684"/>
      <c r="D200" s="3038" t="s">
        <v>1236</v>
      </c>
      <c r="E200" s="4185">
        <f t="shared" ref="E200:T200" si="344">E64</f>
        <v>32</v>
      </c>
      <c r="F200" s="4697">
        <f t="shared" si="344"/>
        <v>12</v>
      </c>
      <c r="G200" s="5242">
        <f t="shared" si="344"/>
        <v>8</v>
      </c>
      <c r="H200" s="5242">
        <f t="shared" si="344"/>
        <v>21</v>
      </c>
      <c r="I200" s="6133">
        <f>I64</f>
        <v>9</v>
      </c>
      <c r="J200" s="6193">
        <f t="shared" si="344"/>
        <v>8.1</v>
      </c>
      <c r="K200" s="6194">
        <f t="shared" si="344"/>
        <v>0.67499999999999993</v>
      </c>
      <c r="L200" s="3049">
        <f t="shared" si="344"/>
        <v>0</v>
      </c>
      <c r="M200" s="3049">
        <f t="shared" si="344"/>
        <v>1</v>
      </c>
      <c r="N200" s="3049">
        <f t="shared" si="344"/>
        <v>1</v>
      </c>
      <c r="O200" s="3049">
        <f t="shared" si="344"/>
        <v>0</v>
      </c>
      <c r="P200" s="3049">
        <f t="shared" si="344"/>
        <v>0</v>
      </c>
      <c r="Q200" s="3049">
        <f t="shared" si="344"/>
        <v>0</v>
      </c>
      <c r="R200" s="3049">
        <f t="shared" si="344"/>
        <v>0</v>
      </c>
      <c r="S200" s="3049">
        <f t="shared" si="344"/>
        <v>0</v>
      </c>
      <c r="T200" s="3049">
        <f t="shared" si="344"/>
        <v>0</v>
      </c>
      <c r="U200" s="3049">
        <f>U64</f>
        <v>0</v>
      </c>
      <c r="V200" s="3049">
        <f>V64</f>
        <v>0</v>
      </c>
      <c r="W200" s="3049">
        <f>W64</f>
        <v>0</v>
      </c>
      <c r="X200" s="6599">
        <f>X64</f>
        <v>2</v>
      </c>
      <c r="Y200" s="4041">
        <f t="shared" ref="Y200:AM200" si="345">Y64</f>
        <v>2784169.6999999993</v>
      </c>
      <c r="Z200" s="4005">
        <f t="shared" si="345"/>
        <v>232014.1416666666</v>
      </c>
      <c r="AA200" s="3008">
        <f t="shared" si="345"/>
        <v>46.105290912118029</v>
      </c>
      <c r="AB200" s="4005">
        <f t="shared" si="345"/>
        <v>232014.1416666666</v>
      </c>
      <c r="AC200" s="4005">
        <f t="shared" si="345"/>
        <v>232014.1416666666</v>
      </c>
      <c r="AD200" s="4005">
        <f t="shared" si="345"/>
        <v>232014.1416666666</v>
      </c>
      <c r="AE200" s="4005">
        <f t="shared" si="345"/>
        <v>232014.1416666666</v>
      </c>
      <c r="AF200" s="4005">
        <f t="shared" si="345"/>
        <v>232014.1416666666</v>
      </c>
      <c r="AG200" s="4005">
        <f t="shared" si="345"/>
        <v>232014.1416666666</v>
      </c>
      <c r="AH200" s="4005">
        <f t="shared" si="345"/>
        <v>232014.1416666666</v>
      </c>
      <c r="AI200" s="4005">
        <f t="shared" si="345"/>
        <v>232014.1416666666</v>
      </c>
      <c r="AJ200" s="4005">
        <f t="shared" si="345"/>
        <v>232014.1416666666</v>
      </c>
      <c r="AK200" s="4005">
        <f t="shared" si="345"/>
        <v>232014.1416666666</v>
      </c>
      <c r="AL200" s="4005">
        <f t="shared" si="345"/>
        <v>0</v>
      </c>
      <c r="AM200" s="4005">
        <f t="shared" si="345"/>
        <v>0</v>
      </c>
      <c r="AN200" s="3008">
        <f t="shared" si="317"/>
        <v>2320141.416666666</v>
      </c>
      <c r="AO200" s="4041">
        <f t="shared" ref="AO200:AX200" si="346">AO64</f>
        <v>46.105290912118029</v>
      </c>
      <c r="AP200" s="3008">
        <f t="shared" si="346"/>
        <v>47.022395415325654</v>
      </c>
      <c r="AQ200" s="3008">
        <f t="shared" si="346"/>
        <v>48.69285322028324</v>
      </c>
      <c r="AR200" s="3008">
        <f t="shared" si="346"/>
        <v>41.842196304885967</v>
      </c>
      <c r="AS200" s="3008" t="e">
        <f t="shared" si="346"/>
        <v>#DIV/0!</v>
      </c>
      <c r="AT200" s="3008" t="e">
        <f t="shared" si="346"/>
        <v>#DIV/0!</v>
      </c>
      <c r="AU200" s="3008" t="e">
        <f t="shared" si="346"/>
        <v>#DIV/0!</v>
      </c>
      <c r="AV200" s="4041" t="e">
        <f t="shared" si="346"/>
        <v>#DIV/0!</v>
      </c>
      <c r="AW200" s="5365" t="e">
        <f t="shared" si="346"/>
        <v>#DIV/0!</v>
      </c>
      <c r="AX200" s="3953" t="e">
        <f t="shared" si="346"/>
        <v>#DIV/0!</v>
      </c>
      <c r="AY200" s="5365" t="e">
        <f>AY64</f>
        <v>#DIV/0!</v>
      </c>
      <c r="AZ200" s="3500"/>
      <c r="BA200" s="5378"/>
      <c r="BB200" s="3008">
        <f>BB64</f>
        <v>152.20080206683085</v>
      </c>
      <c r="BF200" s="7672"/>
      <c r="BG200" s="7658" t="s">
        <v>1233</v>
      </c>
      <c r="BH200" s="7658"/>
      <c r="BI200" s="4033" t="s">
        <v>1434</v>
      </c>
      <c r="BJ200" s="3922">
        <v>16</v>
      </c>
      <c r="BK200" s="4697">
        <v>6</v>
      </c>
      <c r="BL200" s="5242">
        <v>8</v>
      </c>
      <c r="BM200" s="4697">
        <v>21</v>
      </c>
      <c r="BN200" s="6407">
        <v>8</v>
      </c>
      <c r="BO200" s="6368">
        <v>7.2</v>
      </c>
      <c r="BP200" s="5235">
        <v>0.6</v>
      </c>
      <c r="BQ200" s="6323"/>
      <c r="BR200" s="5365">
        <v>2784169.6999999993</v>
      </c>
      <c r="BS200" s="4005">
        <v>232014.1416666666</v>
      </c>
      <c r="BT200" s="4686">
        <v>46.105290912118029</v>
      </c>
      <c r="BU200" s="4005"/>
      <c r="BV200" s="4005"/>
      <c r="BW200" s="5413"/>
      <c r="BX200" s="3341"/>
    </row>
    <row r="201" spans="1:79" ht="17.25" thickBot="1">
      <c r="A201" s="7672"/>
      <c r="B201" s="7659" t="s">
        <v>1234</v>
      </c>
      <c r="C201" s="7659"/>
      <c r="D201" s="2611" t="s">
        <v>1237</v>
      </c>
      <c r="E201" s="2820">
        <f>E69/2</f>
        <v>166</v>
      </c>
      <c r="F201" s="2821">
        <f>F69/2</f>
        <v>43</v>
      </c>
      <c r="G201" s="2822">
        <f>G69/2</f>
        <v>50.5</v>
      </c>
      <c r="H201" s="2822">
        <f t="shared" ref="H201:T201" si="347">H70</f>
        <v>229.05600000000001</v>
      </c>
      <c r="I201" s="6134">
        <f>I70</f>
        <v>65.621000000000009</v>
      </c>
      <c r="J201" s="6196">
        <f t="shared" si="347"/>
        <v>59.058900000000008</v>
      </c>
      <c r="K201" s="6197">
        <f t="shared" si="347"/>
        <v>4.9215750000000007</v>
      </c>
      <c r="L201" s="3050">
        <f t="shared" si="347"/>
        <v>0</v>
      </c>
      <c r="M201" s="3050">
        <f t="shared" si="347"/>
        <v>1.66</v>
      </c>
      <c r="N201" s="3050">
        <f t="shared" si="347"/>
        <v>71.199999999999989</v>
      </c>
      <c r="O201" s="3050">
        <f t="shared" si="347"/>
        <v>0</v>
      </c>
      <c r="P201" s="3050">
        <f t="shared" si="347"/>
        <v>0</v>
      </c>
      <c r="Q201" s="3050">
        <f t="shared" si="347"/>
        <v>0</v>
      </c>
      <c r="R201" s="3050">
        <f t="shared" si="347"/>
        <v>0</v>
      </c>
      <c r="S201" s="3050">
        <f t="shared" si="347"/>
        <v>0</v>
      </c>
      <c r="T201" s="3050">
        <f t="shared" si="347"/>
        <v>0</v>
      </c>
      <c r="U201" s="3050">
        <f>U70</f>
        <v>0</v>
      </c>
      <c r="V201" s="3050">
        <f>V70</f>
        <v>0</v>
      </c>
      <c r="W201" s="3050">
        <f>W70</f>
        <v>0</v>
      </c>
      <c r="X201" s="6617">
        <f>X70</f>
        <v>72.859999999999985</v>
      </c>
      <c r="Y201" s="5357">
        <f t="shared" ref="Y201:AM201" si="348">Y70</f>
        <v>339054.5</v>
      </c>
      <c r="Z201" s="4016">
        <f t="shared" si="348"/>
        <v>28254.541666666668</v>
      </c>
      <c r="AA201" s="4020">
        <f t="shared" si="348"/>
        <v>5.6146744063634939</v>
      </c>
      <c r="AB201" s="4016">
        <f t="shared" si="348"/>
        <v>28254.541666666668</v>
      </c>
      <c r="AC201" s="4016">
        <f t="shared" si="348"/>
        <v>-281245.45833333331</v>
      </c>
      <c r="AD201" s="4016">
        <f t="shared" si="348"/>
        <v>-1676245.4583333333</v>
      </c>
      <c r="AE201" s="4016">
        <f t="shared" si="348"/>
        <v>28254.541666666668</v>
      </c>
      <c r="AF201" s="4016">
        <f t="shared" si="348"/>
        <v>28254.541666666668</v>
      </c>
      <c r="AG201" s="4016">
        <f t="shared" si="348"/>
        <v>28254.541666666668</v>
      </c>
      <c r="AH201" s="4016">
        <f t="shared" si="348"/>
        <v>28254.541666666668</v>
      </c>
      <c r="AI201" s="4016">
        <f t="shared" si="348"/>
        <v>28254.541666666668</v>
      </c>
      <c r="AJ201" s="4016">
        <f t="shared" si="348"/>
        <v>28254.541666666668</v>
      </c>
      <c r="AK201" s="4016">
        <f t="shared" si="348"/>
        <v>28254.541666666668</v>
      </c>
      <c r="AL201" s="4016">
        <f t="shared" si="348"/>
        <v>0</v>
      </c>
      <c r="AM201" s="4016">
        <f t="shared" si="348"/>
        <v>0</v>
      </c>
      <c r="AN201" s="3008">
        <f t="shared" si="317"/>
        <v>-1731454.5833333328</v>
      </c>
      <c r="AO201" s="5357">
        <f t="shared" ref="AO201:AX201" si="349">AO70</f>
        <v>5.6146744063634939</v>
      </c>
      <c r="AP201" s="4020">
        <f t="shared" si="349"/>
        <v>5.7263588373745815</v>
      </c>
      <c r="AQ201" s="4020">
        <f t="shared" si="349"/>
        <v>-59.025039263215696</v>
      </c>
      <c r="AR201" s="4020">
        <f t="shared" si="349"/>
        <v>-302.29964009488458</v>
      </c>
      <c r="AS201" s="4020" t="e">
        <f t="shared" si="349"/>
        <v>#DIV/0!</v>
      </c>
      <c r="AT201" s="4020" t="e">
        <f t="shared" si="349"/>
        <v>#DIV/0!</v>
      </c>
      <c r="AU201" s="4020" t="e">
        <f t="shared" si="349"/>
        <v>#DIV/0!</v>
      </c>
      <c r="AV201" s="5357" t="e">
        <f t="shared" si="349"/>
        <v>#DIV/0!</v>
      </c>
      <c r="AW201" s="5450" t="e">
        <f t="shared" si="349"/>
        <v>#DIV/0!</v>
      </c>
      <c r="AX201" s="5234" t="e">
        <f t="shared" si="349"/>
        <v>#DIV/0!</v>
      </c>
      <c r="AY201" s="5450" t="e">
        <f>AY70</f>
        <v>#DIV/0!</v>
      </c>
      <c r="AZ201" s="3500"/>
      <c r="BA201" s="5378"/>
      <c r="BB201" s="4020">
        <f>BB70</f>
        <v>-113.5830662874998</v>
      </c>
      <c r="BF201" s="7672"/>
      <c r="BG201" s="7659" t="s">
        <v>1234</v>
      </c>
      <c r="BH201" s="7659"/>
      <c r="BI201" s="2611" t="s">
        <v>1390</v>
      </c>
      <c r="BJ201" s="2820">
        <v>166</v>
      </c>
      <c r="BK201" s="2821">
        <v>43</v>
      </c>
      <c r="BL201" s="2822">
        <v>50.5</v>
      </c>
      <c r="BM201" s="2821">
        <v>229.05600000000007</v>
      </c>
      <c r="BN201" s="6416">
        <v>65.621000000000009</v>
      </c>
      <c r="BO201" s="6372">
        <v>59.058900000000008</v>
      </c>
      <c r="BP201" s="6373">
        <v>4.9215750000000007</v>
      </c>
      <c r="BQ201" s="6352"/>
      <c r="BR201" s="5450">
        <v>339054.5</v>
      </c>
      <c r="BS201" s="4016">
        <v>28254.541666666668</v>
      </c>
      <c r="BT201" s="5217">
        <v>5.6146744063634939</v>
      </c>
      <c r="BU201" s="4008"/>
      <c r="BV201" s="4008"/>
      <c r="BW201" s="5414"/>
      <c r="BX201" s="3341"/>
    </row>
    <row r="202" spans="1:79" ht="17.25" thickBot="1">
      <c r="A202" s="7672"/>
      <c r="B202" s="7673" t="s">
        <v>1352</v>
      </c>
      <c r="C202" s="7674"/>
      <c r="D202" s="7674"/>
      <c r="E202" s="7674"/>
      <c r="F202" s="7674"/>
      <c r="G202" s="7674"/>
      <c r="H202" s="7674"/>
      <c r="I202" s="7675"/>
      <c r="J202" s="7676"/>
      <c r="K202" s="5425"/>
      <c r="L202" s="3834"/>
      <c r="M202" s="4177"/>
      <c r="N202" s="4177"/>
      <c r="O202" s="4177"/>
      <c r="P202" s="4640"/>
      <c r="Q202" s="4177"/>
      <c r="R202" s="4177"/>
      <c r="S202" s="5022"/>
      <c r="T202" s="5082"/>
      <c r="U202" s="5185"/>
      <c r="V202" s="5185"/>
      <c r="W202" s="5185"/>
      <c r="X202" s="5185"/>
      <c r="Y202" s="4036">
        <f t="shared" ref="Y202:AF202" si="350">Y191+Y196+Y197+Y199+Y200+Y201</f>
        <v>95559397.453564897</v>
      </c>
      <c r="Z202" s="3039">
        <f t="shared" si="350"/>
        <v>7963283.1211304059</v>
      </c>
      <c r="AA202" s="3040">
        <f t="shared" si="350"/>
        <v>1582.4444246280398</v>
      </c>
      <c r="AB202" s="3039">
        <f t="shared" si="350"/>
        <v>11736387.912952831</v>
      </c>
      <c r="AC202" s="3039">
        <f t="shared" si="350"/>
        <v>19516527.776007686</v>
      </c>
      <c r="AD202" s="3039">
        <f t="shared" si="350"/>
        <v>8668606.7323016953</v>
      </c>
      <c r="AE202" s="3039" t="e">
        <f t="shared" si="350"/>
        <v>#DIV/0!</v>
      </c>
      <c r="AF202" s="3039" t="e">
        <f t="shared" si="350"/>
        <v>#DIV/0!</v>
      </c>
      <c r="AG202" s="3039" t="e">
        <f t="shared" ref="AG202:AM202" si="351">AG191+AG196+AG197+AG199+AG200+AG201</f>
        <v>#DIV/0!</v>
      </c>
      <c r="AH202" s="3039" t="e">
        <f t="shared" si="351"/>
        <v>#DIV/0!</v>
      </c>
      <c r="AI202" s="3039" t="e">
        <f t="shared" si="351"/>
        <v>#DIV/0!</v>
      </c>
      <c r="AJ202" s="3039" t="e">
        <f t="shared" si="351"/>
        <v>#DIV/0!</v>
      </c>
      <c r="AK202" s="3039" t="e">
        <f t="shared" si="351"/>
        <v>#DIV/0!</v>
      </c>
      <c r="AL202" s="3039">
        <f t="shared" si="351"/>
        <v>0</v>
      </c>
      <c r="AM202" s="3039">
        <f t="shared" si="351"/>
        <v>0</v>
      </c>
      <c r="AN202" s="5292" t="e">
        <f t="shared" si="317"/>
        <v>#DIV/0!</v>
      </c>
      <c r="AO202" s="4036">
        <f>AO191+AO196+AO197+AO199+AO200+AO201</f>
        <v>1582.4444246280398</v>
      </c>
      <c r="AP202" s="3040">
        <f>AB202/년간!F12</f>
        <v>2378.6182567413907</v>
      </c>
      <c r="AQ202" s="3040">
        <f>AC202/년간!G12</f>
        <v>4095.9374956205725</v>
      </c>
      <c r="AR202" s="3040">
        <f>AD202/년간!H12</f>
        <v>1563.3251575842824</v>
      </c>
      <c r="AS202" s="3040" t="e">
        <f>AE202/년간!I12</f>
        <v>#DIV/0!</v>
      </c>
      <c r="AT202" s="3040" t="e">
        <f>AF202/년간!J12</f>
        <v>#DIV/0!</v>
      </c>
      <c r="AU202" s="3040" t="e">
        <f>AG202/년간!K12</f>
        <v>#DIV/0!</v>
      </c>
      <c r="AV202" s="4036" t="e">
        <f>AH202/년간!L12</f>
        <v>#DIV/0!</v>
      </c>
      <c r="AW202" s="5451" t="e">
        <f>AI202/년간!M12</f>
        <v>#DIV/0!</v>
      </c>
      <c r="AX202" s="5225" t="e">
        <f>AJ202/년간!N12</f>
        <v>#DIV/0!</v>
      </c>
      <c r="AY202" s="5451" t="e">
        <f>AK202/년간!O12</f>
        <v>#DIV/0!</v>
      </c>
      <c r="AZ202" s="5367"/>
      <c r="BA202" s="5379"/>
      <c r="BB202" s="3040" t="e">
        <f>AN202/년간!V12</f>
        <v>#DIV/0!</v>
      </c>
      <c r="BF202" s="7672"/>
      <c r="BG202" s="7673" t="s">
        <v>1352</v>
      </c>
      <c r="BH202" s="7674"/>
      <c r="BI202" s="7674"/>
      <c r="BJ202" s="7674"/>
      <c r="BK202" s="7674"/>
      <c r="BL202" s="7674"/>
      <c r="BM202" s="7674"/>
      <c r="BN202" s="7674"/>
      <c r="BO202" s="7674"/>
      <c r="BP202" s="7674"/>
      <c r="BQ202" s="7674"/>
      <c r="BR202" s="5451">
        <v>128191206.92555945</v>
      </c>
      <c r="BS202" s="3039">
        <v>10682600.577129951</v>
      </c>
      <c r="BT202" s="5207">
        <v>2122.820633985938</v>
      </c>
      <c r="BU202" s="4036"/>
      <c r="BV202" s="3039"/>
      <c r="BW202" s="5410"/>
      <c r="BX202" s="3341"/>
    </row>
    <row r="203" spans="1:79" s="286" customFormat="1" ht="16.5">
      <c r="A203" s="7672"/>
      <c r="B203" s="7685" t="s">
        <v>1392</v>
      </c>
      <c r="C203" s="7686"/>
      <c r="D203" s="2802" t="s">
        <v>1394</v>
      </c>
      <c r="E203" s="3061">
        <f t="shared" ref="E203:T203" si="352">E76</f>
        <v>9.6301471114610937</v>
      </c>
      <c r="F203" s="3061">
        <f t="shared" si="352"/>
        <v>9.7799999999999994</v>
      </c>
      <c r="G203" s="3062">
        <f t="shared" si="352"/>
        <v>9.9899535671630861</v>
      </c>
      <c r="H203" s="6230">
        <f t="shared" si="352"/>
        <v>9.3511203248380532</v>
      </c>
      <c r="I203" s="6231">
        <f>I76</f>
        <v>9.5212979035692769</v>
      </c>
      <c r="J203" s="6219">
        <f t="shared" si="352"/>
        <v>9.6999999999999993</v>
      </c>
      <c r="K203" s="6220">
        <f t="shared" si="352"/>
        <v>9.6999999999999993</v>
      </c>
      <c r="L203" s="3064">
        <f t="shared" si="352"/>
        <v>9.2332969466363082</v>
      </c>
      <c r="M203" s="3064">
        <f t="shared" si="352"/>
        <v>9.9368709346114343</v>
      </c>
      <c r="N203" s="3064">
        <f t="shared" si="352"/>
        <v>10.335309367438645</v>
      </c>
      <c r="O203" s="3064" t="e">
        <f t="shared" si="352"/>
        <v>#DIV/0!</v>
      </c>
      <c r="P203" s="3064" t="e">
        <f t="shared" si="352"/>
        <v>#DIV/0!</v>
      </c>
      <c r="Q203" s="3064" t="e">
        <f t="shared" si="352"/>
        <v>#DIV/0!</v>
      </c>
      <c r="R203" s="3064" t="e">
        <f t="shared" si="352"/>
        <v>#DIV/0!</v>
      </c>
      <c r="S203" s="3064" t="e">
        <f t="shared" si="352"/>
        <v>#DIV/0!</v>
      </c>
      <c r="T203" s="3064" t="e">
        <f t="shared" si="352"/>
        <v>#DIV/0!</v>
      </c>
      <c r="U203" s="3064" t="e">
        <f>U76</f>
        <v>#DIV/0!</v>
      </c>
      <c r="V203" s="3064" t="e">
        <f>V76</f>
        <v>#DIV/0!</v>
      </c>
      <c r="W203" s="3064" t="e">
        <f>W76</f>
        <v>#DIV/0!</v>
      </c>
      <c r="X203" s="6613">
        <f>X76</f>
        <v>9.52856056423132</v>
      </c>
      <c r="Y203" s="4047">
        <f t="shared" ref="Y203:AM203" si="353">Y76</f>
        <v>186321655.26925617</v>
      </c>
      <c r="Z203" s="2824">
        <f t="shared" si="353"/>
        <v>15526804.605771348</v>
      </c>
      <c r="AA203" s="3009">
        <f t="shared" si="353"/>
        <v>3085.4491805641114</v>
      </c>
      <c r="AB203" s="2824">
        <f t="shared" si="353"/>
        <v>-25773265.613504175</v>
      </c>
      <c r="AC203" s="2824">
        <f t="shared" si="353"/>
        <v>33387782.676533714</v>
      </c>
      <c r="AD203" s="2824">
        <f t="shared" si="353"/>
        <v>73113293.045505911</v>
      </c>
      <c r="AE203" s="2824" t="e">
        <f t="shared" si="353"/>
        <v>#DIV/0!</v>
      </c>
      <c r="AF203" s="2824" t="e">
        <f t="shared" si="353"/>
        <v>#DIV/0!</v>
      </c>
      <c r="AG203" s="2824" t="e">
        <f t="shared" si="353"/>
        <v>#DIV/0!</v>
      </c>
      <c r="AH203" s="2824" t="e">
        <f t="shared" si="353"/>
        <v>#DIV/0!</v>
      </c>
      <c r="AI203" s="2824" t="e">
        <f t="shared" si="353"/>
        <v>#DIV/0!</v>
      </c>
      <c r="AJ203" s="2824" t="e">
        <f t="shared" si="353"/>
        <v>#DIV/0!</v>
      </c>
      <c r="AK203" s="2824" t="e">
        <f t="shared" si="353"/>
        <v>#DIV/0!</v>
      </c>
      <c r="AL203" s="2824">
        <f t="shared" si="353"/>
        <v>0</v>
      </c>
      <c r="AM203" s="2824">
        <f t="shared" si="353"/>
        <v>0</v>
      </c>
      <c r="AN203" s="3008" t="e">
        <f t="shared" si="317"/>
        <v>#DIV/0!</v>
      </c>
      <c r="AO203" s="4047">
        <f t="shared" ref="AO203:AX203" si="354">AO76</f>
        <v>3085.4491805641114</v>
      </c>
      <c r="AP203" s="3009">
        <f t="shared" si="354"/>
        <v>-5223.4776644070625</v>
      </c>
      <c r="AQ203" s="3009">
        <f t="shared" si="354"/>
        <v>7007.1004704311181</v>
      </c>
      <c r="AR203" s="3009">
        <f t="shared" si="354"/>
        <v>13185.492652003417</v>
      </c>
      <c r="AS203" s="3009" t="e">
        <f t="shared" si="354"/>
        <v>#DIV/0!</v>
      </c>
      <c r="AT203" s="3009" t="e">
        <f t="shared" si="354"/>
        <v>#DIV/0!</v>
      </c>
      <c r="AU203" s="3009" t="e">
        <f t="shared" si="354"/>
        <v>#DIV/0!</v>
      </c>
      <c r="AV203" s="4047" t="e">
        <f t="shared" si="354"/>
        <v>#DIV/0!</v>
      </c>
      <c r="AW203" s="5458" t="e">
        <f t="shared" si="354"/>
        <v>#DIV/0!</v>
      </c>
      <c r="AX203" s="5233" t="e">
        <f t="shared" si="354"/>
        <v>#DIV/0!</v>
      </c>
      <c r="AY203" s="5458" t="e">
        <f>AY76</f>
        <v>#DIV/0!</v>
      </c>
      <c r="AZ203" s="5372"/>
      <c r="BA203" s="4132"/>
      <c r="BB203" s="3009" t="e">
        <f>BB76</f>
        <v>#DIV/0!</v>
      </c>
      <c r="BF203" s="7672"/>
      <c r="BG203" s="7654" t="s">
        <v>1392</v>
      </c>
      <c r="BH203" s="7655"/>
      <c r="BI203" s="2802" t="s">
        <v>1393</v>
      </c>
      <c r="BJ203" s="3525">
        <v>9.6301471114610937</v>
      </c>
      <c r="BK203" s="3525">
        <v>9.7799999999999994</v>
      </c>
      <c r="BL203" s="3525">
        <v>9.9899535671630861</v>
      </c>
      <c r="BM203" s="3525">
        <v>9.3511203248380532</v>
      </c>
      <c r="BN203" s="3526">
        <v>9.6419684379365638</v>
      </c>
      <c r="BO203" s="6356">
        <v>9.6999999999999993</v>
      </c>
      <c r="BP203" s="6357">
        <v>9.6999999999999993</v>
      </c>
      <c r="BQ203" s="6346"/>
      <c r="BR203" s="5368">
        <v>59748691.038583048</v>
      </c>
      <c r="BS203" s="4574">
        <v>4979057.5865485873</v>
      </c>
      <c r="BT203" s="5214">
        <v>989.42632051204771</v>
      </c>
      <c r="BU203" s="2824"/>
      <c r="BV203" s="2824"/>
      <c r="BW203" s="5415"/>
      <c r="BX203" s="3962"/>
    </row>
    <row r="204" spans="1:79" ht="17.25" thickBot="1">
      <c r="A204" s="7672"/>
      <c r="B204" s="7680" t="s">
        <v>1288</v>
      </c>
      <c r="C204" s="2891" t="s">
        <v>451</v>
      </c>
      <c r="D204" s="2802" t="s">
        <v>1293</v>
      </c>
      <c r="E204" s="2805">
        <f t="shared" ref="E204:T204" si="355">E81</f>
        <v>42.62</v>
      </c>
      <c r="F204" s="2805">
        <f t="shared" si="355"/>
        <v>48.67</v>
      </c>
      <c r="G204" s="3032">
        <f t="shared" si="355"/>
        <v>52.269771847106512</v>
      </c>
      <c r="H204" s="3032">
        <f t="shared" si="355"/>
        <v>61.248628266089717</v>
      </c>
      <c r="I204" s="6144">
        <f>I81</f>
        <v>61.837961468484707</v>
      </c>
      <c r="J204" s="6221">
        <f t="shared" si="355"/>
        <v>59.298818010126638</v>
      </c>
      <c r="K204" s="6222">
        <f t="shared" si="355"/>
        <v>59.298818010126638</v>
      </c>
      <c r="L204" s="3033">
        <f t="shared" si="355"/>
        <v>61.085392846963899</v>
      </c>
      <c r="M204" s="3033">
        <f t="shared" si="355"/>
        <v>69.439136382552405</v>
      </c>
      <c r="N204" s="3033">
        <f t="shared" si="355"/>
        <v>62.254912617202976</v>
      </c>
      <c r="O204" s="3033">
        <f t="shared" si="355"/>
        <v>0</v>
      </c>
      <c r="P204" s="3033">
        <f t="shared" si="355"/>
        <v>0</v>
      </c>
      <c r="Q204" s="3033">
        <f t="shared" si="355"/>
        <v>0</v>
      </c>
      <c r="R204" s="3033">
        <f t="shared" si="355"/>
        <v>0</v>
      </c>
      <c r="S204" s="3033">
        <f t="shared" si="355"/>
        <v>0</v>
      </c>
      <c r="T204" s="3033">
        <f t="shared" si="355"/>
        <v>0</v>
      </c>
      <c r="U204" s="3033">
        <f>U81</f>
        <v>0</v>
      </c>
      <c r="V204" s="3033">
        <f>V81</f>
        <v>0</v>
      </c>
      <c r="W204" s="3033">
        <f>W81</f>
        <v>0</v>
      </c>
      <c r="X204" s="6614">
        <f>X81</f>
        <v>19.277944184671931</v>
      </c>
      <c r="Y204" s="4047">
        <f t="shared" ref="Y204:AM204" si="356">Y81</f>
        <v>77325216.191769272</v>
      </c>
      <c r="Z204" s="2824">
        <f t="shared" si="356"/>
        <v>6443768.0159807727</v>
      </c>
      <c r="AA204" s="3009">
        <f t="shared" si="356"/>
        <v>1280.4900460499741</v>
      </c>
      <c r="AB204" s="2824">
        <f t="shared" si="356"/>
        <v>1872598.9781224437</v>
      </c>
      <c r="AC204" s="2824">
        <f t="shared" si="356"/>
        <v>-18543839.090333413</v>
      </c>
      <c r="AD204" s="2824">
        <f t="shared" si="356"/>
        <v>-1257407.5191904085</v>
      </c>
      <c r="AE204" s="2824">
        <f t="shared" si="356"/>
        <v>0</v>
      </c>
      <c r="AF204" s="2824">
        <f t="shared" si="356"/>
        <v>0</v>
      </c>
      <c r="AG204" s="2824">
        <f t="shared" si="356"/>
        <v>0</v>
      </c>
      <c r="AH204" s="2824">
        <f t="shared" si="356"/>
        <v>0</v>
      </c>
      <c r="AI204" s="2824">
        <f t="shared" si="356"/>
        <v>0</v>
      </c>
      <c r="AJ204" s="2824">
        <f t="shared" si="356"/>
        <v>0</v>
      </c>
      <c r="AK204" s="2824">
        <f t="shared" si="356"/>
        <v>0</v>
      </c>
      <c r="AL204" s="2824">
        <f t="shared" si="356"/>
        <v>0</v>
      </c>
      <c r="AM204" s="2824">
        <f t="shared" si="356"/>
        <v>0</v>
      </c>
      <c r="AN204" s="3008">
        <f t="shared" si="317"/>
        <v>-17928647.631401379</v>
      </c>
      <c r="AO204" s="4047">
        <f t="shared" ref="AO204:AX204" si="357">AO81</f>
        <v>1280.4900460499741</v>
      </c>
      <c r="AP204" s="3009">
        <f t="shared" si="357"/>
        <v>379.52035583294361</v>
      </c>
      <c r="AQ204" s="3009">
        <f t="shared" si="357"/>
        <v>-3891.7991312073646</v>
      </c>
      <c r="AR204" s="3009">
        <f t="shared" si="357"/>
        <v>-226.76502335272778</v>
      </c>
      <c r="AS204" s="3009" t="e">
        <f t="shared" si="357"/>
        <v>#DIV/0!</v>
      </c>
      <c r="AT204" s="3009" t="e">
        <f t="shared" si="357"/>
        <v>#DIV/0!</v>
      </c>
      <c r="AU204" s="3009" t="e">
        <f t="shared" si="357"/>
        <v>#DIV/0!</v>
      </c>
      <c r="AV204" s="4047" t="e">
        <f t="shared" si="357"/>
        <v>#DIV/0!</v>
      </c>
      <c r="AW204" s="5458" t="e">
        <f t="shared" si="357"/>
        <v>#DIV/0!</v>
      </c>
      <c r="AX204" s="5233" t="e">
        <f t="shared" si="357"/>
        <v>#DIV/0!</v>
      </c>
      <c r="AY204" s="5458" t="e">
        <f>AY81</f>
        <v>#DIV/0!</v>
      </c>
      <c r="AZ204" s="5368"/>
      <c r="BA204" s="4574"/>
      <c r="BB204" s="3009">
        <f>BB81</f>
        <v>-1176.1156151392111</v>
      </c>
      <c r="BF204" s="7672"/>
      <c r="BG204" s="7680" t="s">
        <v>1288</v>
      </c>
      <c r="BH204" s="5158" t="s">
        <v>451</v>
      </c>
      <c r="BI204" s="2802" t="s">
        <v>1293</v>
      </c>
      <c r="BJ204" s="2805">
        <v>42.62</v>
      </c>
      <c r="BK204" s="2805">
        <v>48.67</v>
      </c>
      <c r="BL204" s="2805">
        <v>52.269771847106512</v>
      </c>
      <c r="BM204" s="2805">
        <v>61.248628266089717</v>
      </c>
      <c r="BN204" s="3032">
        <v>59.897795969824884</v>
      </c>
      <c r="BO204" s="6358">
        <v>59.298818010126638</v>
      </c>
      <c r="BP204" s="6359">
        <v>59.298818010126638</v>
      </c>
      <c r="BQ204" s="6353"/>
      <c r="BR204" s="5458">
        <v>21846237.112098366</v>
      </c>
      <c r="BS204" s="2824">
        <v>1820519.7593415305</v>
      </c>
      <c r="BT204" s="5218">
        <v>361.76929782276011</v>
      </c>
      <c r="BU204" s="2824"/>
      <c r="BV204" s="2824"/>
      <c r="BW204" s="5416"/>
      <c r="BX204" s="3962"/>
    </row>
    <row r="205" spans="1:79" ht="16.5">
      <c r="A205" s="7672"/>
      <c r="B205" s="7681"/>
      <c r="C205" s="2888" t="s">
        <v>1292</v>
      </c>
      <c r="D205" s="2797" t="s">
        <v>315</v>
      </c>
      <c r="E205" s="2804">
        <f t="shared" ref="E205:T205" si="358">E87</f>
        <v>114.7</v>
      </c>
      <c r="F205" s="2804">
        <f t="shared" si="358"/>
        <v>144.24</v>
      </c>
      <c r="G205" s="2807">
        <f t="shared" si="358"/>
        <v>126.50420240387075</v>
      </c>
      <c r="H205" s="5244">
        <f t="shared" si="358"/>
        <v>130.19365474477331</v>
      </c>
      <c r="I205" s="6142">
        <f>I87</f>
        <v>123.24098635253669</v>
      </c>
      <c r="J205" s="6223">
        <f t="shared" si="358"/>
        <v>123.22805842053852</v>
      </c>
      <c r="K205" s="6224">
        <f t="shared" si="358"/>
        <v>123.22805842053852</v>
      </c>
      <c r="L205" s="2808">
        <f t="shared" si="358"/>
        <v>108.12140766742601</v>
      </c>
      <c r="M205" s="2808">
        <f t="shared" si="358"/>
        <v>102.11045468377807</v>
      </c>
      <c r="N205" s="2808">
        <f t="shared" si="358"/>
        <v>117.50482022605313</v>
      </c>
      <c r="O205" s="2808">
        <f t="shared" si="358"/>
        <v>0</v>
      </c>
      <c r="P205" s="2808">
        <f t="shared" si="358"/>
        <v>0</v>
      </c>
      <c r="Q205" s="2808">
        <f t="shared" si="358"/>
        <v>0</v>
      </c>
      <c r="R205" s="2808">
        <f t="shared" si="358"/>
        <v>0</v>
      </c>
      <c r="S205" s="2808">
        <f t="shared" si="358"/>
        <v>0</v>
      </c>
      <c r="T205" s="2808">
        <f t="shared" si="358"/>
        <v>0</v>
      </c>
      <c r="U205" s="2808">
        <f>U87</f>
        <v>0</v>
      </c>
      <c r="V205" s="2808">
        <f>V87</f>
        <v>0</v>
      </c>
      <c r="W205" s="2808">
        <f>W87</f>
        <v>0</v>
      </c>
      <c r="X205" s="6615">
        <f>X87</f>
        <v>32.773668257725724</v>
      </c>
      <c r="Y205" s="4049">
        <f t="shared" ref="Y205:AM205" si="359">Y87</f>
        <v>85874.986200074025</v>
      </c>
      <c r="Z205" s="4575">
        <f t="shared" si="359"/>
        <v>7156.2488500061691</v>
      </c>
      <c r="AA205" s="3010">
        <f t="shared" si="359"/>
        <v>1.4220725197995421</v>
      </c>
      <c r="AB205" s="4575">
        <f t="shared" si="359"/>
        <v>8206199.713995615</v>
      </c>
      <c r="AC205" s="4575">
        <f t="shared" si="359"/>
        <v>11244316.600086538</v>
      </c>
      <c r="AD205" s="4575">
        <f t="shared" si="359"/>
        <v>3773256.3877836298</v>
      </c>
      <c r="AE205" s="4575">
        <f t="shared" si="359"/>
        <v>0</v>
      </c>
      <c r="AF205" s="4575">
        <f t="shared" si="359"/>
        <v>0</v>
      </c>
      <c r="AG205" s="4575">
        <f t="shared" si="359"/>
        <v>0</v>
      </c>
      <c r="AH205" s="4575">
        <f t="shared" si="359"/>
        <v>0</v>
      </c>
      <c r="AI205" s="4575">
        <f t="shared" si="359"/>
        <v>0</v>
      </c>
      <c r="AJ205" s="4575">
        <f t="shared" si="359"/>
        <v>0</v>
      </c>
      <c r="AK205" s="4575">
        <f t="shared" si="359"/>
        <v>0</v>
      </c>
      <c r="AL205" s="4575">
        <f t="shared" si="359"/>
        <v>0</v>
      </c>
      <c r="AM205" s="4575">
        <f t="shared" si="359"/>
        <v>0</v>
      </c>
      <c r="AN205" s="3008">
        <f t="shared" si="317"/>
        <v>23223772.701865785</v>
      </c>
      <c r="AO205" s="4049">
        <f t="shared" ref="AO205:AX205" si="360">AO87</f>
        <v>1.4220725197995421</v>
      </c>
      <c r="AP205" s="3010">
        <f t="shared" si="360"/>
        <v>1663.153655362175</v>
      </c>
      <c r="AQ205" s="3010">
        <f t="shared" si="360"/>
        <v>2359.8469206977211</v>
      </c>
      <c r="AR205" s="3010">
        <f t="shared" si="360"/>
        <v>680.48151441188782</v>
      </c>
      <c r="AS205" s="3010" t="e">
        <f t="shared" si="360"/>
        <v>#DIV/0!</v>
      </c>
      <c r="AT205" s="3010" t="e">
        <f t="shared" si="360"/>
        <v>#DIV/0!</v>
      </c>
      <c r="AU205" s="3010" t="e">
        <f t="shared" si="360"/>
        <v>#DIV/0!</v>
      </c>
      <c r="AV205" s="4049" t="e">
        <f t="shared" si="360"/>
        <v>#DIV/0!</v>
      </c>
      <c r="AW205" s="5459" t="e">
        <f t="shared" si="360"/>
        <v>#DIV/0!</v>
      </c>
      <c r="AX205" s="3887" t="e">
        <f t="shared" si="360"/>
        <v>#DIV/0!</v>
      </c>
      <c r="AY205" s="5459" t="e">
        <f>AY87</f>
        <v>#DIV/0!</v>
      </c>
      <c r="AZ205" s="5368"/>
      <c r="BA205" s="4574"/>
      <c r="BB205" s="3010">
        <f>BB87</f>
        <v>1523.4747360012191</v>
      </c>
      <c r="BF205" s="7672"/>
      <c r="BG205" s="7661"/>
      <c r="BH205" s="5157" t="s">
        <v>1292</v>
      </c>
      <c r="BI205" s="3085" t="s">
        <v>315</v>
      </c>
      <c r="BJ205" s="5241">
        <v>114.7</v>
      </c>
      <c r="BK205" s="5241">
        <v>144.24</v>
      </c>
      <c r="BL205" s="5241">
        <v>126.50420240387075</v>
      </c>
      <c r="BM205" s="5241">
        <v>130.19365474477331</v>
      </c>
      <c r="BN205" s="5244">
        <v>124.47278628337224</v>
      </c>
      <c r="BO205" s="6360">
        <v>123.22805842053852</v>
      </c>
      <c r="BP205" s="6361">
        <v>123.22805842053852</v>
      </c>
      <c r="BQ205" s="6354"/>
      <c r="BR205" s="5459">
        <v>7618602.0958628058</v>
      </c>
      <c r="BS205" s="4575">
        <v>634883.50798856711</v>
      </c>
      <c r="BT205" s="5215">
        <v>126.1625201845372</v>
      </c>
      <c r="BU205" s="4575"/>
      <c r="BV205" s="4575"/>
      <c r="BW205" s="5416"/>
      <c r="BX205" s="7769" t="s">
        <v>1839</v>
      </c>
      <c r="BY205" s="7769" t="s">
        <v>1701</v>
      </c>
      <c r="BZ205" s="7773" t="s">
        <v>1702</v>
      </c>
      <c r="CA205" s="7771" t="s">
        <v>1700</v>
      </c>
    </row>
    <row r="206" spans="1:79" ht="17.45" customHeight="1">
      <c r="A206" s="7672"/>
      <c r="B206" s="2888" t="s">
        <v>1331</v>
      </c>
      <c r="C206" s="2892" t="s">
        <v>1337</v>
      </c>
      <c r="D206" s="2360" t="s">
        <v>1321</v>
      </c>
      <c r="E206" s="3028">
        <f t="shared" ref="E206:T206" si="361">E94</f>
        <v>32.450000000000003</v>
      </c>
      <c r="F206" s="3028">
        <f t="shared" si="361"/>
        <v>33.229999999999997</v>
      </c>
      <c r="G206" s="3030">
        <f t="shared" si="361"/>
        <v>38.068566825581534</v>
      </c>
      <c r="H206" s="3575">
        <f t="shared" si="361"/>
        <v>36.189847966144271</v>
      </c>
      <c r="I206" s="6145">
        <f>I94</f>
        <v>35.862266270897663</v>
      </c>
      <c r="J206" s="6200">
        <f t="shared" si="361"/>
        <v>35.324332276834198</v>
      </c>
      <c r="K206" s="6201">
        <f t="shared" si="361"/>
        <v>35.324332276834198</v>
      </c>
      <c r="L206" s="3031">
        <f t="shared" si="361"/>
        <v>34.950507891984792</v>
      </c>
      <c r="M206" s="3031">
        <f t="shared" si="361"/>
        <v>33.766743839920622</v>
      </c>
      <c r="N206" s="3031">
        <f t="shared" si="361"/>
        <v>34.266665105911194</v>
      </c>
      <c r="O206" s="3031">
        <f t="shared" si="361"/>
        <v>0</v>
      </c>
      <c r="P206" s="3031">
        <f t="shared" si="361"/>
        <v>0</v>
      </c>
      <c r="Q206" s="3031">
        <f t="shared" si="361"/>
        <v>0</v>
      </c>
      <c r="R206" s="3031">
        <f t="shared" si="361"/>
        <v>0</v>
      </c>
      <c r="S206" s="3031">
        <f t="shared" si="361"/>
        <v>0</v>
      </c>
      <c r="T206" s="3031">
        <f t="shared" si="361"/>
        <v>0</v>
      </c>
      <c r="U206" s="3031">
        <f>U94</f>
        <v>0</v>
      </c>
      <c r="V206" s="3031">
        <f>V94</f>
        <v>0</v>
      </c>
      <c r="W206" s="3031">
        <f>W94</f>
        <v>0</v>
      </c>
      <c r="X206" s="6602">
        <f>X94</f>
        <v>10.298391683781659</v>
      </c>
      <c r="Y206" s="4049">
        <f t="shared" ref="Y206:AM206" si="362">Y94</f>
        <v>177851711.75367501</v>
      </c>
      <c r="Z206" s="4575">
        <f t="shared" si="362"/>
        <v>14820975.979472918</v>
      </c>
      <c r="AA206" s="3010">
        <f t="shared" si="362"/>
        <v>2945.1886174974716</v>
      </c>
      <c r="AB206" s="4575">
        <f t="shared" si="362"/>
        <v>24630520.757774636</v>
      </c>
      <c r="AC206" s="4575">
        <f t="shared" si="362"/>
        <v>55501713.733717598</v>
      </c>
      <c r="AD206" s="4575">
        <f t="shared" si="362"/>
        <v>52240867.301403284</v>
      </c>
      <c r="AE206" s="4575">
        <f t="shared" si="362"/>
        <v>0</v>
      </c>
      <c r="AF206" s="4575">
        <f t="shared" si="362"/>
        <v>0</v>
      </c>
      <c r="AG206" s="4575">
        <f t="shared" si="362"/>
        <v>0</v>
      </c>
      <c r="AH206" s="4575">
        <f t="shared" si="362"/>
        <v>0</v>
      </c>
      <c r="AI206" s="4575">
        <f t="shared" si="362"/>
        <v>0</v>
      </c>
      <c r="AJ206" s="4575">
        <f t="shared" si="362"/>
        <v>0</v>
      </c>
      <c r="AK206" s="4575">
        <f t="shared" si="362"/>
        <v>0</v>
      </c>
      <c r="AL206" s="4575">
        <f t="shared" si="362"/>
        <v>0</v>
      </c>
      <c r="AM206" s="4575">
        <f t="shared" si="362"/>
        <v>0</v>
      </c>
      <c r="AN206" s="3008">
        <f t="shared" si="317"/>
        <v>132373101.79289553</v>
      </c>
      <c r="AO206" s="4049">
        <f t="shared" ref="AO206:AX206" si="363">AO94</f>
        <v>2945.1886174974716</v>
      </c>
      <c r="AP206" s="3010">
        <f t="shared" si="363"/>
        <v>4991.8771245479711</v>
      </c>
      <c r="AQ206" s="3010">
        <f t="shared" si="363"/>
        <v>11648.155499904004</v>
      </c>
      <c r="AR206" s="3010">
        <f t="shared" si="363"/>
        <v>9421.2904828156788</v>
      </c>
      <c r="AS206" s="3010" t="e">
        <f t="shared" si="363"/>
        <v>#DIV/0!</v>
      </c>
      <c r="AT206" s="3010" t="e">
        <f t="shared" si="363"/>
        <v>#DIV/0!</v>
      </c>
      <c r="AU206" s="3010" t="e">
        <f t="shared" si="363"/>
        <v>#DIV/0!</v>
      </c>
      <c r="AV206" s="4049" t="e">
        <f t="shared" si="363"/>
        <v>#DIV/0!</v>
      </c>
      <c r="AW206" s="5459" t="e">
        <f t="shared" si="363"/>
        <v>#DIV/0!</v>
      </c>
      <c r="AX206" s="3887" t="e">
        <f t="shared" si="363"/>
        <v>#DIV/0!</v>
      </c>
      <c r="AY206" s="5459" t="e">
        <f>AY94</f>
        <v>#DIV/0!</v>
      </c>
      <c r="AZ206" s="5368"/>
      <c r="BA206" s="4574"/>
      <c r="BB206" s="3010">
        <f>BB94</f>
        <v>8683.6483846309857</v>
      </c>
      <c r="BF206" s="7672"/>
      <c r="BG206" s="5157" t="s">
        <v>1331</v>
      </c>
      <c r="BH206" s="3349" t="s">
        <v>1337</v>
      </c>
      <c r="BI206" s="4341" t="s">
        <v>1321</v>
      </c>
      <c r="BJ206" s="3574">
        <v>32.450000000000003</v>
      </c>
      <c r="BK206" s="3574">
        <v>33.229999999999997</v>
      </c>
      <c r="BL206" s="3574">
        <v>34.56</v>
      </c>
      <c r="BM206" s="3574">
        <v>34.778584420491057</v>
      </c>
      <c r="BN206" s="3575">
        <v>35.862266270897663</v>
      </c>
      <c r="BO206" s="6362">
        <v>35.324332276834198</v>
      </c>
      <c r="BP206" s="6363">
        <v>35.324332276834198</v>
      </c>
      <c r="BQ206" s="6329"/>
      <c r="BR206" s="5459">
        <v>171995949.03808618</v>
      </c>
      <c r="BS206" s="4575">
        <v>14332995.753173849</v>
      </c>
      <c r="BT206" s="5215">
        <v>2848.2183633083832</v>
      </c>
      <c r="BU206" s="4575"/>
      <c r="BV206" s="4575"/>
      <c r="BW206" s="5416"/>
      <c r="BX206" s="7770"/>
      <c r="BY206" s="7770"/>
      <c r="BZ206" s="7774"/>
      <c r="CA206" s="7772"/>
    </row>
    <row r="207" spans="1:79" s="286" customFormat="1" ht="17.45" customHeight="1">
      <c r="A207" s="7672"/>
      <c r="B207" s="7652" t="s">
        <v>1429</v>
      </c>
      <c r="C207" s="7653"/>
      <c r="D207" s="1668" t="s">
        <v>700</v>
      </c>
      <c r="E207" s="3058">
        <f t="shared" ref="E207:T207" si="364">E100</f>
        <v>15121.883998696972</v>
      </c>
      <c r="F207" s="3058">
        <f t="shared" si="364"/>
        <v>22325</v>
      </c>
      <c r="G207" s="3059">
        <f t="shared" si="364"/>
        <v>16135.219800729554</v>
      </c>
      <c r="H207" s="5247">
        <f t="shared" si="364"/>
        <v>18457.150704298372</v>
      </c>
      <c r="I207" s="6146">
        <f>I100</f>
        <v>17614.707529321437</v>
      </c>
      <c r="J207" s="6225">
        <f t="shared" si="364"/>
        <v>17438.560454028222</v>
      </c>
      <c r="K207" s="6226">
        <f t="shared" si="364"/>
        <v>17438.560454028222</v>
      </c>
      <c r="L207" s="3060">
        <f t="shared" si="364"/>
        <v>20360.13412726079</v>
      </c>
      <c r="M207" s="3060">
        <f t="shared" si="364"/>
        <v>17042.475607739372</v>
      </c>
      <c r="N207" s="3060">
        <f t="shared" si="364"/>
        <v>16339.804615711344</v>
      </c>
      <c r="O207" s="3060">
        <f t="shared" si="364"/>
        <v>0</v>
      </c>
      <c r="P207" s="3060">
        <f t="shared" si="364"/>
        <v>0</v>
      </c>
      <c r="Q207" s="3060">
        <f t="shared" si="364"/>
        <v>0</v>
      </c>
      <c r="R207" s="3060">
        <f t="shared" si="364"/>
        <v>0</v>
      </c>
      <c r="S207" s="3060">
        <f t="shared" si="364"/>
        <v>0</v>
      </c>
      <c r="T207" s="3060">
        <f t="shared" si="364"/>
        <v>0</v>
      </c>
      <c r="U207" s="3060">
        <f>U100</f>
        <v>0</v>
      </c>
      <c r="V207" s="3060">
        <f>V100</f>
        <v>0</v>
      </c>
      <c r="W207" s="3060">
        <f>W100</f>
        <v>0</v>
      </c>
      <c r="X207" s="6616">
        <f>X100</f>
        <v>5374.2414350711506</v>
      </c>
      <c r="Y207" s="4049">
        <f t="shared" ref="Y207:AM207" si="365">Y100</f>
        <v>10630475.9939455</v>
      </c>
      <c r="Z207" s="4575">
        <f t="shared" si="365"/>
        <v>885872.99949545832</v>
      </c>
      <c r="AA207" s="3010">
        <f t="shared" si="365"/>
        <v>176.03854687275148</v>
      </c>
      <c r="AB207" s="4575">
        <f t="shared" si="365"/>
        <v>-13546264.285424521</v>
      </c>
      <c r="AC207" s="4575">
        <f t="shared" si="365"/>
        <v>2768229.1438453947</v>
      </c>
      <c r="AD207" s="4575">
        <f t="shared" si="365"/>
        <v>7623932.1724174898</v>
      </c>
      <c r="AE207" s="4575">
        <f t="shared" si="365"/>
        <v>0</v>
      </c>
      <c r="AF207" s="4575">
        <f t="shared" si="365"/>
        <v>0</v>
      </c>
      <c r="AG207" s="4575">
        <f t="shared" si="365"/>
        <v>0</v>
      </c>
      <c r="AH207" s="4575">
        <f t="shared" si="365"/>
        <v>0</v>
      </c>
      <c r="AI207" s="4575">
        <f t="shared" si="365"/>
        <v>0</v>
      </c>
      <c r="AJ207" s="4575">
        <f t="shared" si="365"/>
        <v>0</v>
      </c>
      <c r="AK207" s="4575">
        <f t="shared" si="365"/>
        <v>0</v>
      </c>
      <c r="AL207" s="4575">
        <f t="shared" si="365"/>
        <v>0</v>
      </c>
      <c r="AM207" s="4575">
        <f t="shared" si="365"/>
        <v>0</v>
      </c>
      <c r="AN207" s="3008">
        <f t="shared" si="317"/>
        <v>-3154102.9691616371</v>
      </c>
      <c r="AO207" s="4049">
        <f t="shared" ref="AO207:AX207" si="366">AO100</f>
        <v>176.03854687275148</v>
      </c>
      <c r="AP207" s="3010">
        <f t="shared" si="366"/>
        <v>-2745.4265979393531</v>
      </c>
      <c r="AQ207" s="3010">
        <f t="shared" si="366"/>
        <v>580.96879101029299</v>
      </c>
      <c r="AR207" s="3010">
        <f t="shared" si="366"/>
        <v>1374.9250984525625</v>
      </c>
      <c r="AS207" s="3010" t="e">
        <f t="shared" si="366"/>
        <v>#DIV/0!</v>
      </c>
      <c r="AT207" s="3010" t="e">
        <f t="shared" si="366"/>
        <v>#DIV/0!</v>
      </c>
      <c r="AU207" s="3010" t="e">
        <f t="shared" si="366"/>
        <v>#DIV/0!</v>
      </c>
      <c r="AV207" s="4049" t="e">
        <f t="shared" si="366"/>
        <v>#DIV/0!</v>
      </c>
      <c r="AW207" s="5459" t="e">
        <f t="shared" si="366"/>
        <v>#DIV/0!</v>
      </c>
      <c r="AX207" s="3887" t="e">
        <f t="shared" si="366"/>
        <v>#DIV/0!</v>
      </c>
      <c r="AY207" s="5459" t="e">
        <f>AY100</f>
        <v>#DIV/0!</v>
      </c>
      <c r="AZ207" s="5372"/>
      <c r="BA207" s="4132"/>
      <c r="BB207" s="3010">
        <f>BB100</f>
        <v>-206.9085092224546</v>
      </c>
      <c r="BF207" s="7672"/>
      <c r="BG207" s="7656" t="s">
        <v>1429</v>
      </c>
      <c r="BH207" s="7657"/>
      <c r="BI207" s="3084" t="s">
        <v>330</v>
      </c>
      <c r="BJ207" s="3584">
        <v>15121.883998696972</v>
      </c>
      <c r="BK207" s="3584">
        <v>22325</v>
      </c>
      <c r="BL207" s="3584">
        <v>16135.219800729554</v>
      </c>
      <c r="BM207" s="3584">
        <v>18457.150704298372</v>
      </c>
      <c r="BN207" s="5247">
        <v>17614.707529321437</v>
      </c>
      <c r="BO207" s="6364">
        <v>17438.560454028222</v>
      </c>
      <c r="BP207" s="6365">
        <v>17438.560454028222</v>
      </c>
      <c r="BQ207" s="6350"/>
      <c r="BR207" s="5459">
        <v>10630475.9939455</v>
      </c>
      <c r="BS207" s="4575">
        <v>885872.99949545832</v>
      </c>
      <c r="BT207" s="5215">
        <v>176.03854687275148</v>
      </c>
      <c r="BU207" s="4575"/>
      <c r="BV207" s="4575"/>
      <c r="BW207" s="5416"/>
      <c r="BX207" s="7770"/>
      <c r="BY207" s="7770"/>
      <c r="BZ207" s="7774"/>
      <c r="CA207" s="7772"/>
    </row>
    <row r="208" spans="1:79" s="286" customFormat="1" ht="18" customHeight="1" thickBot="1">
      <c r="A208" s="7672"/>
      <c r="B208" s="7652" t="s">
        <v>1439</v>
      </c>
      <c r="C208" s="7653"/>
      <c r="D208" s="2797" t="s">
        <v>1432</v>
      </c>
      <c r="E208" s="3017"/>
      <c r="F208" s="3017"/>
      <c r="G208" s="3046"/>
      <c r="H208" s="3074"/>
      <c r="I208" s="6141"/>
      <c r="J208" s="5431"/>
      <c r="K208" s="5432"/>
      <c r="L208" s="3886"/>
      <c r="M208" s="3886"/>
      <c r="N208" s="3886"/>
      <c r="O208" s="3886"/>
      <c r="P208" s="3886"/>
      <c r="Q208" s="3886"/>
      <c r="R208" s="3886"/>
      <c r="S208" s="3886"/>
      <c r="T208" s="3886"/>
      <c r="U208" s="3886"/>
      <c r="V208" s="3886"/>
      <c r="W208" s="3886"/>
      <c r="X208" s="3886"/>
      <c r="Y208" s="4049">
        <f>협력사!D36*1000</f>
        <v>75651832</v>
      </c>
      <c r="Z208" s="4575">
        <f>Y208/12</f>
        <v>6304319.333333333</v>
      </c>
      <c r="AA208" s="3010">
        <f>Y208/년간!E12</f>
        <v>1252.7791400052522</v>
      </c>
      <c r="AB208" s="4575">
        <f>협력사!E36*1000</f>
        <v>5365657.1615724005</v>
      </c>
      <c r="AC208" s="4575">
        <f>협력사!F36*1000</f>
        <v>5865220.9326229207</v>
      </c>
      <c r="AD208" s="4575">
        <f>협력사!G36*1000</f>
        <v>6719340.8800000008</v>
      </c>
      <c r="AE208" s="4575">
        <f>협력사!H36*1000</f>
        <v>0</v>
      </c>
      <c r="AF208" s="4575">
        <f>협력사!I36*1000</f>
        <v>0</v>
      </c>
      <c r="AG208" s="4575">
        <f>협력사!J36*1000</f>
        <v>0</v>
      </c>
      <c r="AH208" s="4575">
        <f>협력사!K36*1000</f>
        <v>0</v>
      </c>
      <c r="AI208" s="4575">
        <f>협력사!L36*1000</f>
        <v>0</v>
      </c>
      <c r="AJ208" s="4575">
        <f>협력사!M36*1000</f>
        <v>0</v>
      </c>
      <c r="AK208" s="4575">
        <f>협력사!N36*1000</f>
        <v>0</v>
      </c>
      <c r="AL208" s="4575">
        <f>협력사!O36*1000</f>
        <v>0</v>
      </c>
      <c r="AM208" s="4575">
        <f>협력사!P36*1000</f>
        <v>0</v>
      </c>
      <c r="AN208" s="3008">
        <f t="shared" si="317"/>
        <v>17950218.974195324</v>
      </c>
      <c r="AO208" s="4049">
        <f>Z208/(년간!E12/12)</f>
        <v>1252.779140005252</v>
      </c>
      <c r="AP208" s="3010">
        <f>AB208/년간!F12</f>
        <v>1087.4598026745196</v>
      </c>
      <c r="AQ208" s="3010">
        <f>AC208/년간!G12</f>
        <v>1230.9350625146481</v>
      </c>
      <c r="AR208" s="3010">
        <f>AD208/년간!H12</f>
        <v>1211.7881182619235</v>
      </c>
      <c r="AS208" s="3010" t="e">
        <f>AE208/년간!I12</f>
        <v>#DIV/0!</v>
      </c>
      <c r="AT208" s="3010" t="e">
        <f>AF208/년간!J12</f>
        <v>#DIV/0!</v>
      </c>
      <c r="AU208" s="3010" t="e">
        <f>AG208/년간!K12</f>
        <v>#DIV/0!</v>
      </c>
      <c r="AV208" s="4049" t="e">
        <f>AH208/년간!L12</f>
        <v>#DIV/0!</v>
      </c>
      <c r="AW208" s="5459" t="e">
        <f>AI208/년간!M12</f>
        <v>#DIV/0!</v>
      </c>
      <c r="AX208" s="3887" t="e">
        <f>AJ208/년간!N12</f>
        <v>#DIV/0!</v>
      </c>
      <c r="AY208" s="5459" t="e">
        <f>AK208/년간!O12</f>
        <v>#DIV/0!</v>
      </c>
      <c r="AZ208" s="5372"/>
      <c r="BA208" s="4132"/>
      <c r="BB208" s="3010">
        <f>AN208/년간!V12</f>
        <v>1177.5306908114578</v>
      </c>
      <c r="BF208" s="7672"/>
      <c r="BG208" s="7687" t="s">
        <v>1439</v>
      </c>
      <c r="BH208" s="7688"/>
      <c r="BI208" s="2627" t="s">
        <v>1431</v>
      </c>
      <c r="BJ208" s="3073"/>
      <c r="BK208" s="3073"/>
      <c r="BL208" s="3074"/>
      <c r="BM208" s="3074"/>
      <c r="BN208" s="4345"/>
      <c r="BO208" s="5431"/>
      <c r="BP208" s="5238"/>
      <c r="BQ208" s="3888"/>
      <c r="BR208" s="5462">
        <v>75651832</v>
      </c>
      <c r="BS208" s="2825">
        <v>6304319.333333333</v>
      </c>
      <c r="BT208" s="5216">
        <v>1252.7791400052522</v>
      </c>
      <c r="BU208" s="4575"/>
      <c r="BV208" s="4575"/>
      <c r="BW208" s="5417"/>
      <c r="BX208" s="4703">
        <v>189310.02807003414</v>
      </c>
      <c r="BY208" s="4703">
        <v>189310.02807003414</v>
      </c>
      <c r="BZ208" s="4710">
        <v>207142.8835018111</v>
      </c>
      <c r="CA208" s="5419">
        <v>195528.68954496682</v>
      </c>
    </row>
    <row r="209" spans="1:79" ht="17.25" thickBot="1">
      <c r="A209" s="7672"/>
      <c r="B209" s="7673" t="s">
        <v>1981</v>
      </c>
      <c r="C209" s="7674"/>
      <c r="D209" s="7674"/>
      <c r="E209" s="7674"/>
      <c r="F209" s="7674"/>
      <c r="G209" s="7674"/>
      <c r="H209" s="7674"/>
      <c r="I209" s="7674"/>
      <c r="J209" s="7674"/>
      <c r="K209" s="7674"/>
      <c r="L209" s="7674"/>
      <c r="M209" s="7674"/>
      <c r="N209" s="7674"/>
      <c r="O209" s="7674"/>
      <c r="P209" s="7674"/>
      <c r="Q209" s="7674"/>
      <c r="R209" s="7674"/>
      <c r="S209" s="7674"/>
      <c r="T209" s="7674"/>
      <c r="U209" s="7674"/>
      <c r="V209" s="7674"/>
      <c r="W209" s="7674"/>
      <c r="X209" s="7674"/>
      <c r="Y209" s="6558">
        <f>SUM(Y203:Y208)</f>
        <v>527866766.19484603</v>
      </c>
      <c r="Z209" s="5179">
        <f t="shared" ref="Z209:BB209" si="367">SUM(Z203:Z208)</f>
        <v>43988897.182903841</v>
      </c>
      <c r="AA209" s="5180">
        <f t="shared" si="367"/>
        <v>8741.3676035093613</v>
      </c>
      <c r="AB209" s="6559">
        <f t="shared" si="367"/>
        <v>755446.71253639832</v>
      </c>
      <c r="AC209" s="5179">
        <f t="shared" si="367"/>
        <v>90223423.996472746</v>
      </c>
      <c r="AD209" s="5179">
        <f t="shared" si="367"/>
        <v>142213282.2679199</v>
      </c>
      <c r="AE209" s="5179" t="e">
        <f t="shared" si="367"/>
        <v>#DIV/0!</v>
      </c>
      <c r="AF209" s="5179" t="e">
        <f t="shared" si="367"/>
        <v>#DIV/0!</v>
      </c>
      <c r="AG209" s="5179" t="e">
        <f t="shared" si="367"/>
        <v>#DIV/0!</v>
      </c>
      <c r="AH209" s="5179" t="e">
        <f t="shared" si="367"/>
        <v>#DIV/0!</v>
      </c>
      <c r="AI209" s="5179" t="e">
        <f t="shared" si="367"/>
        <v>#DIV/0!</v>
      </c>
      <c r="AJ209" s="5179" t="e">
        <f t="shared" si="367"/>
        <v>#DIV/0!</v>
      </c>
      <c r="AK209" s="5179" t="e">
        <f t="shared" si="367"/>
        <v>#DIV/0!</v>
      </c>
      <c r="AL209" s="5179">
        <f t="shared" si="367"/>
        <v>0</v>
      </c>
      <c r="AM209" s="5179">
        <f t="shared" si="367"/>
        <v>0</v>
      </c>
      <c r="AN209" s="5180" t="e">
        <f t="shared" si="367"/>
        <v>#DIV/0!</v>
      </c>
      <c r="AO209" s="6559">
        <f t="shared" si="367"/>
        <v>8741.3676035093595</v>
      </c>
      <c r="AP209" s="5179">
        <f t="shared" si="367"/>
        <v>153.10667607119399</v>
      </c>
      <c r="AQ209" s="5179">
        <f t="shared" si="367"/>
        <v>18935.207613350416</v>
      </c>
      <c r="AR209" s="5179">
        <f t="shared" si="367"/>
        <v>25647.212842592744</v>
      </c>
      <c r="AS209" s="5179" t="e">
        <f t="shared" si="367"/>
        <v>#DIV/0!</v>
      </c>
      <c r="AT209" s="5179" t="e">
        <f t="shared" si="367"/>
        <v>#DIV/0!</v>
      </c>
      <c r="AU209" s="5179" t="e">
        <f t="shared" si="367"/>
        <v>#DIV/0!</v>
      </c>
      <c r="AV209" s="5179" t="e">
        <f t="shared" si="367"/>
        <v>#DIV/0!</v>
      </c>
      <c r="AW209" s="5179" t="e">
        <f t="shared" si="367"/>
        <v>#DIV/0!</v>
      </c>
      <c r="AX209" s="5179" t="e">
        <f t="shared" si="367"/>
        <v>#DIV/0!</v>
      </c>
      <c r="AY209" s="5179" t="e">
        <f t="shared" si="367"/>
        <v>#DIV/0!</v>
      </c>
      <c r="AZ209" s="5179">
        <f t="shared" si="367"/>
        <v>0</v>
      </c>
      <c r="BA209" s="5179">
        <f t="shared" si="367"/>
        <v>0</v>
      </c>
      <c r="BB209" s="5180" t="e">
        <f t="shared" si="367"/>
        <v>#DIV/0!</v>
      </c>
      <c r="BC209" t="e">
        <f>Y209/년간!#REF!</f>
        <v>#REF!</v>
      </c>
      <c r="BF209" s="7672"/>
      <c r="BG209" s="7673" t="s">
        <v>1981</v>
      </c>
      <c r="BH209" s="7674"/>
      <c r="BI209" s="7674"/>
      <c r="BJ209" s="7674"/>
      <c r="BK209" s="7674"/>
      <c r="BL209" s="7674"/>
      <c r="BM209" s="7674"/>
      <c r="BN209" s="7674"/>
      <c r="BO209" s="7674"/>
      <c r="BP209" s="7674"/>
      <c r="BQ209" s="7674"/>
      <c r="BR209" s="5460">
        <v>347491787.2785759</v>
      </c>
      <c r="BS209" s="2823">
        <v>28957648.939881325</v>
      </c>
      <c r="BT209" s="5211">
        <v>5754.3941887057326</v>
      </c>
      <c r="BU209" s="4050"/>
      <c r="BV209" s="2823"/>
      <c r="BW209" s="5409"/>
      <c r="BX209" s="4107"/>
      <c r="BY209" s="4107"/>
      <c r="BZ209" s="5255">
        <f>BY208-BZ208</f>
        <v>-17832.855431776959</v>
      </c>
      <c r="CA209" s="5256">
        <f>BY208-CA208</f>
        <v>-6218.6614749326836</v>
      </c>
    </row>
    <row r="210" spans="1:79" s="286" customFormat="1" ht="17.25" thickBot="1">
      <c r="A210" s="6429"/>
      <c r="B210" s="7673" t="s">
        <v>1987</v>
      </c>
      <c r="C210" s="7674"/>
      <c r="D210" s="7674"/>
      <c r="E210" s="7674"/>
      <c r="F210" s="7674"/>
      <c r="G210" s="7674"/>
      <c r="H210" s="7674"/>
      <c r="I210" s="7674"/>
      <c r="J210" s="7674"/>
      <c r="K210" s="7674"/>
      <c r="L210" s="7674"/>
      <c r="M210" s="7674"/>
      <c r="N210" s="7674"/>
      <c r="O210" s="7674"/>
      <c r="P210" s="7674"/>
      <c r="Q210" s="7674"/>
      <c r="R210" s="7674"/>
      <c r="S210" s="7674"/>
      <c r="T210" s="7674"/>
      <c r="U210" s="7674"/>
      <c r="V210" s="7674"/>
      <c r="W210" s="7674"/>
      <c r="X210" s="7674"/>
      <c r="Y210" s="6578">
        <f>Y202+Y209</f>
        <v>623426163.64841092</v>
      </c>
      <c r="Z210" s="6538">
        <f t="shared" ref="Z210:BB210" si="368">Z202+Z209</f>
        <v>51952180.304034248</v>
      </c>
      <c r="AA210" s="6551">
        <f t="shared" si="368"/>
        <v>10323.812028137401</v>
      </c>
      <c r="AB210" s="6579">
        <f t="shared" si="368"/>
        <v>12491834.625489229</v>
      </c>
      <c r="AC210" s="6553">
        <f t="shared" si="368"/>
        <v>109739951.77248043</v>
      </c>
      <c r="AD210" s="6553">
        <f t="shared" si="368"/>
        <v>150881889.00022158</v>
      </c>
      <c r="AE210" s="6553" t="e">
        <f t="shared" si="368"/>
        <v>#DIV/0!</v>
      </c>
      <c r="AF210" s="6553" t="e">
        <f t="shared" si="368"/>
        <v>#DIV/0!</v>
      </c>
      <c r="AG210" s="6553" t="e">
        <f t="shared" si="368"/>
        <v>#DIV/0!</v>
      </c>
      <c r="AH210" s="6553" t="e">
        <f t="shared" si="368"/>
        <v>#DIV/0!</v>
      </c>
      <c r="AI210" s="6553" t="e">
        <f t="shared" si="368"/>
        <v>#DIV/0!</v>
      </c>
      <c r="AJ210" s="6553" t="e">
        <f t="shared" si="368"/>
        <v>#DIV/0!</v>
      </c>
      <c r="AK210" s="6553" t="e">
        <f t="shared" si="368"/>
        <v>#DIV/0!</v>
      </c>
      <c r="AL210" s="6553">
        <f t="shared" si="368"/>
        <v>0</v>
      </c>
      <c r="AM210" s="6538">
        <f t="shared" si="368"/>
        <v>0</v>
      </c>
      <c r="AN210" s="6551" t="e">
        <f t="shared" si="368"/>
        <v>#DIV/0!</v>
      </c>
      <c r="AO210" s="6579">
        <f t="shared" si="368"/>
        <v>10323.812028137399</v>
      </c>
      <c r="AP210" s="6553">
        <f t="shared" si="368"/>
        <v>2531.7249328125845</v>
      </c>
      <c r="AQ210" s="6553">
        <f t="shared" si="368"/>
        <v>23031.145108970988</v>
      </c>
      <c r="AR210" s="6553">
        <f t="shared" si="368"/>
        <v>27210.538000177025</v>
      </c>
      <c r="AS210" s="6553" t="e">
        <f t="shared" si="368"/>
        <v>#DIV/0!</v>
      </c>
      <c r="AT210" s="6553" t="e">
        <f t="shared" si="368"/>
        <v>#DIV/0!</v>
      </c>
      <c r="AU210" s="6553" t="e">
        <f t="shared" si="368"/>
        <v>#DIV/0!</v>
      </c>
      <c r="AV210" s="6553" t="e">
        <f t="shared" si="368"/>
        <v>#DIV/0!</v>
      </c>
      <c r="AW210" s="6553" t="e">
        <f t="shared" si="368"/>
        <v>#DIV/0!</v>
      </c>
      <c r="AX210" s="6553" t="e">
        <f t="shared" si="368"/>
        <v>#DIV/0!</v>
      </c>
      <c r="AY210" s="6553" t="e">
        <f t="shared" si="368"/>
        <v>#DIV/0!</v>
      </c>
      <c r="AZ210" s="6553">
        <f t="shared" si="368"/>
        <v>0</v>
      </c>
      <c r="BA210" s="6538">
        <f t="shared" si="368"/>
        <v>0</v>
      </c>
      <c r="BB210" s="6551" t="e">
        <f t="shared" si="368"/>
        <v>#DIV/0!</v>
      </c>
      <c r="BF210" s="6429"/>
      <c r="BG210" s="7673" t="s">
        <v>1987</v>
      </c>
      <c r="BH210" s="7674"/>
      <c r="BI210" s="7674"/>
      <c r="BJ210" s="7674"/>
      <c r="BK210" s="7674"/>
      <c r="BL210" s="7674"/>
      <c r="BM210" s="7674"/>
      <c r="BN210" s="7674"/>
      <c r="BO210" s="7674"/>
      <c r="BP210" s="7674"/>
      <c r="BQ210" s="7674"/>
      <c r="BR210" s="6578">
        <v>475682994.20413536</v>
      </c>
      <c r="BS210" s="6538">
        <v>39640249.517011277</v>
      </c>
      <c r="BT210" s="6537">
        <v>7877.2148226916706</v>
      </c>
      <c r="BU210" s="6554"/>
      <c r="BV210" s="6538"/>
      <c r="BW210" s="6539"/>
      <c r="BX210" s="4107"/>
      <c r="BY210" s="4107"/>
      <c r="BZ210" s="5255"/>
      <c r="CA210" s="5256"/>
    </row>
    <row r="211" spans="1:79" s="286" customFormat="1" ht="16.5">
      <c r="A211" s="7668" t="s">
        <v>1840</v>
      </c>
      <c r="B211" s="7669"/>
      <c r="C211" s="7669"/>
      <c r="D211" s="7669"/>
      <c r="E211" s="7669"/>
      <c r="F211" s="7669"/>
      <c r="G211" s="7669"/>
      <c r="H211" s="7669"/>
      <c r="I211" s="7669"/>
      <c r="J211" s="7669"/>
      <c r="K211" s="7669"/>
      <c r="L211" s="7669"/>
      <c r="M211" s="7669"/>
      <c r="N211" s="7669"/>
      <c r="O211" s="7669"/>
      <c r="P211" s="7669"/>
      <c r="Q211" s="7669"/>
      <c r="R211" s="7669"/>
      <c r="S211" s="7669"/>
      <c r="T211" s="7669"/>
      <c r="U211" s="7669"/>
      <c r="V211" s="7669"/>
      <c r="W211" s="7669"/>
      <c r="X211" s="7670"/>
      <c r="Y211" s="6570">
        <f>Y124+Y144+Y162</f>
        <v>674180738.92393565</v>
      </c>
      <c r="Z211" s="6585">
        <f>Z124+Z144+Z162</f>
        <v>68734983.312393576</v>
      </c>
      <c r="AA211" s="6593">
        <f>Y211/년간!E10</f>
        <v>2515.0367041853901</v>
      </c>
      <c r="AB211" s="6587" t="e">
        <f t="shared" ref="AB211:AJ211" si="369">AB124+AB144+AB162</f>
        <v>#DIV/0!</v>
      </c>
      <c r="AC211" s="6571" t="e">
        <f t="shared" si="369"/>
        <v>#DIV/0!</v>
      </c>
      <c r="AD211" s="6571">
        <f t="shared" si="369"/>
        <v>-8061095.4737414643</v>
      </c>
      <c r="AE211" s="6571" t="e">
        <f t="shared" si="369"/>
        <v>#DIV/0!</v>
      </c>
      <c r="AF211" s="6571" t="e">
        <f t="shared" si="369"/>
        <v>#DIV/0!</v>
      </c>
      <c r="AG211" s="6571" t="e">
        <f t="shared" si="369"/>
        <v>#DIV/0!</v>
      </c>
      <c r="AH211" s="6571" t="e">
        <f t="shared" si="369"/>
        <v>#DIV/0!</v>
      </c>
      <c r="AI211" s="6571" t="e">
        <f t="shared" si="369"/>
        <v>#DIV/0!</v>
      </c>
      <c r="AJ211" s="6572" t="e">
        <f t="shared" si="369"/>
        <v>#DIV/0!</v>
      </c>
      <c r="AK211" s="6572" t="e">
        <f>AK124+AK144+AK162</f>
        <v>#DIV/0!</v>
      </c>
      <c r="AL211" s="6571"/>
      <c r="AM211" s="6572"/>
      <c r="AN211" s="6573" t="e">
        <f t="shared" si="317"/>
        <v>#DIV/0!</v>
      </c>
      <c r="AO211" s="6574">
        <f>Z211/(년간!E10/10)</f>
        <v>2564.1641167049756</v>
      </c>
      <c r="AP211" s="6575" t="e">
        <f>AB211/년간!F10</f>
        <v>#DIV/0!</v>
      </c>
      <c r="AQ211" s="6575" t="e">
        <f>AC211/년간!G10</f>
        <v>#DIV/0!</v>
      </c>
      <c r="AR211" s="6575">
        <f>AD211/년간!H10</f>
        <v>-352.67466830736385</v>
      </c>
      <c r="AS211" s="6575" t="e">
        <f>AE211/년간!I10</f>
        <v>#DIV/0!</v>
      </c>
      <c r="AT211" s="6575" t="e">
        <f>AF211/년간!J10</f>
        <v>#DIV/0!</v>
      </c>
      <c r="AU211" s="6575" t="e">
        <f>AG211/년간!K10</f>
        <v>#DIV/0!</v>
      </c>
      <c r="AV211" s="5407" t="e">
        <f>AH211/년간!L10</f>
        <v>#DIV/0!</v>
      </c>
      <c r="AW211" s="6575" t="e">
        <f>AI211/년간!M10</f>
        <v>#DIV/0!</v>
      </c>
      <c r="AX211" s="5406" t="e">
        <f>AJ211/년간!N10</f>
        <v>#DIV/0!</v>
      </c>
      <c r="AY211" s="6575" t="e">
        <f>AK211/년간!O10</f>
        <v>#DIV/0!</v>
      </c>
      <c r="AZ211" s="6576"/>
      <c r="BA211" s="6577"/>
      <c r="BB211" s="5408" t="e">
        <f>AN211/년간!V10</f>
        <v>#DIV/0!</v>
      </c>
      <c r="BF211" s="7668" t="s">
        <v>1840</v>
      </c>
      <c r="BG211" s="7669"/>
      <c r="BH211" s="7669"/>
      <c r="BI211" s="7669"/>
      <c r="BJ211" s="7669"/>
      <c r="BK211" s="7669"/>
      <c r="BL211" s="7669"/>
      <c r="BM211" s="7669"/>
      <c r="BN211" s="7669"/>
      <c r="BO211" s="7669"/>
      <c r="BP211" s="7669"/>
      <c r="BQ211" s="7670"/>
      <c r="BR211" s="6575">
        <v>697206286.40005171</v>
      </c>
      <c r="BS211" s="5407">
        <v>71037538.060005173</v>
      </c>
      <c r="BT211" s="6621">
        <v>2600.9336954415121</v>
      </c>
      <c r="BU211" s="5406"/>
      <c r="BV211" s="5407"/>
      <c r="BW211" s="5408"/>
    </row>
    <row r="212" spans="1:79" s="286" customFormat="1" ht="16.5">
      <c r="A212" s="7665" t="s">
        <v>1841</v>
      </c>
      <c r="B212" s="7666"/>
      <c r="C212" s="7666"/>
      <c r="D212" s="7666"/>
      <c r="E212" s="7666"/>
      <c r="F212" s="7666"/>
      <c r="G212" s="7666"/>
      <c r="H212" s="7666"/>
      <c r="I212" s="7666"/>
      <c r="J212" s="7666"/>
      <c r="K212" s="7666"/>
      <c r="L212" s="7666"/>
      <c r="M212" s="7666"/>
      <c r="N212" s="7666"/>
      <c r="O212" s="7666"/>
      <c r="P212" s="7666"/>
      <c r="Q212" s="7666"/>
      <c r="R212" s="7666"/>
      <c r="S212" s="7666"/>
      <c r="T212" s="7666"/>
      <c r="U212" s="7666"/>
      <c r="V212" s="7666"/>
      <c r="W212" s="7666"/>
      <c r="X212" s="7667"/>
      <c r="Y212" s="5433">
        <f>Y182+Y202</f>
        <v>250520006.84810495</v>
      </c>
      <c r="Z212" s="6586">
        <f>Z182+Z202</f>
        <v>20876667.237342082</v>
      </c>
      <c r="AA212" s="6594">
        <f>Y212/(년간!E11+년간!E12)</f>
        <v>1126.290972994369</v>
      </c>
      <c r="AB212" s="6588">
        <f t="shared" ref="AB212:AJ212" si="370">AB182+AB202</f>
        <v>-1908304.610998936</v>
      </c>
      <c r="AC212" s="5181">
        <f t="shared" si="370"/>
        <v>14587709.057742126</v>
      </c>
      <c r="AD212" s="5181">
        <f t="shared" si="370"/>
        <v>2459723.7623152761</v>
      </c>
      <c r="AE212" s="5181" t="e">
        <f t="shared" si="370"/>
        <v>#DIV/0!</v>
      </c>
      <c r="AF212" s="5181" t="e">
        <f t="shared" si="370"/>
        <v>#DIV/0!</v>
      </c>
      <c r="AG212" s="5181" t="e">
        <f t="shared" si="370"/>
        <v>#DIV/0!</v>
      </c>
      <c r="AH212" s="5181" t="e">
        <f t="shared" si="370"/>
        <v>#DIV/0!</v>
      </c>
      <c r="AI212" s="5181" t="e">
        <f t="shared" si="370"/>
        <v>#DIV/0!</v>
      </c>
      <c r="AJ212" s="5286" t="e">
        <f t="shared" si="370"/>
        <v>#DIV/0!</v>
      </c>
      <c r="AK212" s="5286" t="e">
        <f>AK182+AK202</f>
        <v>#DIV/0!</v>
      </c>
      <c r="AL212" s="5181"/>
      <c r="AM212" s="5286"/>
      <c r="AN212" s="5291" t="e">
        <f t="shared" si="317"/>
        <v>#DIV/0!</v>
      </c>
      <c r="AO212" s="5389">
        <f>Z212/((년간!E11+년간!E12)/12)</f>
        <v>1126.290972994369</v>
      </c>
      <c r="AP212" s="5251">
        <f>AB212/(년간!F11+년간!F12)</f>
        <v>-110.06061081956896</v>
      </c>
      <c r="AQ212" s="5251">
        <f>AC212/(년간!G11+년간!G12)</f>
        <v>872.57553436400713</v>
      </c>
      <c r="AR212" s="5251">
        <f>AD212/(년간!H11+년간!H12)</f>
        <v>132.41349963583684</v>
      </c>
      <c r="AS212" s="5251" t="e">
        <f>AE212/(년간!I11+년간!I12)</f>
        <v>#DIV/0!</v>
      </c>
      <c r="AT212" s="5251" t="e">
        <f>AF212/(년간!J11+년간!J12)</f>
        <v>#DIV/0!</v>
      </c>
      <c r="AU212" s="5251" t="e">
        <f>AG212/(년간!K11+년간!K12)</f>
        <v>#DIV/0!</v>
      </c>
      <c r="AV212" s="5361" t="e">
        <f>AH212/(년간!L11+년간!L12)</f>
        <v>#DIV/0!</v>
      </c>
      <c r="AW212" s="5251" t="e">
        <f>AI212/(년간!M11+년간!M12)</f>
        <v>#DIV/0!</v>
      </c>
      <c r="AX212" s="5254" t="e">
        <f>AJ212/(년간!N11+년간!N12)</f>
        <v>#DIV/0!</v>
      </c>
      <c r="AY212" s="5251" t="e">
        <f>AK212/(년간!O11+년간!O12)</f>
        <v>#DIV/0!</v>
      </c>
      <c r="AZ212" s="5375"/>
      <c r="BA212" s="5385"/>
      <c r="BB212" s="5392" t="e">
        <f>AN212/(년간!V11+년간!V12)</f>
        <v>#DIV/0!</v>
      </c>
      <c r="BF212" s="7665" t="s">
        <v>1841</v>
      </c>
      <c r="BG212" s="7666"/>
      <c r="BH212" s="7666"/>
      <c r="BI212" s="7666"/>
      <c r="BJ212" s="7666"/>
      <c r="BK212" s="7666"/>
      <c r="BL212" s="7666"/>
      <c r="BM212" s="7666"/>
      <c r="BN212" s="7666"/>
      <c r="BO212" s="7666"/>
      <c r="BP212" s="7666"/>
      <c r="BQ212" s="7667"/>
      <c r="BR212" s="5251">
        <v>205348614.94638088</v>
      </c>
      <c r="BS212" s="5361">
        <v>17112384.578865074</v>
      </c>
      <c r="BT212" s="5252">
        <v>923.20886559465976</v>
      </c>
      <c r="BU212" s="5254"/>
      <c r="BV212" s="5361"/>
      <c r="BW212" s="5392"/>
      <c r="BX212" s="4107"/>
      <c r="BY212" s="4107"/>
      <c r="BZ212" s="5167"/>
      <c r="CA212" s="5167"/>
    </row>
    <row r="213" spans="1:79" ht="17.25" thickBot="1">
      <c r="A213" s="7703" t="s">
        <v>1356</v>
      </c>
      <c r="B213" s="7704"/>
      <c r="C213" s="7704"/>
      <c r="D213" s="7704"/>
      <c r="E213" s="7704"/>
      <c r="F213" s="7704"/>
      <c r="G213" s="7704"/>
      <c r="H213" s="7704"/>
      <c r="I213" s="7704"/>
      <c r="J213" s="7704"/>
      <c r="K213" s="7704"/>
      <c r="L213" s="7704"/>
      <c r="M213" s="7704"/>
      <c r="N213" s="7704"/>
      <c r="O213" s="7704"/>
      <c r="P213" s="7704"/>
      <c r="Q213" s="7704"/>
      <c r="R213" s="7704"/>
      <c r="S213" s="7704"/>
      <c r="T213" s="7704"/>
      <c r="U213" s="7704"/>
      <c r="V213" s="7704"/>
      <c r="W213" s="7704"/>
      <c r="X213" s="7705"/>
      <c r="Y213" s="5192">
        <f>Y211+Y212</f>
        <v>924700745.77204061</v>
      </c>
      <c r="Z213" s="5288">
        <f>Z211+Z212</f>
        <v>89611650.549735665</v>
      </c>
      <c r="AA213" s="5393">
        <f>Y213/C235</f>
        <v>2686.833873117273</v>
      </c>
      <c r="AB213" s="6589" t="e">
        <f>AB211+AB212</f>
        <v>#DIV/0!</v>
      </c>
      <c r="AC213" s="5193" t="e">
        <f t="shared" ref="AC213:AJ213" si="371">AC211+AC212</f>
        <v>#DIV/0!</v>
      </c>
      <c r="AD213" s="5193">
        <f t="shared" si="371"/>
        <v>-5601371.7114261882</v>
      </c>
      <c r="AE213" s="5193" t="e">
        <f t="shared" si="371"/>
        <v>#DIV/0!</v>
      </c>
      <c r="AF213" s="5193" t="e">
        <f t="shared" si="371"/>
        <v>#DIV/0!</v>
      </c>
      <c r="AG213" s="5193" t="e">
        <f t="shared" si="371"/>
        <v>#DIV/0!</v>
      </c>
      <c r="AH213" s="5193" t="e">
        <f t="shared" si="371"/>
        <v>#DIV/0!</v>
      </c>
      <c r="AI213" s="5193" t="e">
        <f t="shared" si="371"/>
        <v>#DIV/0!</v>
      </c>
      <c r="AJ213" s="5288" t="e">
        <f t="shared" si="371"/>
        <v>#DIV/0!</v>
      </c>
      <c r="AK213" s="5288" t="e">
        <f>AK211+AK212</f>
        <v>#DIV/0!</v>
      </c>
      <c r="AL213" s="5194"/>
      <c r="AM213" s="5287"/>
      <c r="AN213" s="5292" t="e">
        <f t="shared" si="317"/>
        <v>#DIV/0!</v>
      </c>
      <c r="AO213" s="5192">
        <f>Z213/(C235/12)</f>
        <v>3124.5345379963619</v>
      </c>
      <c r="AP213" s="5193" t="e">
        <f>AB213/E235</f>
        <v>#DIV/0!</v>
      </c>
      <c r="AQ213" s="5193" t="e">
        <f>AC213/F235</f>
        <v>#DIV/0!</v>
      </c>
      <c r="AR213" s="5193" t="e">
        <f>AD213/G235</f>
        <v>#DIV/0!</v>
      </c>
      <c r="AS213" s="5193" t="e">
        <f>AE213/H235</f>
        <v>#DIV/0!</v>
      </c>
      <c r="AT213" s="5193" t="e">
        <f t="shared" ref="AT213:BA213" si="372">AF213/J235</f>
        <v>#DIV/0!</v>
      </c>
      <c r="AU213" s="5193" t="e">
        <f t="shared" si="372"/>
        <v>#DIV/0!</v>
      </c>
      <c r="AV213" s="5288" t="e">
        <f t="shared" si="372"/>
        <v>#DIV/0!</v>
      </c>
      <c r="AW213" s="5193" t="e">
        <f t="shared" si="372"/>
        <v>#DIV/0!</v>
      </c>
      <c r="AX213" s="5446" t="e">
        <f>AJ213/N235</f>
        <v>#DIV/0!</v>
      </c>
      <c r="AY213" s="5193" t="e">
        <f>AK213/O235</f>
        <v>#DIV/0!</v>
      </c>
      <c r="AZ213" s="5182" t="e">
        <f t="shared" si="372"/>
        <v>#DIV/0!</v>
      </c>
      <c r="BA213" s="5386" t="e">
        <f t="shared" si="372"/>
        <v>#DIV/0!</v>
      </c>
      <c r="BB213" s="5393" t="e">
        <f>AN213/R235</f>
        <v>#DIV/0!</v>
      </c>
      <c r="BF213" s="7665" t="s">
        <v>1356</v>
      </c>
      <c r="BG213" s="7666"/>
      <c r="BH213" s="7666"/>
      <c r="BI213" s="7666"/>
      <c r="BJ213" s="7666"/>
      <c r="BK213" s="7666"/>
      <c r="BL213" s="7666"/>
      <c r="BM213" s="7666"/>
      <c r="BN213" s="7666"/>
      <c r="BO213" s="7666"/>
      <c r="BP213" s="7666"/>
      <c r="BQ213" s="7667"/>
      <c r="BR213" s="6316">
        <v>902554901.34643257</v>
      </c>
      <c r="BS213" s="5401">
        <v>88149922.638870239</v>
      </c>
      <c r="BT213" s="5196">
        <v>2622.4863474733629</v>
      </c>
      <c r="BU213" s="5200"/>
      <c r="BV213" s="5401"/>
      <c r="BW213" s="5198"/>
    </row>
    <row r="214" spans="1:79" s="286" customFormat="1" ht="16.5">
      <c r="A214" s="7700" t="s">
        <v>1856</v>
      </c>
      <c r="B214" s="7701"/>
      <c r="C214" s="7701"/>
      <c r="D214" s="7701"/>
      <c r="E214" s="7701"/>
      <c r="F214" s="7701"/>
      <c r="G214" s="7701"/>
      <c r="H214" s="7701"/>
      <c r="I214" s="7701"/>
      <c r="J214" s="7701"/>
      <c r="K214" s="7701"/>
      <c r="L214" s="7701"/>
      <c r="M214" s="7701"/>
      <c r="N214" s="7701"/>
      <c r="O214" s="7701"/>
      <c r="P214" s="7701"/>
      <c r="Q214" s="7701"/>
      <c r="R214" s="7701"/>
      <c r="S214" s="7701"/>
      <c r="T214" s="7701"/>
      <c r="U214" s="7701"/>
      <c r="V214" s="7701"/>
      <c r="W214" s="7701"/>
      <c r="X214" s="7702"/>
      <c r="Y214" s="6580">
        <f>Y132+Y151+Y170</f>
        <v>1554607824.2355814</v>
      </c>
      <c r="Z214" s="5289">
        <f t="shared" ref="Z214:BB214" si="373">Z132+Z151+Z170</f>
        <v>155316257.61022484</v>
      </c>
      <c r="AA214" s="5394">
        <f>Y214/년간!E10</f>
        <v>5799.4770731760855</v>
      </c>
      <c r="AB214" s="6590" t="e">
        <f t="shared" si="373"/>
        <v>#DIV/0!</v>
      </c>
      <c r="AC214" s="5195" t="e">
        <f t="shared" si="373"/>
        <v>#DIV/0!</v>
      </c>
      <c r="AD214" s="5195">
        <f t="shared" si="373"/>
        <v>-128011552.67799558</v>
      </c>
      <c r="AE214" s="5195" t="e">
        <f t="shared" si="373"/>
        <v>#DIV/0!</v>
      </c>
      <c r="AF214" s="5195" t="e">
        <f t="shared" si="373"/>
        <v>#DIV/0!</v>
      </c>
      <c r="AG214" s="5195" t="e">
        <f t="shared" si="373"/>
        <v>#DIV/0!</v>
      </c>
      <c r="AH214" s="5195" t="e">
        <f t="shared" si="373"/>
        <v>#DIV/0!</v>
      </c>
      <c r="AI214" s="5195" t="e">
        <f t="shared" si="373"/>
        <v>#DIV/0!</v>
      </c>
      <c r="AJ214" s="5195" t="e">
        <f t="shared" si="373"/>
        <v>#DIV/0!</v>
      </c>
      <c r="AK214" s="5195" t="e">
        <f t="shared" si="373"/>
        <v>#DIV/0!</v>
      </c>
      <c r="AL214" s="6580">
        <f t="shared" si="373"/>
        <v>0</v>
      </c>
      <c r="AM214" s="6583">
        <f t="shared" si="373"/>
        <v>0</v>
      </c>
      <c r="AN214" s="5195" t="e">
        <f t="shared" si="373"/>
        <v>#DIV/0!</v>
      </c>
      <c r="AO214" s="5195">
        <f>Z214/(년간!E10/10)</f>
        <v>5794.0855633151104</v>
      </c>
      <c r="AP214" s="5195" t="e">
        <f t="shared" si="373"/>
        <v>#DIV/0!</v>
      </c>
      <c r="AQ214" s="5195" t="e">
        <f t="shared" si="373"/>
        <v>#DIV/0!</v>
      </c>
      <c r="AR214" s="5195">
        <f t="shared" si="373"/>
        <v>-6159.2715329423145</v>
      </c>
      <c r="AS214" s="5195" t="e">
        <f t="shared" si="373"/>
        <v>#DIV/0!</v>
      </c>
      <c r="AT214" s="5195" t="e">
        <f t="shared" si="373"/>
        <v>#DIV/0!</v>
      </c>
      <c r="AU214" s="5195" t="e">
        <f t="shared" si="373"/>
        <v>#DIV/0!</v>
      </c>
      <c r="AV214" s="5195" t="e">
        <f t="shared" si="373"/>
        <v>#DIV/0!</v>
      </c>
      <c r="AW214" s="5195" t="e">
        <f t="shared" si="373"/>
        <v>#DIV/0!</v>
      </c>
      <c r="AX214" s="5195" t="e">
        <f t="shared" si="373"/>
        <v>#DIV/0!</v>
      </c>
      <c r="AY214" s="5195" t="e">
        <f t="shared" si="373"/>
        <v>#DIV/0!</v>
      </c>
      <c r="AZ214" s="5195">
        <f t="shared" si="373"/>
        <v>0</v>
      </c>
      <c r="BA214" s="5195">
        <f t="shared" si="373"/>
        <v>0</v>
      </c>
      <c r="BB214" s="5394" t="e">
        <f t="shared" si="373"/>
        <v>#DIV/0!</v>
      </c>
      <c r="BF214" s="7706" t="s">
        <v>1855</v>
      </c>
      <c r="BG214" s="7707"/>
      <c r="BH214" s="7707"/>
      <c r="BI214" s="7707"/>
      <c r="BJ214" s="7707"/>
      <c r="BK214" s="7707"/>
      <c r="BL214" s="7707"/>
      <c r="BM214" s="7707"/>
      <c r="BN214" s="7707"/>
      <c r="BO214" s="7707"/>
      <c r="BP214" s="7707"/>
      <c r="BQ214" s="7708"/>
      <c r="BR214" s="5183">
        <v>1582024100.0287559</v>
      </c>
      <c r="BS214" s="5290">
        <v>158050153.98954228</v>
      </c>
      <c r="BT214" s="5190">
        <v>5901.7537119628287</v>
      </c>
      <c r="BU214" s="5250"/>
      <c r="BV214" s="5290"/>
      <c r="BW214" s="5291"/>
    </row>
    <row r="215" spans="1:79" s="286" customFormat="1" ht="16.5">
      <c r="A215" s="7697" t="s">
        <v>1858</v>
      </c>
      <c r="B215" s="7698"/>
      <c r="C215" s="7698"/>
      <c r="D215" s="7698"/>
      <c r="E215" s="7698"/>
      <c r="F215" s="7698"/>
      <c r="G215" s="7698"/>
      <c r="H215" s="7698"/>
      <c r="I215" s="7698"/>
      <c r="J215" s="7698"/>
      <c r="K215" s="7698"/>
      <c r="L215" s="7698"/>
      <c r="M215" s="7698"/>
      <c r="N215" s="7698"/>
      <c r="O215" s="7698"/>
      <c r="P215" s="7698"/>
      <c r="Q215" s="7698"/>
      <c r="R215" s="7698"/>
      <c r="S215" s="7698"/>
      <c r="T215" s="7698"/>
      <c r="U215" s="7698"/>
      <c r="V215" s="7698"/>
      <c r="W215" s="7698"/>
      <c r="X215" s="7699"/>
      <c r="Y215" s="6581">
        <f>Y190+Y210</f>
        <v>1666148507.5697885</v>
      </c>
      <c r="Z215" s="5290">
        <f t="shared" ref="Z215:BB215" si="374">Z190+Z210</f>
        <v>138845708.96414906</v>
      </c>
      <c r="AA215" s="5291">
        <f>Y215/(년간!E11+년간!E12)</f>
        <v>7490.6912519832867</v>
      </c>
      <c r="AB215" s="6591">
        <f t="shared" si="374"/>
        <v>-91554088.248618335</v>
      </c>
      <c r="AC215" s="5189">
        <f t="shared" si="374"/>
        <v>-14328680.518049523</v>
      </c>
      <c r="AD215" s="5189">
        <f t="shared" si="374"/>
        <v>22047881.765028939</v>
      </c>
      <c r="AE215" s="5189" t="e">
        <f t="shared" si="374"/>
        <v>#DIV/0!</v>
      </c>
      <c r="AF215" s="5189" t="e">
        <f t="shared" si="374"/>
        <v>#DIV/0!</v>
      </c>
      <c r="AG215" s="5189" t="e">
        <f t="shared" si="374"/>
        <v>#DIV/0!</v>
      </c>
      <c r="AH215" s="5189" t="e">
        <f t="shared" si="374"/>
        <v>#DIV/0!</v>
      </c>
      <c r="AI215" s="5189" t="e">
        <f t="shared" si="374"/>
        <v>#DIV/0!</v>
      </c>
      <c r="AJ215" s="5189" t="e">
        <f t="shared" si="374"/>
        <v>#DIV/0!</v>
      </c>
      <c r="AK215" s="5189" t="e">
        <f t="shared" si="374"/>
        <v>#DIV/0!</v>
      </c>
      <c r="AL215" s="6581">
        <f t="shared" si="374"/>
        <v>0</v>
      </c>
      <c r="AM215" s="5190">
        <f t="shared" si="374"/>
        <v>0</v>
      </c>
      <c r="AN215" s="5189" t="e">
        <f t="shared" si="374"/>
        <v>#DIV/0!</v>
      </c>
      <c r="AO215" s="5189">
        <f>Z215/((년간!E11+년간!E12)/12)</f>
        <v>7490.6912519832877</v>
      </c>
      <c r="AP215" s="5189">
        <f t="shared" si="374"/>
        <v>-5855.9975459639545</v>
      </c>
      <c r="AQ215" s="5189">
        <f t="shared" si="374"/>
        <v>12651.560138784918</v>
      </c>
      <c r="AR215" s="5189">
        <f t="shared" si="374"/>
        <v>17323.881675293276</v>
      </c>
      <c r="AS215" s="5189" t="e">
        <f t="shared" si="374"/>
        <v>#DIV/0!</v>
      </c>
      <c r="AT215" s="5189" t="e">
        <f t="shared" si="374"/>
        <v>#DIV/0!</v>
      </c>
      <c r="AU215" s="5189" t="e">
        <f t="shared" si="374"/>
        <v>#DIV/0!</v>
      </c>
      <c r="AV215" s="5189" t="e">
        <f t="shared" si="374"/>
        <v>#DIV/0!</v>
      </c>
      <c r="AW215" s="5189" t="e">
        <f t="shared" si="374"/>
        <v>#DIV/0!</v>
      </c>
      <c r="AX215" s="5189" t="e">
        <f t="shared" si="374"/>
        <v>#DIV/0!</v>
      </c>
      <c r="AY215" s="5189" t="e">
        <f t="shared" si="374"/>
        <v>#DIV/0!</v>
      </c>
      <c r="AZ215" s="5189">
        <f t="shared" si="374"/>
        <v>0</v>
      </c>
      <c r="BA215" s="5189">
        <f t="shared" si="374"/>
        <v>0</v>
      </c>
      <c r="BB215" s="5291" t="e">
        <f t="shared" si="374"/>
        <v>#DIV/0!</v>
      </c>
      <c r="BF215" s="7706" t="s">
        <v>1857</v>
      </c>
      <c r="BG215" s="7707"/>
      <c r="BH215" s="7707"/>
      <c r="BI215" s="7707"/>
      <c r="BJ215" s="7707"/>
      <c r="BK215" s="7707"/>
      <c r="BL215" s="7707"/>
      <c r="BM215" s="7707"/>
      <c r="BN215" s="7707"/>
      <c r="BO215" s="7707"/>
      <c r="BP215" s="7707"/>
      <c r="BQ215" s="7708"/>
      <c r="BR215" s="5183">
        <v>1324493483.2997701</v>
      </c>
      <c r="BS215" s="5290">
        <v>110374456.94164753</v>
      </c>
      <c r="BT215" s="5190">
        <v>5954.6743304014226</v>
      </c>
      <c r="BU215" s="5250"/>
      <c r="BV215" s="5290"/>
      <c r="BW215" s="5291"/>
    </row>
    <row r="216" spans="1:79" ht="17.25" thickBot="1">
      <c r="A216" s="7690" t="s">
        <v>1853</v>
      </c>
      <c r="B216" s="7691"/>
      <c r="C216" s="7691"/>
      <c r="D216" s="7691"/>
      <c r="E216" s="7691"/>
      <c r="F216" s="7691"/>
      <c r="G216" s="7691"/>
      <c r="H216" s="7691"/>
      <c r="I216" s="7691"/>
      <c r="J216" s="7691"/>
      <c r="K216" s="7691"/>
      <c r="L216" s="7691"/>
      <c r="M216" s="7691"/>
      <c r="N216" s="7691"/>
      <c r="O216" s="7691"/>
      <c r="P216" s="7691"/>
      <c r="Q216" s="7691"/>
      <c r="R216" s="7691"/>
      <c r="S216" s="7691"/>
      <c r="T216" s="7691"/>
      <c r="U216" s="7691"/>
      <c r="V216" s="7691"/>
      <c r="W216" s="7691"/>
      <c r="X216" s="7696"/>
      <c r="Y216" s="6582">
        <f>Y214+Y215</f>
        <v>3220756331.8053699</v>
      </c>
      <c r="Z216" s="5362">
        <f t="shared" ref="Z216:BB216" si="375">Z214+Z215</f>
        <v>294161966.5743739</v>
      </c>
      <c r="AA216" s="5293">
        <f>Y216/C235</f>
        <v>9358.3110524330823</v>
      </c>
      <c r="AB216" s="6592" t="e">
        <f t="shared" si="375"/>
        <v>#DIV/0!</v>
      </c>
      <c r="AC216" s="5191" t="e">
        <f t="shared" si="375"/>
        <v>#DIV/0!</v>
      </c>
      <c r="AD216" s="5191">
        <f t="shared" si="375"/>
        <v>-105963670.91296664</v>
      </c>
      <c r="AE216" s="5191" t="e">
        <f t="shared" si="375"/>
        <v>#DIV/0!</v>
      </c>
      <c r="AF216" s="5191" t="e">
        <f t="shared" si="375"/>
        <v>#DIV/0!</v>
      </c>
      <c r="AG216" s="5191" t="e">
        <f t="shared" si="375"/>
        <v>#DIV/0!</v>
      </c>
      <c r="AH216" s="5191" t="e">
        <f t="shared" si="375"/>
        <v>#DIV/0!</v>
      </c>
      <c r="AI216" s="5191" t="e">
        <f t="shared" si="375"/>
        <v>#DIV/0!</v>
      </c>
      <c r="AJ216" s="5191" t="e">
        <f t="shared" si="375"/>
        <v>#DIV/0!</v>
      </c>
      <c r="AK216" s="5191" t="e">
        <f t="shared" si="375"/>
        <v>#DIV/0!</v>
      </c>
      <c r="AL216" s="6582">
        <f t="shared" si="375"/>
        <v>0</v>
      </c>
      <c r="AM216" s="6584">
        <f t="shared" si="375"/>
        <v>0</v>
      </c>
      <c r="AN216" s="5191" t="e">
        <f t="shared" si="375"/>
        <v>#DIV/0!</v>
      </c>
      <c r="AO216" s="5191">
        <f>Z216/(C235/12)</f>
        <v>10256.693395201322</v>
      </c>
      <c r="AP216" s="5191" t="e">
        <f t="shared" si="375"/>
        <v>#DIV/0!</v>
      </c>
      <c r="AQ216" s="5191" t="e">
        <f t="shared" si="375"/>
        <v>#DIV/0!</v>
      </c>
      <c r="AR216" s="5191">
        <f t="shared" si="375"/>
        <v>11164.610142350961</v>
      </c>
      <c r="AS216" s="5191" t="e">
        <f t="shared" si="375"/>
        <v>#DIV/0!</v>
      </c>
      <c r="AT216" s="5191" t="e">
        <f t="shared" si="375"/>
        <v>#DIV/0!</v>
      </c>
      <c r="AU216" s="5191" t="e">
        <f t="shared" si="375"/>
        <v>#DIV/0!</v>
      </c>
      <c r="AV216" s="5191" t="e">
        <f t="shared" si="375"/>
        <v>#DIV/0!</v>
      </c>
      <c r="AW216" s="5191" t="e">
        <f t="shared" si="375"/>
        <v>#DIV/0!</v>
      </c>
      <c r="AX216" s="5191" t="e">
        <f t="shared" si="375"/>
        <v>#DIV/0!</v>
      </c>
      <c r="AY216" s="5191" t="e">
        <f t="shared" si="375"/>
        <v>#DIV/0!</v>
      </c>
      <c r="AZ216" s="5191">
        <f t="shared" si="375"/>
        <v>0</v>
      </c>
      <c r="BA216" s="5191">
        <f t="shared" si="375"/>
        <v>0</v>
      </c>
      <c r="BB216" s="5293" t="e">
        <f t="shared" si="375"/>
        <v>#DIV/0!</v>
      </c>
      <c r="BF216" s="7690" t="s">
        <v>1357</v>
      </c>
      <c r="BG216" s="7691"/>
      <c r="BH216" s="7691"/>
      <c r="BI216" s="7691"/>
      <c r="BJ216" s="7691"/>
      <c r="BK216" s="7691"/>
      <c r="BL216" s="7691"/>
      <c r="BM216" s="7691"/>
      <c r="BN216" s="7691"/>
      <c r="BO216" s="7691"/>
      <c r="BP216" s="7691"/>
      <c r="BQ216" s="7696"/>
      <c r="BR216" s="6317">
        <v>2906517583.328526</v>
      </c>
      <c r="BS216" s="5402">
        <v>268424610.93118981</v>
      </c>
      <c r="BT216" s="5197">
        <v>8445.2509975840476</v>
      </c>
      <c r="BU216" s="5201"/>
      <c r="BV216" s="5402"/>
      <c r="BW216" s="5199"/>
    </row>
    <row r="217" spans="1:79">
      <c r="BF217" s="286"/>
      <c r="BG217" s="286"/>
      <c r="BH217" s="286"/>
      <c r="BI217" s="286"/>
      <c r="BJ217" s="286"/>
      <c r="BK217" s="286"/>
      <c r="BL217" s="286"/>
      <c r="BM217" s="286"/>
      <c r="BN217" s="286"/>
      <c r="BR217" s="286" t="s">
        <v>1864</v>
      </c>
      <c r="BT217" s="286" t="s">
        <v>1865</v>
      </c>
      <c r="BU217" t="s">
        <v>1866</v>
      </c>
      <c r="BV217" t="s">
        <v>1867</v>
      </c>
      <c r="BW217" s="286" t="s">
        <v>1868</v>
      </c>
    </row>
    <row r="218" spans="1:79" ht="14.25" thickBot="1">
      <c r="BF218" s="286"/>
      <c r="BG218" s="286"/>
      <c r="BH218" s="286"/>
      <c r="BI218" s="286"/>
      <c r="BJ218" s="286"/>
      <c r="BK218" s="286"/>
      <c r="BL218" s="286"/>
      <c r="BM218" s="286"/>
      <c r="BN218" s="286"/>
      <c r="BR218" s="286"/>
      <c r="BT218" s="286"/>
    </row>
    <row r="219" spans="1:79">
      <c r="A219" s="5170" t="s">
        <v>1842</v>
      </c>
      <c r="B219" s="5171" t="s">
        <v>1843</v>
      </c>
      <c r="E219" s="3417" t="s">
        <v>1081</v>
      </c>
      <c r="F219" s="286">
        <f>게시판!BF14</f>
        <v>17663.77</v>
      </c>
      <c r="AO219"/>
      <c r="AP219" s="5177" t="s">
        <v>1852</v>
      </c>
      <c r="AQ219" s="5177" t="s">
        <v>5</v>
      </c>
      <c r="AR219" s="5177" t="s">
        <v>6</v>
      </c>
      <c r="AS219" s="5177" t="s">
        <v>7</v>
      </c>
      <c r="AT219" s="5177" t="s">
        <v>8</v>
      </c>
      <c r="AU219" s="5177" t="s">
        <v>9</v>
      </c>
      <c r="AV219" s="5177" t="s">
        <v>10</v>
      </c>
      <c r="AW219" s="5177" t="s">
        <v>11</v>
      </c>
      <c r="AX219" s="5177" t="s">
        <v>12</v>
      </c>
      <c r="AY219" s="5177" t="s">
        <v>13</v>
      </c>
      <c r="AZ219" s="5177" t="s">
        <v>14</v>
      </c>
      <c r="BA219" s="5177" t="s">
        <v>15</v>
      </c>
      <c r="BB219" s="5177"/>
      <c r="BF219" s="286"/>
      <c r="BG219" s="286"/>
      <c r="BH219" s="286"/>
      <c r="BI219" s="286"/>
      <c r="BJ219" s="286"/>
      <c r="BK219" s="286"/>
      <c r="BL219" s="286"/>
      <c r="BM219" s="286"/>
      <c r="BN219" s="286"/>
      <c r="BR219" s="286"/>
      <c r="BT219" s="286"/>
    </row>
    <row r="220" spans="1:79">
      <c r="A220" s="5170" t="s">
        <v>1844</v>
      </c>
      <c r="B220" s="5171" t="s">
        <v>1845</v>
      </c>
      <c r="E220" s="3414" t="s">
        <v>1082</v>
      </c>
      <c r="F220" s="286">
        <f>게시판!BF15</f>
        <v>17133.387999999999</v>
      </c>
      <c r="AO220"/>
      <c r="AP220" s="5176">
        <f>(AP221/(AP221+AP222))</f>
        <v>1</v>
      </c>
      <c r="AQ220" s="5176">
        <f t="shared" ref="AQ220:AX220" si="376">(AQ221/(AQ221+AQ222))</f>
        <v>1</v>
      </c>
      <c r="AR220" s="5176">
        <f t="shared" si="376"/>
        <v>0.47257800004049316</v>
      </c>
      <c r="AS220" s="5176">
        <f t="shared" si="376"/>
        <v>1</v>
      </c>
      <c r="AT220" s="5176">
        <f t="shared" si="376"/>
        <v>1</v>
      </c>
      <c r="AU220" s="5176">
        <f t="shared" si="376"/>
        <v>1</v>
      </c>
      <c r="AV220" s="5176">
        <f t="shared" si="376"/>
        <v>1</v>
      </c>
      <c r="AW220" s="5176">
        <f t="shared" si="376"/>
        <v>1</v>
      </c>
      <c r="AX220" s="5176">
        <f t="shared" si="376"/>
        <v>1</v>
      </c>
      <c r="AY220" s="361"/>
      <c r="AZ220" s="361"/>
      <c r="BA220" s="361"/>
      <c r="BB220" s="361"/>
      <c r="BF220" s="286"/>
      <c r="BG220" s="286"/>
      <c r="BH220" s="286"/>
      <c r="BI220" s="286"/>
      <c r="BJ220" s="286"/>
      <c r="BK220" s="286"/>
      <c r="BL220" s="286"/>
      <c r="BM220" s="286"/>
      <c r="BN220" s="286"/>
      <c r="BR220" s="286"/>
      <c r="BT220" s="286"/>
    </row>
    <row r="221" spans="1:79" ht="17.25" thickBot="1">
      <c r="A221" s="5170" t="s">
        <v>1846</v>
      </c>
      <c r="B221" s="5171" t="s">
        <v>1847</v>
      </c>
      <c r="E221" s="3414" t="s">
        <v>6</v>
      </c>
      <c r="F221" s="286">
        <f>게시판!BF16</f>
        <v>30532.517</v>
      </c>
      <c r="AL221" s="361" t="s">
        <v>1848</v>
      </c>
      <c r="AM221" s="5173" t="s">
        <v>1850</v>
      </c>
      <c r="AN221" s="5173"/>
      <c r="AO221" s="5173"/>
      <c r="AP221" s="5173">
        <v>9925.9599999999991</v>
      </c>
      <c r="AQ221" s="5174">
        <v>9673.24</v>
      </c>
      <c r="AR221" s="5174">
        <v>11670.55</v>
      </c>
      <c r="AS221" s="5174">
        <v>13441.99</v>
      </c>
      <c r="AT221" s="5174">
        <v>8332.6</v>
      </c>
      <c r="AU221" s="5174">
        <v>11822.67</v>
      </c>
      <c r="AV221" s="5174">
        <v>15868.35</v>
      </c>
      <c r="AW221" s="5174">
        <v>16833.77</v>
      </c>
      <c r="AX221" s="5174">
        <v>17898.8</v>
      </c>
      <c r="AY221" s="361"/>
      <c r="AZ221" s="361"/>
      <c r="BA221" s="361"/>
      <c r="BB221" s="361"/>
      <c r="BF221" s="286"/>
      <c r="BG221" s="286"/>
      <c r="BH221" s="286"/>
      <c r="BI221" s="286"/>
      <c r="BJ221" s="286"/>
      <c r="BK221" s="286"/>
      <c r="BL221" s="286"/>
      <c r="BM221" s="286"/>
      <c r="BN221" s="286"/>
      <c r="BR221" s="286" t="s">
        <v>1870</v>
      </c>
      <c r="BT221" s="286"/>
    </row>
    <row r="222" spans="1:79" ht="33.75" thickBot="1">
      <c r="A222" s="3506"/>
      <c r="B222" s="5116"/>
      <c r="C222" s="5168"/>
      <c r="D222" s="5116"/>
      <c r="E222" s="3414" t="s">
        <v>7</v>
      </c>
      <c r="F222" s="286">
        <f>게시판!BF17</f>
        <v>0</v>
      </c>
      <c r="G222" s="5116"/>
      <c r="H222" s="5116"/>
      <c r="I222" s="6016"/>
      <c r="J222" s="5116"/>
      <c r="K222" s="5116"/>
      <c r="L222" s="5116"/>
      <c r="M222" s="5116"/>
      <c r="N222" s="5116"/>
      <c r="O222" s="5116"/>
      <c r="P222" s="5116"/>
      <c r="Q222" s="5116"/>
      <c r="R222" s="5116"/>
      <c r="S222" s="5116"/>
      <c r="AM222" s="5173" t="s">
        <v>1851</v>
      </c>
      <c r="AN222" s="5173"/>
      <c r="AO222" s="5173"/>
      <c r="AP222" s="5175">
        <f>CGL!O58</f>
        <v>0</v>
      </c>
      <c r="AQ222" s="5175">
        <f>CGL!P58</f>
        <v>0</v>
      </c>
      <c r="AR222" s="5175">
        <f>CGL!Q58</f>
        <v>13024.949999999999</v>
      </c>
      <c r="AS222" s="5175">
        <f>CGL!R58</f>
        <v>0</v>
      </c>
      <c r="AT222" s="5175">
        <f>CGL!S58</f>
        <v>0</v>
      </c>
      <c r="AU222" s="5175">
        <f>CGL!T58</f>
        <v>0</v>
      </c>
      <c r="AV222" s="5175">
        <f>CGL!U58</f>
        <v>0</v>
      </c>
      <c r="AW222" s="5175">
        <f>CGL!V58</f>
        <v>0</v>
      </c>
      <c r="AX222" s="5175">
        <f>CGL!W58</f>
        <v>0</v>
      </c>
      <c r="AY222" s="361"/>
      <c r="AZ222" s="361"/>
      <c r="BA222" s="361"/>
      <c r="BB222" s="361"/>
      <c r="BF222" s="7693" t="s">
        <v>1699</v>
      </c>
      <c r="BG222" s="7694"/>
      <c r="BH222" s="7694"/>
      <c r="BI222" s="7694"/>
      <c r="BJ222" s="7694"/>
      <c r="BK222" s="7694"/>
      <c r="BL222" s="7694"/>
      <c r="BM222" s="7694"/>
      <c r="BN222" s="7694"/>
      <c r="BO222" s="7694"/>
      <c r="BP222" s="7694"/>
      <c r="BQ222" s="7695"/>
      <c r="BR222" s="5160" t="s">
        <v>1599</v>
      </c>
      <c r="BS222" s="5219"/>
      <c r="BT222" s="2576" t="s">
        <v>1600</v>
      </c>
      <c r="BU222" s="5395" t="s">
        <v>1874</v>
      </c>
      <c r="BV222" s="4217" t="s">
        <v>1875</v>
      </c>
      <c r="BW222" s="5436" t="s">
        <v>1869</v>
      </c>
    </row>
    <row r="223" spans="1:79" ht="16.5">
      <c r="A223" s="3506"/>
      <c r="B223" s="5169"/>
      <c r="C223" s="5169"/>
      <c r="D223" s="5169"/>
      <c r="E223" s="3414" t="s">
        <v>8</v>
      </c>
      <c r="F223" s="286">
        <f>게시판!BF18</f>
        <v>0</v>
      </c>
      <c r="G223" s="5169"/>
      <c r="H223" s="5169"/>
      <c r="I223" s="5169"/>
      <c r="J223" s="5169"/>
      <c r="K223" s="5169"/>
      <c r="L223" s="5169"/>
      <c r="M223" s="5169"/>
      <c r="N223" s="5169"/>
      <c r="O223" s="5169"/>
      <c r="P223" s="5169"/>
      <c r="Q223" s="5169"/>
      <c r="R223" s="5169"/>
      <c r="S223" s="5169"/>
      <c r="AO223"/>
      <c r="AP223" s="5176">
        <f>AP222/(AP222+AP221)</f>
        <v>0</v>
      </c>
      <c r="AQ223" s="5176">
        <f t="shared" ref="AQ223:AX223" si="377">AQ222/(AQ222+AQ221)</f>
        <v>0</v>
      </c>
      <c r="AR223" s="5176">
        <f t="shared" si="377"/>
        <v>0.52742199995950678</v>
      </c>
      <c r="AS223" s="5176">
        <f t="shared" si="377"/>
        <v>0</v>
      </c>
      <c r="AT223" s="5176">
        <f t="shared" si="377"/>
        <v>0</v>
      </c>
      <c r="AU223" s="5176">
        <f t="shared" si="377"/>
        <v>0</v>
      </c>
      <c r="AV223" s="5176">
        <f t="shared" si="377"/>
        <v>0</v>
      </c>
      <c r="AW223" s="5176">
        <f t="shared" si="377"/>
        <v>0</v>
      </c>
      <c r="AX223" s="5176">
        <f t="shared" si="377"/>
        <v>0</v>
      </c>
      <c r="AY223" s="361"/>
      <c r="AZ223" s="361"/>
      <c r="BA223" s="361"/>
      <c r="BB223" s="361"/>
      <c r="BF223" s="7668" t="s">
        <v>1840</v>
      </c>
      <c r="BG223" s="7669"/>
      <c r="BH223" s="7669"/>
      <c r="BI223" s="7669"/>
      <c r="BJ223" s="7669"/>
      <c r="BK223" s="7669"/>
      <c r="BL223" s="7669"/>
      <c r="BM223" s="7669"/>
      <c r="BN223" s="7669"/>
      <c r="BO223" s="7669"/>
      <c r="BP223" s="7669"/>
      <c r="BQ223" s="7709"/>
      <c r="BR223" s="5253">
        <v>81481278.236705825</v>
      </c>
      <c r="BS223" s="5253"/>
      <c r="BT223" s="5360">
        <v>2978.8790347203535</v>
      </c>
      <c r="BU223" s="5389">
        <v>43683921.814914502</v>
      </c>
      <c r="BV223" s="5252">
        <v>1605.5360224473518</v>
      </c>
      <c r="BW223" s="5437">
        <v>2616.47441495776</v>
      </c>
    </row>
    <row r="224" spans="1:79" ht="16.5">
      <c r="E224" s="3414" t="s">
        <v>9</v>
      </c>
      <c r="F224" s="286">
        <f>게시판!BF19</f>
        <v>0</v>
      </c>
      <c r="AO224"/>
      <c r="AP224" s="361"/>
      <c r="AQ224" s="361"/>
      <c r="AR224" s="361"/>
      <c r="AS224" s="361"/>
      <c r="AT224" s="361"/>
      <c r="AU224" s="361"/>
      <c r="AV224" s="361"/>
      <c r="AW224" s="361"/>
      <c r="AX224" s="361"/>
      <c r="AY224" s="361"/>
      <c r="AZ224" s="361"/>
      <c r="BA224" s="361"/>
      <c r="BB224" s="361"/>
      <c r="BF224" s="7665" t="s">
        <v>1841</v>
      </c>
      <c r="BG224" s="7666"/>
      <c r="BH224" s="7666"/>
      <c r="BI224" s="7666"/>
      <c r="BJ224" s="7666"/>
      <c r="BK224" s="7666"/>
      <c r="BL224" s="7666"/>
      <c r="BM224" s="7666"/>
      <c r="BN224" s="7666"/>
      <c r="BO224" s="7666"/>
      <c r="BP224" s="7666"/>
      <c r="BQ224" s="7710"/>
      <c r="BR224" s="5254">
        <v>38955192.603164941</v>
      </c>
      <c r="BS224" s="5254"/>
      <c r="BT224" s="5361">
        <v>2118.2428777708369</v>
      </c>
      <c r="BU224" s="5389">
        <v>49662659.846507989</v>
      </c>
      <c r="BV224" s="5252">
        <v>2748.5996146027715</v>
      </c>
      <c r="BW224" s="5437">
        <v>1919.3119714802913</v>
      </c>
    </row>
    <row r="225" spans="2:75" ht="17.25" thickBot="1">
      <c r="B225" s="286"/>
      <c r="E225" s="4683" t="s">
        <v>1154</v>
      </c>
      <c r="F225" s="286">
        <f>게시판!BF20</f>
        <v>10888.279166666665</v>
      </c>
      <c r="BF225" s="7665" t="s">
        <v>1356</v>
      </c>
      <c r="BG225" s="7666"/>
      <c r="BH225" s="7666"/>
      <c r="BI225" s="7666"/>
      <c r="BJ225" s="7666"/>
      <c r="BK225" s="7666"/>
      <c r="BL225" s="7666"/>
      <c r="BM225" s="7666"/>
      <c r="BN225" s="7666"/>
      <c r="BO225" s="7666"/>
      <c r="BP225" s="7666"/>
      <c r="BQ225" s="7710"/>
      <c r="BR225" s="5200">
        <v>120436470.83987077</v>
      </c>
      <c r="BS225" s="5200"/>
      <c r="BT225" s="5401">
        <v>4061.7357808430615</v>
      </c>
      <c r="BU225" s="5434">
        <v>93346581.661422491</v>
      </c>
      <c r="BV225" s="5196">
        <v>2739.366661688256</v>
      </c>
      <c r="BW225" s="5438">
        <v>3198.8548251255156</v>
      </c>
    </row>
    <row r="226" spans="2:75" ht="16.5">
      <c r="B226" s="286"/>
      <c r="E226" s="3419" t="s">
        <v>10</v>
      </c>
      <c r="F226" s="286">
        <f>게시판!BF21</f>
        <v>0</v>
      </c>
      <c r="BF226" s="7706" t="s">
        <v>1855</v>
      </c>
      <c r="BG226" s="7707"/>
      <c r="BH226" s="7707"/>
      <c r="BI226" s="7707"/>
      <c r="BJ226" s="7707"/>
      <c r="BK226" s="7707"/>
      <c r="BL226" s="7707"/>
      <c r="BM226" s="7707"/>
      <c r="BN226" s="7707"/>
      <c r="BO226" s="7707"/>
      <c r="BP226" s="7707"/>
      <c r="BQ226" s="7715"/>
      <c r="BR226" s="5250">
        <v>187147797.07977816</v>
      </c>
      <c r="BS226" s="5250"/>
      <c r="BT226" s="5290">
        <v>6841.9477600182126</v>
      </c>
      <c r="BU226" s="5189">
        <v>69957372.121603906</v>
      </c>
      <c r="BV226" s="5190">
        <v>2571.1766780665139</v>
      </c>
      <c r="BW226" s="5439">
        <v>7959.8750113497281</v>
      </c>
    </row>
    <row r="227" spans="2:75" ht="16.5">
      <c r="B227" s="286"/>
      <c r="E227" s="3414" t="s">
        <v>11</v>
      </c>
      <c r="F227" s="286">
        <f>게시판!BF22</f>
        <v>0</v>
      </c>
      <c r="BF227" s="7706" t="s">
        <v>1857</v>
      </c>
      <c r="BG227" s="7707"/>
      <c r="BH227" s="7707"/>
      <c r="BI227" s="7707"/>
      <c r="BJ227" s="7707"/>
      <c r="BK227" s="7707"/>
      <c r="BL227" s="7707"/>
      <c r="BM227" s="7707"/>
      <c r="BN227" s="7707"/>
      <c r="BO227" s="7707"/>
      <c r="BP227" s="7707"/>
      <c r="BQ227" s="7715"/>
      <c r="BR227" s="5250">
        <v>161313980.53308415</v>
      </c>
      <c r="BS227" s="5250"/>
      <c r="BT227" s="5290">
        <v>8771.6724655933831</v>
      </c>
      <c r="BU227" s="5189">
        <v>-126986664.46353345</v>
      </c>
      <c r="BV227" s="5190">
        <v>-7028.1273311361265</v>
      </c>
      <c r="BW227" s="5439">
        <v>6217.0835724419485</v>
      </c>
    </row>
    <row r="228" spans="2:75" ht="17.25" thickBot="1">
      <c r="B228" s="286"/>
      <c r="E228" s="3414" t="s">
        <v>12</v>
      </c>
      <c r="F228" s="286">
        <f>게시판!BF23</f>
        <v>0</v>
      </c>
      <c r="BF228" s="7690" t="s">
        <v>1357</v>
      </c>
      <c r="BG228" s="7691"/>
      <c r="BH228" s="7691"/>
      <c r="BI228" s="7691"/>
      <c r="BJ228" s="7691"/>
      <c r="BK228" s="7691"/>
      <c r="BL228" s="7691"/>
      <c r="BM228" s="7691"/>
      <c r="BN228" s="7691"/>
      <c r="BO228" s="7691"/>
      <c r="BP228" s="7691"/>
      <c r="BQ228" s="7692"/>
      <c r="BR228" s="5201">
        <v>348461777.61286235</v>
      </c>
      <c r="BS228" s="5201"/>
      <c r="BT228" s="5402">
        <v>11615.392587095412</v>
      </c>
      <c r="BU228" s="5435">
        <v>-57029292.34192954</v>
      </c>
      <c r="BV228" s="5197">
        <v>-1673.5925344089828</v>
      </c>
      <c r="BW228" s="5440">
        <v>9940.4526638497973</v>
      </c>
    </row>
    <row r="229" spans="2:75">
      <c r="B229" s="286"/>
      <c r="E229" s="3414" t="s">
        <v>13</v>
      </c>
      <c r="F229" s="286">
        <f>게시판!BF24</f>
        <v>0</v>
      </c>
    </row>
    <row r="230" spans="2:75">
      <c r="B230" s="286"/>
      <c r="E230" s="3414" t="s">
        <v>14</v>
      </c>
      <c r="F230" s="286">
        <f>게시판!BF25</f>
        <v>0</v>
      </c>
    </row>
    <row r="231" spans="2:75">
      <c r="B231" s="286"/>
      <c r="E231" s="3424" t="s">
        <v>15</v>
      </c>
      <c r="F231" s="286">
        <f>게시판!BF26</f>
        <v>0</v>
      </c>
    </row>
    <row r="232" spans="2:75">
      <c r="B232" s="286"/>
    </row>
    <row r="233" spans="2:75">
      <c r="B233" s="286"/>
      <c r="C233" t="s">
        <v>1968</v>
      </c>
    </row>
    <row r="234" spans="2:75">
      <c r="B234" s="286"/>
      <c r="C234" t="s">
        <v>1988</v>
      </c>
      <c r="D234" s="5164">
        <v>2020</v>
      </c>
      <c r="E234" s="4967" t="s">
        <v>1081</v>
      </c>
      <c r="F234" s="4967" t="s">
        <v>1082</v>
      </c>
      <c r="G234" s="4967" t="s">
        <v>6</v>
      </c>
      <c r="H234" s="4967" t="s">
        <v>7</v>
      </c>
      <c r="I234" s="4967"/>
      <c r="J234" s="4967" t="s">
        <v>8</v>
      </c>
      <c r="K234" s="4967" t="s">
        <v>9</v>
      </c>
      <c r="L234" s="4967" t="s">
        <v>10</v>
      </c>
      <c r="M234" s="4967" t="s">
        <v>11</v>
      </c>
      <c r="N234" s="4967" t="s">
        <v>12</v>
      </c>
      <c r="O234" s="4967" t="s">
        <v>13</v>
      </c>
      <c r="P234" s="4967" t="s">
        <v>14</v>
      </c>
      <c r="Q234" s="4967" t="s">
        <v>15</v>
      </c>
      <c r="R234" s="5398" t="s">
        <v>1860</v>
      </c>
    </row>
    <row r="235" spans="2:75">
      <c r="B235" s="286"/>
      <c r="C235" s="739">
        <f>13000+108800+222360</f>
        <v>344160</v>
      </c>
      <c r="D235" s="5188">
        <f>게시판!BH35</f>
        <v>30173.921749999998</v>
      </c>
      <c r="E235" s="5188"/>
      <c r="F235" s="5188"/>
      <c r="G235" s="5188"/>
      <c r="H235" s="5188"/>
      <c r="I235" s="5188"/>
      <c r="J235" s="5188"/>
      <c r="K235" s="5188"/>
      <c r="L235" s="5188"/>
      <c r="M235" s="5188">
        <v>35428.110999999997</v>
      </c>
      <c r="N235" s="5188">
        <v>36616.699999999997</v>
      </c>
      <c r="O235" s="5188">
        <v>34075.972000000002</v>
      </c>
      <c r="P235" s="5188">
        <v>0</v>
      </c>
      <c r="Q235" s="5188">
        <v>0</v>
      </c>
      <c r="R235" s="5188">
        <f>SUM(E235:Q235)</f>
        <v>106120.783</v>
      </c>
    </row>
    <row r="236" spans="2:75">
      <c r="B236" s="286"/>
    </row>
    <row r="237" spans="2:75">
      <c r="B237" s="286"/>
    </row>
  </sheetData>
  <mergeCells count="259">
    <mergeCell ref="BF212:BQ212"/>
    <mergeCell ref="BG209:BQ209"/>
    <mergeCell ref="BG202:BQ202"/>
    <mergeCell ref="BG189:BQ189"/>
    <mergeCell ref="BG182:BQ182"/>
    <mergeCell ref="BG169:BQ169"/>
    <mergeCell ref="BG162:BQ162"/>
    <mergeCell ref="BG168:BH168"/>
    <mergeCell ref="BG126:BG127"/>
    <mergeCell ref="BG166:BG167"/>
    <mergeCell ref="BG153:BG157"/>
    <mergeCell ref="BG152:BH152"/>
    <mergeCell ref="BG158:BG159"/>
    <mergeCell ref="BG161:BH161"/>
    <mergeCell ref="BG181:BH181"/>
    <mergeCell ref="BG208:BH208"/>
    <mergeCell ref="BG188:BH188"/>
    <mergeCell ref="BX205:BX207"/>
    <mergeCell ref="BX185:BX187"/>
    <mergeCell ref="BX165:BX167"/>
    <mergeCell ref="BX146:BX148"/>
    <mergeCell ref="BX127:BX129"/>
    <mergeCell ref="BF211:BQ211"/>
    <mergeCell ref="CA205:CA207"/>
    <mergeCell ref="CA127:CA129"/>
    <mergeCell ref="BZ127:BZ129"/>
    <mergeCell ref="BY127:BY129"/>
    <mergeCell ref="BY146:BY148"/>
    <mergeCell ref="BZ146:BZ148"/>
    <mergeCell ref="CA146:CA148"/>
    <mergeCell ref="BY165:BY167"/>
    <mergeCell ref="BZ165:BZ167"/>
    <mergeCell ref="CA165:CA167"/>
    <mergeCell ref="BY185:BY187"/>
    <mergeCell ref="BZ185:BZ187"/>
    <mergeCell ref="CA185:CA187"/>
    <mergeCell ref="BY205:BY207"/>
    <mergeCell ref="BZ205:BZ207"/>
    <mergeCell ref="BG192:BG196"/>
    <mergeCell ref="BF152:BF169"/>
    <mergeCell ref="AF58:AF59"/>
    <mergeCell ref="AG56:AG57"/>
    <mergeCell ref="AG58:AG59"/>
    <mergeCell ref="BG87:BQ87"/>
    <mergeCell ref="AH56:AH57"/>
    <mergeCell ref="AH58:AH59"/>
    <mergeCell ref="AI56:AI57"/>
    <mergeCell ref="AI58:AI59"/>
    <mergeCell ref="BG88:BQ88"/>
    <mergeCell ref="AK56:AK57"/>
    <mergeCell ref="AK58:AK59"/>
    <mergeCell ref="BF54:BF70"/>
    <mergeCell ref="AJ56:AJ57"/>
    <mergeCell ref="AJ58:AJ59"/>
    <mergeCell ref="BG98:BQ98"/>
    <mergeCell ref="BG100:BQ100"/>
    <mergeCell ref="BG93:BH93"/>
    <mergeCell ref="B181:C181"/>
    <mergeCell ref="B178:B179"/>
    <mergeCell ref="BG151:BQ151"/>
    <mergeCell ref="BG144:BQ144"/>
    <mergeCell ref="BG124:BQ124"/>
    <mergeCell ref="BG132:BQ132"/>
    <mergeCell ref="BG133:BH133"/>
    <mergeCell ref="B171:C171"/>
    <mergeCell ref="BF171:BF189"/>
    <mergeCell ref="B180:C180"/>
    <mergeCell ref="BG94:BQ94"/>
    <mergeCell ref="BG95:BQ95"/>
    <mergeCell ref="BG97:BQ97"/>
    <mergeCell ref="BG142:BH142"/>
    <mergeCell ref="BG140:BG141"/>
    <mergeCell ref="BG113:BG118"/>
    <mergeCell ref="BF112:BF132"/>
    <mergeCell ref="BG129:BH129"/>
    <mergeCell ref="BF105:BF106"/>
    <mergeCell ref="BF107:BF108"/>
    <mergeCell ref="BG130:BH130"/>
    <mergeCell ref="BG123:BH123"/>
    <mergeCell ref="BF88:BF90"/>
    <mergeCell ref="BZ80:CA80"/>
    <mergeCell ref="BG112:BH112"/>
    <mergeCell ref="BG191:BH191"/>
    <mergeCell ref="BG171:BH171"/>
    <mergeCell ref="BG172:BG176"/>
    <mergeCell ref="BG178:BG179"/>
    <mergeCell ref="BG180:BH180"/>
    <mergeCell ref="BG183:BH183"/>
    <mergeCell ref="BG177:BH177"/>
    <mergeCell ref="BG139:BH139"/>
    <mergeCell ref="BG120:BG121"/>
    <mergeCell ref="BG107:BR107"/>
    <mergeCell ref="BG108:BR108"/>
    <mergeCell ref="BG105:BR105"/>
    <mergeCell ref="BG106:BR106"/>
    <mergeCell ref="BG122:BH122"/>
    <mergeCell ref="BG119:BH119"/>
    <mergeCell ref="BG125:BH125"/>
    <mergeCell ref="BG160:BH160"/>
    <mergeCell ref="BG164:BG165"/>
    <mergeCell ref="BG149:BH149"/>
    <mergeCell ref="BG134:BG138"/>
    <mergeCell ref="B163:C163"/>
    <mergeCell ref="B148:C148"/>
    <mergeCell ref="B166:B167"/>
    <mergeCell ref="B164:B165"/>
    <mergeCell ref="B158:B159"/>
    <mergeCell ref="BG143:BH143"/>
    <mergeCell ref="BG145:BH145"/>
    <mergeCell ref="BG148:BH148"/>
    <mergeCell ref="B153:B157"/>
    <mergeCell ref="B152:C152"/>
    <mergeCell ref="B160:C160"/>
    <mergeCell ref="B161:C161"/>
    <mergeCell ref="B151:X151"/>
    <mergeCell ref="B142:C142"/>
    <mergeCell ref="B139:C139"/>
    <mergeCell ref="B145:C145"/>
    <mergeCell ref="B149:C149"/>
    <mergeCell ref="BF133:BF151"/>
    <mergeCell ref="B143:C143"/>
    <mergeCell ref="BG163:BH163"/>
    <mergeCell ref="B2:B8"/>
    <mergeCell ref="C48:C49"/>
    <mergeCell ref="C46:C47"/>
    <mergeCell ref="B46:B59"/>
    <mergeCell ref="B31:B37"/>
    <mergeCell ref="C58:C59"/>
    <mergeCell ref="C56:C57"/>
    <mergeCell ref="B38:D38"/>
    <mergeCell ref="B39:D39"/>
    <mergeCell ref="B40:B45"/>
    <mergeCell ref="B17:B23"/>
    <mergeCell ref="C52:C53"/>
    <mergeCell ref="C50:C51"/>
    <mergeCell ref="B10:B16"/>
    <mergeCell ref="C54:C55"/>
    <mergeCell ref="B24:B30"/>
    <mergeCell ref="AC58:AC59"/>
    <mergeCell ref="AD58:AD59"/>
    <mergeCell ref="AE56:AE57"/>
    <mergeCell ref="AE58:AE59"/>
    <mergeCell ref="AF56:AF57"/>
    <mergeCell ref="A112:A132"/>
    <mergeCell ref="A133:A151"/>
    <mergeCell ref="Y56:Y57"/>
    <mergeCell ref="B124:J124"/>
    <mergeCell ref="Z56:Z57"/>
    <mergeCell ref="AB56:AB57"/>
    <mergeCell ref="Z58:Z59"/>
    <mergeCell ref="AB58:AB59"/>
    <mergeCell ref="Y58:Y59"/>
    <mergeCell ref="AC56:AC57"/>
    <mergeCell ref="B72:B77"/>
    <mergeCell ref="B96:B101"/>
    <mergeCell ref="B78:B82"/>
    <mergeCell ref="B83:B88"/>
    <mergeCell ref="B126:B127"/>
    <mergeCell ref="B113:B118"/>
    <mergeCell ref="B119:C119"/>
    <mergeCell ref="B89:B95"/>
    <mergeCell ref="AD56:AD57"/>
    <mergeCell ref="B102:B107"/>
    <mergeCell ref="A152:A169"/>
    <mergeCell ref="A171:A189"/>
    <mergeCell ref="B60:B65"/>
    <mergeCell ref="B66:B71"/>
    <mergeCell ref="G69:G70"/>
    <mergeCell ref="F69:F70"/>
    <mergeCell ref="E69:E70"/>
    <mergeCell ref="B168:C168"/>
    <mergeCell ref="B112:C112"/>
    <mergeCell ref="B123:C123"/>
    <mergeCell ref="B122:C122"/>
    <mergeCell ref="B120:B121"/>
    <mergeCell ref="B125:C125"/>
    <mergeCell ref="B144:J144"/>
    <mergeCell ref="B129:C129"/>
    <mergeCell ref="B130:C130"/>
    <mergeCell ref="B177:C177"/>
    <mergeCell ref="B172:B176"/>
    <mergeCell ref="B182:J182"/>
    <mergeCell ref="B184:B185"/>
    <mergeCell ref="B183:C183"/>
    <mergeCell ref="B132:X132"/>
    <mergeCell ref="B131:X131"/>
    <mergeCell ref="B150:X150"/>
    <mergeCell ref="BG89:BQ89"/>
    <mergeCell ref="BF94:BF96"/>
    <mergeCell ref="BF97:BF99"/>
    <mergeCell ref="BC102:BC104"/>
    <mergeCell ref="BG96:BH96"/>
    <mergeCell ref="BG91:BQ91"/>
    <mergeCell ref="BG92:BQ92"/>
    <mergeCell ref="BF226:BQ226"/>
    <mergeCell ref="BF227:BQ227"/>
    <mergeCell ref="BG131:BQ131"/>
    <mergeCell ref="BG150:BQ150"/>
    <mergeCell ref="BG204:BG205"/>
    <mergeCell ref="BG170:BQ170"/>
    <mergeCell ref="BG190:BQ190"/>
    <mergeCell ref="BG210:BQ210"/>
    <mergeCell ref="BG99:BH99"/>
    <mergeCell ref="BF100:BF102"/>
    <mergeCell ref="BG102:BH102"/>
    <mergeCell ref="BF91:BF93"/>
    <mergeCell ref="BG101:BQ101"/>
    <mergeCell ref="BG104:BR104"/>
    <mergeCell ref="BG103:BR103"/>
    <mergeCell ref="BF103:BF104"/>
    <mergeCell ref="BG90:BH90"/>
    <mergeCell ref="BF228:BQ228"/>
    <mergeCell ref="BF222:BQ222"/>
    <mergeCell ref="A216:X216"/>
    <mergeCell ref="A215:X215"/>
    <mergeCell ref="BF216:BQ216"/>
    <mergeCell ref="A214:X214"/>
    <mergeCell ref="A213:X213"/>
    <mergeCell ref="BF215:BQ215"/>
    <mergeCell ref="BF214:BQ214"/>
    <mergeCell ref="BF213:BQ213"/>
    <mergeCell ref="BF223:BQ223"/>
    <mergeCell ref="BF224:BQ224"/>
    <mergeCell ref="BF225:BQ225"/>
    <mergeCell ref="A212:X212"/>
    <mergeCell ref="A211:X211"/>
    <mergeCell ref="A191:A209"/>
    <mergeCell ref="B162:J162"/>
    <mergeCell ref="B134:B138"/>
    <mergeCell ref="B140:B141"/>
    <mergeCell ref="B133:C133"/>
    <mergeCell ref="BF191:BF209"/>
    <mergeCell ref="B202:J202"/>
    <mergeCell ref="B187:C187"/>
    <mergeCell ref="B204:B205"/>
    <mergeCell ref="B197:C197"/>
    <mergeCell ref="B200:C200"/>
    <mergeCell ref="B201:C201"/>
    <mergeCell ref="B169:X169"/>
    <mergeCell ref="B170:X170"/>
    <mergeCell ref="B189:X189"/>
    <mergeCell ref="B190:X190"/>
    <mergeCell ref="B209:X209"/>
    <mergeCell ref="B210:X210"/>
    <mergeCell ref="B203:C203"/>
    <mergeCell ref="B188:C188"/>
    <mergeCell ref="B208:C208"/>
    <mergeCell ref="B191:C191"/>
    <mergeCell ref="B192:B196"/>
    <mergeCell ref="B207:C207"/>
    <mergeCell ref="BG203:BH203"/>
    <mergeCell ref="BG207:BH207"/>
    <mergeCell ref="BG200:BH200"/>
    <mergeCell ref="BG201:BH201"/>
    <mergeCell ref="B198:B199"/>
    <mergeCell ref="BG184:BG185"/>
    <mergeCell ref="BG197:BH197"/>
    <mergeCell ref="BG187:BH187"/>
    <mergeCell ref="BG198:BG199"/>
  </mergeCells>
  <phoneticPr fontId="23" type="noConversion"/>
  <pageMargins left="0.7" right="0.7" top="0.75" bottom="0.75" header="0.3" footer="0.3"/>
  <pageSetup paperSize="9" scale="50"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7"/>
  <sheetViews>
    <sheetView topLeftCell="A4" workbookViewId="0">
      <selection activeCell="C14" sqref="C14"/>
    </sheetView>
  </sheetViews>
  <sheetFormatPr defaultRowHeight="13.5"/>
  <cols>
    <col min="1" max="1" width="4.77734375" style="673" customWidth="1"/>
    <col min="2" max="2" width="5.33203125" customWidth="1"/>
    <col min="3" max="3" width="59.44140625" customWidth="1"/>
    <col min="4" max="4" width="6.5546875" customWidth="1"/>
    <col min="6" max="6" width="14.21875" bestFit="1" customWidth="1"/>
    <col min="7" max="8" width="9.6640625" style="286" customWidth="1"/>
    <col min="9" max="11" width="9.6640625" customWidth="1"/>
    <col min="12" max="12" width="12.44140625" customWidth="1"/>
    <col min="13" max="13" width="9.44140625" customWidth="1"/>
    <col min="14" max="14" width="8.77734375" customWidth="1"/>
    <col min="17" max="21" width="8.77734375" customWidth="1"/>
    <col min="22" max="22" width="12.33203125" customWidth="1"/>
  </cols>
  <sheetData>
    <row r="1" spans="1:22">
      <c r="A1" s="7842" t="s">
        <v>2322</v>
      </c>
      <c r="B1" s="7842"/>
      <c r="C1" s="7842"/>
      <c r="D1" s="7842"/>
    </row>
    <row r="2" spans="1:22">
      <c r="A2" s="7842"/>
      <c r="B2" s="7842"/>
      <c r="C2" s="7842"/>
      <c r="D2" s="7842"/>
    </row>
    <row r="3" spans="1:22">
      <c r="A3" s="7842"/>
      <c r="B3" s="7842"/>
      <c r="C3" s="7842"/>
      <c r="D3" s="7842"/>
    </row>
    <row r="4" spans="1:22">
      <c r="D4" s="829" t="s">
        <v>2323</v>
      </c>
    </row>
    <row r="6" spans="1:22" ht="30" customHeight="1" thickBot="1">
      <c r="A6" s="830" t="s">
        <v>817</v>
      </c>
    </row>
    <row r="7" spans="1:22" ht="30" customHeight="1" thickBot="1">
      <c r="A7" s="839" t="s">
        <v>818</v>
      </c>
      <c r="B7" s="840" t="s">
        <v>825</v>
      </c>
      <c r="C7" s="840" t="s">
        <v>828</v>
      </c>
      <c r="D7" s="841" t="s">
        <v>827</v>
      </c>
    </row>
    <row r="8" spans="1:22" ht="66" customHeight="1" thickTop="1">
      <c r="A8" s="842">
        <v>1</v>
      </c>
      <c r="B8" s="843" t="s">
        <v>826</v>
      </c>
      <c r="C8" s="1755" t="s">
        <v>2324</v>
      </c>
      <c r="D8" s="831"/>
    </row>
    <row r="9" spans="1:22" ht="50.45" customHeight="1">
      <c r="A9" s="844">
        <v>2</v>
      </c>
      <c r="B9" s="845" t="s">
        <v>819</v>
      </c>
      <c r="C9" s="834" t="s">
        <v>2325</v>
      </c>
      <c r="D9" s="1915"/>
    </row>
    <row r="10" spans="1:22" ht="33.6" customHeight="1">
      <c r="A10" s="844">
        <v>3</v>
      </c>
      <c r="B10" s="845" t="s">
        <v>820</v>
      </c>
      <c r="C10" s="833" t="s">
        <v>2326</v>
      </c>
      <c r="D10" s="832"/>
    </row>
    <row r="11" spans="1:22" ht="91.9" customHeight="1">
      <c r="A11" s="844">
        <v>4</v>
      </c>
      <c r="B11" s="845" t="s">
        <v>821</v>
      </c>
      <c r="C11" s="834" t="s">
        <v>2327</v>
      </c>
      <c r="D11" s="832"/>
    </row>
    <row r="12" spans="1:22" ht="75" customHeight="1">
      <c r="A12" s="844">
        <v>5</v>
      </c>
      <c r="B12" s="845" t="s">
        <v>822</v>
      </c>
      <c r="C12" s="833" t="s">
        <v>2328</v>
      </c>
      <c r="D12" s="832"/>
    </row>
    <row r="13" spans="1:22" ht="91.15" customHeight="1">
      <c r="A13" s="844">
        <v>6</v>
      </c>
      <c r="B13" s="845" t="s">
        <v>823</v>
      </c>
      <c r="C13" s="834" t="s">
        <v>2329</v>
      </c>
      <c r="D13" s="1914"/>
    </row>
    <row r="14" spans="1:22" ht="60.6" customHeight="1" thickBot="1">
      <c r="A14" s="846">
        <v>7</v>
      </c>
      <c r="B14" s="847" t="s">
        <v>824</v>
      </c>
      <c r="C14" s="835" t="s">
        <v>2330</v>
      </c>
      <c r="D14" s="836"/>
    </row>
    <row r="15" spans="1:22" ht="14.25" thickBot="1">
      <c r="P15" t="s">
        <v>1157</v>
      </c>
    </row>
    <row r="16" spans="1:22" ht="14.45" customHeight="1">
      <c r="F16" s="7750" t="s">
        <v>248</v>
      </c>
      <c r="G16" s="2404"/>
      <c r="H16" s="2404"/>
      <c r="I16" s="7835" t="s">
        <v>250</v>
      </c>
      <c r="J16" s="7844" t="s">
        <v>543</v>
      </c>
      <c r="K16" s="7844" t="s">
        <v>714</v>
      </c>
      <c r="L16" s="7844" t="s">
        <v>979</v>
      </c>
      <c r="M16" s="7845" t="s">
        <v>1156</v>
      </c>
      <c r="P16" s="7833" t="s">
        <v>248</v>
      </c>
      <c r="Q16" s="7833" t="s">
        <v>249</v>
      </c>
      <c r="R16" s="7835" t="s">
        <v>250</v>
      </c>
      <c r="S16" s="7832" t="s">
        <v>1173</v>
      </c>
      <c r="T16" s="7832" t="s">
        <v>1174</v>
      </c>
      <c r="U16" s="7832" t="s">
        <v>699</v>
      </c>
      <c r="V16" s="7832" t="s">
        <v>1008</v>
      </c>
    </row>
    <row r="17" spans="3:22" ht="14.45" customHeight="1">
      <c r="F17" s="7843"/>
      <c r="G17" s="2405"/>
      <c r="H17" s="2405"/>
      <c r="I17" s="7833"/>
      <c r="J17" s="7832"/>
      <c r="K17" s="7832"/>
      <c r="L17" s="7832"/>
      <c r="M17" s="7846"/>
      <c r="P17" s="7833"/>
      <c r="Q17" s="7833"/>
      <c r="R17" s="7836"/>
      <c r="S17" s="7832"/>
      <c r="T17" s="7832"/>
      <c r="U17" s="7832"/>
      <c r="V17" s="7832"/>
    </row>
    <row r="18" spans="3:22" ht="16.899999999999999" customHeight="1">
      <c r="C18" s="838"/>
      <c r="F18" s="2302" t="s">
        <v>1160</v>
      </c>
      <c r="G18" s="2408"/>
      <c r="H18" s="2408"/>
      <c r="I18" s="2151" t="s">
        <v>448</v>
      </c>
      <c r="J18" s="2326">
        <v>96.083333333333329</v>
      </c>
      <c r="K18" s="2326">
        <v>50.416666666666664</v>
      </c>
      <c r="L18" s="2326">
        <v>41</v>
      </c>
      <c r="M18" s="2328">
        <v>52.262000000000015</v>
      </c>
      <c r="P18" s="7834" t="s">
        <v>265</v>
      </c>
      <c r="Q18" s="2097" t="s">
        <v>437</v>
      </c>
      <c r="R18" s="1152" t="s">
        <v>448</v>
      </c>
      <c r="S18" s="2333">
        <f>종합!F17/12</f>
        <v>4.9383333333333335</v>
      </c>
      <c r="T18" s="2333">
        <f>종합!G17/12</f>
        <v>2.6666666666666665</v>
      </c>
      <c r="U18" s="2333">
        <f>종합!I17/12</f>
        <v>2.0741666666666663</v>
      </c>
      <c r="V18" s="2334">
        <f>종합!Y17/10</f>
        <v>0</v>
      </c>
    </row>
    <row r="19" spans="3:22" ht="16.899999999999999" customHeight="1">
      <c r="C19" s="838"/>
      <c r="F19" s="7820" t="s">
        <v>1159</v>
      </c>
      <c r="G19" s="2408"/>
      <c r="H19" s="2408"/>
      <c r="I19" s="2151" t="s">
        <v>1161</v>
      </c>
      <c r="J19" s="2327">
        <v>84.25</v>
      </c>
      <c r="K19" s="2327">
        <v>58.499999999999993</v>
      </c>
      <c r="L19" s="2327">
        <v>42.666666666666671</v>
      </c>
      <c r="M19" s="2329">
        <v>25.833333333333332</v>
      </c>
      <c r="P19" s="7834"/>
      <c r="Q19" s="2097" t="s">
        <v>237</v>
      </c>
      <c r="R19" s="1859" t="s">
        <v>448</v>
      </c>
      <c r="S19" s="2333">
        <f>종합!F18/12</f>
        <v>6.6741666666666672</v>
      </c>
      <c r="T19" s="2333">
        <f>종합!G18/12</f>
        <v>2.6666666666666665</v>
      </c>
      <c r="U19" s="2333">
        <f>종합!I18/12</f>
        <v>2.6125000000000003</v>
      </c>
      <c r="V19" s="2334">
        <f>종합!Y18/10</f>
        <v>0</v>
      </c>
    </row>
    <row r="20" spans="3:22" ht="16.899999999999999" customHeight="1">
      <c r="C20" s="838"/>
      <c r="F20" s="7820"/>
      <c r="G20" s="2408"/>
      <c r="H20" s="2408"/>
      <c r="I20" s="2151" t="s">
        <v>1162</v>
      </c>
      <c r="J20" s="2326">
        <v>80.005555555555546</v>
      </c>
      <c r="K20" s="2326">
        <v>53.348611111111111</v>
      </c>
      <c r="L20" s="2326">
        <v>32.478888888888889</v>
      </c>
      <c r="M20" s="2328">
        <v>26.715277777777779</v>
      </c>
      <c r="P20" s="7834"/>
      <c r="Q20" s="2097" t="s">
        <v>29</v>
      </c>
      <c r="R20" s="1859" t="s">
        <v>448</v>
      </c>
      <c r="S20" s="2333">
        <f>종합!F19/12</f>
        <v>68.384999999999977</v>
      </c>
      <c r="T20" s="2333">
        <f>종합!G19/12</f>
        <v>26.666666666666668</v>
      </c>
      <c r="U20" s="2333">
        <f>종합!I19/12</f>
        <v>30.270000000000007</v>
      </c>
      <c r="V20" s="2334">
        <f>종합!Y19/10</f>
        <v>0</v>
      </c>
    </row>
    <row r="21" spans="3:22" ht="16.899999999999999" customHeight="1">
      <c r="C21" s="838"/>
      <c r="F21" s="7820" t="s">
        <v>1163</v>
      </c>
      <c r="G21" s="2408"/>
      <c r="H21" s="2408"/>
      <c r="I21" s="2151" t="s">
        <v>1164</v>
      </c>
      <c r="J21" s="2326">
        <v>305.99308333333335</v>
      </c>
      <c r="K21" s="2326">
        <v>127.07583333333332</v>
      </c>
      <c r="L21" s="2326">
        <v>106.90774999999998</v>
      </c>
      <c r="M21" s="2328">
        <v>77.938458333333315</v>
      </c>
      <c r="P21" s="7834"/>
      <c r="Q21" s="2097" t="s">
        <v>438</v>
      </c>
      <c r="R21" s="1859" t="s">
        <v>448</v>
      </c>
      <c r="S21" s="2333">
        <f>종합!F20/12</f>
        <v>11.648333333333333</v>
      </c>
      <c r="T21" s="2333">
        <f>종합!G20/12</f>
        <v>10.4925</v>
      </c>
      <c r="U21" s="2333">
        <f>종합!I20/12</f>
        <v>6.9916666666666671</v>
      </c>
      <c r="V21" s="2334">
        <f>종합!Y20/10</f>
        <v>2.081</v>
      </c>
    </row>
    <row r="22" spans="3:22" ht="16.899999999999999" customHeight="1">
      <c r="F22" s="7820"/>
      <c r="G22" s="2408"/>
      <c r="H22" s="2408"/>
      <c r="I22" s="2151" t="s">
        <v>1165</v>
      </c>
      <c r="J22" s="2326">
        <v>774.85125000000005</v>
      </c>
      <c r="K22" s="2326">
        <v>668.22625033333338</v>
      </c>
      <c r="L22" s="2326">
        <v>593.6341666666666</v>
      </c>
      <c r="M22" s="2328">
        <v>468.85791666666677</v>
      </c>
      <c r="P22" s="7834"/>
      <c r="Q22" s="2097" t="s">
        <v>439</v>
      </c>
      <c r="R22" s="1859" t="s">
        <v>448</v>
      </c>
      <c r="S22" s="2333">
        <f>종합!F21/12</f>
        <v>4.4183333333333339</v>
      </c>
      <c r="T22" s="2333">
        <f>종합!G21/12</f>
        <v>7.916666666666667</v>
      </c>
      <c r="U22" s="2333">
        <f>종합!I21/12</f>
        <v>6.125</v>
      </c>
      <c r="V22" s="2334">
        <f>종합!Y21/10</f>
        <v>1.0029999999999999</v>
      </c>
    </row>
    <row r="23" spans="3:22" ht="16.899999999999999" customHeight="1">
      <c r="F23" s="7820" t="s">
        <v>1168</v>
      </c>
      <c r="G23" s="2408"/>
      <c r="H23" s="2408"/>
      <c r="I23" s="2151" t="s">
        <v>1171</v>
      </c>
      <c r="J23" s="2324">
        <v>4.75</v>
      </c>
      <c r="K23" s="2324">
        <v>2.9166666666666665</v>
      </c>
      <c r="L23" s="2324">
        <v>2.5</v>
      </c>
      <c r="M23" s="2330">
        <v>4.5</v>
      </c>
      <c r="P23" s="7834"/>
      <c r="Q23" s="2150" t="s">
        <v>109</v>
      </c>
      <c r="R23" s="1881" t="s">
        <v>448</v>
      </c>
      <c r="S23" s="2305">
        <v>1153</v>
      </c>
      <c r="T23" s="2305">
        <v>605</v>
      </c>
      <c r="U23" s="2305">
        <v>492</v>
      </c>
      <c r="V23" s="2024">
        <v>522.62000000000012</v>
      </c>
    </row>
    <row r="24" spans="3:22" ht="16.899999999999999" customHeight="1" thickBot="1">
      <c r="F24" s="7821"/>
      <c r="G24" s="2409"/>
      <c r="H24" s="2409"/>
      <c r="I24" s="2129" t="s">
        <v>1172</v>
      </c>
      <c r="J24" s="2331">
        <v>80.583333333333329</v>
      </c>
      <c r="K24" s="2331">
        <v>29.583333333333332</v>
      </c>
      <c r="L24" s="2331">
        <v>18.583333333333332</v>
      </c>
      <c r="M24" s="2332">
        <v>43.516000000000005</v>
      </c>
      <c r="P24" s="7834"/>
      <c r="Q24" s="2150" t="s">
        <v>1157</v>
      </c>
      <c r="R24" s="1881" t="s">
        <v>448</v>
      </c>
      <c r="S24" s="2311">
        <f>S23/12</f>
        <v>96.083333333333329</v>
      </c>
      <c r="T24" s="2311">
        <f>T23/12</f>
        <v>50.416666666666664</v>
      </c>
      <c r="U24" s="2311">
        <f>U23/12</f>
        <v>41</v>
      </c>
      <c r="V24" s="2310">
        <f>(V23/10)</f>
        <v>52.262000000000015</v>
      </c>
    </row>
    <row r="25" spans="3:22" ht="17.25" thickBot="1">
      <c r="M25" s="2154"/>
      <c r="N25" s="2154"/>
      <c r="O25" s="2154"/>
      <c r="P25" s="7750" t="s">
        <v>932</v>
      </c>
      <c r="Q25" s="7838" t="s">
        <v>336</v>
      </c>
      <c r="R25" s="7840" t="s">
        <v>250</v>
      </c>
      <c r="S25" s="7829" t="s">
        <v>251</v>
      </c>
      <c r="T25" s="7830"/>
      <c r="U25" s="7830"/>
      <c r="V25" s="7831"/>
    </row>
    <row r="26" spans="3:22" ht="17.25" thickBot="1">
      <c r="P26" s="7837"/>
      <c r="Q26" s="7839"/>
      <c r="R26" s="7841"/>
      <c r="S26" s="2300" t="s">
        <v>934</v>
      </c>
      <c r="T26" s="2299" t="s">
        <v>697</v>
      </c>
      <c r="U26" s="2299" t="s">
        <v>701</v>
      </c>
      <c r="V26" s="2296" t="s">
        <v>1158</v>
      </c>
    </row>
    <row r="27" spans="3:22" ht="16.5">
      <c r="P27" s="7795" t="s">
        <v>937</v>
      </c>
      <c r="Q27" s="7823" t="s">
        <v>938</v>
      </c>
      <c r="R27" s="1688" t="s">
        <v>720</v>
      </c>
      <c r="S27" s="2335">
        <f>비가동!H4/12</f>
        <v>2.9166666666666665</v>
      </c>
      <c r="T27" s="2336">
        <f>비가동!I4/12</f>
        <v>1.4166666666666667</v>
      </c>
      <c r="U27" s="2336">
        <f>비가동!J4/12</f>
        <v>1.1666666666666667</v>
      </c>
      <c r="V27" s="2264">
        <f>비가동!AA4/12</f>
        <v>0</v>
      </c>
    </row>
    <row r="28" spans="3:22" ht="16.5">
      <c r="P28" s="7796"/>
      <c r="Q28" s="7824"/>
      <c r="R28" s="1465" t="s">
        <v>770</v>
      </c>
      <c r="S28" s="2337">
        <f>비가동!H5/12</f>
        <v>4.645833333333333</v>
      </c>
      <c r="T28" s="2333">
        <f>비가동!I5/12</f>
        <v>1.6958333333333335</v>
      </c>
      <c r="U28" s="2333">
        <f>비가동!J5/12</f>
        <v>1.5986111111111112</v>
      </c>
      <c r="V28" s="2338">
        <f>비가동!AA5/12</f>
        <v>0</v>
      </c>
    </row>
    <row r="29" spans="3:22" ht="16.5">
      <c r="P29" s="7796"/>
      <c r="Q29" s="7825" t="s">
        <v>939</v>
      </c>
      <c r="R29" s="1465" t="s">
        <v>720</v>
      </c>
      <c r="S29" s="2337">
        <f>비가동!H6/12</f>
        <v>4.25</v>
      </c>
      <c r="T29" s="2333">
        <f>비가동!I6/12</f>
        <v>1.9166666666666667</v>
      </c>
      <c r="U29" s="2333">
        <f>비가동!J6/12</f>
        <v>0.83333333333333337</v>
      </c>
      <c r="V29" s="2339">
        <f>비가동!AA6/12</f>
        <v>8.3333333333333329E-2</v>
      </c>
    </row>
    <row r="30" spans="3:22" ht="16.5">
      <c r="P30" s="7796"/>
      <c r="Q30" s="7824"/>
      <c r="R30" s="1465" t="s">
        <v>770</v>
      </c>
      <c r="S30" s="2337">
        <f>비가동!H7/12</f>
        <v>7.75</v>
      </c>
      <c r="T30" s="2333">
        <f>비가동!I7/12</f>
        <v>2.3333333333333335</v>
      </c>
      <c r="U30" s="2333">
        <f>비가동!J7/12</f>
        <v>1.4791666666666667</v>
      </c>
      <c r="V30" s="2339">
        <f>비가동!AA7/12</f>
        <v>5.5555555555555552E-2</v>
      </c>
    </row>
    <row r="31" spans="3:22" ht="16.5">
      <c r="P31" s="7796"/>
      <c r="Q31" s="7825" t="s">
        <v>940</v>
      </c>
      <c r="R31" s="1465" t="s">
        <v>720</v>
      </c>
      <c r="S31" s="2337">
        <f>비가동!H8/12</f>
        <v>1.5833333333333333</v>
      </c>
      <c r="T31" s="2333">
        <f>비가동!I8/12</f>
        <v>0.5</v>
      </c>
      <c r="U31" s="2333">
        <f>비가동!J8/12</f>
        <v>0.33333333333333331</v>
      </c>
      <c r="V31" s="1979">
        <f>비가동!AA8/12</f>
        <v>0</v>
      </c>
    </row>
    <row r="32" spans="3:22" ht="17.25" thickBot="1">
      <c r="P32" s="7822"/>
      <c r="Q32" s="7826"/>
      <c r="R32" s="2306" t="s">
        <v>770</v>
      </c>
      <c r="S32" s="2340">
        <f>비가동!H9/12</f>
        <v>1.5</v>
      </c>
      <c r="T32" s="2341">
        <f>비가동!I9/12</f>
        <v>0.83333333333333337</v>
      </c>
      <c r="U32" s="2341">
        <f>비가동!J9/12</f>
        <v>0.19444444444444442</v>
      </c>
      <c r="V32" s="2342">
        <f>비가동!AA9/12</f>
        <v>0</v>
      </c>
    </row>
    <row r="33" spans="16:22" ht="16.5">
      <c r="P33" s="7796" t="s">
        <v>941</v>
      </c>
      <c r="Q33" s="7828" t="s">
        <v>763</v>
      </c>
      <c r="R33" s="2307" t="s">
        <v>720</v>
      </c>
      <c r="S33" s="2343">
        <f>비가동!H10/12</f>
        <v>20.833333333333332</v>
      </c>
      <c r="T33" s="2344">
        <f>비가동!I10/12</f>
        <v>16.083333333333332</v>
      </c>
      <c r="U33" s="2344">
        <f>비가동!J10/12</f>
        <v>10.666666666666666</v>
      </c>
      <c r="V33" s="2264">
        <f>비가동!AA10/12</f>
        <v>0.33333333333333331</v>
      </c>
    </row>
    <row r="34" spans="16:22" ht="16.5">
      <c r="P34" s="7796"/>
      <c r="Q34" s="7824"/>
      <c r="R34" s="1465" t="s">
        <v>770</v>
      </c>
      <c r="S34" s="2337">
        <f>비가동!H11/12</f>
        <v>13.272222222222224</v>
      </c>
      <c r="T34" s="2333">
        <f>비가동!I11/12</f>
        <v>8.0069444444444446</v>
      </c>
      <c r="U34" s="2333">
        <f>비가동!J11/12</f>
        <v>5.8944444444444448</v>
      </c>
      <c r="V34" s="2338">
        <f>비가동!AA11/12</f>
        <v>0.13194444444444445</v>
      </c>
    </row>
    <row r="35" spans="16:22" ht="16.5">
      <c r="P35" s="7796"/>
      <c r="Q35" s="7825" t="s">
        <v>64</v>
      </c>
      <c r="R35" s="1465" t="s">
        <v>720</v>
      </c>
      <c r="S35" s="2337">
        <f>비가동!H12/12</f>
        <v>6.083333333333333</v>
      </c>
      <c r="T35" s="2333">
        <f>비가동!I12/12</f>
        <v>2.5</v>
      </c>
      <c r="U35" s="2333">
        <f>비가동!J12/12</f>
        <v>1.8333333333333333</v>
      </c>
      <c r="V35" s="2339">
        <f>비가동!AA12/12</f>
        <v>0</v>
      </c>
    </row>
    <row r="36" spans="16:22" ht="16.5">
      <c r="P36" s="7796"/>
      <c r="Q36" s="7824"/>
      <c r="R36" s="1465" t="s">
        <v>770</v>
      </c>
      <c r="S36" s="2337">
        <f>비가동!H13/12</f>
        <v>13.416666666666666</v>
      </c>
      <c r="T36" s="2333">
        <f>비가동!I13/12</f>
        <v>4.916666666666667</v>
      </c>
      <c r="U36" s="2333">
        <f>비가동!J13/12</f>
        <v>3.4375</v>
      </c>
      <c r="V36" s="2339">
        <f>비가동!AA13/12</f>
        <v>0</v>
      </c>
    </row>
    <row r="37" spans="16:22" ht="16.5">
      <c r="P37" s="7796"/>
      <c r="Q37" s="7825" t="s">
        <v>940</v>
      </c>
      <c r="R37" s="1465" t="s">
        <v>720</v>
      </c>
      <c r="S37" s="2337">
        <f>비가동!H14/12</f>
        <v>2</v>
      </c>
      <c r="T37" s="2333">
        <f>비가동!I14/12</f>
        <v>1.5833333333333333</v>
      </c>
      <c r="U37" s="2333">
        <f>비가동!J14/12</f>
        <v>2.0833333333333335</v>
      </c>
      <c r="V37" s="1979">
        <f>비가동!AA14/12</f>
        <v>0.25</v>
      </c>
    </row>
    <row r="38" spans="16:22" ht="17.25" thickBot="1">
      <c r="P38" s="7796"/>
      <c r="Q38" s="7828"/>
      <c r="R38" s="1465" t="s">
        <v>770</v>
      </c>
      <c r="S38" s="2345">
        <f>비가동!H15/12</f>
        <v>3.75</v>
      </c>
      <c r="T38" s="2346">
        <f>비가동!I15/12</f>
        <v>4.666666666666667</v>
      </c>
      <c r="U38" s="2346">
        <f>비가동!J15/12</f>
        <v>3.5555555555555554</v>
      </c>
      <c r="V38" s="2342">
        <f>비가동!AA15/12</f>
        <v>0.24305555555555555</v>
      </c>
    </row>
    <row r="39" spans="16:22" ht="16.5">
      <c r="P39" s="7795" t="s">
        <v>942</v>
      </c>
      <c r="Q39" s="7823" t="s">
        <v>763</v>
      </c>
      <c r="R39" s="1688" t="s">
        <v>720</v>
      </c>
      <c r="S39" s="2335">
        <f>비가동!H16/12</f>
        <v>4.416666666666667</v>
      </c>
      <c r="T39" s="2336">
        <f>비가동!I16/12</f>
        <v>1.8333333333333333</v>
      </c>
      <c r="U39" s="2336">
        <f>비가동!J16/12</f>
        <v>1.25</v>
      </c>
      <c r="V39" s="2264">
        <f>비가동!AA16/12</f>
        <v>0.41666666666666669</v>
      </c>
    </row>
    <row r="40" spans="16:22" ht="16.5">
      <c r="P40" s="7796"/>
      <c r="Q40" s="7824"/>
      <c r="R40" s="1465" t="s">
        <v>770</v>
      </c>
      <c r="S40" s="2337">
        <f>비가동!H17/12</f>
        <v>6.4874999999999998</v>
      </c>
      <c r="T40" s="2333">
        <f>비가동!I17/12</f>
        <v>2.3736111111111113</v>
      </c>
      <c r="U40" s="2333">
        <f>비가동!J17/12</f>
        <v>1.7791666666666666</v>
      </c>
      <c r="V40" s="2338">
        <f>비가동!AA17/12</f>
        <v>0.57916666666666672</v>
      </c>
    </row>
    <row r="41" spans="16:22" ht="16.5">
      <c r="P41" s="7796"/>
      <c r="Q41" s="7825" t="s">
        <v>64</v>
      </c>
      <c r="R41" s="1465" t="s">
        <v>720</v>
      </c>
      <c r="S41" s="2337">
        <f>비가동!H18/12</f>
        <v>2.25</v>
      </c>
      <c r="T41" s="2333">
        <f>비가동!I18/12</f>
        <v>1.5</v>
      </c>
      <c r="U41" s="2333">
        <f>비가동!J18/12</f>
        <v>1.0833333333333333</v>
      </c>
      <c r="V41" s="2339">
        <f>비가동!AA18/12</f>
        <v>8.3333333333333329E-2</v>
      </c>
    </row>
    <row r="42" spans="16:22" ht="16.5">
      <c r="P42" s="7796"/>
      <c r="Q42" s="7824"/>
      <c r="R42" s="1465" t="s">
        <v>770</v>
      </c>
      <c r="S42" s="2337">
        <f>비가동!H19/12</f>
        <v>3.75</v>
      </c>
      <c r="T42" s="2333">
        <f>비가동!I19/12</f>
        <v>2.6666666666666665</v>
      </c>
      <c r="U42" s="2333">
        <f>비가동!J19/12</f>
        <v>3.3486111111111114</v>
      </c>
      <c r="V42" s="2339">
        <f>비가동!AA19/12</f>
        <v>2.0833333333333332E-2</v>
      </c>
    </row>
    <row r="43" spans="16:22" ht="16.5">
      <c r="P43" s="7796"/>
      <c r="Q43" s="7825" t="s">
        <v>940</v>
      </c>
      <c r="R43" s="1465" t="s">
        <v>720</v>
      </c>
      <c r="S43" s="2337">
        <f>비가동!H20/12</f>
        <v>1.75</v>
      </c>
      <c r="T43" s="2333">
        <f>비가동!I20/12</f>
        <v>1.3333333333333333</v>
      </c>
      <c r="U43" s="2333">
        <f>비가동!J20/12</f>
        <v>1.75</v>
      </c>
      <c r="V43" s="1979">
        <f>비가동!AA20/12</f>
        <v>0.16666666666666666</v>
      </c>
    </row>
    <row r="44" spans="16:22" ht="17.25" thickBot="1">
      <c r="P44" s="7822"/>
      <c r="Q44" s="7826"/>
      <c r="R44" s="2306" t="s">
        <v>770</v>
      </c>
      <c r="S44" s="2340">
        <f>비가동!H21/12</f>
        <v>1.5833333333333333</v>
      </c>
      <c r="T44" s="2341">
        <f>비가동!I21/12</f>
        <v>2.9166666666666665</v>
      </c>
      <c r="U44" s="2341">
        <f>비가동!J21/12</f>
        <v>1.6263888888888889</v>
      </c>
      <c r="V44" s="2342">
        <f>비가동!AA21/12</f>
        <v>6.1111111111111109E-2</v>
      </c>
    </row>
    <row r="45" spans="16:22" ht="16.5">
      <c r="P45" s="7796" t="s">
        <v>943</v>
      </c>
      <c r="Q45" s="7828" t="s">
        <v>763</v>
      </c>
      <c r="R45" s="2307" t="s">
        <v>720</v>
      </c>
      <c r="S45" s="2343">
        <f>비가동!H22/12</f>
        <v>11.583333333333334</v>
      </c>
      <c r="T45" s="2344">
        <f>비가동!I22/12</f>
        <v>9.3333333333333339</v>
      </c>
      <c r="U45" s="2344">
        <f>비가동!J22/12</f>
        <v>3.8333333333333335</v>
      </c>
      <c r="V45" s="2264">
        <f>비가동!AA22/12</f>
        <v>2.5833333333333335</v>
      </c>
    </row>
    <row r="46" spans="16:22" ht="16.5">
      <c r="P46" s="7796"/>
      <c r="Q46" s="7824"/>
      <c r="R46" s="1465" t="s">
        <v>770</v>
      </c>
      <c r="S46" s="2337">
        <f>비가동!H23/12</f>
        <v>6.9847222222222216</v>
      </c>
      <c r="T46" s="2333">
        <f>비가동!I23/12</f>
        <v>5.7555555555555555</v>
      </c>
      <c r="U46" s="2333">
        <f>비가동!J23/12</f>
        <v>1.8277777777777775</v>
      </c>
      <c r="V46" s="2338">
        <f>비가동!AA23/12</f>
        <v>1.7902777777777776</v>
      </c>
    </row>
    <row r="47" spans="16:22" ht="16.5">
      <c r="P47" s="7796"/>
      <c r="Q47" s="7825" t="s">
        <v>64</v>
      </c>
      <c r="R47" s="1465" t="s">
        <v>720</v>
      </c>
      <c r="S47" s="2337">
        <f>비가동!H24/12</f>
        <v>2.5</v>
      </c>
      <c r="T47" s="2333">
        <f>비가동!I24/12</f>
        <v>1.25</v>
      </c>
      <c r="U47" s="2333">
        <f>비가동!J24/12</f>
        <v>0.33333333333333331</v>
      </c>
      <c r="V47" s="2339">
        <f>비가동!AA24/12</f>
        <v>0.16666666666666666</v>
      </c>
    </row>
    <row r="48" spans="16:22" ht="16.5">
      <c r="P48" s="7796"/>
      <c r="Q48" s="7824"/>
      <c r="R48" s="1465" t="s">
        <v>770</v>
      </c>
      <c r="S48" s="2337">
        <f>비가동!H25/12</f>
        <v>4.166666666666667</v>
      </c>
      <c r="T48" s="2333">
        <f>비가동!I25/12</f>
        <v>2.6666666666666665</v>
      </c>
      <c r="U48" s="2333">
        <f>비가동!J25/12</f>
        <v>0.32777777777777778</v>
      </c>
      <c r="V48" s="2339">
        <f>비가동!AA25/12</f>
        <v>0.20972222222222223</v>
      </c>
    </row>
    <row r="49" spans="16:22" ht="16.5">
      <c r="P49" s="7796"/>
      <c r="Q49" s="7825" t="s">
        <v>940</v>
      </c>
      <c r="R49" s="1465" t="s">
        <v>720</v>
      </c>
      <c r="S49" s="2337">
        <f>비가동!H26/12</f>
        <v>1.1666666666666667</v>
      </c>
      <c r="T49" s="2333">
        <f>비가동!I26/12</f>
        <v>1.5</v>
      </c>
      <c r="U49" s="2333">
        <f>비가동!J26/12</f>
        <v>0.5</v>
      </c>
      <c r="V49" s="1979">
        <f>비가동!AA26/12</f>
        <v>0.16666666666666666</v>
      </c>
    </row>
    <row r="50" spans="16:22" ht="17.25" thickBot="1">
      <c r="P50" s="7796"/>
      <c r="Q50" s="7828"/>
      <c r="R50" s="1465" t="s">
        <v>770</v>
      </c>
      <c r="S50" s="2345">
        <f>비가동!H27/12</f>
        <v>1.3333333333333333</v>
      </c>
      <c r="T50" s="2346">
        <f>비가동!I27/12</f>
        <v>3.0833333333333335</v>
      </c>
      <c r="U50" s="2346">
        <f>비가동!J27/12</f>
        <v>0.41111111111111115</v>
      </c>
      <c r="V50" s="2342">
        <f>비가동!AA27/12</f>
        <v>0.31111111111111112</v>
      </c>
    </row>
    <row r="51" spans="16:22" ht="16.5">
      <c r="P51" s="7795" t="s">
        <v>944</v>
      </c>
      <c r="Q51" s="7823" t="s">
        <v>763</v>
      </c>
      <c r="R51" s="1688" t="s">
        <v>720</v>
      </c>
      <c r="S51" s="2335">
        <f>비가동!H28/12</f>
        <v>21.583333333333332</v>
      </c>
      <c r="T51" s="2336">
        <f>비가동!I28/12</f>
        <v>15.25</v>
      </c>
      <c r="U51" s="2336">
        <f>비가동!J28/12</f>
        <v>16.583333333333332</v>
      </c>
      <c r="V51" s="2264">
        <f>비가동!AA28/12</f>
        <v>1.4166666666666667</v>
      </c>
    </row>
    <row r="52" spans="16:22" ht="16.5">
      <c r="P52" s="7796"/>
      <c r="Q52" s="7824"/>
      <c r="R52" s="1465" t="s">
        <v>770</v>
      </c>
      <c r="S52" s="2337">
        <f>비가동!H29/12</f>
        <v>10.004166666666666</v>
      </c>
      <c r="T52" s="2333">
        <f>비가동!I29/12</f>
        <v>8.9333333333333336</v>
      </c>
      <c r="U52" s="2333">
        <f>비가동!J29/12</f>
        <v>6.5719444444444441</v>
      </c>
      <c r="V52" s="2338">
        <f>비가동!AA29/12</f>
        <v>0.76666666666666661</v>
      </c>
    </row>
    <row r="53" spans="16:22" ht="16.5">
      <c r="P53" s="7796"/>
      <c r="Q53" s="7825" t="s">
        <v>64</v>
      </c>
      <c r="R53" s="1465" t="s">
        <v>720</v>
      </c>
      <c r="S53" s="2337">
        <f>비가동!H30/12</f>
        <v>0.41666666666666669</v>
      </c>
      <c r="T53" s="2333">
        <f>비가동!I30/12</f>
        <v>1.25</v>
      </c>
      <c r="U53" s="2333">
        <f>비가동!J30/12</f>
        <v>0.25</v>
      </c>
      <c r="V53" s="2339">
        <f>비가동!AA30/12</f>
        <v>0</v>
      </c>
    </row>
    <row r="54" spans="16:22" ht="16.5">
      <c r="P54" s="7796"/>
      <c r="Q54" s="7824"/>
      <c r="R54" s="1465" t="s">
        <v>770</v>
      </c>
      <c r="S54" s="2337">
        <f>비가동!H31/12</f>
        <v>0.3125</v>
      </c>
      <c r="T54" s="2333">
        <f>비가동!I31/12</f>
        <v>1.1666666666666667</v>
      </c>
      <c r="U54" s="2333">
        <f>비가동!J31/12</f>
        <v>0.37361111111111117</v>
      </c>
      <c r="V54" s="2339">
        <f>비가동!AA31/12</f>
        <v>0</v>
      </c>
    </row>
    <row r="55" spans="16:22" ht="16.5">
      <c r="P55" s="7796"/>
      <c r="Q55" s="7825" t="s">
        <v>940</v>
      </c>
      <c r="R55" s="1465" t="s">
        <v>720</v>
      </c>
      <c r="S55" s="2337">
        <f>비가동!H32/12</f>
        <v>0.91666666666666663</v>
      </c>
      <c r="T55" s="2333">
        <f>비가동!I32/12</f>
        <v>1.25</v>
      </c>
      <c r="U55" s="2333">
        <f>비가동!J32/12</f>
        <v>0.16666666666666666</v>
      </c>
      <c r="V55" s="1979">
        <f>비가동!AA32/12</f>
        <v>0.16666666666666666</v>
      </c>
    </row>
    <row r="56" spans="16:22" ht="17.25" thickBot="1">
      <c r="P56" s="7822"/>
      <c r="Q56" s="7826"/>
      <c r="R56" s="2306" t="s">
        <v>770</v>
      </c>
      <c r="S56" s="2340">
        <f>비가동!H33/12</f>
        <v>1.0486111111111112</v>
      </c>
      <c r="T56" s="2341">
        <f>비가동!I33/12</f>
        <v>1.3333333333333333</v>
      </c>
      <c r="U56" s="2341">
        <f>비가동!J33/12</f>
        <v>5.2777777777777778E-2</v>
      </c>
      <c r="V56" s="2342">
        <f>비가동!AA33/12</f>
        <v>0.19444444444444445</v>
      </c>
    </row>
    <row r="57" spans="16:22" ht="16.5">
      <c r="P57" s="7671" t="s">
        <v>945</v>
      </c>
      <c r="Q57" s="7823" t="s">
        <v>763</v>
      </c>
      <c r="R57" s="1313" t="s">
        <v>720</v>
      </c>
      <c r="S57" s="2347">
        <f t="shared" ref="S57:V62" si="0">S27+S33+S39+S45+S51</f>
        <v>61.333333333333329</v>
      </c>
      <c r="T57" s="2347">
        <f t="shared" si="0"/>
        <v>43.916666666666664</v>
      </c>
      <c r="U57" s="2347">
        <f t="shared" si="0"/>
        <v>33.5</v>
      </c>
      <c r="V57" s="2348">
        <f t="shared" si="0"/>
        <v>4.75</v>
      </c>
    </row>
    <row r="58" spans="16:22" ht="16.5">
      <c r="P58" s="7672"/>
      <c r="Q58" s="7824"/>
      <c r="R58" s="2247" t="s">
        <v>770</v>
      </c>
      <c r="S58" s="2349">
        <f t="shared" si="0"/>
        <v>41.394444444444446</v>
      </c>
      <c r="T58" s="2349">
        <f t="shared" si="0"/>
        <v>26.765277777777779</v>
      </c>
      <c r="U58" s="2349">
        <f t="shared" si="0"/>
        <v>17.671944444444442</v>
      </c>
      <c r="V58" s="2350">
        <f t="shared" si="0"/>
        <v>3.2680555555555553</v>
      </c>
    </row>
    <row r="59" spans="16:22" ht="16.5">
      <c r="P59" s="7672"/>
      <c r="Q59" s="7825" t="s">
        <v>64</v>
      </c>
      <c r="R59" s="2247" t="s">
        <v>720</v>
      </c>
      <c r="S59" s="2349">
        <f t="shared" si="0"/>
        <v>15.499999999999998</v>
      </c>
      <c r="T59" s="2349">
        <f t="shared" si="0"/>
        <v>8.4166666666666679</v>
      </c>
      <c r="U59" s="2349">
        <f t="shared" si="0"/>
        <v>4.333333333333333</v>
      </c>
      <c r="V59" s="2350">
        <f t="shared" si="0"/>
        <v>0.33333333333333331</v>
      </c>
    </row>
    <row r="60" spans="16:22" ht="16.5">
      <c r="P60" s="7672"/>
      <c r="Q60" s="7824"/>
      <c r="R60" s="2247" t="s">
        <v>770</v>
      </c>
      <c r="S60" s="2349">
        <f t="shared" si="0"/>
        <v>29.395833333333332</v>
      </c>
      <c r="T60" s="2349">
        <f t="shared" si="0"/>
        <v>13.749999999999998</v>
      </c>
      <c r="U60" s="2349">
        <f t="shared" si="0"/>
        <v>8.9666666666666686</v>
      </c>
      <c r="V60" s="2350">
        <f t="shared" si="0"/>
        <v>0.28611111111111109</v>
      </c>
    </row>
    <row r="61" spans="16:22" ht="16.5">
      <c r="P61" s="7672"/>
      <c r="Q61" s="7825" t="s">
        <v>940</v>
      </c>
      <c r="R61" s="2247" t="s">
        <v>720</v>
      </c>
      <c r="S61" s="2349">
        <f t="shared" si="0"/>
        <v>7.416666666666667</v>
      </c>
      <c r="T61" s="2349">
        <f t="shared" si="0"/>
        <v>6.1666666666666661</v>
      </c>
      <c r="U61" s="2349">
        <f t="shared" si="0"/>
        <v>4.8333333333333339</v>
      </c>
      <c r="V61" s="2350">
        <f t="shared" si="0"/>
        <v>0.74999999999999989</v>
      </c>
    </row>
    <row r="62" spans="16:22" ht="17.25" thickBot="1">
      <c r="P62" s="7672"/>
      <c r="Q62" s="7826"/>
      <c r="R62" s="2308" t="s">
        <v>770</v>
      </c>
      <c r="S62" s="2351">
        <f t="shared" si="0"/>
        <v>9.2152777777777768</v>
      </c>
      <c r="T62" s="2351">
        <f t="shared" si="0"/>
        <v>12.833333333333334</v>
      </c>
      <c r="U62" s="2351">
        <f t="shared" si="0"/>
        <v>5.8402777777777786</v>
      </c>
      <c r="V62" s="2352">
        <f t="shared" si="0"/>
        <v>0.80972222222222223</v>
      </c>
    </row>
    <row r="63" spans="16:22" ht="16.5">
      <c r="P63" s="7672"/>
      <c r="Q63" s="7798" t="s">
        <v>946</v>
      </c>
      <c r="R63" s="1313" t="s">
        <v>720</v>
      </c>
      <c r="S63" s="2353">
        <f t="shared" ref="S63:V64" si="1">S57+S59+S61</f>
        <v>84.25</v>
      </c>
      <c r="T63" s="2353">
        <f t="shared" si="1"/>
        <v>58.499999999999993</v>
      </c>
      <c r="U63" s="2353">
        <f t="shared" si="1"/>
        <v>42.666666666666671</v>
      </c>
      <c r="V63" s="2354">
        <f t="shared" si="1"/>
        <v>5.833333333333333</v>
      </c>
    </row>
    <row r="64" spans="16:22" ht="17.25" thickBot="1">
      <c r="P64" s="7797"/>
      <c r="Q64" s="7827"/>
      <c r="R64" s="2309" t="s">
        <v>770</v>
      </c>
      <c r="S64" s="2355">
        <f t="shared" si="1"/>
        <v>80.005555555555546</v>
      </c>
      <c r="T64" s="2355">
        <f t="shared" si="1"/>
        <v>53.348611111111111</v>
      </c>
      <c r="U64" s="2355">
        <f t="shared" si="1"/>
        <v>32.478888888888889</v>
      </c>
      <c r="V64" s="2356">
        <f t="shared" si="1"/>
        <v>4.3638888888888889</v>
      </c>
    </row>
    <row r="65" spans="4:22" ht="16.5">
      <c r="P65" s="7795" t="s">
        <v>1094</v>
      </c>
      <c r="Q65" s="2244" t="s">
        <v>1011</v>
      </c>
      <c r="R65" s="1154" t="s">
        <v>448</v>
      </c>
      <c r="S65" s="1165">
        <v>233</v>
      </c>
      <c r="T65" s="1661">
        <v>140.74000000000004</v>
      </c>
      <c r="U65" s="1661">
        <v>96.16</v>
      </c>
      <c r="V65" s="2312">
        <v>40.129999999999995</v>
      </c>
    </row>
    <row r="66" spans="4:22" ht="16.5">
      <c r="P66" s="7796"/>
      <c r="Q66" s="2097" t="s">
        <v>449</v>
      </c>
      <c r="R66" s="2098" t="s">
        <v>448</v>
      </c>
      <c r="S66" s="2023">
        <v>233</v>
      </c>
      <c r="T66" s="2052">
        <v>133.02000000000001</v>
      </c>
      <c r="U66" s="2052">
        <v>158</v>
      </c>
      <c r="V66" s="2313">
        <v>43.739999999999995</v>
      </c>
    </row>
    <row r="67" spans="4:22" ht="16.5">
      <c r="P67" s="7796"/>
      <c r="Q67" s="2097" t="s">
        <v>494</v>
      </c>
      <c r="R67" s="2098" t="s">
        <v>448</v>
      </c>
      <c r="S67" s="2023">
        <v>521</v>
      </c>
      <c r="T67" s="2052">
        <v>152.91</v>
      </c>
      <c r="U67" s="2052">
        <v>141.9</v>
      </c>
      <c r="V67" s="2259">
        <v>54.575000000000003</v>
      </c>
    </row>
    <row r="68" spans="4:22" ht="16.5">
      <c r="P68" s="7796"/>
      <c r="Q68" s="2097" t="s">
        <v>816</v>
      </c>
      <c r="R68" s="2098" t="s">
        <v>448</v>
      </c>
      <c r="S68" s="1987">
        <v>527</v>
      </c>
      <c r="T68" s="1987">
        <v>145</v>
      </c>
      <c r="U68" s="1987">
        <v>52.56</v>
      </c>
      <c r="V68" s="2314">
        <v>150.18700000000001</v>
      </c>
    </row>
    <row r="69" spans="4:22" ht="16.5">
      <c r="P69" s="7796"/>
      <c r="Q69" s="2097" t="s">
        <v>547</v>
      </c>
      <c r="R69" s="2098" t="s">
        <v>448</v>
      </c>
      <c r="S69" s="1987">
        <v>413.64699999999999</v>
      </c>
      <c r="T69" s="1987">
        <v>77.400000000000006</v>
      </c>
      <c r="U69" s="1987">
        <v>128.14100000000002</v>
      </c>
      <c r="V69" s="2314">
        <v>90.207999999999984</v>
      </c>
    </row>
    <row r="70" spans="4:22" ht="17.25" thickBot="1">
      <c r="P70" s="7822"/>
      <c r="Q70" s="2150" t="s">
        <v>109</v>
      </c>
      <c r="R70" s="2151" t="s">
        <v>448</v>
      </c>
      <c r="S70" s="2100">
        <v>1927.6469999999999</v>
      </c>
      <c r="T70" s="2100">
        <v>649.07000000000005</v>
      </c>
      <c r="U70" s="2100">
        <v>576.76099999999997</v>
      </c>
      <c r="V70" s="2133">
        <v>378.84</v>
      </c>
    </row>
    <row r="71" spans="4:22" ht="17.45" customHeight="1">
      <c r="F71" s="7795" t="s">
        <v>1175</v>
      </c>
      <c r="G71" s="2410"/>
      <c r="H71" s="2410"/>
      <c r="I71" s="2298" t="s">
        <v>27</v>
      </c>
      <c r="J71" s="2358" t="s">
        <v>448</v>
      </c>
      <c r="K71" s="2362">
        <f t="shared" ref="K71:M75" si="2">(S65+S71)/12</f>
        <v>37.181666666666665</v>
      </c>
      <c r="L71" s="2362">
        <f t="shared" si="2"/>
        <v>13.728333333333337</v>
      </c>
      <c r="M71" s="2362">
        <f t="shared" si="2"/>
        <v>8.0133333333333336</v>
      </c>
      <c r="N71" s="2362">
        <f>(V65+V71)/10</f>
        <v>6.9239999999999995</v>
      </c>
      <c r="P71" s="7795" t="s">
        <v>1093</v>
      </c>
      <c r="Q71" s="2298" t="s">
        <v>27</v>
      </c>
      <c r="R71" s="1154" t="s">
        <v>448</v>
      </c>
      <c r="S71" s="1953">
        <v>213.18</v>
      </c>
      <c r="T71" s="1739">
        <v>24</v>
      </c>
      <c r="U71" s="1739">
        <v>0</v>
      </c>
      <c r="V71" s="2315">
        <v>29.11</v>
      </c>
    </row>
    <row r="72" spans="4:22" ht="16.5">
      <c r="F72" s="7796"/>
      <c r="G72" s="2411"/>
      <c r="H72" s="2411"/>
      <c r="I72" s="2297" t="s">
        <v>28</v>
      </c>
      <c r="J72" s="2359" t="s">
        <v>448</v>
      </c>
      <c r="K72" s="2363">
        <f t="shared" si="2"/>
        <v>26.090833333333336</v>
      </c>
      <c r="L72" s="2363">
        <f t="shared" si="2"/>
        <v>13.745833333333335</v>
      </c>
      <c r="M72" s="2363">
        <f t="shared" si="2"/>
        <v>14.199166666666665</v>
      </c>
      <c r="N72" s="2363">
        <f>(V66+V72)/10</f>
        <v>4.716499999999999</v>
      </c>
      <c r="P72" s="7796"/>
      <c r="Q72" s="2297" t="s">
        <v>28</v>
      </c>
      <c r="R72" s="2098" t="s">
        <v>448</v>
      </c>
      <c r="S72" s="2091">
        <v>80.09</v>
      </c>
      <c r="T72" s="2091">
        <v>31.93</v>
      </c>
      <c r="U72" s="2051">
        <v>12.39</v>
      </c>
      <c r="V72" s="2316">
        <v>3.4250000000000003</v>
      </c>
    </row>
    <row r="73" spans="4:22" ht="16.5">
      <c r="F73" s="7796"/>
      <c r="G73" s="2411"/>
      <c r="H73" s="2411"/>
      <c r="I73" s="2097" t="s">
        <v>29</v>
      </c>
      <c r="J73" s="2359" t="s">
        <v>448</v>
      </c>
      <c r="K73" s="2363">
        <f t="shared" si="2"/>
        <v>154.16666666666666</v>
      </c>
      <c r="L73" s="2363">
        <f t="shared" si="2"/>
        <v>66.992499999999993</v>
      </c>
      <c r="M73" s="2363">
        <f t="shared" si="2"/>
        <v>68.932666666666663</v>
      </c>
      <c r="N73" s="2363">
        <f>(V67+V73)/10</f>
        <v>54.066299999999998</v>
      </c>
      <c r="P73" s="7796"/>
      <c r="Q73" s="2097" t="s">
        <v>29</v>
      </c>
      <c r="R73" s="2098" t="s">
        <v>448</v>
      </c>
      <c r="S73" s="2091">
        <v>1329</v>
      </c>
      <c r="T73" s="2091">
        <v>651</v>
      </c>
      <c r="U73" s="2051">
        <v>685.29199999999992</v>
      </c>
      <c r="V73" s="2316">
        <v>486.08799999999997</v>
      </c>
    </row>
    <row r="74" spans="4:22" ht="16.5">
      <c r="F74" s="7796"/>
      <c r="G74" s="2411"/>
      <c r="H74" s="2411"/>
      <c r="I74" s="2097" t="s">
        <v>816</v>
      </c>
      <c r="J74" s="2359" t="s">
        <v>448</v>
      </c>
      <c r="K74" s="2363">
        <f t="shared" si="2"/>
        <v>48.916666666666664</v>
      </c>
      <c r="L74" s="2363">
        <f t="shared" si="2"/>
        <v>16.965833333333332</v>
      </c>
      <c r="M74" s="2363">
        <f t="shared" si="2"/>
        <v>4.8433333333333337</v>
      </c>
      <c r="N74" s="2363">
        <f>(V68+V74)/10</f>
        <v>16.299700000000001</v>
      </c>
      <c r="P74" s="7796"/>
      <c r="Q74" s="2097" t="s">
        <v>816</v>
      </c>
      <c r="R74" s="2098" t="s">
        <v>448</v>
      </c>
      <c r="S74" s="2091">
        <v>60</v>
      </c>
      <c r="T74" s="2091">
        <v>58.59</v>
      </c>
      <c r="U74" s="2051">
        <v>5.56</v>
      </c>
      <c r="V74" s="2316">
        <v>12.81</v>
      </c>
    </row>
    <row r="75" spans="4:22" ht="17.25" thickBot="1">
      <c r="F75" s="7796"/>
      <c r="G75" s="2411"/>
      <c r="H75" s="2411"/>
      <c r="I75" s="2297" t="s">
        <v>1089</v>
      </c>
      <c r="J75" s="2360" t="s">
        <v>448</v>
      </c>
      <c r="K75" s="2364">
        <f t="shared" si="2"/>
        <v>39.637250000000002</v>
      </c>
      <c r="L75" s="2364">
        <f t="shared" si="2"/>
        <v>15.643333333333333</v>
      </c>
      <c r="M75" s="2364">
        <f t="shared" si="2"/>
        <v>10.91925</v>
      </c>
      <c r="N75" s="2364">
        <f>(V69+V75)/10</f>
        <v>10.705499999999997</v>
      </c>
      <c r="P75" s="7796"/>
      <c r="Q75" s="2097" t="s">
        <v>1089</v>
      </c>
      <c r="R75" s="2098" t="s">
        <v>448</v>
      </c>
      <c r="S75" s="2091">
        <v>62</v>
      </c>
      <c r="T75" s="2091">
        <v>110.32</v>
      </c>
      <c r="U75" s="2051">
        <v>2.89</v>
      </c>
      <c r="V75" s="2316">
        <v>16.847000000000001</v>
      </c>
    </row>
    <row r="76" spans="4:22" ht="17.25" thickBot="1">
      <c r="F76" s="7758"/>
      <c r="G76" s="2398"/>
      <c r="H76" s="2398"/>
      <c r="I76" s="2255" t="s">
        <v>16</v>
      </c>
      <c r="J76" s="1850" t="s">
        <v>448</v>
      </c>
      <c r="K76" s="2361">
        <f>SUM(K71:K75)</f>
        <v>305.99308333333335</v>
      </c>
      <c r="L76" s="2361">
        <f>SUM(L71:L75)</f>
        <v>127.07583333333334</v>
      </c>
      <c r="M76" s="2361">
        <f>SUM(M71:M75)</f>
        <v>106.90774999999999</v>
      </c>
      <c r="N76" s="2361">
        <f>SUM(N71:N75)</f>
        <v>92.712000000000003</v>
      </c>
      <c r="P76" s="7796"/>
      <c r="Q76" s="2297" t="s">
        <v>1092</v>
      </c>
      <c r="R76" s="1668"/>
      <c r="S76" s="1950"/>
      <c r="T76" s="1950"/>
      <c r="U76" s="1720"/>
      <c r="V76" s="2317">
        <v>8.1415000000000006</v>
      </c>
    </row>
    <row r="77" spans="4:22" ht="17.25" thickBot="1">
      <c r="F77" s="2357"/>
      <c r="G77" s="2357"/>
      <c r="H77" s="2357"/>
      <c r="P77" s="7796"/>
      <c r="Q77" s="2301" t="s">
        <v>16</v>
      </c>
      <c r="R77" s="1881" t="s">
        <v>448</v>
      </c>
      <c r="S77" s="1925">
        <v>1744.27</v>
      </c>
      <c r="T77" s="1925">
        <v>875.83999999999992</v>
      </c>
      <c r="U77" s="1925">
        <v>706.13199999999983</v>
      </c>
      <c r="V77" s="1981">
        <v>556.42149999999981</v>
      </c>
    </row>
    <row r="78" spans="4:22" ht="17.25" thickBot="1">
      <c r="P78" s="7800" t="s">
        <v>1169</v>
      </c>
      <c r="Q78" s="7801"/>
      <c r="R78" s="2318" t="s">
        <v>1170</v>
      </c>
      <c r="S78" s="2319">
        <f>S70+S77</f>
        <v>3671.9169999999999</v>
      </c>
      <c r="T78" s="2319">
        <f>T70+T77</f>
        <v>1524.9099999999999</v>
      </c>
      <c r="U78" s="2319">
        <f>U70+U77</f>
        <v>1282.8929999999998</v>
      </c>
      <c r="V78" s="2320">
        <f>V70+V77</f>
        <v>935.26149999999984</v>
      </c>
    </row>
    <row r="79" spans="4:22" ht="36" thickTop="1" thickBot="1">
      <c r="D79" s="7804" t="s">
        <v>719</v>
      </c>
      <c r="E79" s="7805"/>
      <c r="F79" s="7805"/>
      <c r="G79" s="2452" t="s">
        <v>1206</v>
      </c>
      <c r="H79" s="2453" t="s">
        <v>1207</v>
      </c>
      <c r="I79" s="2453" t="s">
        <v>1198</v>
      </c>
      <c r="J79" s="2454" t="s">
        <v>1199</v>
      </c>
      <c r="K79" s="2413" t="s">
        <v>1200</v>
      </c>
      <c r="L79" s="2422" t="s">
        <v>1201</v>
      </c>
      <c r="M79" s="2433" t="s">
        <v>1242</v>
      </c>
      <c r="P79" s="7802" t="s">
        <v>1157</v>
      </c>
      <c r="Q79" s="7803"/>
      <c r="R79" s="2321" t="s">
        <v>1170</v>
      </c>
      <c r="S79" s="2322">
        <f>S78/12</f>
        <v>305.99308333333335</v>
      </c>
      <c r="T79" s="2322">
        <f>T78/12</f>
        <v>127.07583333333332</v>
      </c>
      <c r="U79" s="2322">
        <f>U78/12</f>
        <v>106.90774999999998</v>
      </c>
      <c r="V79" s="2323">
        <f>V78/12</f>
        <v>77.938458333333315</v>
      </c>
    </row>
    <row r="80" spans="4:22" ht="29.45" customHeight="1" thickBot="1">
      <c r="D80" s="2416" t="s">
        <v>1212</v>
      </c>
      <c r="E80" s="7809" t="s">
        <v>720</v>
      </c>
      <c r="F80" s="7810"/>
      <c r="G80" s="2455">
        <v>130</v>
      </c>
      <c r="H80" s="2456">
        <v>115</v>
      </c>
      <c r="I80" s="2457">
        <v>191</v>
      </c>
      <c r="J80" s="2458">
        <f>'성과개선 실적'!G21</f>
        <v>14</v>
      </c>
      <c r="K80" s="2417">
        <f>I80/12</f>
        <v>15.916666666666666</v>
      </c>
      <c r="L80" s="2448">
        <f>J80/10</f>
        <v>1.4</v>
      </c>
      <c r="M80" s="2434">
        <f>'성과개선 실적'!Y21</f>
        <v>3</v>
      </c>
      <c r="P80" s="7795" t="s">
        <v>1025</v>
      </c>
      <c r="Q80" s="2244" t="s">
        <v>1026</v>
      </c>
      <c r="R80" s="1154" t="s">
        <v>448</v>
      </c>
      <c r="S80" s="1165">
        <f>종합!F72/12</f>
        <v>67.384999999999991</v>
      </c>
      <c r="T80" s="1165">
        <f>종합!G72/12</f>
        <v>67.700833333333335</v>
      </c>
      <c r="U80" s="1165">
        <f>종합!H72/12</f>
        <v>74.561666666666667</v>
      </c>
      <c r="V80" s="2192">
        <f>종합!K72/110</f>
        <v>3.813152727272727</v>
      </c>
    </row>
    <row r="81" spans="4:22" ht="17.25" thickBot="1">
      <c r="D81" s="2414" t="s">
        <v>1182</v>
      </c>
      <c r="E81" s="7809"/>
      <c r="F81" s="7810"/>
      <c r="G81" s="2455">
        <v>615</v>
      </c>
      <c r="H81" s="2456">
        <v>362</v>
      </c>
      <c r="I81" s="2457">
        <v>1116</v>
      </c>
      <c r="J81" s="2459">
        <f>925+98</f>
        <v>1023</v>
      </c>
      <c r="K81" s="2391">
        <f>I81/12</f>
        <v>93</v>
      </c>
      <c r="L81" s="2423">
        <f>J81/10</f>
        <v>102.3</v>
      </c>
      <c r="M81" s="2435">
        <v>98</v>
      </c>
      <c r="P81" s="7796"/>
      <c r="Q81" s="1939" t="s">
        <v>1027</v>
      </c>
      <c r="R81" s="1153" t="s">
        <v>448</v>
      </c>
      <c r="S81" s="2023">
        <f>종합!F73/12</f>
        <v>561.19416666666666</v>
      </c>
      <c r="T81" s="2023">
        <f>종합!G73/12</f>
        <v>484.48</v>
      </c>
      <c r="U81" s="2023">
        <f>종합!H73/12</f>
        <v>425.62416666666667</v>
      </c>
      <c r="V81" s="2193">
        <f>종합!K73/10</f>
        <v>416.8</v>
      </c>
    </row>
    <row r="82" spans="4:22" ht="18" customHeight="1" thickBot="1">
      <c r="D82" s="7813" t="s">
        <v>1196</v>
      </c>
      <c r="E82" s="7811" t="s">
        <v>1183</v>
      </c>
      <c r="F82" s="7812"/>
      <c r="G82" s="2460">
        <v>1153</v>
      </c>
      <c r="H82" s="2461">
        <v>605</v>
      </c>
      <c r="I82" s="2457">
        <v>492</v>
      </c>
      <c r="J82" s="2458">
        <f>종합!Y22</f>
        <v>30.839999999999996</v>
      </c>
      <c r="K82" s="2407">
        <f>I82/12</f>
        <v>41</v>
      </c>
      <c r="L82" s="2449">
        <f>J82/10</f>
        <v>3.0839999999999996</v>
      </c>
      <c r="M82" s="2436">
        <f>종합!W22</f>
        <v>0</v>
      </c>
      <c r="P82" s="7796"/>
      <c r="Q82" s="1939" t="s">
        <v>29</v>
      </c>
      <c r="R82" s="1153" t="s">
        <v>448</v>
      </c>
      <c r="S82" s="2023">
        <f>종합!F74/12</f>
        <v>49.522500000000001</v>
      </c>
      <c r="T82" s="2023">
        <f>종합!G74/12</f>
        <v>42.234999999999999</v>
      </c>
      <c r="U82" s="2023">
        <f>종합!H74/12</f>
        <v>32.302500000000002</v>
      </c>
      <c r="V82" s="2193">
        <f>종합!K74/10</f>
        <v>25</v>
      </c>
    </row>
    <row r="83" spans="4:22" ht="18" customHeight="1" thickBot="1">
      <c r="D83" s="7814"/>
      <c r="E83" s="7789" t="s">
        <v>1197</v>
      </c>
      <c r="F83" s="2397" t="s">
        <v>1191</v>
      </c>
      <c r="G83" s="2462">
        <f>종합!F51+종합!F58</f>
        <v>5160.7070000000003</v>
      </c>
      <c r="H83" s="2463">
        <f>종합!G51+종합!G58</f>
        <v>2464.98</v>
      </c>
      <c r="I83" s="2463">
        <f>종합!H51+종합!H58</f>
        <v>1608.693</v>
      </c>
      <c r="J83" s="2464">
        <f>종합!Y51+종합!Y58</f>
        <v>241.14099999999999</v>
      </c>
      <c r="K83" s="2394">
        <f>I83/12</f>
        <v>134.05775</v>
      </c>
      <c r="L83" s="2424">
        <f>J83/10</f>
        <v>24.114100000000001</v>
      </c>
      <c r="M83" s="2437">
        <f>종합!W51+종합!W58</f>
        <v>0</v>
      </c>
      <c r="P83" s="7796"/>
      <c r="Q83" s="1939" t="s">
        <v>501</v>
      </c>
      <c r="R83" s="1153" t="s">
        <v>448</v>
      </c>
      <c r="S83" s="2023">
        <f>종합!F75/12</f>
        <v>69.333333333333329</v>
      </c>
      <c r="T83" s="2023">
        <f>종합!G75/12</f>
        <v>35.170833333333334</v>
      </c>
      <c r="U83" s="2023">
        <f>종합!H75/12</f>
        <v>41.044166666666662</v>
      </c>
      <c r="V83" s="2193">
        <f>종합!K75/10</f>
        <v>48.105000000000004</v>
      </c>
    </row>
    <row r="84" spans="4:22" ht="17.45" customHeight="1" thickBot="1">
      <c r="D84" s="7814"/>
      <c r="E84" s="7790"/>
      <c r="F84" s="2397" t="s">
        <v>1192</v>
      </c>
      <c r="G84" s="2462">
        <f>종합!F77</f>
        <v>9459.2199999999993</v>
      </c>
      <c r="H84" s="2463">
        <f>종합!G77</f>
        <v>7859.04</v>
      </c>
      <c r="I84" s="2463">
        <f>종합!H77</f>
        <v>7188.19</v>
      </c>
      <c r="J84" s="2465">
        <f>종합!Y77</f>
        <v>575.87000000000012</v>
      </c>
      <c r="K84" s="2394">
        <f>I84/12</f>
        <v>599.01583333333326</v>
      </c>
      <c r="L84" s="2424">
        <f>J84/10</f>
        <v>57.58700000000001</v>
      </c>
      <c r="M84" s="2438">
        <f>종합!W77</f>
        <v>0</v>
      </c>
      <c r="P84" s="7796"/>
      <c r="Q84" s="1939" t="s">
        <v>439</v>
      </c>
      <c r="R84" s="1153" t="s">
        <v>448</v>
      </c>
      <c r="S84" s="2023">
        <f>종합!F76/12</f>
        <v>40.833333333333336</v>
      </c>
      <c r="T84" s="2023">
        <f>종합!G76/12</f>
        <v>25.333333333333332</v>
      </c>
      <c r="U84" s="2023">
        <f>종합!H76/12</f>
        <v>25.483333333333338</v>
      </c>
      <c r="V84" s="2193">
        <f>종합!K76/10</f>
        <v>27.284399999999998</v>
      </c>
    </row>
    <row r="85" spans="4:22" ht="18" customHeight="1" thickBot="1">
      <c r="D85" s="7814"/>
      <c r="E85" s="7790"/>
      <c r="F85" s="2406" t="s">
        <v>1203</v>
      </c>
      <c r="G85" s="2466">
        <f t="shared" ref="G85:M85" si="3">G83+G84</f>
        <v>14619.927</v>
      </c>
      <c r="H85" s="2467">
        <f t="shared" si="3"/>
        <v>10324.02</v>
      </c>
      <c r="I85" s="2468">
        <f t="shared" si="3"/>
        <v>8796.8829999999998</v>
      </c>
      <c r="J85" s="2469">
        <f t="shared" si="3"/>
        <v>817.01100000000008</v>
      </c>
      <c r="K85" s="2412">
        <f t="shared" si="3"/>
        <v>733.07358333333332</v>
      </c>
      <c r="L85" s="2425">
        <f t="shared" si="3"/>
        <v>81.701100000000011</v>
      </c>
      <c r="M85" s="2439">
        <f t="shared" si="3"/>
        <v>0</v>
      </c>
      <c r="P85" s="7796"/>
      <c r="Q85" s="2304" t="s">
        <v>16</v>
      </c>
      <c r="R85" s="1160" t="s">
        <v>448</v>
      </c>
      <c r="S85" s="1663">
        <f>SUM(S80:S84)</f>
        <v>788.26833333333343</v>
      </c>
      <c r="T85" s="1663">
        <f>SUM(T80:T84)</f>
        <v>654.92000000000007</v>
      </c>
      <c r="U85" s="1663">
        <f>SUM(U80:U84)</f>
        <v>599.01583333333338</v>
      </c>
      <c r="V85" s="1663">
        <f>SUM(V80:V84)</f>
        <v>521.0025527272727</v>
      </c>
    </row>
    <row r="86" spans="4:22" ht="17.25" thickBot="1">
      <c r="D86" s="7814"/>
      <c r="E86" s="7793" t="s">
        <v>1208</v>
      </c>
      <c r="F86" s="2491" t="s">
        <v>1204</v>
      </c>
      <c r="G86" s="2470"/>
      <c r="H86" s="2471"/>
      <c r="I86" s="2472"/>
      <c r="J86" s="2473">
        <f>종합!Y65</f>
        <v>155.26999999999998</v>
      </c>
      <c r="K86" s="2419"/>
      <c r="L86" s="2426">
        <f>J86/10</f>
        <v>15.526999999999997</v>
      </c>
      <c r="M86" s="2440">
        <f>종합!W65</f>
        <v>0</v>
      </c>
      <c r="P86" s="7796"/>
      <c r="Q86" s="2301" t="s">
        <v>489</v>
      </c>
      <c r="R86" s="1881" t="s">
        <v>490</v>
      </c>
      <c r="S86" s="1926">
        <f>S85/12</f>
        <v>65.689027777777781</v>
      </c>
      <c r="T86" s="1926">
        <f>T85/12</f>
        <v>54.576666666666675</v>
      </c>
      <c r="U86" s="1926">
        <f>U85/12</f>
        <v>49.917986111111112</v>
      </c>
      <c r="V86" s="1926">
        <f>V85/12</f>
        <v>43.416879393939389</v>
      </c>
    </row>
    <row r="87" spans="4:22" ht="17.25" thickBot="1">
      <c r="D87" s="7814"/>
      <c r="E87" s="7794"/>
      <c r="F87" s="2491" t="s">
        <v>1205</v>
      </c>
      <c r="G87" s="2470"/>
      <c r="H87" s="2471"/>
      <c r="I87" s="2472"/>
      <c r="J87" s="2473">
        <f>종합!Y71</f>
        <v>49.8</v>
      </c>
      <c r="K87" s="2420"/>
      <c r="L87" s="2427">
        <f>J87/10</f>
        <v>4.9799999999999995</v>
      </c>
      <c r="M87" s="2441">
        <f>종합!W71</f>
        <v>0</v>
      </c>
      <c r="P87" s="7671" t="s">
        <v>1168</v>
      </c>
      <c r="Q87" s="2244" t="s">
        <v>1176</v>
      </c>
      <c r="R87" s="1154" t="s">
        <v>1161</v>
      </c>
      <c r="S87" s="2375">
        <f>5/12</f>
        <v>0.41666666666666669</v>
      </c>
      <c r="T87" s="2375">
        <f>3/12</f>
        <v>0.25</v>
      </c>
      <c r="U87" s="2375">
        <v>0</v>
      </c>
      <c r="V87" s="2376">
        <f>2/10</f>
        <v>0.2</v>
      </c>
    </row>
    <row r="88" spans="4:22" ht="17.25" thickBot="1">
      <c r="D88" s="7814"/>
      <c r="E88" s="7794"/>
      <c r="F88" s="2491" t="s">
        <v>1203</v>
      </c>
      <c r="G88" s="2474"/>
      <c r="H88" s="2475"/>
      <c r="I88" s="2475"/>
      <c r="J88" s="2473">
        <f>SUM(J86:J87)</f>
        <v>205.07</v>
      </c>
      <c r="K88" s="2451"/>
      <c r="L88" s="2450">
        <f>SUM(L86:L87)</f>
        <v>20.506999999999998</v>
      </c>
      <c r="M88" s="2442">
        <f>SUM(M86:M87)</f>
        <v>0</v>
      </c>
      <c r="P88" s="7672"/>
      <c r="Q88" s="2097" t="s">
        <v>1177</v>
      </c>
      <c r="R88" s="2098" t="s">
        <v>1161</v>
      </c>
      <c r="S88" s="2377">
        <f>16/12</f>
        <v>1.3333333333333333</v>
      </c>
      <c r="T88" s="2377">
        <f>8/12</f>
        <v>0.66666666666666663</v>
      </c>
      <c r="U88" s="2377">
        <f>5/12</f>
        <v>0.41666666666666669</v>
      </c>
      <c r="V88" s="2378">
        <f>6/10</f>
        <v>0.6</v>
      </c>
    </row>
    <row r="89" spans="4:22" ht="17.25" thickBot="1">
      <c r="D89" s="7814"/>
      <c r="E89" s="7791" t="s">
        <v>1202</v>
      </c>
      <c r="F89" s="7792"/>
      <c r="G89" s="2476">
        <f t="shared" ref="G89:M89" si="4">G82+G85+G88</f>
        <v>15772.927</v>
      </c>
      <c r="H89" s="2477">
        <f t="shared" si="4"/>
        <v>10929.02</v>
      </c>
      <c r="I89" s="2477">
        <f t="shared" si="4"/>
        <v>9288.8829999999998</v>
      </c>
      <c r="J89" s="2478">
        <f t="shared" si="4"/>
        <v>1052.921</v>
      </c>
      <c r="K89" s="2421">
        <f t="shared" si="4"/>
        <v>774.07358333333332</v>
      </c>
      <c r="L89" s="2418">
        <f t="shared" si="4"/>
        <v>105.2921</v>
      </c>
      <c r="M89" s="2443">
        <f t="shared" si="4"/>
        <v>0</v>
      </c>
      <c r="P89" s="7672"/>
      <c r="Q89" s="2097" t="s">
        <v>1178</v>
      </c>
      <c r="R89" s="2098" t="s">
        <v>1161</v>
      </c>
      <c r="S89" s="2377">
        <f>44/12</f>
        <v>3.6666666666666665</v>
      </c>
      <c r="T89" s="2377">
        <f>21/12</f>
        <v>1.75</v>
      </c>
      <c r="U89" s="2377">
        <f>18/12</f>
        <v>1.5</v>
      </c>
      <c r="V89" s="2378">
        <f>26/10</f>
        <v>2.6</v>
      </c>
    </row>
    <row r="90" spans="4:22" ht="17.25" thickBot="1">
      <c r="D90" s="7814"/>
      <c r="E90" s="7787" t="s">
        <v>1184</v>
      </c>
      <c r="F90" s="7788"/>
      <c r="G90" s="2479">
        <f>비가동!H40</f>
        <v>1011</v>
      </c>
      <c r="H90" s="2480">
        <f>비가동!I40</f>
        <v>702</v>
      </c>
      <c r="I90" s="2457">
        <v>512</v>
      </c>
      <c r="J90" s="2481">
        <f>비가동!AA40</f>
        <v>70</v>
      </c>
      <c r="K90" s="2392">
        <f>I90/12</f>
        <v>42.666666666666664</v>
      </c>
      <c r="L90" s="2428">
        <f>J90/10</f>
        <v>7</v>
      </c>
      <c r="M90" s="2444">
        <f>비가동!Y40</f>
        <v>0</v>
      </c>
      <c r="P90" s="7672"/>
      <c r="Q90" s="2297" t="s">
        <v>1179</v>
      </c>
      <c r="R90" s="1668" t="s">
        <v>1161</v>
      </c>
      <c r="S90" s="2379">
        <f>20/12</f>
        <v>1.6666666666666667</v>
      </c>
      <c r="T90" s="2379">
        <f>3/12</f>
        <v>0.25</v>
      </c>
      <c r="U90" s="2379">
        <f>7/12</f>
        <v>0.58333333333333337</v>
      </c>
      <c r="V90" s="2380">
        <f>15/10</f>
        <v>1.5</v>
      </c>
    </row>
    <row r="91" spans="4:22" ht="18" customHeight="1" thickBot="1">
      <c r="D91" s="7814"/>
      <c r="E91" s="7787" t="s">
        <v>1185</v>
      </c>
      <c r="F91" s="7788"/>
      <c r="G91" s="2462">
        <f>비가동!H41</f>
        <v>960.06666666666672</v>
      </c>
      <c r="H91" s="2463">
        <f>비가동!I41</f>
        <v>640.18333333333339</v>
      </c>
      <c r="I91" s="2482">
        <v>389.7</v>
      </c>
      <c r="J91" s="2464">
        <f>비가동!AA41</f>
        <v>52.366666666666667</v>
      </c>
      <c r="K91" s="2393">
        <f>I91/12</f>
        <v>32.475000000000001</v>
      </c>
      <c r="L91" s="2429">
        <f>J91/10</f>
        <v>5.2366666666666664</v>
      </c>
      <c r="M91" s="2445">
        <f>비가동!Y41</f>
        <v>0</v>
      </c>
      <c r="P91" s="7797"/>
      <c r="Q91" s="2303" t="s">
        <v>1180</v>
      </c>
      <c r="R91" s="2372" t="s">
        <v>1181</v>
      </c>
      <c r="S91" s="2381">
        <f>SUM(S87:S90)</f>
        <v>7.083333333333333</v>
      </c>
      <c r="T91" s="2381">
        <f>SUM(T87:T90)</f>
        <v>2.9166666666666665</v>
      </c>
      <c r="U91" s="2381">
        <f>SUM(U87:U90)</f>
        <v>2.5</v>
      </c>
      <c r="V91" s="2382">
        <f>SUM(V87:V90)</f>
        <v>4.9000000000000004</v>
      </c>
    </row>
    <row r="92" spans="4:22" ht="17.25" thickBot="1">
      <c r="D92" s="7814"/>
      <c r="E92" s="7787" t="s">
        <v>1193</v>
      </c>
      <c r="F92" s="7788"/>
      <c r="G92" s="2455">
        <f>종합!AP202</f>
        <v>57</v>
      </c>
      <c r="H92" s="2456">
        <f>종합!AQ202</f>
        <v>35</v>
      </c>
      <c r="I92" s="2457">
        <v>30</v>
      </c>
      <c r="J92" s="2458">
        <f>종합!BF205</f>
        <v>0</v>
      </c>
      <c r="K92" s="2396">
        <f>I92/12</f>
        <v>2.5</v>
      </c>
      <c r="L92" s="2430">
        <f>J92/10</f>
        <v>0</v>
      </c>
      <c r="M92" s="2446">
        <f>종합!BD205</f>
        <v>0</v>
      </c>
      <c r="P92" s="7798" t="s">
        <v>1167</v>
      </c>
      <c r="Q92" s="2244" t="s">
        <v>1176</v>
      </c>
      <c r="R92" s="1154" t="s">
        <v>448</v>
      </c>
      <c r="S92" s="2383">
        <f>204/12</f>
        <v>17</v>
      </c>
      <c r="T92" s="2383">
        <f>52/12</f>
        <v>4.333333333333333</v>
      </c>
      <c r="U92" s="2383">
        <v>0</v>
      </c>
      <c r="V92" s="2384">
        <v>0</v>
      </c>
    </row>
    <row r="93" spans="4:22" ht="18" customHeight="1" thickBot="1">
      <c r="D93" s="7815"/>
      <c r="E93" s="7787" t="s">
        <v>1194</v>
      </c>
      <c r="F93" s="7788"/>
      <c r="G93" s="2455">
        <f>종합!AP203</f>
        <v>967</v>
      </c>
      <c r="H93" s="2456">
        <f>종합!AQ203</f>
        <v>242</v>
      </c>
      <c r="I93" s="2483">
        <f>종합!AR203</f>
        <v>222.89699999999999</v>
      </c>
      <c r="J93" s="2484">
        <f>종합!BF206</f>
        <v>0</v>
      </c>
      <c r="K93" s="2395">
        <f>I93/12</f>
        <v>18.574749999999998</v>
      </c>
      <c r="L93" s="2431">
        <f>J93/10</f>
        <v>0</v>
      </c>
      <c r="M93" s="2445">
        <f>종합!BD206</f>
        <v>0</v>
      </c>
      <c r="P93" s="7799"/>
      <c r="Q93" s="2097" t="s">
        <v>1177</v>
      </c>
      <c r="R93" s="2098" t="s">
        <v>448</v>
      </c>
      <c r="S93" s="2385">
        <f>431/12</f>
        <v>35.916666666666664</v>
      </c>
      <c r="T93" s="2385">
        <f>104/12</f>
        <v>8.6666666666666661</v>
      </c>
      <c r="U93" s="2385">
        <f>122/12</f>
        <v>10.166666666666666</v>
      </c>
      <c r="V93" s="2386">
        <f>45/10</f>
        <v>4.5</v>
      </c>
    </row>
    <row r="94" spans="4:22" ht="17.25" thickBot="1">
      <c r="D94" s="7806" t="s">
        <v>1195</v>
      </c>
      <c r="E94" s="7787" t="s">
        <v>1186</v>
      </c>
      <c r="F94" s="7788"/>
      <c r="G94" s="2487"/>
      <c r="H94" s="2488"/>
      <c r="I94" s="2457">
        <v>675706</v>
      </c>
      <c r="J94" s="2458">
        <v>677048</v>
      </c>
      <c r="K94" s="2392">
        <v>675706</v>
      </c>
      <c r="L94" s="2430">
        <v>677048</v>
      </c>
      <c r="M94" s="2446">
        <v>676194</v>
      </c>
      <c r="P94" s="7799"/>
      <c r="Q94" s="2297" t="s">
        <v>1178</v>
      </c>
      <c r="R94" s="1668" t="s">
        <v>448</v>
      </c>
      <c r="S94" s="2387">
        <f>332/12</f>
        <v>27.666666666666668</v>
      </c>
      <c r="T94" s="2387">
        <f>52/12</f>
        <v>4.333333333333333</v>
      </c>
      <c r="U94" s="2387">
        <f>78/12</f>
        <v>6.5</v>
      </c>
      <c r="V94" s="2388">
        <f>298/10</f>
        <v>29.8</v>
      </c>
    </row>
    <row r="95" spans="4:22" ht="17.25" thickBot="1">
      <c r="D95" s="7807"/>
      <c r="E95" s="7787" t="s">
        <v>1187</v>
      </c>
      <c r="F95" s="7788"/>
      <c r="G95" s="2487"/>
      <c r="H95" s="2488"/>
      <c r="I95" s="2457">
        <v>700689</v>
      </c>
      <c r="J95" s="2481">
        <v>695670</v>
      </c>
      <c r="K95" s="2392">
        <v>700689</v>
      </c>
      <c r="L95" s="2428">
        <v>695670</v>
      </c>
      <c r="M95" s="2444">
        <v>698418</v>
      </c>
      <c r="P95" s="7799"/>
      <c r="Q95" s="2297" t="s">
        <v>1179</v>
      </c>
      <c r="R95" s="1668" t="s">
        <v>448</v>
      </c>
      <c r="S95" s="2387">
        <v>0</v>
      </c>
      <c r="T95" s="2387">
        <f>34/12</f>
        <v>2.8333333333333335</v>
      </c>
      <c r="U95" s="2387">
        <f>23/12</f>
        <v>1.9166666666666667</v>
      </c>
      <c r="V95" s="2388">
        <f>76.4/10</f>
        <v>7.6400000000000006</v>
      </c>
    </row>
    <row r="96" spans="4:22" ht="17.25" thickBot="1">
      <c r="D96" s="7807"/>
      <c r="E96" s="7787" t="s">
        <v>1188</v>
      </c>
      <c r="F96" s="7788"/>
      <c r="G96" s="2487"/>
      <c r="H96" s="2488"/>
      <c r="I96" s="2457">
        <v>857251</v>
      </c>
      <c r="J96" s="2481">
        <v>846028</v>
      </c>
      <c r="K96" s="2392">
        <v>857251</v>
      </c>
      <c r="L96" s="2428">
        <v>846028</v>
      </c>
      <c r="M96" s="2444">
        <v>849661</v>
      </c>
      <c r="P96" s="7797"/>
      <c r="Q96" s="2303" t="s">
        <v>1180</v>
      </c>
      <c r="R96" s="2372" t="s">
        <v>448</v>
      </c>
      <c r="S96" s="2389">
        <f>SUM(S92:S95)</f>
        <v>80.583333333333329</v>
      </c>
      <c r="T96" s="2389">
        <f>SUM(T92:T95)</f>
        <v>20.166666666666664</v>
      </c>
      <c r="U96" s="2389">
        <f>SUM(U92:U95)</f>
        <v>18.583333333333332</v>
      </c>
      <c r="V96" s="2389">
        <f>SUM(V92:V95)</f>
        <v>41.94</v>
      </c>
    </row>
    <row r="97" spans="1:22" ht="17.25" thickBot="1">
      <c r="D97" s="7807"/>
      <c r="E97" s="7787" t="s">
        <v>1189</v>
      </c>
      <c r="F97" s="7788"/>
      <c r="G97" s="2487"/>
      <c r="H97" s="2488"/>
      <c r="I97" s="2457">
        <v>1038769</v>
      </c>
      <c r="J97" s="2481">
        <v>1033149</v>
      </c>
      <c r="K97" s="2392">
        <v>1038769</v>
      </c>
      <c r="L97" s="2428">
        <v>1033149</v>
      </c>
      <c r="M97" s="2444">
        <v>1026553</v>
      </c>
    </row>
    <row r="98" spans="1:22" ht="17.25" thickBot="1">
      <c r="D98" s="7808"/>
      <c r="E98" s="7816" t="s">
        <v>1190</v>
      </c>
      <c r="F98" s="7817"/>
      <c r="G98" s="2489"/>
      <c r="H98" s="2490"/>
      <c r="I98" s="2485">
        <v>1547397</v>
      </c>
      <c r="J98" s="2486">
        <v>1569959</v>
      </c>
      <c r="K98" s="2415">
        <v>1547397</v>
      </c>
      <c r="L98" s="2432">
        <v>1569959</v>
      </c>
      <c r="M98" s="2447">
        <v>1582352</v>
      </c>
      <c r="Q98" s="2325" t="s">
        <v>1166</v>
      </c>
      <c r="R98" s="2325" t="s">
        <v>1161</v>
      </c>
      <c r="S98" s="2365">
        <v>57</v>
      </c>
      <c r="T98" s="2365">
        <v>35</v>
      </c>
      <c r="U98" s="2365">
        <v>30</v>
      </c>
      <c r="V98" s="2366">
        <v>45</v>
      </c>
    </row>
    <row r="99" spans="1:22" ht="18" thickTop="1" thickBot="1">
      <c r="Q99" s="1881" t="s">
        <v>1167</v>
      </c>
      <c r="R99" s="1881" t="s">
        <v>1170</v>
      </c>
      <c r="S99" s="2367">
        <v>967</v>
      </c>
      <c r="T99" s="2367">
        <v>355</v>
      </c>
      <c r="U99" s="2367">
        <v>223</v>
      </c>
      <c r="V99" s="2368">
        <v>435.16</v>
      </c>
    </row>
    <row r="100" spans="1:22" ht="16.5">
      <c r="Q100" s="7818" t="s">
        <v>1157</v>
      </c>
      <c r="R100" s="2325" t="s">
        <v>1166</v>
      </c>
      <c r="S100" s="2369">
        <f t="shared" ref="S100:U101" si="5">S98/12</f>
        <v>4.75</v>
      </c>
      <c r="T100" s="2369">
        <f t="shared" si="5"/>
        <v>2.9166666666666665</v>
      </c>
      <c r="U100" s="2369">
        <f t="shared" si="5"/>
        <v>2.5</v>
      </c>
      <c r="V100" s="2370">
        <f>V98/10</f>
        <v>4.5</v>
      </c>
    </row>
    <row r="101" spans="1:22" ht="17.25" thickBot="1">
      <c r="Q101" s="7819"/>
      <c r="R101" s="1881" t="s">
        <v>1167</v>
      </c>
      <c r="S101" s="2511">
        <f t="shared" si="5"/>
        <v>80.583333333333329</v>
      </c>
      <c r="T101" s="2371">
        <f t="shared" si="5"/>
        <v>29.583333333333332</v>
      </c>
      <c r="U101" s="2511">
        <f t="shared" si="5"/>
        <v>18.583333333333332</v>
      </c>
      <c r="V101" s="2609">
        <f>V99/10</f>
        <v>43.516000000000005</v>
      </c>
    </row>
    <row r="102" spans="1:22" ht="40.15" customHeight="1"/>
    <row r="109" spans="1:22" s="286" customFormat="1">
      <c r="A109" s="673"/>
    </row>
    <row r="110" spans="1:22" ht="17.45" customHeight="1"/>
    <row r="116" spans="1:1" s="286" customFormat="1">
      <c r="A116" s="673"/>
    </row>
    <row r="117" spans="1:1" ht="17.45" customHeight="1"/>
    <row r="124" spans="1:1" ht="17.45" customHeight="1"/>
    <row r="128" spans="1:1" s="286" customFormat="1">
      <c r="A128" s="673"/>
    </row>
    <row r="129" spans="1:1" ht="17.45" customHeight="1"/>
    <row r="135" spans="1:1" s="286" customFormat="1">
      <c r="A135" s="673"/>
    </row>
    <row r="136" spans="1:1" s="286" customFormat="1">
      <c r="A136" s="673"/>
    </row>
    <row r="137" spans="1:1" s="286" customFormat="1">
      <c r="A137" s="673"/>
    </row>
    <row r="139" spans="1:1" s="286" customFormat="1">
      <c r="A139" s="673"/>
    </row>
    <row r="141" spans="1:1" s="286" customFormat="1">
      <c r="A141" s="673"/>
    </row>
    <row r="143" spans="1:1" s="286" customFormat="1">
      <c r="A143" s="673"/>
    </row>
    <row r="145" spans="1:1" s="286" customFormat="1">
      <c r="A145" s="673"/>
    </row>
    <row r="147" spans="1:1" s="286" customFormat="1">
      <c r="A147" s="673"/>
    </row>
    <row r="149" spans="1:1" s="286" customFormat="1">
      <c r="A149" s="673"/>
    </row>
    <row r="150" spans="1:1" s="286" customFormat="1">
      <c r="A150" s="673"/>
    </row>
    <row r="151" spans="1:1" s="286" customFormat="1">
      <c r="A151" s="673"/>
    </row>
    <row r="183" ht="33" customHeight="1"/>
    <row r="194" spans="1:1" s="286" customFormat="1">
      <c r="A194" s="673"/>
    </row>
    <row r="205" spans="1:1" s="286" customFormat="1">
      <c r="A205" s="673"/>
    </row>
    <row r="216" spans="1:1" s="286" customFormat="1">
      <c r="A216" s="673"/>
    </row>
    <row r="227" spans="1:1" s="286" customFormat="1">
      <c r="A227" s="673"/>
    </row>
  </sheetData>
  <mergeCells count="73">
    <mergeCell ref="A1:D3"/>
    <mergeCell ref="S16:S17"/>
    <mergeCell ref="T16:T17"/>
    <mergeCell ref="U16:U17"/>
    <mergeCell ref="F16:F17"/>
    <mergeCell ref="I16:I17"/>
    <mergeCell ref="J16:J17"/>
    <mergeCell ref="K16:K17"/>
    <mergeCell ref="L16:L17"/>
    <mergeCell ref="M16:M17"/>
    <mergeCell ref="S25:V25"/>
    <mergeCell ref="V16:V17"/>
    <mergeCell ref="P16:P17"/>
    <mergeCell ref="Q16:Q17"/>
    <mergeCell ref="P18:P24"/>
    <mergeCell ref="R16:R17"/>
    <mergeCell ref="P25:P26"/>
    <mergeCell ref="Q25:Q26"/>
    <mergeCell ref="R25:R26"/>
    <mergeCell ref="P27:P32"/>
    <mergeCell ref="Q27:Q28"/>
    <mergeCell ref="Q29:Q30"/>
    <mergeCell ref="Q31:Q32"/>
    <mergeCell ref="Q53:Q54"/>
    <mergeCell ref="Q55:Q56"/>
    <mergeCell ref="P33:P38"/>
    <mergeCell ref="Q33:Q34"/>
    <mergeCell ref="Q35:Q36"/>
    <mergeCell ref="Q37:Q38"/>
    <mergeCell ref="P39:P44"/>
    <mergeCell ref="Q39:Q40"/>
    <mergeCell ref="Q41:Q42"/>
    <mergeCell ref="Q43:Q44"/>
    <mergeCell ref="Q100:Q101"/>
    <mergeCell ref="F19:F20"/>
    <mergeCell ref="F21:F22"/>
    <mergeCell ref="F23:F24"/>
    <mergeCell ref="P65:P70"/>
    <mergeCell ref="P57:P64"/>
    <mergeCell ref="Q57:Q58"/>
    <mergeCell ref="Q59:Q60"/>
    <mergeCell ref="Q61:Q62"/>
    <mergeCell ref="Q63:Q64"/>
    <mergeCell ref="P45:P50"/>
    <mergeCell ref="Q45:Q46"/>
    <mergeCell ref="Q47:Q48"/>
    <mergeCell ref="Q49:Q50"/>
    <mergeCell ref="P51:P56"/>
    <mergeCell ref="Q51:Q52"/>
    <mergeCell ref="F71:F76"/>
    <mergeCell ref="P87:P91"/>
    <mergeCell ref="P92:P96"/>
    <mergeCell ref="P71:P77"/>
    <mergeCell ref="P78:Q78"/>
    <mergeCell ref="P79:Q79"/>
    <mergeCell ref="P80:P86"/>
    <mergeCell ref="D79:F79"/>
    <mergeCell ref="D94:D98"/>
    <mergeCell ref="E95:F95"/>
    <mergeCell ref="E94:F94"/>
    <mergeCell ref="E80:F81"/>
    <mergeCell ref="E92:F92"/>
    <mergeCell ref="E82:F82"/>
    <mergeCell ref="D82:D93"/>
    <mergeCell ref="E98:F98"/>
    <mergeCell ref="E93:F93"/>
    <mergeCell ref="E96:F96"/>
    <mergeCell ref="E97:F97"/>
    <mergeCell ref="E83:E85"/>
    <mergeCell ref="E89:F89"/>
    <mergeCell ref="E86:E88"/>
    <mergeCell ref="E90:F90"/>
    <mergeCell ref="E91:F91"/>
  </mergeCells>
  <phoneticPr fontId="23" type="noConversion"/>
  <pageMargins left="0.7" right="0.7" top="0.75" bottom="0.75" header="0.3" footer="0.3"/>
  <pageSetup paperSize="9" scale="9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M45"/>
  <sheetViews>
    <sheetView topLeftCell="A4" zoomScale="70" zoomScaleNormal="70" workbookViewId="0">
      <selection activeCell="AB21" sqref="AB21:AC21"/>
    </sheetView>
  </sheetViews>
  <sheetFormatPr defaultColWidth="8.88671875" defaultRowHeight="13.5"/>
  <cols>
    <col min="1" max="1" width="9.77734375" style="65" bestFit="1" customWidth="1"/>
    <col min="2" max="2" width="9.21875" style="138" customWidth="1"/>
    <col min="3" max="5" width="6.6640625" style="138" customWidth="1"/>
    <col min="6" max="6" width="10.33203125" style="144" customWidth="1"/>
    <col min="7" max="7" width="8.5546875" style="66" bestFit="1" customWidth="1"/>
    <col min="8" max="8" width="10" style="145" customWidth="1"/>
    <col min="9" max="9" width="8.88671875" style="138" customWidth="1"/>
    <col min="10" max="10" width="10.33203125" style="146" customWidth="1"/>
    <col min="11" max="11" width="10.44140625" style="66" bestFit="1" customWidth="1"/>
    <col min="12" max="12" width="7.5546875" style="138" customWidth="1"/>
    <col min="13" max="13" width="8.44140625" style="138" customWidth="1"/>
    <col min="14" max="14" width="10.5546875" style="144" customWidth="1"/>
    <col min="15" max="15" width="7.88671875" style="66" bestFit="1" customWidth="1"/>
    <col min="16" max="17" width="9" style="145" customWidth="1"/>
    <col min="18" max="18" width="8.21875" style="145" bestFit="1" customWidth="1"/>
    <col min="19" max="19" width="7.44140625" style="145" bestFit="1" customWidth="1"/>
    <col min="20" max="20" width="10.33203125" style="66" customWidth="1"/>
    <col min="21" max="21" width="8.109375" style="66" bestFit="1" customWidth="1"/>
    <col min="22" max="22" width="8.21875" style="145" bestFit="1" customWidth="1"/>
    <col min="23" max="23" width="8.21875" style="145" customWidth="1"/>
    <col min="24" max="24" width="7.21875" style="138" customWidth="1"/>
    <col min="25" max="25" width="7.44140625" style="138" customWidth="1"/>
    <col min="26" max="26" width="9" style="144" customWidth="1"/>
    <col min="27" max="27" width="8.33203125" style="66" customWidth="1"/>
    <col min="28" max="29" width="9.109375" style="66" customWidth="1"/>
    <col min="30" max="30" width="12" style="147" customWidth="1"/>
    <col min="31" max="31" width="11.88671875" style="65" customWidth="1"/>
    <col min="32" max="32" width="8.21875" style="65" customWidth="1"/>
    <col min="33" max="33" width="14.6640625" style="65" customWidth="1"/>
    <col min="34" max="34" width="11.6640625" style="65" bestFit="1" customWidth="1"/>
    <col min="35" max="35" width="7.21875" style="65" bestFit="1" customWidth="1"/>
    <col min="36" max="37" width="4.88671875" style="65" bestFit="1" customWidth="1"/>
    <col min="38" max="39" width="5" style="65" bestFit="1" customWidth="1"/>
    <col min="40" max="16384" width="8.88671875" style="65"/>
  </cols>
  <sheetData>
    <row r="1" spans="1:35" ht="35.25">
      <c r="A1" s="7862" t="s">
        <v>990</v>
      </c>
      <c r="B1" s="7862"/>
      <c r="C1" s="7862"/>
      <c r="D1" s="7862"/>
      <c r="E1" s="7862"/>
      <c r="F1" s="7862"/>
      <c r="G1" s="7862"/>
      <c r="H1" s="7862"/>
      <c r="I1" s="7862"/>
      <c r="J1" s="7862"/>
      <c r="K1" s="7862"/>
      <c r="L1" s="7862"/>
      <c r="M1" s="7862"/>
      <c r="N1" s="7862"/>
      <c r="O1" s="7862"/>
      <c r="P1" s="7862"/>
      <c r="Q1" s="7862"/>
      <c r="R1" s="7862"/>
      <c r="S1" s="7862"/>
      <c r="T1" s="7862"/>
      <c r="U1" s="7862"/>
      <c r="V1" s="7862"/>
      <c r="W1" s="7862"/>
      <c r="X1" s="7862"/>
      <c r="Y1" s="7862"/>
      <c r="Z1" s="7862"/>
      <c r="AA1" s="7863"/>
      <c r="AB1" s="140"/>
      <c r="AC1" s="4449"/>
      <c r="AD1" s="141" t="s">
        <v>184</v>
      </c>
      <c r="AE1" s="142" t="s">
        <v>185</v>
      </c>
      <c r="AF1" s="143" t="s">
        <v>554</v>
      </c>
    </row>
    <row r="2" spans="1:35" ht="36" thickBot="1">
      <c r="A2" s="7862"/>
      <c r="B2" s="7862"/>
      <c r="C2" s="7862"/>
      <c r="D2" s="7862"/>
      <c r="E2" s="7862"/>
      <c r="F2" s="7862"/>
      <c r="G2" s="7862"/>
      <c r="H2" s="7862"/>
      <c r="I2" s="7862"/>
      <c r="J2" s="7862"/>
      <c r="K2" s="7862"/>
      <c r="L2" s="7862"/>
      <c r="M2" s="7862"/>
      <c r="N2" s="7862"/>
      <c r="O2" s="7862"/>
      <c r="P2" s="7862"/>
      <c r="Q2" s="7862"/>
      <c r="R2" s="7862"/>
      <c r="S2" s="7862"/>
      <c r="T2" s="7862"/>
      <c r="U2" s="7862"/>
      <c r="V2" s="7862"/>
      <c r="W2" s="7862"/>
      <c r="X2" s="7862"/>
      <c r="Y2" s="7862"/>
      <c r="Z2" s="7862"/>
      <c r="AA2" s="7863"/>
      <c r="AB2" s="140"/>
      <c r="AC2" s="4449"/>
      <c r="AD2" s="511" t="s">
        <v>555</v>
      </c>
      <c r="AE2" s="512"/>
      <c r="AF2" s="513"/>
    </row>
    <row r="3" spans="1:35" ht="14.25" thickBot="1">
      <c r="C3" s="1240" t="s">
        <v>896</v>
      </c>
      <c r="D3" s="1240"/>
      <c r="E3" s="1240"/>
      <c r="S3" s="1240" t="s">
        <v>901</v>
      </c>
      <c r="Y3" s="1240" t="s">
        <v>901</v>
      </c>
    </row>
    <row r="4" spans="1:35" s="67" customFormat="1">
      <c r="A4" s="7864" t="s">
        <v>556</v>
      </c>
      <c r="B4" s="7849" t="s">
        <v>557</v>
      </c>
      <c r="C4" s="7849"/>
      <c r="D4" s="7849"/>
      <c r="E4" s="7849"/>
      <c r="F4" s="7850"/>
      <c r="G4" s="7851"/>
      <c r="H4" s="7852" t="s">
        <v>558</v>
      </c>
      <c r="I4" s="7853"/>
      <c r="J4" s="7853"/>
      <c r="K4" s="7854"/>
      <c r="L4" s="7853" t="s">
        <v>559</v>
      </c>
      <c r="M4" s="7853"/>
      <c r="N4" s="7853"/>
      <c r="O4" s="7853"/>
      <c r="P4" s="7859" t="s">
        <v>560</v>
      </c>
      <c r="Q4" s="7861"/>
      <c r="R4" s="7861"/>
      <c r="S4" s="7861"/>
      <c r="T4" s="7861"/>
      <c r="U4" s="7860"/>
      <c r="V4" s="7861" t="s">
        <v>186</v>
      </c>
      <c r="W4" s="7861"/>
      <c r="X4" s="7861"/>
      <c r="Y4" s="7861"/>
      <c r="Z4" s="7861"/>
      <c r="AA4" s="7860"/>
      <c r="AB4" s="7859" t="s">
        <v>561</v>
      </c>
      <c r="AC4" s="7860"/>
      <c r="AD4" s="7855" t="s">
        <v>562</v>
      </c>
      <c r="AE4" s="7857" t="s">
        <v>563</v>
      </c>
      <c r="AF4" s="7858"/>
    </row>
    <row r="5" spans="1:35" s="67" customFormat="1" ht="24.75" thickBot="1">
      <c r="A5" s="7865"/>
      <c r="B5" s="514" t="s">
        <v>564</v>
      </c>
      <c r="C5" s="515" t="s">
        <v>565</v>
      </c>
      <c r="D5" s="515" t="s">
        <v>1667</v>
      </c>
      <c r="E5" s="515" t="s">
        <v>1668</v>
      </c>
      <c r="F5" s="516" t="s">
        <v>566</v>
      </c>
      <c r="G5" s="517" t="s">
        <v>567</v>
      </c>
      <c r="H5" s="514" t="s">
        <v>568</v>
      </c>
      <c r="I5" s="518" t="s">
        <v>187</v>
      </c>
      <c r="J5" s="519" t="s">
        <v>569</v>
      </c>
      <c r="K5" s="520" t="s">
        <v>570</v>
      </c>
      <c r="L5" s="515" t="s">
        <v>1669</v>
      </c>
      <c r="M5" s="518" t="s">
        <v>571</v>
      </c>
      <c r="N5" s="521" t="s">
        <v>572</v>
      </c>
      <c r="O5" s="522" t="s">
        <v>573</v>
      </c>
      <c r="P5" s="514" t="s">
        <v>1670</v>
      </c>
      <c r="Q5" s="515" t="s">
        <v>1671</v>
      </c>
      <c r="R5" s="518" t="s">
        <v>574</v>
      </c>
      <c r="S5" s="518" t="s">
        <v>575</v>
      </c>
      <c r="T5" s="521" t="s">
        <v>576</v>
      </c>
      <c r="U5" s="523" t="s">
        <v>577</v>
      </c>
      <c r="V5" s="515" t="s">
        <v>1672</v>
      </c>
      <c r="W5" s="515" t="s">
        <v>1673</v>
      </c>
      <c r="X5" s="518" t="s">
        <v>578</v>
      </c>
      <c r="Y5" s="518" t="s">
        <v>579</v>
      </c>
      <c r="Z5" s="521" t="s">
        <v>580</v>
      </c>
      <c r="AA5" s="523" t="s">
        <v>577</v>
      </c>
      <c r="AB5" s="149" t="s">
        <v>1674</v>
      </c>
      <c r="AC5" s="149" t="s">
        <v>1675</v>
      </c>
      <c r="AD5" s="7856"/>
      <c r="AE5" s="524" t="s">
        <v>581</v>
      </c>
      <c r="AF5" s="525" t="s">
        <v>582</v>
      </c>
    </row>
    <row r="6" spans="1:35" s="67" customFormat="1" ht="15" thickTop="1" thickBot="1">
      <c r="A6" s="150" t="s">
        <v>583</v>
      </c>
      <c r="B6" s="151">
        <v>3730.48</v>
      </c>
      <c r="C6" s="152"/>
      <c r="D6" s="152"/>
      <c r="E6" s="152"/>
      <c r="F6" s="153">
        <v>283444.41000000003</v>
      </c>
      <c r="G6" s="154">
        <f>B6/F6*1000</f>
        <v>13.161240329276557</v>
      </c>
      <c r="H6" s="155">
        <v>7755.34</v>
      </c>
      <c r="I6" s="156">
        <v>1190.6300000000001</v>
      </c>
      <c r="J6" s="157">
        <v>282629.57299999997</v>
      </c>
      <c r="K6" s="158">
        <f t="shared" ref="K6:K12" si="0">(H6+I6)/J6*1000</f>
        <v>31.652632472398778</v>
      </c>
      <c r="L6" s="152">
        <v>371.93</v>
      </c>
      <c r="M6" s="156">
        <v>680.45</v>
      </c>
      <c r="N6" s="153">
        <v>285133.90000000002</v>
      </c>
      <c r="O6" s="154">
        <f t="shared" ref="O6:O13" si="1">(L6+M6)/N6*1000</f>
        <v>3.6908273621621284</v>
      </c>
      <c r="P6" s="155">
        <v>1843.71</v>
      </c>
      <c r="Q6" s="159"/>
      <c r="R6" s="156">
        <v>446.17</v>
      </c>
      <c r="S6" s="156">
        <v>49.55</v>
      </c>
      <c r="T6" s="153">
        <v>154983.42000000001</v>
      </c>
      <c r="U6" s="158">
        <f t="shared" ref="U6:U13" si="2">(P6+R6+S6)/T6*1000</f>
        <v>15.094711421389464</v>
      </c>
      <c r="V6" s="159"/>
      <c r="W6" s="159"/>
      <c r="X6" s="156"/>
      <c r="Y6" s="156"/>
      <c r="Z6" s="153"/>
      <c r="AA6" s="158"/>
      <c r="AB6" s="160"/>
      <c r="AC6" s="160"/>
      <c r="AD6" s="161">
        <v>16068.26</v>
      </c>
      <c r="AE6" s="162">
        <f>N6+T6</f>
        <v>440117.32000000007</v>
      </c>
      <c r="AF6" s="163">
        <f t="shared" ref="AF6:AF13" si="3">AD6/AE6*1000</f>
        <v>36.509038090116512</v>
      </c>
    </row>
    <row r="7" spans="1:35" s="67" customFormat="1" ht="15" thickTop="1" thickBot="1">
      <c r="A7" s="150" t="s">
        <v>97</v>
      </c>
      <c r="B7" s="164">
        <v>3402.36</v>
      </c>
      <c r="C7" s="165"/>
      <c r="D7" s="165"/>
      <c r="E7" s="165"/>
      <c r="F7" s="170">
        <v>263316.38800000004</v>
      </c>
      <c r="G7" s="154">
        <f>B7/F7*1000</f>
        <v>12.921185900514477</v>
      </c>
      <c r="H7" s="167">
        <v>7694.93</v>
      </c>
      <c r="I7" s="168">
        <v>1488.58</v>
      </c>
      <c r="J7" s="166">
        <v>264618.27</v>
      </c>
      <c r="K7" s="158">
        <f t="shared" si="0"/>
        <v>34.704746577022064</v>
      </c>
      <c r="L7" s="165">
        <v>225.07</v>
      </c>
      <c r="M7" s="168">
        <v>787</v>
      </c>
      <c r="N7" s="170">
        <v>264618.27</v>
      </c>
      <c r="O7" s="154">
        <f t="shared" si="1"/>
        <v>3.8246414353778362</v>
      </c>
      <c r="P7" s="167">
        <v>1469.165</v>
      </c>
      <c r="Q7" s="169"/>
      <c r="R7" s="168">
        <v>418.98</v>
      </c>
      <c r="S7" s="168">
        <v>27.68</v>
      </c>
      <c r="T7" s="170">
        <v>143899.03100000002</v>
      </c>
      <c r="U7" s="158">
        <f t="shared" si="2"/>
        <v>13.313675475688225</v>
      </c>
      <c r="V7" s="169"/>
      <c r="W7" s="169"/>
      <c r="X7" s="168"/>
      <c r="Y7" s="168"/>
      <c r="Z7" s="170"/>
      <c r="AA7" s="171"/>
      <c r="AB7" s="172"/>
      <c r="AC7" s="172"/>
      <c r="AD7" s="173">
        <v>15513.765000000001</v>
      </c>
      <c r="AE7" s="162">
        <f>N7+T7</f>
        <v>408517.30100000004</v>
      </c>
      <c r="AF7" s="163">
        <f t="shared" si="3"/>
        <v>37.975784531093829</v>
      </c>
    </row>
    <row r="8" spans="1:35" s="67" customFormat="1" ht="15" thickTop="1" thickBot="1">
      <c r="A8" s="174" t="s">
        <v>98</v>
      </c>
      <c r="B8" s="164">
        <v>4011.54</v>
      </c>
      <c r="C8" s="165"/>
      <c r="D8" s="165"/>
      <c r="E8" s="165"/>
      <c r="F8" s="170">
        <v>264775.22100000002</v>
      </c>
      <c r="G8" s="154">
        <f>B8/F8*1000</f>
        <v>15.150737991452756</v>
      </c>
      <c r="H8" s="167">
        <v>6753.38</v>
      </c>
      <c r="I8" s="168">
        <v>1486.3899999999999</v>
      </c>
      <c r="J8" s="166">
        <v>262165.29800000001</v>
      </c>
      <c r="K8" s="158">
        <f t="shared" si="0"/>
        <v>31.429674571193633</v>
      </c>
      <c r="L8" s="165">
        <v>376.04499999999996</v>
      </c>
      <c r="M8" s="168">
        <v>717.57</v>
      </c>
      <c r="N8" s="170">
        <v>262165.29800000001</v>
      </c>
      <c r="O8" s="154">
        <f t="shared" si="1"/>
        <v>4.1714712372039422</v>
      </c>
      <c r="P8" s="167">
        <v>1086.365</v>
      </c>
      <c r="Q8" s="169"/>
      <c r="R8" s="168">
        <v>265.98</v>
      </c>
      <c r="S8" s="168">
        <v>130.11000000000001</v>
      </c>
      <c r="T8" s="170">
        <v>117636.505</v>
      </c>
      <c r="U8" s="158">
        <f t="shared" si="2"/>
        <v>12.601997993735022</v>
      </c>
      <c r="V8" s="169">
        <v>402.77499999999998</v>
      </c>
      <c r="W8" s="169"/>
      <c r="X8" s="168">
        <v>86.745000000000005</v>
      </c>
      <c r="Y8" s="168">
        <v>141.12</v>
      </c>
      <c r="Z8" s="170">
        <v>37699.095000000001</v>
      </c>
      <c r="AA8" s="171">
        <f t="shared" ref="AA8:AA13" si="4">(V8+X8+Y8)/Z8*1000</f>
        <v>16.728253025702607</v>
      </c>
      <c r="AB8" s="175"/>
      <c r="AC8" s="175"/>
      <c r="AD8" s="173">
        <f t="shared" ref="AD8:AD13" si="5">B8+C8+H8+I8+L8+M8+P8+R8+S8+V8+X8+Y8+AB8</f>
        <v>15458.02</v>
      </c>
      <c r="AE8" s="162">
        <f t="shared" ref="AE8:AE13" si="6">F8+J8+N8+T8+Z8</f>
        <v>944441.41700000002</v>
      </c>
      <c r="AF8" s="163">
        <f t="shared" si="3"/>
        <v>16.367367760196394</v>
      </c>
    </row>
    <row r="9" spans="1:35" s="67" customFormat="1" ht="15" thickTop="1" thickBot="1">
      <c r="A9" s="150" t="s">
        <v>137</v>
      </c>
      <c r="B9" s="151">
        <v>5185.3799999999992</v>
      </c>
      <c r="C9" s="152"/>
      <c r="D9" s="152"/>
      <c r="E9" s="152"/>
      <c r="F9" s="153">
        <v>291296.00399999996</v>
      </c>
      <c r="G9" s="154">
        <f>B9/F9*1000</f>
        <v>17.801068084682683</v>
      </c>
      <c r="H9" s="155">
        <v>6563.99</v>
      </c>
      <c r="I9" s="156">
        <v>1014.0899999999999</v>
      </c>
      <c r="J9" s="157">
        <v>278275.59400000004</v>
      </c>
      <c r="K9" s="158">
        <f t="shared" si="0"/>
        <v>27.232283978163025</v>
      </c>
      <c r="L9" s="152">
        <v>529.1099999999999</v>
      </c>
      <c r="M9" s="156">
        <v>875.15999999999985</v>
      </c>
      <c r="N9" s="153">
        <v>278275.59400000004</v>
      </c>
      <c r="O9" s="154">
        <f t="shared" si="1"/>
        <v>5.0463282813080603</v>
      </c>
      <c r="P9" s="155">
        <v>348.49</v>
      </c>
      <c r="Q9" s="159"/>
      <c r="R9" s="156">
        <v>951.52499999999986</v>
      </c>
      <c r="S9" s="156">
        <v>197.26000000000002</v>
      </c>
      <c r="T9" s="153">
        <v>131504.57</v>
      </c>
      <c r="U9" s="158">
        <f t="shared" si="2"/>
        <v>11.385725986556967</v>
      </c>
      <c r="V9" s="159">
        <v>121.24</v>
      </c>
      <c r="W9" s="159"/>
      <c r="X9" s="156">
        <v>281.85000000000002</v>
      </c>
      <c r="Y9" s="156">
        <v>5.51</v>
      </c>
      <c r="Z9" s="153">
        <v>49281.697</v>
      </c>
      <c r="AA9" s="158">
        <f>(V9+X9+Y9)/Z9*1000</f>
        <v>8.2911105922346788</v>
      </c>
      <c r="AB9" s="176">
        <v>226.33</v>
      </c>
      <c r="AC9" s="175"/>
      <c r="AD9" s="173">
        <f t="shared" si="5"/>
        <v>16299.934999999999</v>
      </c>
      <c r="AE9" s="162">
        <f t="shared" si="6"/>
        <v>1028633.4590000001</v>
      </c>
      <c r="AF9" s="163">
        <f t="shared" si="3"/>
        <v>15.846203385067991</v>
      </c>
    </row>
    <row r="10" spans="1:35" s="67" customFormat="1" ht="15" thickTop="1" thickBot="1">
      <c r="A10" s="150" t="s">
        <v>180</v>
      </c>
      <c r="B10" s="151">
        <v>5089.32</v>
      </c>
      <c r="C10" s="152">
        <v>462.48999999999995</v>
      </c>
      <c r="D10" s="152"/>
      <c r="E10" s="152"/>
      <c r="F10" s="153">
        <v>329777.28700000001</v>
      </c>
      <c r="G10" s="158">
        <f>(B10+C10)/F10*1000</f>
        <v>16.835028423288591</v>
      </c>
      <c r="H10" s="155">
        <v>7149.01</v>
      </c>
      <c r="I10" s="156">
        <v>1024.17</v>
      </c>
      <c r="J10" s="157">
        <v>311141.46999999997</v>
      </c>
      <c r="K10" s="158">
        <f t="shared" si="0"/>
        <v>26.268372390218513</v>
      </c>
      <c r="L10" s="152">
        <v>608.03</v>
      </c>
      <c r="M10" s="156">
        <v>1332.3</v>
      </c>
      <c r="N10" s="153">
        <v>311141.46999999997</v>
      </c>
      <c r="O10" s="154">
        <f t="shared" si="1"/>
        <v>6.2361664615134718</v>
      </c>
      <c r="P10" s="155">
        <v>460.74</v>
      </c>
      <c r="Q10" s="159"/>
      <c r="R10" s="156">
        <v>912.08999999999992</v>
      </c>
      <c r="S10" s="156">
        <v>293.15999999999997</v>
      </c>
      <c r="T10" s="153">
        <v>124764.443</v>
      </c>
      <c r="U10" s="158">
        <f t="shared" si="2"/>
        <v>13.3530832979393</v>
      </c>
      <c r="V10" s="159">
        <v>271.91000000000003</v>
      </c>
      <c r="W10" s="159"/>
      <c r="X10" s="156">
        <v>453.49</v>
      </c>
      <c r="Y10" s="156">
        <v>47.72</v>
      </c>
      <c r="Z10" s="153">
        <v>66333.27</v>
      </c>
      <c r="AA10" s="158">
        <f t="shared" si="4"/>
        <v>11.655086504856463</v>
      </c>
      <c r="AB10" s="176">
        <v>162.07999999999998</v>
      </c>
      <c r="AC10" s="175"/>
      <c r="AD10" s="173">
        <f t="shared" si="5"/>
        <v>18266.510000000002</v>
      </c>
      <c r="AE10" s="162">
        <f t="shared" si="6"/>
        <v>1143157.94</v>
      </c>
      <c r="AF10" s="163">
        <f t="shared" si="3"/>
        <v>15.978990619616395</v>
      </c>
    </row>
    <row r="11" spans="1:35" s="646" customFormat="1" ht="15" thickTop="1" thickBot="1">
      <c r="A11" s="632" t="s">
        <v>181</v>
      </c>
      <c r="B11" s="633">
        <v>5094.3599999999997</v>
      </c>
      <c r="C11" s="634">
        <v>875.56999999999994</v>
      </c>
      <c r="D11" s="634"/>
      <c r="E11" s="634"/>
      <c r="F11" s="635">
        <v>309869.57399999996</v>
      </c>
      <c r="G11" s="636">
        <f>(B11+C11)/F11*1000</f>
        <v>19.265944451842181</v>
      </c>
      <c r="H11" s="637">
        <v>6887.4699999999993</v>
      </c>
      <c r="I11" s="638">
        <v>1113.9100000000001</v>
      </c>
      <c r="J11" s="639">
        <v>288508.78000000003</v>
      </c>
      <c r="K11" s="636">
        <f t="shared" si="0"/>
        <v>27.733575387203118</v>
      </c>
      <c r="L11" s="634">
        <v>561.42999999999995</v>
      </c>
      <c r="M11" s="638">
        <v>2437.92</v>
      </c>
      <c r="N11" s="635">
        <v>288508.78000000003</v>
      </c>
      <c r="O11" s="640">
        <f t="shared" si="1"/>
        <v>10.39604409959378</v>
      </c>
      <c r="P11" s="637">
        <v>614.95000000000005</v>
      </c>
      <c r="Q11" s="641"/>
      <c r="R11" s="638">
        <v>798.57500000000005</v>
      </c>
      <c r="S11" s="638">
        <v>371.06</v>
      </c>
      <c r="T11" s="635">
        <v>115364.89</v>
      </c>
      <c r="U11" s="636">
        <f t="shared" si="2"/>
        <v>15.469047818621421</v>
      </c>
      <c r="V11" s="641">
        <v>144.81</v>
      </c>
      <c r="W11" s="641"/>
      <c r="X11" s="638">
        <v>593.92000000000007</v>
      </c>
      <c r="Y11" s="638">
        <v>51.81</v>
      </c>
      <c r="Z11" s="635">
        <v>52441.53</v>
      </c>
      <c r="AA11" s="636">
        <f t="shared" si="4"/>
        <v>15.074693663590669</v>
      </c>
      <c r="AB11" s="642">
        <v>316.51</v>
      </c>
      <c r="AC11" s="642"/>
      <c r="AD11" s="643">
        <f t="shared" si="5"/>
        <v>19862.294999999998</v>
      </c>
      <c r="AE11" s="644">
        <f t="shared" si="6"/>
        <v>1054693.554</v>
      </c>
      <c r="AF11" s="645">
        <f t="shared" si="3"/>
        <v>18.832290123202931</v>
      </c>
      <c r="AG11" s="646" t="s">
        <v>1129</v>
      </c>
      <c r="AH11" s="2201">
        <f>AVERAGE(AE19:AE21,AE23:AE24)</f>
        <v>26012.788</v>
      </c>
    </row>
    <row r="12" spans="1:35" s="646" customFormat="1" ht="15" thickTop="1" thickBot="1">
      <c r="A12" s="632" t="s">
        <v>496</v>
      </c>
      <c r="B12" s="633">
        <v>5445.77</v>
      </c>
      <c r="C12" s="634">
        <v>974.07999999999993</v>
      </c>
      <c r="D12" s="634"/>
      <c r="E12" s="634"/>
      <c r="F12" s="635">
        <v>316522.94099999999</v>
      </c>
      <c r="G12" s="636">
        <f>(B12+C12)/F12*1000</f>
        <v>20.282416117193858</v>
      </c>
      <c r="H12" s="637">
        <v>6714.86</v>
      </c>
      <c r="I12" s="638">
        <v>1240.22</v>
      </c>
      <c r="J12" s="639">
        <v>284581.30999999994</v>
      </c>
      <c r="K12" s="636">
        <f t="shared" si="0"/>
        <v>27.953627734723693</v>
      </c>
      <c r="L12" s="634">
        <v>505.16999999999996</v>
      </c>
      <c r="M12" s="638">
        <v>2648.24</v>
      </c>
      <c r="N12" s="635">
        <v>284581.30999999994</v>
      </c>
      <c r="O12" s="640">
        <f t="shared" si="1"/>
        <v>11.080875269004844</v>
      </c>
      <c r="P12" s="637">
        <v>487.34</v>
      </c>
      <c r="Q12" s="641"/>
      <c r="R12" s="638">
        <v>720.04</v>
      </c>
      <c r="S12" s="638">
        <v>405.65</v>
      </c>
      <c r="T12" s="635">
        <v>102394.12299999999</v>
      </c>
      <c r="U12" s="636">
        <f t="shared" si="2"/>
        <v>15.753150207654006</v>
      </c>
      <c r="V12" s="641">
        <v>389.86</v>
      </c>
      <c r="W12" s="641"/>
      <c r="X12" s="638">
        <v>458.70499999999998</v>
      </c>
      <c r="Y12" s="638">
        <v>101.25</v>
      </c>
      <c r="Z12" s="635">
        <v>49101.455000000002</v>
      </c>
      <c r="AA12" s="636">
        <f t="shared" si="4"/>
        <v>19.343927791956471</v>
      </c>
      <c r="AB12" s="642">
        <v>447.39000000000004</v>
      </c>
      <c r="AC12" s="642"/>
      <c r="AD12" s="643">
        <f t="shared" si="5"/>
        <v>20538.575000000001</v>
      </c>
      <c r="AE12" s="644">
        <f t="shared" si="6"/>
        <v>1037181.1389999999</v>
      </c>
      <c r="AF12" s="645">
        <f t="shared" si="3"/>
        <v>19.80230282610259</v>
      </c>
      <c r="AG12" s="646" t="s">
        <v>1130</v>
      </c>
      <c r="AH12" s="2202">
        <f>AVERAGE(AD19:AD21,AD23:AD24)</f>
        <v>340.87399999999997</v>
      </c>
    </row>
    <row r="13" spans="1:35" s="646" customFormat="1" ht="14.25" thickTop="1">
      <c r="A13" s="647" t="s">
        <v>584</v>
      </c>
      <c r="B13" s="648">
        <v>5375.46</v>
      </c>
      <c r="C13" s="649">
        <v>808.61999999999989</v>
      </c>
      <c r="D13" s="649"/>
      <c r="E13" s="649"/>
      <c r="F13" s="650">
        <v>334908.255</v>
      </c>
      <c r="G13" s="651">
        <f>(B13+C13)/F13*1000</f>
        <v>18.464997227375001</v>
      </c>
      <c r="H13" s="652">
        <v>6734.33</v>
      </c>
      <c r="I13" s="653">
        <v>1568.88</v>
      </c>
      <c r="J13" s="654">
        <v>310956.38</v>
      </c>
      <c r="K13" s="655">
        <f>(H13+I13)/J13*1000</f>
        <v>26.702169609769701</v>
      </c>
      <c r="L13" s="649">
        <v>594.27</v>
      </c>
      <c r="M13" s="653">
        <v>3284.27</v>
      </c>
      <c r="N13" s="650">
        <v>310956.38</v>
      </c>
      <c r="O13" s="651">
        <f t="shared" si="1"/>
        <v>12.472939130562299</v>
      </c>
      <c r="P13" s="652">
        <v>163.20999999999998</v>
      </c>
      <c r="Q13" s="656"/>
      <c r="R13" s="653">
        <v>742.44</v>
      </c>
      <c r="S13" s="653">
        <v>409.89</v>
      </c>
      <c r="T13" s="650">
        <v>119595.45999999999</v>
      </c>
      <c r="U13" s="655">
        <f t="shared" si="2"/>
        <v>10.999915883094561</v>
      </c>
      <c r="V13" s="656">
        <v>892.31999999999994</v>
      </c>
      <c r="W13" s="656"/>
      <c r="X13" s="653">
        <v>418.88499999999999</v>
      </c>
      <c r="Y13" s="653">
        <v>0</v>
      </c>
      <c r="Z13" s="650">
        <v>62751.048999999999</v>
      </c>
      <c r="AA13" s="655">
        <f t="shared" si="4"/>
        <v>20.895347900877322</v>
      </c>
      <c r="AB13" s="657">
        <v>441.82</v>
      </c>
      <c r="AC13" s="657"/>
      <c r="AD13" s="658">
        <f t="shared" si="5"/>
        <v>21434.394999999997</v>
      </c>
      <c r="AE13" s="659">
        <f t="shared" si="6"/>
        <v>1139167.5240000002</v>
      </c>
      <c r="AF13" s="660">
        <f t="shared" si="3"/>
        <v>18.815840996534583</v>
      </c>
      <c r="AG13" s="2201">
        <f>AH11-AE25</f>
        <v>26012.788</v>
      </c>
      <c r="AH13" s="2203">
        <f>AH12/AH11</f>
        <v>1.3104093263667084E-2</v>
      </c>
    </row>
    <row r="14" spans="1:35" s="646" customFormat="1">
      <c r="A14" s="647" t="s">
        <v>713</v>
      </c>
      <c r="B14" s="648">
        <v>5472.17</v>
      </c>
      <c r="C14" s="649">
        <v>812.41000000000008</v>
      </c>
      <c r="D14" s="649"/>
      <c r="E14" s="649"/>
      <c r="F14" s="650">
        <v>328722.44300000003</v>
      </c>
      <c r="G14" s="651">
        <v>19.118195711389259</v>
      </c>
      <c r="H14" s="652">
        <v>5813.76</v>
      </c>
      <c r="I14" s="653">
        <v>972</v>
      </c>
      <c r="J14" s="654">
        <v>313187.71999999997</v>
      </c>
      <c r="K14" s="655">
        <v>21.666749896835039</v>
      </c>
      <c r="L14" s="649">
        <v>506.82</v>
      </c>
      <c r="M14" s="653">
        <v>987.83</v>
      </c>
      <c r="N14" s="650">
        <v>313187.71999999997</v>
      </c>
      <c r="O14" s="651">
        <v>4.7723774099444256</v>
      </c>
      <c r="P14" s="652">
        <v>608.48</v>
      </c>
      <c r="Q14" s="656"/>
      <c r="R14" s="653">
        <v>542.54</v>
      </c>
      <c r="S14" s="653">
        <v>123</v>
      </c>
      <c r="T14" s="650">
        <v>125824.109</v>
      </c>
      <c r="U14" s="655">
        <v>10.125404504155878</v>
      </c>
      <c r="V14" s="656">
        <v>479.76</v>
      </c>
      <c r="W14" s="656"/>
      <c r="X14" s="653">
        <v>235.17499999999998</v>
      </c>
      <c r="Y14" s="653">
        <v>0</v>
      </c>
      <c r="Z14" s="650">
        <v>45086.7</v>
      </c>
      <c r="AA14" s="655">
        <v>15.856893496308224</v>
      </c>
      <c r="AB14" s="657">
        <v>446.32000000000005</v>
      </c>
      <c r="AC14" s="657"/>
      <c r="AD14" s="658">
        <v>17000.264999999999</v>
      </c>
      <c r="AE14" s="659">
        <v>1126008.6919999998</v>
      </c>
      <c r="AF14" s="660">
        <v>15.097809742307035</v>
      </c>
      <c r="AH14" s="646">
        <f>AG13*AH13</f>
        <v>340.87399999999997</v>
      </c>
    </row>
    <row r="15" spans="1:35" s="646" customFormat="1">
      <c r="A15" s="647" t="s">
        <v>977</v>
      </c>
      <c r="B15" s="648">
        <v>4956.8500000000004</v>
      </c>
      <c r="C15" s="649">
        <v>894.74</v>
      </c>
      <c r="D15" s="649"/>
      <c r="E15" s="649"/>
      <c r="F15" s="650">
        <v>331022.27099999995</v>
      </c>
      <c r="G15" s="1433">
        <v>17.677330236188251</v>
      </c>
      <c r="H15" s="652">
        <v>5107.49</v>
      </c>
      <c r="I15" s="653">
        <v>338.19</v>
      </c>
      <c r="J15" s="654">
        <v>309398.19</v>
      </c>
      <c r="K15" s="1434">
        <v>17.60086045663245</v>
      </c>
      <c r="L15" s="649">
        <v>387.63</v>
      </c>
      <c r="M15" s="653">
        <v>1108.83</v>
      </c>
      <c r="N15" s="650">
        <v>309398.51</v>
      </c>
      <c r="O15" s="1433">
        <v>4.8366748760360867</v>
      </c>
      <c r="P15" s="652">
        <v>595.42000000000007</v>
      </c>
      <c r="Q15" s="656"/>
      <c r="R15" s="653">
        <v>423.25</v>
      </c>
      <c r="S15" s="653">
        <v>55.730000000000004</v>
      </c>
      <c r="T15" s="650">
        <v>143690.88199999998</v>
      </c>
      <c r="U15" s="1434">
        <v>7.4771619816489139</v>
      </c>
      <c r="V15" s="656">
        <v>550.02</v>
      </c>
      <c r="W15" s="656"/>
      <c r="X15" s="653">
        <v>310.24</v>
      </c>
      <c r="Y15" s="653">
        <v>3.55</v>
      </c>
      <c r="Z15" s="650">
        <v>54644.93</v>
      </c>
      <c r="AA15" s="1434">
        <v>15.807687922740499</v>
      </c>
      <c r="AB15" s="657">
        <v>464.5</v>
      </c>
      <c r="AC15" s="657"/>
      <c r="AD15" s="658">
        <v>15196.439999999999</v>
      </c>
      <c r="AE15" s="659">
        <v>1148154.7829999998</v>
      </c>
      <c r="AF15" s="660">
        <v>13.235532547531095</v>
      </c>
      <c r="AG15" s="646" t="s">
        <v>1131</v>
      </c>
      <c r="AH15" s="2203">
        <f>AD25+AH14</f>
        <v>340.87399999999997</v>
      </c>
      <c r="AI15" s="2204">
        <f>(AH15/AH11)*1000</f>
        <v>13.104093263667083</v>
      </c>
    </row>
    <row r="16" spans="1:35" s="646" customFormat="1" ht="14.45" customHeight="1">
      <c r="A16" s="647" t="s">
        <v>1247</v>
      </c>
      <c r="B16" s="648">
        <v>4739.51</v>
      </c>
      <c r="C16" s="649">
        <v>919.1</v>
      </c>
      <c r="D16" s="649"/>
      <c r="E16" s="649"/>
      <c r="F16" s="650">
        <v>302401.179</v>
      </c>
      <c r="G16" s="1433">
        <v>18.71226170054053</v>
      </c>
      <c r="H16" s="652">
        <v>4902.4000000000005</v>
      </c>
      <c r="I16" s="653">
        <v>427.08600000000001</v>
      </c>
      <c r="J16" s="654">
        <v>291928.59999999998</v>
      </c>
      <c r="K16" s="1434">
        <v>18.256128382076991</v>
      </c>
      <c r="L16" s="649">
        <v>349.57</v>
      </c>
      <c r="M16" s="653">
        <v>948.28499999999997</v>
      </c>
      <c r="N16" s="650">
        <v>291928.59999999998</v>
      </c>
      <c r="O16" s="1433">
        <v>4.4457959925817487</v>
      </c>
      <c r="P16" s="652">
        <v>568.35</v>
      </c>
      <c r="Q16" s="656"/>
      <c r="R16" s="653">
        <v>437.47500000000002</v>
      </c>
      <c r="S16" s="653">
        <v>43.53</v>
      </c>
      <c r="T16" s="650">
        <v>151508.71799999999</v>
      </c>
      <c r="U16" s="1434">
        <v>6.9260370878459945</v>
      </c>
      <c r="V16" s="656">
        <v>404.41999999999996</v>
      </c>
      <c r="W16" s="656"/>
      <c r="X16" s="653">
        <v>272.17999999999995</v>
      </c>
      <c r="Y16" s="653">
        <v>0</v>
      </c>
      <c r="Z16" s="650">
        <v>52692.494999999995</v>
      </c>
      <c r="AA16" s="1434">
        <v>12.840538296772625</v>
      </c>
      <c r="AB16" s="657">
        <v>483.46000000000004</v>
      </c>
      <c r="AC16" s="657"/>
      <c r="AD16" s="658">
        <v>14495.366000000002</v>
      </c>
      <c r="AE16" s="659">
        <v>1090459.5919999999</v>
      </c>
      <c r="AF16" s="660">
        <v>13.292896047082506</v>
      </c>
      <c r="AH16" s="2203"/>
      <c r="AI16" s="2204"/>
    </row>
    <row r="17" spans="1:39" s="646" customFormat="1" ht="14.45" customHeight="1" thickBot="1">
      <c r="A17" s="647" t="s">
        <v>1886</v>
      </c>
      <c r="B17" s="648">
        <v>4060.29</v>
      </c>
      <c r="C17" s="649">
        <v>642.4</v>
      </c>
      <c r="D17" s="649">
        <v>72.400000000000006</v>
      </c>
      <c r="E17" s="649">
        <v>585.98</v>
      </c>
      <c r="F17" s="650">
        <v>281712.78500000003</v>
      </c>
      <c r="G17" s="1433">
        <v>16.950206927953232</v>
      </c>
      <c r="H17" s="652">
        <v>4335.13</v>
      </c>
      <c r="I17" s="653">
        <v>354.34</v>
      </c>
      <c r="J17" s="654">
        <v>265170.34399999998</v>
      </c>
      <c r="K17" s="1434">
        <v>17.68474531978584</v>
      </c>
      <c r="L17" s="649">
        <v>370.97</v>
      </c>
      <c r="M17" s="653">
        <v>490.90999999999997</v>
      </c>
      <c r="N17" s="650">
        <v>265170.34399999998</v>
      </c>
      <c r="O17" s="1433">
        <v>3.2502880488023203</v>
      </c>
      <c r="P17" s="652">
        <v>336.8</v>
      </c>
      <c r="Q17" s="656">
        <v>110.68</v>
      </c>
      <c r="R17" s="653">
        <v>465.11</v>
      </c>
      <c r="S17" s="653">
        <v>71.150000000000006</v>
      </c>
      <c r="T17" s="650">
        <v>157631.48799999998</v>
      </c>
      <c r="U17" s="1434">
        <v>6.2407581916628239</v>
      </c>
      <c r="V17" s="656">
        <v>287.54000000000002</v>
      </c>
      <c r="W17" s="656">
        <v>100.77</v>
      </c>
      <c r="X17" s="653">
        <v>307.06999999999994</v>
      </c>
      <c r="Y17" s="653">
        <v>0</v>
      </c>
      <c r="Z17" s="650">
        <v>56112.341</v>
      </c>
      <c r="AA17" s="1434">
        <v>12.392639259160473</v>
      </c>
      <c r="AB17" s="657">
        <v>422.88</v>
      </c>
      <c r="AC17" s="657">
        <v>26.41</v>
      </c>
      <c r="AD17" s="658">
        <v>13040.83</v>
      </c>
      <c r="AE17" s="659">
        <v>1025797.302</v>
      </c>
      <c r="AF17" s="660">
        <v>12.712872196655475</v>
      </c>
      <c r="AH17" s="2203"/>
      <c r="AI17" s="2204"/>
    </row>
    <row r="18" spans="1:39" ht="15" thickTop="1" thickBot="1">
      <c r="A18" s="177" t="s">
        <v>585</v>
      </c>
      <c r="B18" s="178">
        <f>B16/12</f>
        <v>394.9591666666667</v>
      </c>
      <c r="C18" s="179">
        <f>C16/12</f>
        <v>76.591666666666669</v>
      </c>
      <c r="D18" s="179"/>
      <c r="E18" s="179"/>
      <c r="F18" s="526">
        <f>F16/12</f>
        <v>25200.098249999999</v>
      </c>
      <c r="G18" s="180">
        <f>(B18+C18)/F18*1000</f>
        <v>18.712261700540527</v>
      </c>
      <c r="H18" s="178">
        <f>H16/12</f>
        <v>408.53333333333336</v>
      </c>
      <c r="I18" s="181">
        <f>I16/12</f>
        <v>35.590499999999999</v>
      </c>
      <c r="J18" s="526">
        <f>J16/12</f>
        <v>24327.383333333331</v>
      </c>
      <c r="K18" s="182">
        <f>(H18+I18)/J18*1000</f>
        <v>18.256128382076991</v>
      </c>
      <c r="L18" s="179">
        <f>L16/12</f>
        <v>29.130833333333332</v>
      </c>
      <c r="M18" s="181">
        <f>M16/12</f>
        <v>79.023749999999993</v>
      </c>
      <c r="N18" s="526">
        <f>N16/12</f>
        <v>24327.383333333331</v>
      </c>
      <c r="O18" s="180">
        <f>(L18+M18)/N18*1000</f>
        <v>4.4457959925817478</v>
      </c>
      <c r="P18" s="178">
        <f>P16/12</f>
        <v>47.362500000000004</v>
      </c>
      <c r="Q18" s="179"/>
      <c r="R18" s="181">
        <f>R16/12</f>
        <v>36.456250000000004</v>
      </c>
      <c r="S18" s="181">
        <f>S16/12</f>
        <v>3.6274999999999999</v>
      </c>
      <c r="T18" s="526">
        <f>T16/12</f>
        <v>12625.726499999999</v>
      </c>
      <c r="U18" s="182">
        <f>(P18+R18+S18)/T18*1000</f>
        <v>6.9260370878459954</v>
      </c>
      <c r="V18" s="179">
        <f>V16/12</f>
        <v>33.701666666666661</v>
      </c>
      <c r="W18" s="179"/>
      <c r="X18" s="181">
        <f>X16/12</f>
        <v>22.681666666666661</v>
      </c>
      <c r="Y18" s="181">
        <f>Y16/12</f>
        <v>0</v>
      </c>
      <c r="Z18" s="526">
        <f>Z16/12</f>
        <v>4391.0412499999993</v>
      </c>
      <c r="AA18" s="182">
        <f>(V18+X18+Y18)/Z18*1000</f>
        <v>12.840538296772625</v>
      </c>
      <c r="AB18" s="183">
        <f>AB16/12</f>
        <v>40.288333333333334</v>
      </c>
      <c r="AC18" s="183">
        <f>AC17/12</f>
        <v>2.2008333333333332</v>
      </c>
      <c r="AD18" s="184">
        <f>AD16/12</f>
        <v>1207.9471666666668</v>
      </c>
      <c r="AE18" s="527">
        <f t="shared" ref="AE18:AE37" si="7">F18+J18+N18+T18+Z18</f>
        <v>90871.632666666657</v>
      </c>
      <c r="AF18" s="185">
        <f>AD18/AE18*1000</f>
        <v>13.292896047082506</v>
      </c>
    </row>
    <row r="19" spans="1:39">
      <c r="A19" s="322" t="s">
        <v>586</v>
      </c>
      <c r="B19" s="195">
        <v>19.54</v>
      </c>
      <c r="C19" s="196">
        <v>0</v>
      </c>
      <c r="D19" s="196">
        <v>0</v>
      </c>
      <c r="E19" s="196">
        <v>70.56</v>
      </c>
      <c r="F19" s="197">
        <v>2138.14</v>
      </c>
      <c r="G19" s="1064">
        <f>(B19+C19)/F19*1000</f>
        <v>9.1387841769014191</v>
      </c>
      <c r="H19" s="528">
        <v>0</v>
      </c>
      <c r="I19" s="198">
        <v>4.91</v>
      </c>
      <c r="J19" s="197">
        <v>0</v>
      </c>
      <c r="K19" s="505" t="e">
        <f>(H19+I19)/N19*1000</f>
        <v>#DIV/0!</v>
      </c>
      <c r="L19" s="196">
        <v>3.5</v>
      </c>
      <c r="M19" s="198">
        <v>30.72</v>
      </c>
      <c r="N19" s="197">
        <v>0</v>
      </c>
      <c r="O19" s="1064" t="e">
        <f t="shared" ref="O19:O37" si="8">(L19+M19)/N19*1000</f>
        <v>#DIV/0!</v>
      </c>
      <c r="P19" s="528">
        <v>0</v>
      </c>
      <c r="Q19" s="529">
        <v>2.67</v>
      </c>
      <c r="R19" s="198">
        <v>37.229999999999997</v>
      </c>
      <c r="S19" s="198">
        <v>0</v>
      </c>
      <c r="T19" s="197">
        <v>12393.01</v>
      </c>
      <c r="U19" s="505">
        <f>(P19+R19+S19)/T19*1000</f>
        <v>3.0041128022974242</v>
      </c>
      <c r="V19" s="529">
        <v>37.58</v>
      </c>
      <c r="W19" s="529">
        <v>0</v>
      </c>
      <c r="X19" s="198">
        <v>38.6</v>
      </c>
      <c r="Y19" s="198">
        <v>0</v>
      </c>
      <c r="Z19" s="197">
        <v>4930.6499999999996</v>
      </c>
      <c r="AA19" s="505">
        <f>(V19+X19+Y19)/Z19*1000</f>
        <v>15.450295599971609</v>
      </c>
      <c r="AB19" s="530">
        <v>31.71</v>
      </c>
      <c r="AC19" s="4452">
        <v>3.94</v>
      </c>
      <c r="AD19" s="1065">
        <f>B19+C19+H19+I19+L19+M19+P19+R19+S19+V19+X19+Y19+AB19</f>
        <v>203.79000000000002</v>
      </c>
      <c r="AE19" s="1066">
        <f>F19+J19+N19+T19+Z19</f>
        <v>19461.8</v>
      </c>
      <c r="AF19" s="1067">
        <f t="shared" ref="AF19:AF37" si="9">AD19/AE19*1000</f>
        <v>10.471282204112674</v>
      </c>
      <c r="AH19" s="504">
        <v>17.307468207251407</v>
      </c>
      <c r="AI19" s="505">
        <v>24.331635716602126</v>
      </c>
      <c r="AJ19" s="504">
        <v>8.5735429287303244</v>
      </c>
      <c r="AK19" s="506">
        <v>9.4037571894505394</v>
      </c>
      <c r="AL19" s="199">
        <v>16.13725639072069</v>
      </c>
      <c r="AM19" s="199">
        <v>64.782333346109766</v>
      </c>
    </row>
    <row r="20" spans="1:39">
      <c r="A20" s="323" t="s">
        <v>5</v>
      </c>
      <c r="B20" s="244">
        <v>16.16</v>
      </c>
      <c r="C20" s="245">
        <v>0</v>
      </c>
      <c r="D20" s="245">
        <v>0</v>
      </c>
      <c r="E20" s="245">
        <v>65.25</v>
      </c>
      <c r="F20" s="246">
        <v>2122.54</v>
      </c>
      <c r="G20" s="1072">
        <f>(B20+C20)/F20*1000</f>
        <v>7.6135196509841983</v>
      </c>
      <c r="H20" s="531">
        <v>3.85</v>
      </c>
      <c r="I20" s="247">
        <v>7.52</v>
      </c>
      <c r="J20" s="246">
        <v>0</v>
      </c>
      <c r="K20" s="1072" t="e">
        <f>(H20+I20)/N20*1000</f>
        <v>#DIV/0!</v>
      </c>
      <c r="L20" s="245">
        <v>0</v>
      </c>
      <c r="M20" s="247">
        <v>3.71</v>
      </c>
      <c r="N20" s="246">
        <v>0</v>
      </c>
      <c r="O20" s="1072" t="e">
        <f t="shared" si="8"/>
        <v>#DIV/0!</v>
      </c>
      <c r="P20" s="531">
        <v>7.6</v>
      </c>
      <c r="Q20" s="533">
        <v>54.05</v>
      </c>
      <c r="R20" s="247">
        <v>68.72</v>
      </c>
      <c r="S20" s="247">
        <v>0</v>
      </c>
      <c r="T20" s="246">
        <v>11953.14</v>
      </c>
      <c r="U20" s="1072">
        <f>(P20+R20+S20)/T20*1000</f>
        <v>6.3849331640054405</v>
      </c>
      <c r="V20" s="533">
        <v>11.29</v>
      </c>
      <c r="W20" s="533">
        <v>0</v>
      </c>
      <c r="X20" s="247">
        <v>46.86</v>
      </c>
      <c r="Y20" s="247">
        <v>0</v>
      </c>
      <c r="Z20" s="246">
        <v>4764.8500000000004</v>
      </c>
      <c r="AA20" s="1072">
        <f>(V20+X20+Y20)/Z20*1000</f>
        <v>12.2039518557772</v>
      </c>
      <c r="AB20" s="534">
        <v>34.72</v>
      </c>
      <c r="AC20" s="4453">
        <v>0</v>
      </c>
      <c r="AD20" s="1073">
        <f>B20+C20+H20+I20+L20+M20+P20+R20+S20+V20+X20+Y20+AB20</f>
        <v>200.42999999999998</v>
      </c>
      <c r="AE20" s="1074">
        <f>F20+J20+N20+T20+Z20</f>
        <v>18840.53</v>
      </c>
      <c r="AF20" s="1075">
        <f>AD20/AE20*1000</f>
        <v>10.638235760883585</v>
      </c>
    </row>
    <row r="21" spans="1:39" s="68" customFormat="1" ht="14.25" thickBot="1">
      <c r="A21" s="324" t="s">
        <v>587</v>
      </c>
      <c r="B21" s="186">
        <v>365.76</v>
      </c>
      <c r="C21" s="187">
        <v>52.97</v>
      </c>
      <c r="D21" s="187">
        <v>0</v>
      </c>
      <c r="E21" s="187">
        <v>67.34</v>
      </c>
      <c r="F21" s="535">
        <v>27582.12</v>
      </c>
      <c r="G21" s="1068">
        <f t="shared" ref="G21:G37" si="10">(B21+C21+D21)/F21*1000</f>
        <v>15.181211596498024</v>
      </c>
      <c r="H21" s="188">
        <v>314.25</v>
      </c>
      <c r="I21" s="189">
        <v>25.56</v>
      </c>
      <c r="J21" s="535">
        <v>22809.14</v>
      </c>
      <c r="K21" s="552">
        <f>(H21+I21)/N21*1000</f>
        <v>14.897975109977843</v>
      </c>
      <c r="L21" s="187">
        <v>12.37</v>
      </c>
      <c r="M21" s="189">
        <v>205.19</v>
      </c>
      <c r="N21" s="535">
        <v>22809.14</v>
      </c>
      <c r="O21" s="1068">
        <f t="shared" si="8"/>
        <v>9.5382815836107806</v>
      </c>
      <c r="P21" s="188">
        <v>44.85</v>
      </c>
      <c r="Q21" s="536">
        <v>11.41</v>
      </c>
      <c r="R21" s="189">
        <v>28.81</v>
      </c>
      <c r="S21" s="189">
        <v>0</v>
      </c>
      <c r="T21" s="535">
        <v>13021.83</v>
      </c>
      <c r="U21" s="1069">
        <f t="shared" ref="U21:U37" si="11">(P21+Q21+R21+S21)/T21*1000</f>
        <v>6.5328759475434719</v>
      </c>
      <c r="V21" s="536">
        <v>79.33</v>
      </c>
      <c r="W21" s="536">
        <v>0</v>
      </c>
      <c r="X21" s="189">
        <v>59.05</v>
      </c>
      <c r="Y21" s="189">
        <v>0</v>
      </c>
      <c r="Z21" s="535">
        <v>5539.38</v>
      </c>
      <c r="AA21" s="1069">
        <f t="shared" ref="AA21:AA37" si="12">(V21+W21+X21+Y21)/Z21*1000</f>
        <v>24.981135072878192</v>
      </c>
      <c r="AB21" s="537">
        <v>28.83</v>
      </c>
      <c r="AC21" s="4454">
        <v>4.43</v>
      </c>
      <c r="AD21" s="1217">
        <f>B21+C21+D21+E21+H21+I21+L21+M21+P21+Q21+R21+S21+V21+W21+X21+Y21+AB21+AC21</f>
        <v>1300.1499999999999</v>
      </c>
      <c r="AE21" s="1070">
        <f>F21+J21+N21+T21+Z21</f>
        <v>91761.61</v>
      </c>
      <c r="AF21" s="1071">
        <f t="shared" si="9"/>
        <v>14.168779296701528</v>
      </c>
      <c r="AH21" s="68" t="s">
        <v>600</v>
      </c>
      <c r="AI21" s="624">
        <v>15.978990619616395</v>
      </c>
    </row>
    <row r="22" spans="1:39" s="69" customFormat="1" ht="15" thickTop="1" thickBot="1">
      <c r="A22" s="538" t="s">
        <v>588</v>
      </c>
      <c r="B22" s="539">
        <f>B19+B20+B21</f>
        <v>401.46</v>
      </c>
      <c r="C22" s="540">
        <f>C19+C20+C21</f>
        <v>52.97</v>
      </c>
      <c r="D22" s="540">
        <f>D19+D20+D21</f>
        <v>0</v>
      </c>
      <c r="E22" s="540">
        <f>E19+E20+E21</f>
        <v>203.15</v>
      </c>
      <c r="F22" s="541">
        <f>F19+F20+F21</f>
        <v>31842.799999999999</v>
      </c>
      <c r="G22" s="542">
        <f t="shared" si="10"/>
        <v>14.271044003668017</v>
      </c>
      <c r="H22" s="539">
        <f>H19+H20+H21</f>
        <v>318.10000000000002</v>
      </c>
      <c r="I22" s="543">
        <f>I19+I20+I21</f>
        <v>37.989999999999995</v>
      </c>
      <c r="J22" s="541">
        <f>J19+J20+J21</f>
        <v>22809.14</v>
      </c>
      <c r="K22" s="544">
        <f>(H22+I22)/J22*1000</f>
        <v>15.611724072016745</v>
      </c>
      <c r="L22" s="540">
        <f>L19+L20+L21</f>
        <v>15.87</v>
      </c>
      <c r="M22" s="543">
        <f>M19+M20+M21</f>
        <v>239.62</v>
      </c>
      <c r="N22" s="545">
        <f>N19+N20+N21</f>
        <v>22809.14</v>
      </c>
      <c r="O22" s="542">
        <f>(L22+M22)/N22*1000</f>
        <v>11.201211444184217</v>
      </c>
      <c r="P22" s="539">
        <f>P19+P20+P21</f>
        <v>52.45</v>
      </c>
      <c r="Q22" s="539">
        <f>Q19+Q20+Q21</f>
        <v>68.13</v>
      </c>
      <c r="R22" s="543">
        <f>R19+R20+R21</f>
        <v>134.76</v>
      </c>
      <c r="S22" s="543">
        <f>S19+S20+S21</f>
        <v>0</v>
      </c>
      <c r="T22" s="545">
        <f>T19+T20+T21</f>
        <v>37367.980000000003</v>
      </c>
      <c r="U22" s="544">
        <f t="shared" si="11"/>
        <v>6.8331229036196213</v>
      </c>
      <c r="V22" s="540">
        <f>V19+V20+V21</f>
        <v>128.19999999999999</v>
      </c>
      <c r="W22" s="540">
        <f>W19+W20+W21</f>
        <v>0</v>
      </c>
      <c r="X22" s="543">
        <f>X19+X20+X21</f>
        <v>144.51</v>
      </c>
      <c r="Y22" s="543">
        <f>Y19+Y20+Y21</f>
        <v>0</v>
      </c>
      <c r="Z22" s="545">
        <f>SUM(Z19:Z21)</f>
        <v>15234.880000000001</v>
      </c>
      <c r="AA22" s="544">
        <f t="shared" si="12"/>
        <v>17.900370728223653</v>
      </c>
      <c r="AB22" s="546">
        <f>AB19+AB20+AB21</f>
        <v>95.26</v>
      </c>
      <c r="AC22" s="546">
        <f>AC19+AC20+AC21</f>
        <v>8.3699999999999992</v>
      </c>
      <c r="AD22" s="577">
        <f>B22+C22+D22+E22+Q22+W22+AC22+H22+I22+L22+M22+P22+R22+S22+V22+X22+Y22+AB22</f>
        <v>1900.84</v>
      </c>
      <c r="AE22" s="547">
        <f t="shared" si="7"/>
        <v>130063.94</v>
      </c>
      <c r="AF22" s="548">
        <f t="shared" si="9"/>
        <v>14.614657990523737</v>
      </c>
      <c r="AH22" s="68" t="s">
        <v>485</v>
      </c>
      <c r="AI22" s="625">
        <v>18.832290123202931</v>
      </c>
    </row>
    <row r="23" spans="1:39" s="69" customFormat="1" ht="14.25" thickTop="1">
      <c r="A23" s="325" t="s">
        <v>7</v>
      </c>
      <c r="B23" s="190"/>
      <c r="C23" s="191"/>
      <c r="D23" s="191"/>
      <c r="E23" s="191"/>
      <c r="F23" s="549"/>
      <c r="G23" s="1068" t="e">
        <f t="shared" si="10"/>
        <v>#DIV/0!</v>
      </c>
      <c r="H23" s="192"/>
      <c r="I23" s="550"/>
      <c r="J23" s="549"/>
      <c r="K23" s="552" t="e">
        <f>(H23+I23)/N23*1000</f>
        <v>#DIV/0!</v>
      </c>
      <c r="L23" s="191"/>
      <c r="M23" s="193"/>
      <c r="N23" s="549"/>
      <c r="O23" s="585" t="e">
        <f>(L23+M23)/N23*1000</f>
        <v>#DIV/0!</v>
      </c>
      <c r="P23" s="551"/>
      <c r="Q23" s="553"/>
      <c r="R23" s="193"/>
      <c r="S23" s="193"/>
      <c r="T23" s="549"/>
      <c r="U23" s="588" t="e">
        <f t="shared" si="11"/>
        <v>#DIV/0!</v>
      </c>
      <c r="V23" s="553"/>
      <c r="W23" s="553"/>
      <c r="X23" s="193"/>
      <c r="Y23" s="193"/>
      <c r="Z23" s="549"/>
      <c r="AA23" s="1069" t="e">
        <f t="shared" si="12"/>
        <v>#DIV/0!</v>
      </c>
      <c r="AB23" s="554"/>
      <c r="AC23" s="554"/>
      <c r="AD23" s="1217">
        <f>B23+C23+D23+E23+H23+I23+L23+M23+P23+Q23+R23+S23+V23+W23+X23+Y23+AB23+AC23</f>
        <v>0</v>
      </c>
      <c r="AE23" s="602">
        <f t="shared" si="7"/>
        <v>0</v>
      </c>
      <c r="AF23" s="4667" t="e">
        <f t="shared" si="9"/>
        <v>#DIV/0!</v>
      </c>
      <c r="AH23" s="68" t="s">
        <v>486</v>
      </c>
      <c r="AI23" s="625">
        <v>19.80230282610259</v>
      </c>
    </row>
    <row r="24" spans="1:39" s="69" customFormat="1">
      <c r="A24" s="327" t="s">
        <v>8</v>
      </c>
      <c r="B24" s="556"/>
      <c r="C24" s="557"/>
      <c r="D24" s="557"/>
      <c r="E24" s="557"/>
      <c r="F24" s="558"/>
      <c r="G24" s="1068" t="e">
        <f t="shared" si="10"/>
        <v>#DIV/0!</v>
      </c>
      <c r="H24" s="556"/>
      <c r="I24" s="193"/>
      <c r="J24" s="558"/>
      <c r="K24" s="561" t="e">
        <f>(H24+I24)/N24*1000</f>
        <v>#DIV/0!</v>
      </c>
      <c r="L24" s="557"/>
      <c r="M24" s="194"/>
      <c r="N24" s="558"/>
      <c r="O24" s="561" t="e">
        <f>(L24+M24)/N24*1000</f>
        <v>#DIV/0!</v>
      </c>
      <c r="P24" s="560"/>
      <c r="Q24" s="562"/>
      <c r="R24" s="194"/>
      <c r="S24" s="194"/>
      <c r="T24" s="558"/>
      <c r="U24" s="588" t="e">
        <f t="shared" si="11"/>
        <v>#DIV/0!</v>
      </c>
      <c r="V24" s="562"/>
      <c r="W24" s="562"/>
      <c r="X24" s="194"/>
      <c r="Y24" s="194"/>
      <c r="Z24" s="558"/>
      <c r="AA24" s="1069" t="e">
        <f t="shared" si="12"/>
        <v>#DIV/0!</v>
      </c>
      <c r="AB24" s="563"/>
      <c r="AC24" s="563"/>
      <c r="AD24" s="564">
        <f>B24+C24+D24+E24+H24+I24+L24+M24+P24+Q24+R24+S24+V24+W24+X24+Y24+AB24+AC24</f>
        <v>0</v>
      </c>
      <c r="AE24" s="1270">
        <f t="shared" si="7"/>
        <v>0</v>
      </c>
      <c r="AF24" s="328" t="e">
        <f>AD24/AE24*1000</f>
        <v>#DIV/0!</v>
      </c>
      <c r="AG24" s="69">
        <f>AD24*1000/26554.18</f>
        <v>0</v>
      </c>
      <c r="AH24" s="68" t="s">
        <v>601</v>
      </c>
      <c r="AI24" s="625">
        <v>18.815840996534583</v>
      </c>
    </row>
    <row r="25" spans="1:39" s="67" customFormat="1" ht="14.25" thickBot="1">
      <c r="A25" s="565" t="s">
        <v>627</v>
      </c>
      <c r="B25" s="566"/>
      <c r="C25" s="567"/>
      <c r="D25" s="567"/>
      <c r="E25" s="567"/>
      <c r="F25" s="568"/>
      <c r="G25" s="1068" t="e">
        <f t="shared" si="10"/>
        <v>#DIV/0!</v>
      </c>
      <c r="H25" s="570"/>
      <c r="I25" s="571"/>
      <c r="J25" s="568"/>
      <c r="K25" s="552" t="e">
        <f>(H25+I25)/N25*1000</f>
        <v>#DIV/0!</v>
      </c>
      <c r="L25" s="567"/>
      <c r="M25" s="571"/>
      <c r="N25" s="568"/>
      <c r="O25" s="569" t="e">
        <f>(L25+M25)/N25*1000</f>
        <v>#DIV/0!</v>
      </c>
      <c r="P25" s="570"/>
      <c r="Q25" s="572"/>
      <c r="R25" s="571"/>
      <c r="S25" s="571"/>
      <c r="T25" s="568"/>
      <c r="U25" s="588" t="e">
        <f t="shared" si="11"/>
        <v>#DIV/0!</v>
      </c>
      <c r="V25" s="4800"/>
      <c r="W25" s="572"/>
      <c r="X25" s="571"/>
      <c r="Y25" s="571"/>
      <c r="Z25" s="568"/>
      <c r="AA25" s="1069" t="e">
        <f t="shared" si="12"/>
        <v>#DIV/0!</v>
      </c>
      <c r="AB25" s="573"/>
      <c r="AC25" s="573"/>
      <c r="AD25" s="1217">
        <f>B25+C25+D25+E25+H25+I25+L25+M25+P25+Q25+R25+S25+V25+W25+X25+Y25+AB25+AC25</f>
        <v>0</v>
      </c>
      <c r="AE25" s="574">
        <f t="shared" si="7"/>
        <v>0</v>
      </c>
      <c r="AF25" s="575" t="e">
        <f t="shared" si="9"/>
        <v>#DIV/0!</v>
      </c>
      <c r="AH25" s="67" t="s">
        <v>108</v>
      </c>
      <c r="AI25" s="304">
        <v>16.13725639072069</v>
      </c>
    </row>
    <row r="26" spans="1:39" s="67" customFormat="1" ht="15" thickTop="1" thickBot="1">
      <c r="A26" s="538" t="s">
        <v>589</v>
      </c>
      <c r="B26" s="576">
        <f t="shared" ref="B26:Z26" si="13">SUM(B23:B25)</f>
        <v>0</v>
      </c>
      <c r="C26" s="540">
        <f t="shared" si="13"/>
        <v>0</v>
      </c>
      <c r="D26" s="540">
        <f t="shared" si="13"/>
        <v>0</v>
      </c>
      <c r="E26" s="540">
        <f t="shared" si="13"/>
        <v>0</v>
      </c>
      <c r="F26" s="541">
        <f t="shared" si="13"/>
        <v>0</v>
      </c>
      <c r="G26" s="542" t="e">
        <f t="shared" si="10"/>
        <v>#DIV/0!</v>
      </c>
      <c r="H26" s="539">
        <f t="shared" si="13"/>
        <v>0</v>
      </c>
      <c r="I26" s="543">
        <f t="shared" si="13"/>
        <v>0</v>
      </c>
      <c r="J26" s="541">
        <f t="shared" si="13"/>
        <v>0</v>
      </c>
      <c r="K26" s="544" t="e">
        <f>(H26+I26)/J26*1000</f>
        <v>#DIV/0!</v>
      </c>
      <c r="L26" s="540">
        <f t="shared" si="13"/>
        <v>0</v>
      </c>
      <c r="M26" s="543">
        <f t="shared" si="13"/>
        <v>0</v>
      </c>
      <c r="N26" s="545">
        <f t="shared" si="13"/>
        <v>0</v>
      </c>
      <c r="O26" s="542" t="e">
        <f t="shared" si="8"/>
        <v>#DIV/0!</v>
      </c>
      <c r="P26" s="539">
        <f>SUM(P23:P25)</f>
        <v>0</v>
      </c>
      <c r="Q26" s="543">
        <f>SUM(Q23:Q25)</f>
        <v>0</v>
      </c>
      <c r="R26" s="543">
        <f>SUM(R23:R25)</f>
        <v>0</v>
      </c>
      <c r="S26" s="543">
        <f>SUM(S23:S25)</f>
        <v>0</v>
      </c>
      <c r="T26" s="545">
        <f>SUM(T23:T25)</f>
        <v>0</v>
      </c>
      <c r="U26" s="544" t="e">
        <f t="shared" si="11"/>
        <v>#DIV/0!</v>
      </c>
      <c r="V26" s="540">
        <f t="shared" si="13"/>
        <v>0</v>
      </c>
      <c r="W26" s="543">
        <f>SUM(W23:W25)</f>
        <v>0</v>
      </c>
      <c r="X26" s="543">
        <f t="shared" si="13"/>
        <v>0</v>
      </c>
      <c r="Y26" s="543">
        <f t="shared" si="13"/>
        <v>0</v>
      </c>
      <c r="Z26" s="545">
        <f t="shared" si="13"/>
        <v>0</v>
      </c>
      <c r="AA26" s="544" t="e">
        <f t="shared" si="12"/>
        <v>#DIV/0!</v>
      </c>
      <c r="AB26" s="4672">
        <f>AB23+AB24+AB25</f>
        <v>0</v>
      </c>
      <c r="AC26" s="4672">
        <f>AC23+AC24+AC25</f>
        <v>0</v>
      </c>
      <c r="AD26" s="577">
        <f>B26+C26+D26+E26+Q26+W26+AC26+H26+I26+L26+M26+P26+R26+S26+V26+X26+Y26+AB26</f>
        <v>0</v>
      </c>
      <c r="AE26" s="547">
        <f t="shared" si="7"/>
        <v>0</v>
      </c>
      <c r="AF26" s="548" t="e">
        <f t="shared" si="9"/>
        <v>#DIV/0!</v>
      </c>
    </row>
    <row r="27" spans="1:39" s="69" customFormat="1" ht="15" thickTop="1" thickBot="1">
      <c r="A27" s="538" t="s">
        <v>590</v>
      </c>
      <c r="B27" s="539">
        <f t="shared" ref="B27:Z27" si="14">B26+B22</f>
        <v>401.46</v>
      </c>
      <c r="C27" s="540">
        <f t="shared" si="14"/>
        <v>52.97</v>
      </c>
      <c r="D27" s="540">
        <f t="shared" si="14"/>
        <v>0</v>
      </c>
      <c r="E27" s="540">
        <f t="shared" si="14"/>
        <v>203.15</v>
      </c>
      <c r="F27" s="541">
        <f t="shared" si="14"/>
        <v>31842.799999999999</v>
      </c>
      <c r="G27" s="542">
        <f t="shared" si="10"/>
        <v>14.271044003668017</v>
      </c>
      <c r="H27" s="539">
        <f t="shared" si="14"/>
        <v>318.10000000000002</v>
      </c>
      <c r="I27" s="543">
        <f t="shared" si="14"/>
        <v>37.989999999999995</v>
      </c>
      <c r="J27" s="541">
        <f t="shared" si="14"/>
        <v>22809.14</v>
      </c>
      <c r="K27" s="544">
        <f>(H27+I27)/J27*1000</f>
        <v>15.611724072016745</v>
      </c>
      <c r="L27" s="540">
        <f t="shared" si="14"/>
        <v>15.87</v>
      </c>
      <c r="M27" s="543">
        <f t="shared" si="14"/>
        <v>239.62</v>
      </c>
      <c r="N27" s="545">
        <f t="shared" si="14"/>
        <v>22809.14</v>
      </c>
      <c r="O27" s="542">
        <f t="shared" si="8"/>
        <v>11.201211444184217</v>
      </c>
      <c r="P27" s="539">
        <f>P26+P22</f>
        <v>52.45</v>
      </c>
      <c r="Q27" s="543">
        <f>Q26+Q22</f>
        <v>68.13</v>
      </c>
      <c r="R27" s="543">
        <f>R26+R22</f>
        <v>134.76</v>
      </c>
      <c r="S27" s="543">
        <f>S26+S22</f>
        <v>0</v>
      </c>
      <c r="T27" s="545">
        <f>T26+T22</f>
        <v>37367.980000000003</v>
      </c>
      <c r="U27" s="544">
        <f t="shared" si="11"/>
        <v>6.8331229036196213</v>
      </c>
      <c r="V27" s="540">
        <f t="shared" si="14"/>
        <v>128.19999999999999</v>
      </c>
      <c r="W27" s="543">
        <f>W26+W22</f>
        <v>0</v>
      </c>
      <c r="X27" s="543">
        <f t="shared" si="14"/>
        <v>144.51</v>
      </c>
      <c r="Y27" s="543">
        <f t="shared" si="14"/>
        <v>0</v>
      </c>
      <c r="Z27" s="545">
        <f t="shared" si="14"/>
        <v>15234.880000000001</v>
      </c>
      <c r="AA27" s="544">
        <f t="shared" si="12"/>
        <v>17.900370728223653</v>
      </c>
      <c r="AB27" s="4672">
        <f>AB22+AB26</f>
        <v>95.26</v>
      </c>
      <c r="AC27" s="4672">
        <f>AC22+AC26</f>
        <v>8.3699999999999992</v>
      </c>
      <c r="AD27" s="577">
        <f>B27+C27+D27+E27+Q27+W27+AC27+H27+I27+L27+M27+P27+R27+S27+V27+X27+Y27+AB27</f>
        <v>1900.84</v>
      </c>
      <c r="AE27" s="547">
        <f t="shared" si="7"/>
        <v>130063.94</v>
      </c>
      <c r="AF27" s="548">
        <f t="shared" si="9"/>
        <v>14.614657990523737</v>
      </c>
      <c r="AG27" s="579"/>
    </row>
    <row r="28" spans="1:39" s="69" customFormat="1" ht="14.25" thickTop="1">
      <c r="A28" s="325" t="s">
        <v>10</v>
      </c>
      <c r="B28" s="190"/>
      <c r="C28" s="191"/>
      <c r="D28" s="191"/>
      <c r="E28" s="191"/>
      <c r="F28" s="549"/>
      <c r="G28" s="1068" t="e">
        <f t="shared" si="10"/>
        <v>#DIV/0!</v>
      </c>
      <c r="H28" s="192"/>
      <c r="I28" s="193"/>
      <c r="J28" s="549"/>
      <c r="K28" s="532" t="e">
        <f>(H28+I28)/N28*1000</f>
        <v>#DIV/0!</v>
      </c>
      <c r="L28" s="191"/>
      <c r="M28" s="193"/>
      <c r="N28" s="549"/>
      <c r="O28" s="559" t="e">
        <f>(L28+M28)/N28*1000</f>
        <v>#DIV/0!</v>
      </c>
      <c r="P28" s="192"/>
      <c r="Q28" s="578"/>
      <c r="R28" s="193"/>
      <c r="S28" s="193"/>
      <c r="T28" s="549"/>
      <c r="U28" s="4799" t="e">
        <f t="shared" si="11"/>
        <v>#DIV/0!</v>
      </c>
      <c r="V28" s="4801"/>
      <c r="W28" s="578"/>
      <c r="X28" s="193"/>
      <c r="Y28" s="193"/>
      <c r="Z28" s="549"/>
      <c r="AA28" s="1069" t="e">
        <f t="shared" si="12"/>
        <v>#DIV/0!</v>
      </c>
      <c r="AB28" s="554"/>
      <c r="AC28" s="554"/>
      <c r="AD28" s="1217">
        <f>B28+C28+D28+E28+H28+I28+L28+M28+P28+Q28+R28+S28+V28+W28+X28+Y28+AB28+AC28</f>
        <v>0</v>
      </c>
      <c r="AE28" s="555">
        <f>F28+J28+N28+T28+Z28</f>
        <v>0</v>
      </c>
      <c r="AF28" s="328" t="e">
        <f>AD28/AE28*1000</f>
        <v>#DIV/0!</v>
      </c>
      <c r="AG28" s="4950">
        <f>AD28-E28</f>
        <v>0</v>
      </c>
      <c r="AH28" s="579"/>
      <c r="AI28" s="580"/>
    </row>
    <row r="29" spans="1:39">
      <c r="A29" s="327" t="s">
        <v>931</v>
      </c>
      <c r="B29" s="556"/>
      <c r="C29" s="557"/>
      <c r="D29" s="557"/>
      <c r="E29" s="557"/>
      <c r="F29" s="558"/>
      <c r="G29" s="1068" t="e">
        <f t="shared" si="10"/>
        <v>#DIV/0!</v>
      </c>
      <c r="H29" s="560"/>
      <c r="I29" s="194"/>
      <c r="J29" s="558"/>
      <c r="K29" s="532" t="e">
        <f>(H29+I29)/N29*1000</f>
        <v>#DIV/0!</v>
      </c>
      <c r="L29" s="557"/>
      <c r="M29" s="194"/>
      <c r="N29" s="558"/>
      <c r="O29" s="559" t="e">
        <f>(L29+M29)/N29*1000</f>
        <v>#DIV/0!</v>
      </c>
      <c r="P29" s="560"/>
      <c r="Q29" s="562"/>
      <c r="R29" s="194"/>
      <c r="S29" s="194"/>
      <c r="T29" s="558"/>
      <c r="U29" s="4669" t="e">
        <f t="shared" si="11"/>
        <v>#DIV/0!</v>
      </c>
      <c r="V29" s="562"/>
      <c r="W29" s="562"/>
      <c r="X29" s="194"/>
      <c r="Y29" s="194"/>
      <c r="Z29" s="558"/>
      <c r="AA29" s="1069" t="e">
        <f t="shared" si="12"/>
        <v>#DIV/0!</v>
      </c>
      <c r="AB29" s="563"/>
      <c r="AC29" s="563"/>
      <c r="AD29" s="564">
        <f>B29+C29+D29+E29+H29+I29+L29+M29+P29+Q29+R29+S29+V29+W29+X29+Y29+AB29+AC29</f>
        <v>0</v>
      </c>
      <c r="AE29" s="555">
        <f>F29+J29+N29+T29+Z29</f>
        <v>0</v>
      </c>
      <c r="AF29" s="328" t="e">
        <f>AD29/AE29*1000</f>
        <v>#DIV/0!</v>
      </c>
      <c r="AG29" s="4950">
        <f>AD29-E29</f>
        <v>0</v>
      </c>
    </row>
    <row r="30" spans="1:39" s="67" customFormat="1" ht="14.25" thickBot="1">
      <c r="A30" s="581" t="s">
        <v>671</v>
      </c>
      <c r="B30" s="582"/>
      <c r="C30" s="583"/>
      <c r="D30" s="583"/>
      <c r="E30" s="583"/>
      <c r="F30" s="584"/>
      <c r="G30" s="1068" t="e">
        <f t="shared" si="10"/>
        <v>#DIV/0!</v>
      </c>
      <c r="H30" s="586"/>
      <c r="I30" s="587"/>
      <c r="J30" s="584"/>
      <c r="K30" s="532" t="e">
        <f>(H30+I30)/N30*1000</f>
        <v>#DIV/0!</v>
      </c>
      <c r="L30" s="583"/>
      <c r="M30" s="587"/>
      <c r="N30" s="584"/>
      <c r="O30" s="585" t="e">
        <f>(L30+M30)/N30*1000</f>
        <v>#DIV/0!</v>
      </c>
      <c r="P30" s="586"/>
      <c r="Q30" s="589"/>
      <c r="R30" s="587"/>
      <c r="S30" s="587"/>
      <c r="T30" s="584"/>
      <c r="U30" s="4669" t="e">
        <f t="shared" si="11"/>
        <v>#DIV/0!</v>
      </c>
      <c r="V30" s="589"/>
      <c r="W30" s="589"/>
      <c r="X30" s="587"/>
      <c r="Y30" s="587"/>
      <c r="Z30" s="584"/>
      <c r="AA30" s="1069" t="e">
        <f t="shared" si="12"/>
        <v>#DIV/0!</v>
      </c>
      <c r="AB30" s="590"/>
      <c r="AC30" s="590"/>
      <c r="AD30" s="1217">
        <f>B30+C30+D30+E30+H30+I30+L30+M30+P30+Q30+R30+S30+V30+W30+X30+Y30+AB30+AC30</f>
        <v>0</v>
      </c>
      <c r="AE30" s="555">
        <f>F30+J30+N30+T30+Z30</f>
        <v>0</v>
      </c>
      <c r="AF30" s="591" t="e">
        <f>AD30/AE30*1000</f>
        <v>#DIV/0!</v>
      </c>
      <c r="AG30" s="4950">
        <f>AD30-E30</f>
        <v>0</v>
      </c>
    </row>
    <row r="31" spans="1:39" s="69" customFormat="1" ht="15" thickTop="1" thickBot="1">
      <c r="A31" s="538" t="s">
        <v>591</v>
      </c>
      <c r="B31" s="539">
        <f>SUM(B28:B30)</f>
        <v>0</v>
      </c>
      <c r="C31" s="540">
        <f>SUM(C28:C30)</f>
        <v>0</v>
      </c>
      <c r="D31" s="540">
        <f>SUM(D28:D30)</f>
        <v>0</v>
      </c>
      <c r="E31" s="540">
        <f>SUM(E28:E30)</f>
        <v>0</v>
      </c>
      <c r="F31" s="545">
        <f>SUM(F28:F30)</f>
        <v>0</v>
      </c>
      <c r="G31" s="4668" t="e">
        <f t="shared" si="10"/>
        <v>#DIV/0!</v>
      </c>
      <c r="H31" s="539">
        <f>SUM(H28:H30)</f>
        <v>0</v>
      </c>
      <c r="I31" s="543">
        <f>SUM(I28:I30)</f>
        <v>0</v>
      </c>
      <c r="J31" s="541">
        <f>SUM(J28:J30)</f>
        <v>0</v>
      </c>
      <c r="K31" s="544" t="e">
        <f>(H31+I31)/J31*1000</f>
        <v>#DIV/0!</v>
      </c>
      <c r="L31" s="540">
        <f>SUM(L28:L30)</f>
        <v>0</v>
      </c>
      <c r="M31" s="543">
        <f>SUM(M28:M30)</f>
        <v>0</v>
      </c>
      <c r="N31" s="545">
        <f>SUM(N28:N30)</f>
        <v>0</v>
      </c>
      <c r="O31" s="542" t="e">
        <f t="shared" si="8"/>
        <v>#DIV/0!</v>
      </c>
      <c r="P31" s="539">
        <f>SUM(P28:P30)</f>
        <v>0</v>
      </c>
      <c r="Q31" s="543">
        <f>SUM(Q28:Q30)</f>
        <v>0</v>
      </c>
      <c r="R31" s="543">
        <f>SUM(R28:R30)</f>
        <v>0</v>
      </c>
      <c r="S31" s="543">
        <f>SUM(S28:S30)</f>
        <v>0</v>
      </c>
      <c r="T31" s="545">
        <f>SUM(T28:T30)</f>
        <v>0</v>
      </c>
      <c r="U31" s="4670" t="e">
        <f t="shared" si="11"/>
        <v>#DIV/0!</v>
      </c>
      <c r="V31" s="540">
        <f>SUM(V28:V30)</f>
        <v>0</v>
      </c>
      <c r="W31" s="543">
        <f>SUM(W28:W30)</f>
        <v>0</v>
      </c>
      <c r="X31" s="543">
        <f>SUM(X28:X30)</f>
        <v>0</v>
      </c>
      <c r="Y31" s="543">
        <f>SUM(Y28:Y30)</f>
        <v>0</v>
      </c>
      <c r="Z31" s="545">
        <f>SUM(Z28:Z30)</f>
        <v>0</v>
      </c>
      <c r="AA31" s="4670" t="e">
        <f t="shared" si="12"/>
        <v>#DIV/0!</v>
      </c>
      <c r="AB31" s="546">
        <f>AB28+AB29+AB30</f>
        <v>0</v>
      </c>
      <c r="AC31" s="546">
        <f>AC28+AC29+AC30</f>
        <v>0</v>
      </c>
      <c r="AD31" s="577">
        <f>B31+C31+D31+E31+Q31+W31+AC31+H31+I31+L31+M31+P31+R31+S31+V31+X31+Y31+AB31</f>
        <v>0</v>
      </c>
      <c r="AE31" s="592">
        <f t="shared" si="7"/>
        <v>0</v>
      </c>
      <c r="AF31" s="593" t="e">
        <f t="shared" si="9"/>
        <v>#DIV/0!</v>
      </c>
    </row>
    <row r="32" spans="1:39" ht="14.25" thickTop="1">
      <c r="A32" s="594" t="s">
        <v>674</v>
      </c>
      <c r="B32" s="595"/>
      <c r="C32" s="596"/>
      <c r="D32" s="596"/>
      <c r="E32" s="596"/>
      <c r="F32" s="597"/>
      <c r="G32" s="1068" t="e">
        <f t="shared" si="10"/>
        <v>#DIV/0!</v>
      </c>
      <c r="H32" s="599"/>
      <c r="I32" s="600"/>
      <c r="J32" s="597"/>
      <c r="K32" s="505" t="e">
        <f t="shared" ref="K32:K37" si="15">(H32+I32)/N32*1000</f>
        <v>#DIV/0!</v>
      </c>
      <c r="L32" s="596"/>
      <c r="M32" s="600"/>
      <c r="N32" s="597"/>
      <c r="O32" s="598" t="e">
        <f t="shared" si="8"/>
        <v>#DIV/0!</v>
      </c>
      <c r="P32" s="599"/>
      <c r="Q32" s="601"/>
      <c r="R32" s="600"/>
      <c r="S32" s="600"/>
      <c r="T32" s="597"/>
      <c r="U32" s="4671" t="e">
        <f t="shared" si="11"/>
        <v>#DIV/0!</v>
      </c>
      <c r="V32" s="601"/>
      <c r="W32" s="601"/>
      <c r="X32" s="600"/>
      <c r="Y32" s="600"/>
      <c r="Z32" s="597"/>
      <c r="AA32" s="1069" t="e">
        <f t="shared" si="12"/>
        <v>#DIV/0!</v>
      </c>
      <c r="AB32" s="554"/>
      <c r="AC32" s="554"/>
      <c r="AD32" s="1217">
        <f>B32+C32+D32+E32+H32+I32+L32+M32+P32+Q32+R32+S32+V32+W32+X32+Y32+AB32+AC32</f>
        <v>0</v>
      </c>
      <c r="AE32" s="555">
        <f t="shared" si="7"/>
        <v>0</v>
      </c>
      <c r="AF32" s="326" t="e">
        <f t="shared" si="9"/>
        <v>#DIV/0!</v>
      </c>
      <c r="AG32" s="4950">
        <f>AD32-E32</f>
        <v>0</v>
      </c>
    </row>
    <row r="33" spans="1:32" s="69" customFormat="1">
      <c r="A33" s="327" t="s">
        <v>698</v>
      </c>
      <c r="B33" s="556"/>
      <c r="C33" s="557"/>
      <c r="D33" s="557"/>
      <c r="E33" s="557"/>
      <c r="F33" s="558"/>
      <c r="G33" s="1068" t="e">
        <f t="shared" si="10"/>
        <v>#DIV/0!</v>
      </c>
      <c r="H33" s="560"/>
      <c r="I33" s="194"/>
      <c r="J33" s="558"/>
      <c r="K33" s="532" t="e">
        <f t="shared" si="15"/>
        <v>#DIV/0!</v>
      </c>
      <c r="L33" s="557"/>
      <c r="M33" s="194"/>
      <c r="N33" s="558"/>
      <c r="O33" s="559" t="e">
        <f t="shared" si="8"/>
        <v>#DIV/0!</v>
      </c>
      <c r="P33" s="560"/>
      <c r="Q33" s="562"/>
      <c r="R33" s="194"/>
      <c r="S33" s="194"/>
      <c r="T33" s="558"/>
      <c r="U33" s="4671" t="e">
        <f t="shared" si="11"/>
        <v>#DIV/0!</v>
      </c>
      <c r="V33" s="562"/>
      <c r="W33" s="562"/>
      <c r="X33" s="194"/>
      <c r="Y33" s="194"/>
      <c r="Z33" s="558"/>
      <c r="AA33" s="1069" t="e">
        <f t="shared" si="12"/>
        <v>#DIV/0!</v>
      </c>
      <c r="AB33" s="563"/>
      <c r="AC33" s="563"/>
      <c r="AD33" s="564">
        <f>B33+C33+D33+E33+H33+I33+L33+M33+P33+Q33+R33+S33+V33+W33+X33+Y33+AB33+AC33</f>
        <v>0</v>
      </c>
      <c r="AE33" s="555">
        <f t="shared" si="7"/>
        <v>0</v>
      </c>
      <c r="AF33" s="328" t="e">
        <f t="shared" si="9"/>
        <v>#DIV/0!</v>
      </c>
    </row>
    <row r="34" spans="1:32" s="67" customFormat="1" ht="14.25" thickBot="1">
      <c r="A34" s="581" t="s">
        <v>592</v>
      </c>
      <c r="B34" s="582"/>
      <c r="C34" s="583"/>
      <c r="D34" s="583"/>
      <c r="E34" s="583"/>
      <c r="F34" s="584"/>
      <c r="G34" s="1068" t="e">
        <f t="shared" si="10"/>
        <v>#DIV/0!</v>
      </c>
      <c r="H34" s="586"/>
      <c r="I34" s="587"/>
      <c r="J34" s="584"/>
      <c r="K34" s="552" t="e">
        <f t="shared" si="15"/>
        <v>#DIV/0!</v>
      </c>
      <c r="L34" s="583"/>
      <c r="M34" s="587"/>
      <c r="N34" s="584"/>
      <c r="O34" s="585" t="e">
        <f t="shared" si="8"/>
        <v>#DIV/0!</v>
      </c>
      <c r="P34" s="586"/>
      <c r="Q34" s="589"/>
      <c r="R34" s="587"/>
      <c r="S34" s="587"/>
      <c r="T34" s="584"/>
      <c r="U34" s="4671" t="e">
        <f t="shared" si="11"/>
        <v>#DIV/0!</v>
      </c>
      <c r="V34" s="589"/>
      <c r="W34" s="589"/>
      <c r="X34" s="587"/>
      <c r="Y34" s="587"/>
      <c r="Z34" s="584"/>
      <c r="AA34" s="1069" t="e">
        <f t="shared" si="12"/>
        <v>#DIV/0!</v>
      </c>
      <c r="AB34" s="590"/>
      <c r="AC34" s="590"/>
      <c r="AD34" s="1217">
        <f>B34+C34+D34+E34+H34+I34+L34+M34+P34+Q34+R34+S34+V34+W34+X34+Y34+AB34+AC34</f>
        <v>0</v>
      </c>
      <c r="AE34" s="602">
        <f t="shared" si="7"/>
        <v>0</v>
      </c>
      <c r="AF34" s="591" t="e">
        <f t="shared" si="9"/>
        <v>#DIV/0!</v>
      </c>
    </row>
    <row r="35" spans="1:32" s="67" customFormat="1" ht="15" thickTop="1" thickBot="1">
      <c r="A35" s="538" t="s">
        <v>593</v>
      </c>
      <c r="B35" s="539">
        <f>SUM(B32:B34)</f>
        <v>0</v>
      </c>
      <c r="C35" s="540">
        <f>SUM(C32:C34)</f>
        <v>0</v>
      </c>
      <c r="D35" s="540">
        <f>SUM(D32:D34)</f>
        <v>0</v>
      </c>
      <c r="E35" s="540">
        <f>SUM(E32:E34)</f>
        <v>0</v>
      </c>
      <c r="F35" s="541">
        <f>SUM(F32:F34)</f>
        <v>0</v>
      </c>
      <c r="G35" s="4668" t="e">
        <f t="shared" si="10"/>
        <v>#DIV/0!</v>
      </c>
      <c r="H35" s="539">
        <f>SUM(H32:H34)</f>
        <v>0</v>
      </c>
      <c r="I35" s="543">
        <f>SUM(I32:I34)</f>
        <v>0</v>
      </c>
      <c r="J35" s="541">
        <f>SUM(J32:J34)</f>
        <v>0</v>
      </c>
      <c r="K35" s="603" t="e">
        <f t="shared" si="15"/>
        <v>#DIV/0!</v>
      </c>
      <c r="L35" s="540">
        <f>SUM(L32:L34)</f>
        <v>0</v>
      </c>
      <c r="M35" s="543">
        <f>SUM(M32:M34)</f>
        <v>0</v>
      </c>
      <c r="N35" s="541">
        <f>SUM(N32:N34)</f>
        <v>0</v>
      </c>
      <c r="O35" s="542" t="e">
        <f t="shared" si="8"/>
        <v>#DIV/0!</v>
      </c>
      <c r="P35" s="539">
        <f>SUM(P32:P34)</f>
        <v>0</v>
      </c>
      <c r="Q35" s="543">
        <f>SUM(Q32:Q34)</f>
        <v>0</v>
      </c>
      <c r="R35" s="543">
        <f>SUM(R32:R34)</f>
        <v>0</v>
      </c>
      <c r="S35" s="543">
        <f>SUM(S32:S34)</f>
        <v>0</v>
      </c>
      <c r="T35" s="541">
        <f>SUM(T32:T34)</f>
        <v>0</v>
      </c>
      <c r="U35" s="4670" t="e">
        <f t="shared" si="11"/>
        <v>#DIV/0!</v>
      </c>
      <c r="V35" s="540">
        <f>SUM(V32:V34)</f>
        <v>0</v>
      </c>
      <c r="W35" s="543">
        <f>SUM(W32:W34)</f>
        <v>0</v>
      </c>
      <c r="X35" s="543">
        <f>SUM(X32:X34)</f>
        <v>0</v>
      </c>
      <c r="Y35" s="543">
        <f>SUM(Y32:Y34)</f>
        <v>0</v>
      </c>
      <c r="Z35" s="541">
        <f>SUM(Z32:Z34)</f>
        <v>0</v>
      </c>
      <c r="AA35" s="4670" t="e">
        <f t="shared" si="12"/>
        <v>#DIV/0!</v>
      </c>
      <c r="AB35" s="546">
        <f>AB32+AB33+AB34</f>
        <v>0</v>
      </c>
      <c r="AC35" s="546">
        <f>AC32+AC33+AC34</f>
        <v>0</v>
      </c>
      <c r="AD35" s="577">
        <f>B35+C35+D35+E35+Q35+W35+AC35+H35+I35+L35+M35+P35+R35+S35+V35+X35+Y35+AB35</f>
        <v>0</v>
      </c>
      <c r="AE35" s="592">
        <f t="shared" si="7"/>
        <v>0</v>
      </c>
      <c r="AF35" s="548" t="e">
        <f t="shared" si="9"/>
        <v>#DIV/0!</v>
      </c>
    </row>
    <row r="36" spans="1:32" s="67" customFormat="1" ht="15" thickTop="1" thickBot="1">
      <c r="A36" s="538" t="s">
        <v>594</v>
      </c>
      <c r="B36" s="539">
        <f>B35+B31</f>
        <v>0</v>
      </c>
      <c r="C36" s="540">
        <f>C35+C31</f>
        <v>0</v>
      </c>
      <c r="D36" s="540">
        <f>D35+D31</f>
        <v>0</v>
      </c>
      <c r="E36" s="540">
        <f>E35+E31</f>
        <v>0</v>
      </c>
      <c r="F36" s="541">
        <f>F35+F31</f>
        <v>0</v>
      </c>
      <c r="G36" s="4668" t="e">
        <f t="shared" si="10"/>
        <v>#DIV/0!</v>
      </c>
      <c r="H36" s="539">
        <f>H35+H31</f>
        <v>0</v>
      </c>
      <c r="I36" s="543">
        <f>I35+I31</f>
        <v>0</v>
      </c>
      <c r="J36" s="541">
        <f>J35+J31</f>
        <v>0</v>
      </c>
      <c r="K36" s="603" t="e">
        <f t="shared" si="15"/>
        <v>#DIV/0!</v>
      </c>
      <c r="L36" s="540">
        <f>L35+L31</f>
        <v>0</v>
      </c>
      <c r="M36" s="543">
        <f>M35+M31</f>
        <v>0</v>
      </c>
      <c r="N36" s="541">
        <f>N35+N31</f>
        <v>0</v>
      </c>
      <c r="O36" s="542" t="e">
        <f t="shared" si="8"/>
        <v>#DIV/0!</v>
      </c>
      <c r="P36" s="539">
        <f>P35+P31</f>
        <v>0</v>
      </c>
      <c r="Q36" s="543">
        <f>Q35+Q31</f>
        <v>0</v>
      </c>
      <c r="R36" s="543">
        <f>R35+R31</f>
        <v>0</v>
      </c>
      <c r="S36" s="543">
        <f>S35+S31</f>
        <v>0</v>
      </c>
      <c r="T36" s="541">
        <f>T35+T31</f>
        <v>0</v>
      </c>
      <c r="U36" s="4670" t="e">
        <f t="shared" si="11"/>
        <v>#DIV/0!</v>
      </c>
      <c r="V36" s="540">
        <f>V35+V31</f>
        <v>0</v>
      </c>
      <c r="W36" s="543">
        <f>W35+W31</f>
        <v>0</v>
      </c>
      <c r="X36" s="543">
        <f>X35+X31</f>
        <v>0</v>
      </c>
      <c r="Y36" s="543">
        <f>Y35+Y31</f>
        <v>0</v>
      </c>
      <c r="Z36" s="541">
        <f>Z35+Z31</f>
        <v>0</v>
      </c>
      <c r="AA36" s="4670" t="e">
        <f t="shared" si="12"/>
        <v>#DIV/0!</v>
      </c>
      <c r="AB36" s="546">
        <f>AB31+AB35</f>
        <v>0</v>
      </c>
      <c r="AC36" s="546">
        <f>AC31+AC35</f>
        <v>0</v>
      </c>
      <c r="AD36" s="577">
        <f>B36+C36+D36+E36+Q36+W36+AC36+H36+I36+L36+M36+P36+R36+S36+V36+X36+Y36+AB36</f>
        <v>0</v>
      </c>
      <c r="AE36" s="592">
        <f t="shared" si="7"/>
        <v>0</v>
      </c>
      <c r="AF36" s="548" t="e">
        <f t="shared" si="9"/>
        <v>#DIV/0!</v>
      </c>
    </row>
    <row r="37" spans="1:32" ht="15" thickTop="1" thickBot="1">
      <c r="A37" s="604" t="s">
        <v>1966</v>
      </c>
      <c r="B37" s="605">
        <f t="shared" ref="B37:Z37" si="16">B36+B27</f>
        <v>401.46</v>
      </c>
      <c r="C37" s="606">
        <f t="shared" si="16"/>
        <v>52.97</v>
      </c>
      <c r="D37" s="606">
        <f t="shared" si="16"/>
        <v>0</v>
      </c>
      <c r="E37" s="606">
        <f t="shared" si="16"/>
        <v>203.15</v>
      </c>
      <c r="F37" s="607">
        <f t="shared" si="16"/>
        <v>31842.799999999999</v>
      </c>
      <c r="G37" s="608">
        <f t="shared" si="10"/>
        <v>14.271044003668017</v>
      </c>
      <c r="H37" s="605">
        <f t="shared" si="16"/>
        <v>318.10000000000002</v>
      </c>
      <c r="I37" s="609">
        <f t="shared" si="16"/>
        <v>37.989999999999995</v>
      </c>
      <c r="J37" s="607">
        <f t="shared" si="16"/>
        <v>22809.14</v>
      </c>
      <c r="K37" s="610">
        <f t="shared" si="15"/>
        <v>15.611724072016745</v>
      </c>
      <c r="L37" s="606">
        <f t="shared" si="16"/>
        <v>15.87</v>
      </c>
      <c r="M37" s="609">
        <f t="shared" si="16"/>
        <v>239.62</v>
      </c>
      <c r="N37" s="607">
        <f t="shared" si="16"/>
        <v>22809.14</v>
      </c>
      <c r="O37" s="608">
        <f t="shared" si="8"/>
        <v>11.201211444184217</v>
      </c>
      <c r="P37" s="605">
        <f>P36+P27</f>
        <v>52.45</v>
      </c>
      <c r="Q37" s="609">
        <f>Q36+Q27</f>
        <v>68.13</v>
      </c>
      <c r="R37" s="609">
        <f>R36+R27</f>
        <v>134.76</v>
      </c>
      <c r="S37" s="609">
        <f>S36+S27</f>
        <v>0</v>
      </c>
      <c r="T37" s="607">
        <f>T36+T27</f>
        <v>37367.980000000003</v>
      </c>
      <c r="U37" s="610">
        <f t="shared" si="11"/>
        <v>6.8331229036196213</v>
      </c>
      <c r="V37" s="606">
        <f t="shared" si="16"/>
        <v>128.19999999999999</v>
      </c>
      <c r="W37" s="609">
        <f>W36+W27</f>
        <v>0</v>
      </c>
      <c r="X37" s="609">
        <f t="shared" si="16"/>
        <v>144.51</v>
      </c>
      <c r="Y37" s="609">
        <f t="shared" si="16"/>
        <v>0</v>
      </c>
      <c r="Z37" s="607">
        <f t="shared" si="16"/>
        <v>15234.880000000001</v>
      </c>
      <c r="AA37" s="610">
        <f t="shared" si="12"/>
        <v>17.900370728223653</v>
      </c>
      <c r="AB37" s="611">
        <f>AB27+AB36</f>
        <v>95.26</v>
      </c>
      <c r="AC37" s="611">
        <f>AC27+AC36</f>
        <v>8.3699999999999992</v>
      </c>
      <c r="AD37" s="4652">
        <f>B37+C37+D37+E37+H37+I37+L37+M37+P37+Q37+R37+S37+V37+W37+X37+Y37+AB37+AC37</f>
        <v>1900.8399999999997</v>
      </c>
      <c r="AE37" s="612">
        <f t="shared" si="7"/>
        <v>130063.94</v>
      </c>
      <c r="AF37" s="613">
        <f t="shared" si="9"/>
        <v>14.614657990523735</v>
      </c>
    </row>
    <row r="38" spans="1:32" ht="14.25" thickBot="1">
      <c r="A38" s="1079"/>
      <c r="B38" s="1080"/>
      <c r="C38" s="1080"/>
      <c r="D38" s="1080"/>
      <c r="E38" s="1080"/>
      <c r="F38" s="1081"/>
      <c r="G38" s="1082"/>
      <c r="H38" s="1080"/>
      <c r="I38" s="1080"/>
      <c r="J38" s="1081"/>
      <c r="K38" s="1082"/>
      <c r="L38" s="1080"/>
      <c r="M38" s="1080"/>
      <c r="N38" s="1081"/>
      <c r="O38" s="1082"/>
      <c r="P38" s="1080"/>
      <c r="Q38" s="1080"/>
      <c r="R38" s="1080"/>
      <c r="S38" s="1080"/>
      <c r="T38" s="1081"/>
      <c r="U38" s="1082"/>
      <c r="V38" s="1080"/>
      <c r="W38" s="1080"/>
      <c r="X38" s="1080"/>
      <c r="Y38" s="1080"/>
      <c r="Z38" s="1081"/>
      <c r="AA38" s="1082"/>
      <c r="AB38" s="1083"/>
      <c r="AC38" s="1083"/>
      <c r="AD38" s="1084"/>
      <c r="AE38" s="1085"/>
      <c r="AF38" s="1086"/>
    </row>
    <row r="39" spans="1:32">
      <c r="A39" s="7847" t="s">
        <v>835</v>
      </c>
      <c r="B39" s="7849" t="s">
        <v>557</v>
      </c>
      <c r="C39" s="7849"/>
      <c r="D39" s="7849"/>
      <c r="E39" s="7849"/>
      <c r="F39" s="7850"/>
      <c r="G39" s="7851"/>
      <c r="H39" s="7852" t="s">
        <v>558</v>
      </c>
      <c r="I39" s="7853"/>
      <c r="J39" s="7853"/>
      <c r="K39" s="7854"/>
      <c r="L39" s="7853" t="s">
        <v>559</v>
      </c>
      <c r="M39" s="7853"/>
      <c r="N39" s="7853"/>
      <c r="O39" s="7853"/>
      <c r="P39" s="7859" t="s">
        <v>560</v>
      </c>
      <c r="Q39" s="7861"/>
      <c r="R39" s="7861"/>
      <c r="S39" s="7861"/>
      <c r="T39" s="7861"/>
      <c r="U39" s="7860"/>
      <c r="V39" s="7861" t="s">
        <v>186</v>
      </c>
      <c r="W39" s="7861"/>
      <c r="X39" s="7861"/>
      <c r="Y39" s="7861"/>
      <c r="Z39" s="7861"/>
      <c r="AA39" s="7860"/>
      <c r="AB39" s="148" t="s">
        <v>561</v>
      </c>
      <c r="AC39" s="4451"/>
      <c r="AD39" s="7855" t="s">
        <v>562</v>
      </c>
      <c r="AE39" s="7857" t="s">
        <v>563</v>
      </c>
      <c r="AF39" s="7858"/>
    </row>
    <row r="40" spans="1:32" ht="24.75" thickBot="1">
      <c r="A40" s="7848"/>
      <c r="B40" s="515" t="s">
        <v>836</v>
      </c>
      <c r="C40" s="515" t="s">
        <v>837</v>
      </c>
      <c r="D40" s="515"/>
      <c r="E40" s="515"/>
      <c r="F40" s="516" t="s">
        <v>566</v>
      </c>
      <c r="G40" s="517" t="s">
        <v>567</v>
      </c>
      <c r="H40" s="514" t="s">
        <v>838</v>
      </c>
      <c r="I40" s="518" t="s">
        <v>849</v>
      </c>
      <c r="J40" s="519" t="s">
        <v>569</v>
      </c>
      <c r="K40" s="520" t="s">
        <v>570</v>
      </c>
      <c r="L40" s="515" t="s">
        <v>847</v>
      </c>
      <c r="M40" s="518" t="s">
        <v>839</v>
      </c>
      <c r="N40" s="521" t="s">
        <v>572</v>
      </c>
      <c r="O40" s="522" t="s">
        <v>573</v>
      </c>
      <c r="P40" s="514" t="s">
        <v>841</v>
      </c>
      <c r="Q40" s="515"/>
      <c r="R40" s="518" t="s">
        <v>843</v>
      </c>
      <c r="S40" s="518" t="s">
        <v>845</v>
      </c>
      <c r="T40" s="521" t="s">
        <v>576</v>
      </c>
      <c r="U40" s="523" t="s">
        <v>577</v>
      </c>
      <c r="V40" s="515" t="s">
        <v>840</v>
      </c>
      <c r="W40" s="515"/>
      <c r="X40" s="518" t="s">
        <v>842</v>
      </c>
      <c r="Y40" s="518" t="s">
        <v>844</v>
      </c>
      <c r="Z40" s="521" t="s">
        <v>580</v>
      </c>
      <c r="AA40" s="523" t="s">
        <v>577</v>
      </c>
      <c r="AB40" s="149" t="s">
        <v>846</v>
      </c>
      <c r="AC40" s="149"/>
      <c r="AD40" s="7856"/>
      <c r="AE40" s="524" t="s">
        <v>581</v>
      </c>
      <c r="AF40" s="525" t="s">
        <v>582</v>
      </c>
    </row>
    <row r="41" spans="1:32" ht="14.25" thickTop="1">
      <c r="A41" s="322" t="s">
        <v>586</v>
      </c>
      <c r="B41" s="1087">
        <v>300.14</v>
      </c>
      <c r="C41" s="1088">
        <v>10.19</v>
      </c>
      <c r="D41" s="1088"/>
      <c r="E41" s="1088"/>
      <c r="F41" s="1089">
        <v>30125.35</v>
      </c>
      <c r="G41" s="1090">
        <f>(B41+C41)/F41*1000</f>
        <v>10.301291105331556</v>
      </c>
      <c r="H41" s="1088">
        <v>434.96</v>
      </c>
      <c r="I41" s="1088">
        <v>46.5</v>
      </c>
      <c r="J41" s="1089">
        <v>28989</v>
      </c>
      <c r="K41" s="1090">
        <f>(H41+I41)/N41*1000</f>
        <v>16.608368691572664</v>
      </c>
      <c r="L41" s="1088">
        <v>12.42</v>
      </c>
      <c r="M41" s="1088">
        <v>69.22</v>
      </c>
      <c r="N41" s="1089">
        <v>28989</v>
      </c>
      <c r="O41" s="1090">
        <f>(L41+M41)/N41*1000</f>
        <v>2.8162406430025184</v>
      </c>
      <c r="P41" s="1088">
        <v>6.36</v>
      </c>
      <c r="Q41" s="1088"/>
      <c r="R41" s="1088">
        <v>45.187000000000005</v>
      </c>
      <c r="S41" s="1088">
        <v>5.08</v>
      </c>
      <c r="T41" s="1089">
        <v>10390.94</v>
      </c>
      <c r="U41" s="1090">
        <f>(P41+R41+S41)/T41*1000</f>
        <v>5.4496513308709318</v>
      </c>
      <c r="V41" s="1088">
        <v>0.63</v>
      </c>
      <c r="W41" s="1088"/>
      <c r="X41" s="1088">
        <v>30.61</v>
      </c>
      <c r="Y41" s="1088">
        <v>2.89</v>
      </c>
      <c r="Z41" s="1089">
        <v>4586.4900000000007</v>
      </c>
      <c r="AA41" s="1090">
        <f>(V41+X41+Y41)/Z41*1000</f>
        <v>7.4414203454057439</v>
      </c>
      <c r="AB41" s="1091">
        <v>29.04</v>
      </c>
      <c r="AC41" s="1091"/>
      <c r="AD41" s="1092">
        <f>B41+C41+H41+I41+L41+M41+P41+R41+S41+V41+X41+Y41+AB41</f>
        <v>993.22699999999998</v>
      </c>
      <c r="AE41" s="597">
        <f>F41+J41+N41+T41+Z41</f>
        <v>103080.78000000001</v>
      </c>
      <c r="AF41" s="1093">
        <f>AD41/AE41*1000</f>
        <v>9.6354237909336717</v>
      </c>
    </row>
    <row r="42" spans="1:32">
      <c r="A42" s="323" t="s">
        <v>5</v>
      </c>
      <c r="B42" s="1094">
        <v>406.25</v>
      </c>
      <c r="C42" s="1095">
        <v>11.27</v>
      </c>
      <c r="D42" s="1095"/>
      <c r="E42" s="1095"/>
      <c r="F42" s="1096">
        <v>28699.19</v>
      </c>
      <c r="G42" s="1097">
        <f>(B42+C42)/F42*1000</f>
        <v>14.548145783905399</v>
      </c>
      <c r="H42" s="1095">
        <v>440.64</v>
      </c>
      <c r="I42" s="1095">
        <v>34.549999999999997</v>
      </c>
      <c r="J42" s="1096">
        <v>25102.67</v>
      </c>
      <c r="K42" s="1097">
        <f>(H42+I42)/N42*1000</f>
        <v>18.929858855651613</v>
      </c>
      <c r="L42" s="1095">
        <v>8.234</v>
      </c>
      <c r="M42" s="1095">
        <v>52.480000000000004</v>
      </c>
      <c r="N42" s="1096">
        <v>25102.67</v>
      </c>
      <c r="O42" s="1097">
        <f>(L42+M42)/N42*1000</f>
        <v>2.4186271818894167</v>
      </c>
      <c r="P42" s="1095">
        <v>17.527999999999999</v>
      </c>
      <c r="Q42" s="1095"/>
      <c r="R42" s="1095">
        <v>54.309000220000001</v>
      </c>
      <c r="S42" s="1095">
        <v>0.48</v>
      </c>
      <c r="T42" s="1096">
        <v>11148</v>
      </c>
      <c r="U42" s="1097">
        <f>(P42+R42+S42)/T42*1000</f>
        <v>6.4869932023681374</v>
      </c>
      <c r="V42" s="1095">
        <v>0</v>
      </c>
      <c r="W42" s="1095"/>
      <c r="X42" s="1095">
        <v>26.73</v>
      </c>
      <c r="Y42" s="1095">
        <v>0</v>
      </c>
      <c r="Z42" s="1096">
        <v>4303.53</v>
      </c>
      <c r="AA42" s="1097">
        <f>(V42+X42+Y42)/Z42*1000</f>
        <v>6.2111801242236027</v>
      </c>
      <c r="AB42" s="1098">
        <v>26.52</v>
      </c>
      <c r="AC42" s="1098"/>
      <c r="AD42" s="1099">
        <f>B42+C42+H42+I42+L42+M42+P42+R42+S42+V42+X42+Y42+AB42</f>
        <v>1078.9910002199999</v>
      </c>
      <c r="AE42" s="558">
        <f>F42+J42+N42+T42+Z42</f>
        <v>94356.06</v>
      </c>
      <c r="AF42" s="1100">
        <f>AD42/AE42*1000</f>
        <v>11.435312159282615</v>
      </c>
    </row>
    <row r="43" spans="1:32" ht="14.25" thickBot="1">
      <c r="A43" s="324" t="s">
        <v>587</v>
      </c>
      <c r="B43" s="1101"/>
      <c r="C43" s="1102"/>
      <c r="D43" s="1102"/>
      <c r="E43" s="1102"/>
      <c r="F43" s="1103"/>
      <c r="G43" s="1104"/>
      <c r="H43" s="1102"/>
      <c r="I43" s="1102"/>
      <c r="J43" s="1103"/>
      <c r="K43" s="1104"/>
      <c r="L43" s="1102"/>
      <c r="M43" s="1102"/>
      <c r="N43" s="1103"/>
      <c r="O43" s="1104"/>
      <c r="P43" s="1102"/>
      <c r="Q43" s="1102"/>
      <c r="R43" s="1102"/>
      <c r="S43" s="1102"/>
      <c r="T43" s="1103"/>
      <c r="U43" s="1104"/>
      <c r="V43" s="1102"/>
      <c r="W43" s="1102"/>
      <c r="X43" s="1102"/>
      <c r="Y43" s="1102"/>
      <c r="Z43" s="1103"/>
      <c r="AA43" s="1104"/>
      <c r="AB43" s="1105"/>
      <c r="AC43" s="1105"/>
      <c r="AD43" s="1106"/>
      <c r="AE43" s="568"/>
      <c r="AF43" s="1107"/>
    </row>
    <row r="44" spans="1:32" ht="15" thickTop="1" thickBot="1">
      <c r="A44" s="538" t="s">
        <v>588</v>
      </c>
      <c r="B44" s="1080"/>
      <c r="C44" s="1080"/>
      <c r="D44" s="1080"/>
      <c r="E44" s="1080"/>
      <c r="F44" s="1081"/>
      <c r="G44" s="1082" t="s">
        <v>1146</v>
      </c>
      <c r="H44" s="1080" t="s">
        <v>1147</v>
      </c>
      <c r="I44" s="1080" t="s">
        <v>1148</v>
      </c>
      <c r="J44" s="1081"/>
      <c r="K44" s="1082"/>
      <c r="L44" s="1080"/>
      <c r="M44" s="1080"/>
      <c r="N44" s="1081"/>
      <c r="O44" s="1082"/>
      <c r="P44" s="1080"/>
      <c r="Q44" s="1080"/>
      <c r="R44" s="1080"/>
      <c r="S44" s="1080"/>
      <c r="T44" s="1081"/>
      <c r="U44" s="1082"/>
      <c r="V44" s="1080"/>
      <c r="W44" s="1080"/>
      <c r="X44" s="1080"/>
      <c r="Y44" s="1080"/>
      <c r="Z44" s="1081"/>
      <c r="AA44" s="1082"/>
      <c r="AB44" s="1083"/>
      <c r="AC44" s="1083"/>
      <c r="AD44" s="1084"/>
      <c r="AE44" s="1085"/>
      <c r="AF44" s="1086"/>
    </row>
    <row r="45" spans="1:32" ht="14.25" thickTop="1">
      <c r="A45" s="325" t="s">
        <v>7</v>
      </c>
      <c r="B45" s="1080"/>
      <c r="C45" s="1080"/>
      <c r="D45" s="1080"/>
      <c r="E45" s="1080"/>
      <c r="F45" s="65" t="s">
        <v>1145</v>
      </c>
      <c r="G45" s="2269">
        <v>100000</v>
      </c>
      <c r="H45" s="2269">
        <v>15000</v>
      </c>
      <c r="I45" s="2269">
        <v>60000</v>
      </c>
      <c r="J45" s="2269"/>
      <c r="K45" s="2269">
        <v>7000</v>
      </c>
      <c r="L45" s="2269">
        <v>8000</v>
      </c>
      <c r="M45" s="2269">
        <v>10000</v>
      </c>
      <c r="N45" s="1081"/>
      <c r="O45" s="1082"/>
      <c r="P45" s="1080"/>
      <c r="Q45" s="1080"/>
      <c r="R45" s="1080"/>
      <c r="S45" s="1080"/>
      <c r="T45" s="1081"/>
      <c r="U45" s="1082"/>
      <c r="V45" s="1080"/>
      <c r="W45" s="1080"/>
      <c r="X45" s="1080"/>
      <c r="Y45" s="1080"/>
      <c r="Z45" s="1081"/>
      <c r="AA45" s="1082"/>
      <c r="AB45" s="1083"/>
      <c r="AC45" s="1083"/>
      <c r="AD45" s="1084"/>
      <c r="AE45" s="1085"/>
      <c r="AF45" s="1086"/>
    </row>
  </sheetData>
  <mergeCells count="18">
    <mergeCell ref="A1:AA2"/>
    <mergeCell ref="A4:A5"/>
    <mergeCell ref="B4:G4"/>
    <mergeCell ref="H4:K4"/>
    <mergeCell ref="L4:O4"/>
    <mergeCell ref="P4:U4"/>
    <mergeCell ref="V4:AA4"/>
    <mergeCell ref="A39:A40"/>
    <mergeCell ref="B39:G39"/>
    <mergeCell ref="H39:K39"/>
    <mergeCell ref="AD4:AD5"/>
    <mergeCell ref="AE4:AF4"/>
    <mergeCell ref="AB4:AC4"/>
    <mergeCell ref="L39:O39"/>
    <mergeCell ref="P39:U39"/>
    <mergeCell ref="V39:AA39"/>
    <mergeCell ref="AD39:AD40"/>
    <mergeCell ref="AE39:AF39"/>
  </mergeCells>
  <phoneticPr fontId="23" type="noConversion"/>
  <pageMargins left="0" right="0" top="0.35433070866141736" bottom="0" header="0.31496062992125984" footer="0.31496062992125984"/>
  <pageSetup paperSize="9" scale="50" orientation="landscape"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G251"/>
  <sheetViews>
    <sheetView zoomScale="80" zoomScaleNormal="80" workbookViewId="0">
      <pane xSplit="1" ySplit="1" topLeftCell="B2" activePane="bottomRight" state="frozen"/>
      <selection activeCell="I54" sqref="I54"/>
      <selection pane="topRight" activeCell="I54" sqref="I54"/>
      <selection pane="bottomLeft" activeCell="I54" sqref="I54"/>
      <selection pane="bottomRight" activeCell="I14" sqref="I14"/>
    </sheetView>
  </sheetViews>
  <sheetFormatPr defaultColWidth="8.88671875" defaultRowHeight="11.25"/>
  <cols>
    <col min="1" max="1" width="7.109375" style="14" bestFit="1" customWidth="1"/>
    <col min="2" max="2" width="9.33203125" style="15" bestFit="1" customWidth="1"/>
    <col min="3" max="4" width="12.44140625" style="15" customWidth="1"/>
    <col min="5" max="5" width="11" style="15" customWidth="1"/>
    <col min="6" max="6" width="8.6640625" style="15" customWidth="1"/>
    <col min="7" max="7" width="9.109375" style="16" bestFit="1" customWidth="1"/>
    <col min="8" max="8" width="9.44140625" style="16" customWidth="1"/>
    <col min="9" max="9" width="10.6640625" style="15" customWidth="1"/>
    <col min="10" max="10" width="9.6640625" style="15" customWidth="1"/>
    <col min="11" max="12" width="9.109375" style="15" customWidth="1"/>
    <col min="13" max="13" width="10.6640625" style="15" customWidth="1"/>
    <col min="14" max="15" width="9.109375" style="15" customWidth="1"/>
    <col min="16" max="16" width="11.44140625" style="15" customWidth="1"/>
    <col min="17" max="17" width="10.6640625" style="4" customWidth="1"/>
    <col min="18" max="18" width="9.77734375" style="4" customWidth="1"/>
    <col min="19" max="19" width="8.88671875" style="4" customWidth="1"/>
    <col min="20" max="20" width="9" style="4" customWidth="1"/>
    <col min="21" max="21" width="7.88671875" style="4" customWidth="1"/>
    <col min="22" max="22" width="8.88671875" style="4" customWidth="1"/>
    <col min="23" max="23" width="16.33203125" style="4" bestFit="1" customWidth="1"/>
    <col min="24" max="24" width="15.21875" style="4" bestFit="1" customWidth="1"/>
    <col min="25" max="25" width="9.109375" style="4" bestFit="1" customWidth="1"/>
    <col min="26" max="27" width="7.6640625" style="4" bestFit="1" customWidth="1"/>
    <col min="28" max="28" width="8.6640625" style="4" bestFit="1" customWidth="1"/>
    <col min="29" max="29" width="5.77734375" style="4" bestFit="1" customWidth="1"/>
    <col min="30" max="30" width="8.88671875" style="4"/>
    <col min="31" max="31" width="8.109375" style="4" bestFit="1" customWidth="1"/>
    <col min="32" max="32" width="11" style="4" bestFit="1" customWidth="1"/>
    <col min="33" max="16384" width="8.88671875" style="4"/>
  </cols>
  <sheetData>
    <row r="1" spans="1:31" s="35" customFormat="1">
      <c r="A1" s="7883" t="s">
        <v>0</v>
      </c>
      <c r="B1" s="7883"/>
      <c r="C1" s="437" t="s">
        <v>1144</v>
      </c>
      <c r="D1" s="5671" t="s">
        <v>1888</v>
      </c>
      <c r="E1" s="437" t="s">
        <v>1879</v>
      </c>
      <c r="F1" s="437" t="s">
        <v>18</v>
      </c>
      <c r="G1" s="437" t="s">
        <v>5</v>
      </c>
      <c r="H1" s="437" t="s">
        <v>6</v>
      </c>
      <c r="I1" s="437" t="s">
        <v>7</v>
      </c>
      <c r="J1" s="437" t="s">
        <v>8</v>
      </c>
      <c r="K1" s="437" t="s">
        <v>9</v>
      </c>
      <c r="L1" s="437" t="s">
        <v>10</v>
      </c>
      <c r="M1" s="437" t="s">
        <v>11</v>
      </c>
      <c r="N1" s="437" t="s">
        <v>12</v>
      </c>
      <c r="O1" s="437" t="s">
        <v>13</v>
      </c>
      <c r="P1" s="437" t="s">
        <v>14</v>
      </c>
      <c r="Q1" s="437" t="s">
        <v>15</v>
      </c>
      <c r="R1" s="202" t="s">
        <v>1252</v>
      </c>
      <c r="S1" s="202" t="s">
        <v>20</v>
      </c>
      <c r="T1" s="202" t="s">
        <v>21</v>
      </c>
      <c r="U1" s="202" t="s">
        <v>173</v>
      </c>
      <c r="V1" s="202" t="s">
        <v>22</v>
      </c>
    </row>
    <row r="2" spans="1:31" s="257" customFormat="1">
      <c r="A2" s="7872" t="s">
        <v>26</v>
      </c>
      <c r="B2" s="211" t="s">
        <v>27</v>
      </c>
      <c r="C2" s="212">
        <v>309336.92300000001</v>
      </c>
      <c r="D2" s="5672">
        <v>287829.00400000002</v>
      </c>
      <c r="E2" s="5672">
        <f>E14/E87</f>
        <v>288173.46938775509</v>
      </c>
      <c r="F2" s="442"/>
      <c r="G2" s="442"/>
      <c r="H2" s="442">
        <f>'L D'!E23</f>
        <v>28227.93</v>
      </c>
      <c r="I2" s="442">
        <f>'L D'!E33</f>
        <v>0</v>
      </c>
      <c r="J2" s="442">
        <f>'L D'!E43</f>
        <v>0</v>
      </c>
      <c r="K2" s="442">
        <f>'L D'!E53</f>
        <v>0</v>
      </c>
      <c r="L2" s="442">
        <f>'L D'!E63</f>
        <v>0</v>
      </c>
      <c r="M2" s="442">
        <f>'L D'!E73</f>
        <v>0</v>
      </c>
      <c r="N2" s="442">
        <f>'L D'!E83</f>
        <v>0</v>
      </c>
      <c r="O2" s="442">
        <f>'L D'!E93</f>
        <v>0</v>
      </c>
      <c r="P2" s="442">
        <f>'L D'!E103</f>
        <v>0</v>
      </c>
      <c r="Q2" s="442">
        <f>'L D'!E113</f>
        <v>0</v>
      </c>
      <c r="R2" s="205">
        <f t="shared" ref="R2:R25" si="0">SUM(F2:H2)</f>
        <v>28227.93</v>
      </c>
      <c r="S2" s="442">
        <f>SUM(F2:K2)</f>
        <v>28227.93</v>
      </c>
      <c r="T2" s="442">
        <f>'L D'!E144</f>
        <v>0</v>
      </c>
      <c r="U2" s="442">
        <f>SUM(L2:Q2)</f>
        <v>0</v>
      </c>
      <c r="V2" s="442">
        <f>SUM(F2:Q2)</f>
        <v>28227.93</v>
      </c>
      <c r="W2" s="257">
        <f>S2/5*12</f>
        <v>67747.032000000007</v>
      </c>
    </row>
    <row r="3" spans="1:31" s="257" customFormat="1">
      <c r="A3" s="7872"/>
      <c r="B3" s="211" t="s">
        <v>28</v>
      </c>
      <c r="C3" s="212">
        <v>290922.37900000002</v>
      </c>
      <c r="D3" s="5672">
        <v>264592.315</v>
      </c>
      <c r="E3" s="5672">
        <f>E15/E88</f>
        <v>267936.79367936798</v>
      </c>
      <c r="F3" s="442"/>
      <c r="G3" s="442"/>
      <c r="H3" s="442">
        <f>'L D'!E24</f>
        <v>23204.240000000002</v>
      </c>
      <c r="I3" s="442">
        <f>'L D'!E34</f>
        <v>0</v>
      </c>
      <c r="J3" s="442">
        <f>'L D'!E44</f>
        <v>0</v>
      </c>
      <c r="K3" s="442">
        <f>'L D'!E54</f>
        <v>0</v>
      </c>
      <c r="L3" s="442">
        <f>'L D'!E64</f>
        <v>0</v>
      </c>
      <c r="M3" s="442">
        <f>'L D'!E74</f>
        <v>0</v>
      </c>
      <c r="N3" s="442">
        <f>'L D'!E84</f>
        <v>0</v>
      </c>
      <c r="O3" s="442">
        <f>'L D'!E94</f>
        <v>0</v>
      </c>
      <c r="P3" s="442">
        <f>'L D'!E104</f>
        <v>0</v>
      </c>
      <c r="Q3" s="442">
        <f>'L D'!E114</f>
        <v>0</v>
      </c>
      <c r="R3" s="205">
        <f t="shared" si="0"/>
        <v>23204.240000000002</v>
      </c>
      <c r="S3" s="442">
        <f>SUM(F3:K3)</f>
        <v>23204.240000000002</v>
      </c>
      <c r="T3" s="442">
        <f>'L D'!E145</f>
        <v>0</v>
      </c>
      <c r="U3" s="442">
        <f>SUM(L3:Q3)</f>
        <v>0</v>
      </c>
      <c r="V3" s="442">
        <f>SUM(F3:Q3)</f>
        <v>23204.240000000002</v>
      </c>
      <c r="W3" s="257">
        <f>S3/5*12</f>
        <v>55690.175999999999</v>
      </c>
    </row>
    <row r="4" spans="1:31" s="257" customFormat="1">
      <c r="A4" s="7872"/>
      <c r="B4" s="211" t="s">
        <v>29</v>
      </c>
      <c r="C4" s="212">
        <v>291080.179</v>
      </c>
      <c r="D4" s="5672">
        <v>263960.09600000002</v>
      </c>
      <c r="E4" s="5672">
        <f>E16/E89</f>
        <v>266789.48416650068</v>
      </c>
      <c r="F4" s="442"/>
      <c r="G4" s="442"/>
      <c r="H4" s="7636">
        <f>'L D'!E25</f>
        <v>22829.15</v>
      </c>
      <c r="I4" s="442">
        <f>'L D'!E35</f>
        <v>0</v>
      </c>
      <c r="J4" s="442">
        <f>'L D'!E45</f>
        <v>0</v>
      </c>
      <c r="K4" s="442">
        <f>'L D'!E55</f>
        <v>0</v>
      </c>
      <c r="L4" s="442">
        <f>'L D'!E65</f>
        <v>0</v>
      </c>
      <c r="M4" s="442">
        <f>'L D'!E75</f>
        <v>0</v>
      </c>
      <c r="N4" s="442">
        <f>'L D'!E85</f>
        <v>0</v>
      </c>
      <c r="O4" s="442">
        <f>'L D'!E95</f>
        <v>0</v>
      </c>
      <c r="P4" s="442">
        <f>'L D'!E105</f>
        <v>0</v>
      </c>
      <c r="Q4" s="442">
        <f>'L D'!E115</f>
        <v>0</v>
      </c>
      <c r="R4" s="205">
        <f t="shared" si="0"/>
        <v>22829.15</v>
      </c>
      <c r="S4" s="442">
        <f>SUM(F4:K4)</f>
        <v>22829.15</v>
      </c>
      <c r="T4" s="442">
        <f>'L D'!E146</f>
        <v>0</v>
      </c>
      <c r="U4" s="442">
        <f>SUM(L4:Q4)</f>
        <v>0</v>
      </c>
      <c r="V4" s="442">
        <f>SUM(F4:Q4)</f>
        <v>22829.15</v>
      </c>
      <c r="W4" s="257">
        <f>S4/5*12</f>
        <v>54789.96</v>
      </c>
      <c r="X4" s="6" t="e">
        <f>#REF!/#REF!</f>
        <v>#REF!</v>
      </c>
      <c r="Y4" s="6">
        <f>E19/E7</f>
        <v>0.99667302275339209</v>
      </c>
      <c r="Z4" s="257" t="s">
        <v>1134</v>
      </c>
    </row>
    <row r="5" spans="1:31" s="257" customFormat="1">
      <c r="A5" s="7872"/>
      <c r="B5" s="211" t="s">
        <v>30</v>
      </c>
      <c r="C5" s="212">
        <v>150807.88499999998</v>
      </c>
      <c r="D5" s="5672">
        <v>156822.04699999999</v>
      </c>
      <c r="E5" s="5672">
        <f>E17/E90</f>
        <v>161155.87386849694</v>
      </c>
      <c r="F5" s="442">
        <f>'L D'!E6</f>
        <v>12345.478999999999</v>
      </c>
      <c r="G5" s="442">
        <f>'L D'!E16</f>
        <v>11890.781999999999</v>
      </c>
      <c r="H5" s="442">
        <f>'L D'!E26</f>
        <v>12955.763000000001</v>
      </c>
      <c r="I5" s="442">
        <f>'L D'!E36</f>
        <v>0</v>
      </c>
      <c r="J5" s="442">
        <f>'L D'!E46</f>
        <v>0</v>
      </c>
      <c r="K5" s="442">
        <f>'L D'!E56</f>
        <v>0</v>
      </c>
      <c r="L5" s="442">
        <f>'L D'!E66</f>
        <v>0</v>
      </c>
      <c r="M5" s="442">
        <f>'L D'!E76</f>
        <v>0</v>
      </c>
      <c r="N5" s="442">
        <f>'L D'!E86</f>
        <v>0</v>
      </c>
      <c r="O5" s="442">
        <f>'L D'!E96</f>
        <v>0</v>
      </c>
      <c r="P5" s="442">
        <f>'L D'!E106</f>
        <v>0</v>
      </c>
      <c r="Q5" s="442">
        <f>'L D'!E116</f>
        <v>0</v>
      </c>
      <c r="R5" s="205">
        <f t="shared" si="0"/>
        <v>37192.023999999998</v>
      </c>
      <c r="S5" s="442">
        <f>SUM(F5:K5)</f>
        <v>37192.023999999998</v>
      </c>
      <c r="T5" s="442">
        <f>'L D'!E147</f>
        <v>0</v>
      </c>
      <c r="U5" s="442">
        <f>SUM(L5:Q5)</f>
        <v>0</v>
      </c>
      <c r="V5" s="442">
        <f>SUM(F5:Q5)</f>
        <v>37192.023999999998</v>
      </c>
      <c r="W5" s="257">
        <f>S5/5*12</f>
        <v>89260.857599999988</v>
      </c>
      <c r="Z5" s="717" t="s">
        <v>0</v>
      </c>
      <c r="AA5" s="717" t="s">
        <v>707</v>
      </c>
      <c r="AB5" s="717" t="s">
        <v>708</v>
      </c>
      <c r="AC5" s="717" t="s">
        <v>16</v>
      </c>
    </row>
    <row r="6" spans="1:31" s="257" customFormat="1">
      <c r="A6" s="7872"/>
      <c r="B6" s="211" t="s">
        <v>17</v>
      </c>
      <c r="C6" s="212">
        <v>52463.388999999996</v>
      </c>
      <c r="D6" s="5672">
        <v>55756.839</v>
      </c>
      <c r="E6" s="5672">
        <f>E18/E91</f>
        <v>60007.954658446848</v>
      </c>
      <c r="F6" s="442">
        <f>'L D'!E9</f>
        <v>4913.902</v>
      </c>
      <c r="G6" s="442">
        <f>'L D'!E19</f>
        <v>4750.3540000000003</v>
      </c>
      <c r="H6" s="442">
        <f>'L D'!E29</f>
        <v>5511.3450000000003</v>
      </c>
      <c r="I6" s="442">
        <f>'L D'!E39</f>
        <v>0</v>
      </c>
      <c r="J6" s="442">
        <f>'L D'!E49</f>
        <v>0</v>
      </c>
      <c r="K6" s="442">
        <f>'L D'!E59</f>
        <v>0</v>
      </c>
      <c r="L6" s="442">
        <f>'L D'!E69</f>
        <v>0</v>
      </c>
      <c r="M6" s="442">
        <f>'L D'!E79</f>
        <v>0</v>
      </c>
      <c r="N6" s="442">
        <f>'L D'!E89</f>
        <v>0</v>
      </c>
      <c r="O6" s="442">
        <f>'L D'!E99</f>
        <v>0</v>
      </c>
      <c r="P6" s="442">
        <f>'L D'!E109</f>
        <v>0</v>
      </c>
      <c r="Q6" s="442">
        <f>'L D'!E119</f>
        <v>0</v>
      </c>
      <c r="R6" s="205">
        <f t="shared" si="0"/>
        <v>15175.601000000002</v>
      </c>
      <c r="S6" s="442">
        <f>SUM(F6:K6)</f>
        <v>15175.601000000002</v>
      </c>
      <c r="T6" s="442">
        <f>'L D'!E150</f>
        <v>0</v>
      </c>
      <c r="U6" s="442">
        <f>SUM(L6:Q6)</f>
        <v>0</v>
      </c>
      <c r="V6" s="442">
        <f>SUM(F6:Q6)</f>
        <v>15175.601000000002</v>
      </c>
      <c r="W6" s="257">
        <f>S6/3*12</f>
        <v>60702.40400000001</v>
      </c>
      <c r="Z6" s="717" t="s">
        <v>27</v>
      </c>
      <c r="AA6" s="717">
        <v>168936</v>
      </c>
      <c r="AB6" s="717">
        <v>174407</v>
      </c>
      <c r="AC6" s="717">
        <f>SUM(AA6:AB6)</f>
        <v>343343</v>
      </c>
    </row>
    <row r="7" spans="1:31" s="471" customFormat="1">
      <c r="A7" s="469" t="s">
        <v>31</v>
      </c>
      <c r="B7" s="469"/>
      <c r="C7" s="469">
        <f>SUM(C2:C6)</f>
        <v>1094610.7550000001</v>
      </c>
      <c r="D7" s="469">
        <f>SUM(D2:D6)</f>
        <v>1028960.3010000001</v>
      </c>
      <c r="E7" s="469">
        <f t="shared" ref="E7:L7" si="1">SUM(E2:E6)</f>
        <v>1044063.5757605674</v>
      </c>
      <c r="F7" s="469">
        <f t="shared" si="1"/>
        <v>17259.381000000001</v>
      </c>
      <c r="G7" s="469">
        <f t="shared" si="1"/>
        <v>16641.135999999999</v>
      </c>
      <c r="H7" s="469">
        <f t="shared" si="1"/>
        <v>92728.428000000014</v>
      </c>
      <c r="I7" s="469">
        <f t="shared" si="1"/>
        <v>0</v>
      </c>
      <c r="J7" s="469">
        <f t="shared" si="1"/>
        <v>0</v>
      </c>
      <c r="K7" s="469">
        <f t="shared" si="1"/>
        <v>0</v>
      </c>
      <c r="L7" s="469">
        <f t="shared" si="1"/>
        <v>0</v>
      </c>
      <c r="M7" s="469">
        <f>SUM(M2:M6)</f>
        <v>0</v>
      </c>
      <c r="N7" s="470">
        <f>SUM(N2:N6)</f>
        <v>0</v>
      </c>
      <c r="O7" s="470">
        <f>SUM(O2:O6)</f>
        <v>0</v>
      </c>
      <c r="P7" s="470">
        <f>SUM(P2:P6)</f>
        <v>0</v>
      </c>
      <c r="Q7" s="470">
        <f>SUM(Q2:Q6)</f>
        <v>0</v>
      </c>
      <c r="R7" s="1432">
        <f t="shared" si="0"/>
        <v>126628.94500000001</v>
      </c>
      <c r="S7" s="470">
        <f>SUM(S2:S6)</f>
        <v>126628.94500000001</v>
      </c>
      <c r="T7" s="470">
        <f>SUM(T2:T5)</f>
        <v>0</v>
      </c>
      <c r="U7" s="470">
        <f>SUM(U2:U6)</f>
        <v>0</v>
      </c>
      <c r="V7" s="470">
        <f>SUM(V2:V6)</f>
        <v>126628.94500000001</v>
      </c>
      <c r="W7" s="471">
        <f>SUM(W2:W6)</f>
        <v>328190.42960000003</v>
      </c>
      <c r="Z7" s="717" t="s">
        <v>28</v>
      </c>
      <c r="AA7" s="717">
        <v>234562</v>
      </c>
      <c r="AB7" s="717">
        <v>223646</v>
      </c>
      <c r="AC7" s="717">
        <f>SUM(AA7:AB7)</f>
        <v>458208</v>
      </c>
    </row>
    <row r="8" spans="1:31" s="257" customFormat="1">
      <c r="A8" s="7880" t="s">
        <v>219</v>
      </c>
      <c r="B8" s="211" t="s">
        <v>27</v>
      </c>
      <c r="C8" s="212">
        <v>302401.17899999995</v>
      </c>
      <c r="D8" s="205">
        <f>D14+D20</f>
        <v>281712.78500000003</v>
      </c>
      <c r="E8" s="205">
        <f t="shared" ref="E8:U12" si="2">E14+E20</f>
        <v>282414</v>
      </c>
      <c r="F8" s="205"/>
      <c r="G8" s="205"/>
      <c r="H8" s="205">
        <f t="shared" si="2"/>
        <v>27582.12</v>
      </c>
      <c r="I8" s="205">
        <f t="shared" si="2"/>
        <v>0</v>
      </c>
      <c r="J8" s="205">
        <f t="shared" si="2"/>
        <v>0</v>
      </c>
      <c r="K8" s="205">
        <f t="shared" si="2"/>
        <v>0</v>
      </c>
      <c r="L8" s="205">
        <f t="shared" si="2"/>
        <v>0</v>
      </c>
      <c r="M8" s="205">
        <f>M14+M20</f>
        <v>0</v>
      </c>
      <c r="N8" s="205">
        <f t="shared" si="2"/>
        <v>0</v>
      </c>
      <c r="O8" s="205">
        <f t="shared" si="2"/>
        <v>0</v>
      </c>
      <c r="P8" s="205">
        <f t="shared" si="2"/>
        <v>0</v>
      </c>
      <c r="Q8" s="205">
        <f t="shared" si="2"/>
        <v>0</v>
      </c>
      <c r="R8" s="205">
        <f t="shared" si="0"/>
        <v>27582.12</v>
      </c>
      <c r="S8" s="442">
        <f>SUM(F8:K8)</f>
        <v>27582.12</v>
      </c>
      <c r="T8" s="205">
        <f t="shared" si="2"/>
        <v>0</v>
      </c>
      <c r="U8" s="205">
        <f t="shared" si="2"/>
        <v>0</v>
      </c>
      <c r="V8" s="442">
        <f>SUM(F8:Q8)</f>
        <v>27582.12</v>
      </c>
      <c r="W8" s="257">
        <f t="shared" ref="W8:W13" si="3">SUM(I8:K8)</f>
        <v>0</v>
      </c>
      <c r="X8" s="257" t="s">
        <v>2</v>
      </c>
      <c r="Y8" s="257">
        <v>154334.83099999998</v>
      </c>
      <c r="Z8" s="717" t="s">
        <v>29</v>
      </c>
      <c r="AA8" s="717">
        <v>237792</v>
      </c>
      <c r="AB8" s="717">
        <v>246706</v>
      </c>
      <c r="AC8" s="717">
        <f>SUM(AA8:AB8)</f>
        <v>484498</v>
      </c>
    </row>
    <row r="9" spans="1:31" s="257" customFormat="1">
      <c r="A9" s="7881"/>
      <c r="B9" s="211" t="s">
        <v>28</v>
      </c>
      <c r="C9" s="212">
        <v>290914.02899999998</v>
      </c>
      <c r="D9" s="205">
        <f>D15+D21</f>
        <v>264537.17499999999</v>
      </c>
      <c r="E9" s="205">
        <f t="shared" ref="E9:Q9" si="4">E15+E21</f>
        <v>267910</v>
      </c>
      <c r="F9" s="205"/>
      <c r="G9" s="205"/>
      <c r="H9" s="205">
        <f t="shared" si="4"/>
        <v>23204.240000000002</v>
      </c>
      <c r="I9" s="205">
        <f t="shared" si="4"/>
        <v>0</v>
      </c>
      <c r="J9" s="205">
        <f t="shared" si="4"/>
        <v>0</v>
      </c>
      <c r="K9" s="205">
        <f t="shared" si="4"/>
        <v>0</v>
      </c>
      <c r="L9" s="205">
        <f t="shared" si="4"/>
        <v>0</v>
      </c>
      <c r="M9" s="205">
        <f t="shared" si="4"/>
        <v>0</v>
      </c>
      <c r="N9" s="205">
        <f t="shared" si="4"/>
        <v>0</v>
      </c>
      <c r="O9" s="205">
        <f t="shared" si="4"/>
        <v>0</v>
      </c>
      <c r="P9" s="205">
        <f t="shared" si="4"/>
        <v>0</v>
      </c>
      <c r="Q9" s="205">
        <f t="shared" si="4"/>
        <v>0</v>
      </c>
      <c r="R9" s="205">
        <f t="shared" si="0"/>
        <v>23204.240000000002</v>
      </c>
      <c r="S9" s="442">
        <f>SUM(F9:K9)</f>
        <v>23204.240000000002</v>
      </c>
      <c r="T9" s="205">
        <f t="shared" si="2"/>
        <v>0</v>
      </c>
      <c r="U9" s="205">
        <f t="shared" si="2"/>
        <v>0</v>
      </c>
      <c r="V9" s="442">
        <f>SUM(F9:Q9)</f>
        <v>23204.240000000002</v>
      </c>
      <c r="W9" s="257">
        <f t="shared" si="3"/>
        <v>0</v>
      </c>
      <c r="X9" s="257" t="s">
        <v>3</v>
      </c>
      <c r="Y9" s="257">
        <v>139429.27300000002</v>
      </c>
      <c r="Z9" s="717" t="s">
        <v>30</v>
      </c>
      <c r="AA9" s="718">
        <v>227142</v>
      </c>
      <c r="AB9" s="718">
        <v>180018</v>
      </c>
      <c r="AC9" s="717">
        <f>SUM(AA9:AB9)</f>
        <v>407160</v>
      </c>
    </row>
    <row r="10" spans="1:31" s="257" customFormat="1">
      <c r="A10" s="7881"/>
      <c r="B10" s="211" t="s">
        <v>29</v>
      </c>
      <c r="C10" s="212">
        <v>291974.88</v>
      </c>
      <c r="D10" s="205">
        <f>D16+D22</f>
        <v>265170.34400000004</v>
      </c>
      <c r="E10" s="205">
        <f t="shared" si="2"/>
        <v>268060</v>
      </c>
      <c r="F10" s="205"/>
      <c r="G10" s="205"/>
      <c r="H10" s="205">
        <f t="shared" si="2"/>
        <v>22857.03</v>
      </c>
      <c r="I10" s="205">
        <f t="shared" si="2"/>
        <v>0</v>
      </c>
      <c r="J10" s="205">
        <f t="shared" si="2"/>
        <v>0</v>
      </c>
      <c r="K10" s="205">
        <f t="shared" si="2"/>
        <v>0</v>
      </c>
      <c r="L10" s="205">
        <f t="shared" si="2"/>
        <v>0</v>
      </c>
      <c r="M10" s="205">
        <f t="shared" si="2"/>
        <v>0</v>
      </c>
      <c r="N10" s="205">
        <f t="shared" si="2"/>
        <v>0</v>
      </c>
      <c r="O10" s="205">
        <f t="shared" si="2"/>
        <v>0</v>
      </c>
      <c r="P10" s="205">
        <f t="shared" si="2"/>
        <v>0</v>
      </c>
      <c r="Q10" s="205">
        <f t="shared" si="2"/>
        <v>0</v>
      </c>
      <c r="R10" s="205">
        <f t="shared" si="0"/>
        <v>22857.03</v>
      </c>
      <c r="S10" s="442">
        <f>SUM(F10:K10)</f>
        <v>22857.03</v>
      </c>
      <c r="T10" s="205">
        <f t="shared" si="2"/>
        <v>0</v>
      </c>
      <c r="U10" s="205">
        <f t="shared" si="2"/>
        <v>0</v>
      </c>
      <c r="V10" s="442">
        <f>SUM(F10:Q10)</f>
        <v>22857.03</v>
      </c>
      <c r="W10" s="257">
        <f t="shared" si="3"/>
        <v>0</v>
      </c>
      <c r="X10" s="257" t="s">
        <v>4</v>
      </c>
      <c r="Y10" s="257">
        <v>136160.51999999999</v>
      </c>
      <c r="Z10" s="717" t="s">
        <v>17</v>
      </c>
      <c r="AA10" s="719">
        <v>155660</v>
      </c>
      <c r="AB10" s="718">
        <v>216706</v>
      </c>
      <c r="AC10" s="717">
        <f>SUM(AA10:AB10)</f>
        <v>372366</v>
      </c>
    </row>
    <row r="11" spans="1:31" s="257" customFormat="1">
      <c r="A11" s="7881"/>
      <c r="B11" s="211" t="s">
        <v>23</v>
      </c>
      <c r="C11" s="212">
        <v>151508.71799999999</v>
      </c>
      <c r="D11" s="205">
        <f>D17+D23</f>
        <v>157631.48800000001</v>
      </c>
      <c r="E11" s="205">
        <f t="shared" si="2"/>
        <v>162042</v>
      </c>
      <c r="F11" s="205">
        <f t="shared" si="2"/>
        <v>12404.550000000001</v>
      </c>
      <c r="G11" s="205">
        <f t="shared" si="2"/>
        <v>11953.14</v>
      </c>
      <c r="H11" s="205">
        <f t="shared" si="2"/>
        <v>13031.1</v>
      </c>
      <c r="I11" s="205">
        <f t="shared" si="2"/>
        <v>0</v>
      </c>
      <c r="J11" s="205">
        <f t="shared" si="2"/>
        <v>0</v>
      </c>
      <c r="K11" s="205">
        <f t="shared" si="2"/>
        <v>0</v>
      </c>
      <c r="L11" s="205">
        <f t="shared" si="2"/>
        <v>0</v>
      </c>
      <c r="M11" s="205">
        <f t="shared" si="2"/>
        <v>0</v>
      </c>
      <c r="N11" s="205">
        <f t="shared" si="2"/>
        <v>0</v>
      </c>
      <c r="O11" s="205">
        <f t="shared" si="2"/>
        <v>0</v>
      </c>
      <c r="P11" s="205">
        <f t="shared" si="2"/>
        <v>0</v>
      </c>
      <c r="Q11" s="205">
        <f t="shared" si="2"/>
        <v>0</v>
      </c>
      <c r="R11" s="205">
        <f t="shared" si="0"/>
        <v>37388.79</v>
      </c>
      <c r="S11" s="442">
        <f>SUM(F11:K11)</f>
        <v>37388.79</v>
      </c>
      <c r="T11" s="205">
        <f t="shared" si="2"/>
        <v>0</v>
      </c>
      <c r="U11" s="205">
        <f t="shared" si="2"/>
        <v>0</v>
      </c>
      <c r="V11" s="442">
        <f>SUM(F11:Q11)</f>
        <v>37388.79</v>
      </c>
      <c r="W11" s="257">
        <f t="shared" si="3"/>
        <v>0</v>
      </c>
      <c r="X11" s="257" t="s">
        <v>190</v>
      </c>
      <c r="Y11" s="257">
        <v>54232.192999999999</v>
      </c>
    </row>
    <row r="12" spans="1:31" s="257" customFormat="1">
      <c r="A12" s="7881"/>
      <c r="B12" s="211" t="s">
        <v>17</v>
      </c>
      <c r="C12" s="212">
        <v>52737.824999999997</v>
      </c>
      <c r="D12" s="205">
        <f>D18+D24</f>
        <v>56112.341</v>
      </c>
      <c r="E12" s="205">
        <f t="shared" si="2"/>
        <v>60387.205999999998</v>
      </c>
      <c r="F12" s="205">
        <f t="shared" si="2"/>
        <v>4934.12</v>
      </c>
      <c r="G12" s="205">
        <f t="shared" si="2"/>
        <v>4764.8500000000004</v>
      </c>
      <c r="H12" s="205">
        <f t="shared" si="2"/>
        <v>5544.9800000000005</v>
      </c>
      <c r="I12" s="205">
        <f t="shared" si="2"/>
        <v>0</v>
      </c>
      <c r="J12" s="205">
        <f t="shared" si="2"/>
        <v>0</v>
      </c>
      <c r="K12" s="205">
        <f t="shared" si="2"/>
        <v>0</v>
      </c>
      <c r="L12" s="205">
        <f t="shared" si="2"/>
        <v>0</v>
      </c>
      <c r="M12" s="205">
        <f t="shared" si="2"/>
        <v>0</v>
      </c>
      <c r="N12" s="205">
        <f t="shared" si="2"/>
        <v>0</v>
      </c>
      <c r="O12" s="205">
        <f t="shared" si="2"/>
        <v>0</v>
      </c>
      <c r="P12" s="205">
        <f t="shared" si="2"/>
        <v>0</v>
      </c>
      <c r="Q12" s="205">
        <f t="shared" si="2"/>
        <v>0</v>
      </c>
      <c r="R12" s="205">
        <f t="shared" si="0"/>
        <v>15243.95</v>
      </c>
      <c r="S12" s="442">
        <f>SUM(F12:K12)</f>
        <v>15243.95</v>
      </c>
      <c r="T12" s="205">
        <f t="shared" si="2"/>
        <v>0</v>
      </c>
      <c r="U12" s="205">
        <f t="shared" si="2"/>
        <v>0</v>
      </c>
      <c r="V12" s="442">
        <f>SUM(F12:Q12)</f>
        <v>15243.95</v>
      </c>
      <c r="W12" s="257">
        <f t="shared" si="3"/>
        <v>0</v>
      </c>
      <c r="X12" s="257" t="s">
        <v>17</v>
      </c>
      <c r="Y12" s="257">
        <v>21998.68</v>
      </c>
    </row>
    <row r="13" spans="1:31" s="471" customFormat="1">
      <c r="A13" s="7882"/>
      <c r="B13" s="469" t="s">
        <v>220</v>
      </c>
      <c r="C13" s="469">
        <v>1089536.6309999998</v>
      </c>
      <c r="D13" s="472">
        <f>SUM(D8:D12)</f>
        <v>1025164.133</v>
      </c>
      <c r="E13" s="472">
        <f t="shared" ref="E13:V13" si="5">SUM(E8:E12)</f>
        <v>1040813.206</v>
      </c>
      <c r="F13" s="472">
        <f t="shared" si="5"/>
        <v>17338.670000000002</v>
      </c>
      <c r="G13" s="472">
        <f t="shared" si="5"/>
        <v>16717.989999999998</v>
      </c>
      <c r="H13" s="472">
        <f t="shared" si="5"/>
        <v>92219.47</v>
      </c>
      <c r="I13" s="472">
        <f t="shared" si="5"/>
        <v>0</v>
      </c>
      <c r="J13" s="472">
        <f t="shared" si="5"/>
        <v>0</v>
      </c>
      <c r="K13" s="472">
        <f t="shared" si="5"/>
        <v>0</v>
      </c>
      <c r="L13" s="472">
        <f t="shared" si="5"/>
        <v>0</v>
      </c>
      <c r="M13" s="472">
        <f>SUM(M8:M12)</f>
        <v>0</v>
      </c>
      <c r="N13" s="472">
        <f t="shared" si="5"/>
        <v>0</v>
      </c>
      <c r="O13" s="472">
        <f t="shared" si="5"/>
        <v>0</v>
      </c>
      <c r="P13" s="472">
        <f t="shared" si="5"/>
        <v>0</v>
      </c>
      <c r="Q13" s="472">
        <f t="shared" si="5"/>
        <v>0</v>
      </c>
      <c r="R13" s="1432">
        <f t="shared" si="0"/>
        <v>126276.13</v>
      </c>
      <c r="S13" s="470">
        <f>SUM(S8:S12)</f>
        <v>126276.12999999999</v>
      </c>
      <c r="T13" s="472">
        <f t="shared" si="5"/>
        <v>0</v>
      </c>
      <c r="U13" s="472">
        <f t="shared" si="5"/>
        <v>0</v>
      </c>
      <c r="V13" s="472">
        <f t="shared" si="5"/>
        <v>126276.12999999999</v>
      </c>
      <c r="W13" s="471">
        <f t="shared" si="3"/>
        <v>0</v>
      </c>
    </row>
    <row r="14" spans="1:31" s="257" customFormat="1" ht="12" customHeight="1">
      <c r="A14" s="7880" t="s">
        <v>32</v>
      </c>
      <c r="B14" s="211" t="s">
        <v>27</v>
      </c>
      <c r="C14" s="212">
        <v>302376.28899999999</v>
      </c>
      <c r="D14" s="5672">
        <v>281704.19500000001</v>
      </c>
      <c r="E14" s="205">
        <v>282410</v>
      </c>
      <c r="F14" s="212"/>
      <c r="G14" s="212"/>
      <c r="H14" s="212">
        <f>'L D'!F23</f>
        <v>27582.12</v>
      </c>
      <c r="I14" s="212">
        <f>'L D'!F33</f>
        <v>0</v>
      </c>
      <c r="J14" s="212">
        <f>'L D'!F43</f>
        <v>0</v>
      </c>
      <c r="K14" s="212">
        <f>'L D'!F53</f>
        <v>0</v>
      </c>
      <c r="L14" s="212">
        <f>'L D'!F63</f>
        <v>0</v>
      </c>
      <c r="M14" s="212">
        <f>'L D'!F73</f>
        <v>0</v>
      </c>
      <c r="N14" s="212">
        <f>'L D'!F83</f>
        <v>0</v>
      </c>
      <c r="O14" s="212">
        <f>'L D'!F93</f>
        <v>0</v>
      </c>
      <c r="P14" s="212">
        <f>'L D'!F103</f>
        <v>0</v>
      </c>
      <c r="Q14" s="212">
        <f>'L D'!F113</f>
        <v>0</v>
      </c>
      <c r="R14" s="205">
        <f t="shared" si="0"/>
        <v>27582.12</v>
      </c>
      <c r="S14" s="442">
        <f>SUM(F14:K14)</f>
        <v>27582.12</v>
      </c>
      <c r="T14" s="212">
        <f>SUM(L14:N14)</f>
        <v>0</v>
      </c>
      <c r="U14" s="3785">
        <f>SUM(L14:Q14)</f>
        <v>0</v>
      </c>
      <c r="V14" s="442">
        <f>SUM(F14:Q14)</f>
        <v>27582.12</v>
      </c>
      <c r="W14" s="456">
        <v>70</v>
      </c>
      <c r="Y14" s="257">
        <f>Y15/S13</f>
        <v>32904.222476567826</v>
      </c>
      <c r="Z14" s="257" t="s">
        <v>710</v>
      </c>
    </row>
    <row r="15" spans="1:31" s="257" customFormat="1" ht="12">
      <c r="A15" s="7881"/>
      <c r="B15" s="211" t="s">
        <v>28</v>
      </c>
      <c r="C15" s="212">
        <v>290884.59899999999</v>
      </c>
      <c r="D15" s="5672">
        <v>264537.17499999999</v>
      </c>
      <c r="E15" s="205">
        <v>267910</v>
      </c>
      <c r="F15" s="212"/>
      <c r="G15" s="212"/>
      <c r="H15" s="212">
        <f>'L D'!F24</f>
        <v>23204.240000000002</v>
      </c>
      <c r="I15" s="212">
        <f>'L D'!F34</f>
        <v>0</v>
      </c>
      <c r="J15" s="212">
        <f>'L D'!F44</f>
        <v>0</v>
      </c>
      <c r="K15" s="212">
        <f>'L D'!F54</f>
        <v>0</v>
      </c>
      <c r="L15" s="212">
        <f>'L D'!F64</f>
        <v>0</v>
      </c>
      <c r="M15" s="212">
        <f>'L D'!F74</f>
        <v>0</v>
      </c>
      <c r="N15" s="212">
        <f>'L D'!F84</f>
        <v>0</v>
      </c>
      <c r="O15" s="212">
        <f>'L D'!F94</f>
        <v>0</v>
      </c>
      <c r="P15" s="212">
        <f>'L D'!F104</f>
        <v>0</v>
      </c>
      <c r="Q15" s="212">
        <f>'L D'!F114</f>
        <v>0</v>
      </c>
      <c r="R15" s="205">
        <f t="shared" si="0"/>
        <v>23204.240000000002</v>
      </c>
      <c r="S15" s="442">
        <f>SUM(F15:K15)</f>
        <v>23204.240000000002</v>
      </c>
      <c r="T15" s="212">
        <f>SUM(L15:N15)</f>
        <v>0</v>
      </c>
      <c r="U15" s="3785">
        <f>SUM(L15:Q15)</f>
        <v>0</v>
      </c>
      <c r="V15" s="442">
        <f>SUM(F15:Q15)</f>
        <v>23204.240000000002</v>
      </c>
      <c r="W15" s="456">
        <v>70</v>
      </c>
      <c r="Y15" s="257">
        <v>4155017875</v>
      </c>
      <c r="Z15" s="717" t="s">
        <v>706</v>
      </c>
      <c r="AA15" s="717" t="s">
        <v>707</v>
      </c>
      <c r="AB15" s="717" t="s">
        <v>708</v>
      </c>
      <c r="AC15" s="717" t="s">
        <v>709</v>
      </c>
    </row>
    <row r="16" spans="1:31" s="257" customFormat="1" ht="12">
      <c r="A16" s="7881"/>
      <c r="B16" s="211" t="s">
        <v>29</v>
      </c>
      <c r="C16" s="212">
        <v>291611.64</v>
      </c>
      <c r="D16" s="5672">
        <v>264964.81400000001</v>
      </c>
      <c r="E16" s="205">
        <v>267910</v>
      </c>
      <c r="F16" s="212"/>
      <c r="G16" s="212"/>
      <c r="H16" s="212">
        <f>'L D'!F25</f>
        <v>22809.14</v>
      </c>
      <c r="I16" s="212">
        <f>'L D'!F35</f>
        <v>0</v>
      </c>
      <c r="J16" s="212">
        <f>'L D'!F45</f>
        <v>0</v>
      </c>
      <c r="K16" s="212">
        <f>'L D'!F55</f>
        <v>0</v>
      </c>
      <c r="L16" s="212">
        <f>'L D'!F65</f>
        <v>0</v>
      </c>
      <c r="M16" s="212">
        <f>'L D'!F75</f>
        <v>0</v>
      </c>
      <c r="N16" s="212">
        <f>'L D'!F85</f>
        <v>0</v>
      </c>
      <c r="O16" s="212">
        <f>'L D'!F95</f>
        <v>0</v>
      </c>
      <c r="P16" s="212">
        <f>'L D'!F105</f>
        <v>0</v>
      </c>
      <c r="Q16" s="212">
        <f>'L D'!F115</f>
        <v>0</v>
      </c>
      <c r="R16" s="205">
        <f t="shared" si="0"/>
        <v>22809.14</v>
      </c>
      <c r="S16" s="442">
        <f>SUM(F16:K16)</f>
        <v>22809.14</v>
      </c>
      <c r="T16" s="212">
        <f>SUM(L16:N16)</f>
        <v>0</v>
      </c>
      <c r="U16" s="3785">
        <f>SUM(L16:Q16)</f>
        <v>0</v>
      </c>
      <c r="V16" s="442">
        <f>SUM(F16:Q16)</f>
        <v>22809.14</v>
      </c>
      <c r="W16" s="443">
        <f>V16+24300</f>
        <v>47109.14</v>
      </c>
      <c r="X16" s="257">
        <f>W7*0.21%</f>
        <v>689.19990216000008</v>
      </c>
      <c r="Y16" s="200">
        <v>240498173</v>
      </c>
      <c r="Z16" s="717" t="s">
        <v>27</v>
      </c>
      <c r="AA16" s="717">
        <v>168936</v>
      </c>
      <c r="AB16" s="717">
        <v>174407</v>
      </c>
      <c r="AC16" s="717">
        <f>SUM(AA16:AB16)</f>
        <v>343343</v>
      </c>
      <c r="AD16" s="6">
        <f>AA24/AA16</f>
        <v>0.99129256049628267</v>
      </c>
      <c r="AE16" s="6">
        <f>AB24/AB16</f>
        <v>0.98838922749660274</v>
      </c>
    </row>
    <row r="17" spans="1:33" s="257" customFormat="1" ht="11.25" customHeight="1">
      <c r="A17" s="7881"/>
      <c r="B17" s="211" t="s">
        <v>30</v>
      </c>
      <c r="C17" s="212">
        <v>151424.818</v>
      </c>
      <c r="D17" s="5672">
        <v>157581.318</v>
      </c>
      <c r="E17" s="205">
        <v>162010</v>
      </c>
      <c r="F17" s="212">
        <f>'L D'!F6</f>
        <v>12393.01</v>
      </c>
      <c r="G17" s="212">
        <f>'L D'!F16</f>
        <v>11953.14</v>
      </c>
      <c r="H17" s="212">
        <f>'L D'!F26</f>
        <v>13021.83</v>
      </c>
      <c r="I17" s="212">
        <f>'L D'!F36</f>
        <v>0</v>
      </c>
      <c r="J17" s="212">
        <f>'L D'!F46</f>
        <v>0</v>
      </c>
      <c r="K17" s="212">
        <f>'L D'!F56</f>
        <v>0</v>
      </c>
      <c r="L17" s="212">
        <f>'L D'!F66</f>
        <v>0</v>
      </c>
      <c r="M17" s="212">
        <f>'L D'!F76</f>
        <v>0</v>
      </c>
      <c r="N17" s="212">
        <f>'L D'!F86</f>
        <v>0</v>
      </c>
      <c r="O17" s="212">
        <f>'L D'!F96</f>
        <v>0</v>
      </c>
      <c r="P17" s="212">
        <f>'L D'!F106</f>
        <v>0</v>
      </c>
      <c r="Q17" s="212">
        <f>'L D'!F116</f>
        <v>0</v>
      </c>
      <c r="R17" s="205">
        <f t="shared" si="0"/>
        <v>37367.980000000003</v>
      </c>
      <c r="S17" s="442">
        <f>SUM(F17:K17)</f>
        <v>37367.980000000003</v>
      </c>
      <c r="T17" s="212">
        <f>SUM(L17:N17)</f>
        <v>0</v>
      </c>
      <c r="U17" s="3785">
        <f>SUM(L17:Q17)</f>
        <v>0</v>
      </c>
      <c r="V17" s="442">
        <f>SUM(F17:Q17)</f>
        <v>37367.980000000003</v>
      </c>
      <c r="Y17" s="257">
        <f>Y15-Y16</f>
        <v>3914519702</v>
      </c>
      <c r="Z17" s="717" t="s">
        <v>28</v>
      </c>
      <c r="AA17" s="717">
        <v>234562</v>
      </c>
      <c r="AB17" s="717">
        <v>223646</v>
      </c>
      <c r="AC17" s="717">
        <f>SUM(AA17:AB17)</f>
        <v>458208</v>
      </c>
      <c r="AD17" s="6">
        <f t="shared" ref="AD17:AE20" si="6">AA25/AA17</f>
        <v>0.91828173361414045</v>
      </c>
      <c r="AE17" s="6">
        <f t="shared" si="6"/>
        <v>0.93695393613120737</v>
      </c>
    </row>
    <row r="18" spans="1:33" s="257" customFormat="1" ht="11.25" customHeight="1">
      <c r="A18" s="7881"/>
      <c r="B18" s="211" t="s">
        <v>17</v>
      </c>
      <c r="C18" s="212">
        <v>52664.32499999999</v>
      </c>
      <c r="D18" s="5672">
        <v>56075.171000000002</v>
      </c>
      <c r="E18" s="205">
        <v>60350</v>
      </c>
      <c r="F18" s="212">
        <f>'L D'!F9</f>
        <v>4930.6499999999996</v>
      </c>
      <c r="G18" s="212">
        <f>'L D'!F19</f>
        <v>4763.8900000000003</v>
      </c>
      <c r="H18" s="212">
        <f>'L D'!F29</f>
        <v>5539.38</v>
      </c>
      <c r="I18" s="212">
        <f>'L D'!F39</f>
        <v>0</v>
      </c>
      <c r="J18" s="212">
        <f>'L D'!F49</f>
        <v>0</v>
      </c>
      <c r="K18" s="212">
        <f>'L D'!F59</f>
        <v>0</v>
      </c>
      <c r="L18" s="212">
        <f>'L D'!F69</f>
        <v>0</v>
      </c>
      <c r="M18" s="212">
        <f>'L D'!F79</f>
        <v>0</v>
      </c>
      <c r="N18" s="212">
        <f>'L D'!F89</f>
        <v>0</v>
      </c>
      <c r="O18" s="212">
        <f>'L D'!F99</f>
        <v>0</v>
      </c>
      <c r="P18" s="212">
        <f>'L D'!F109</f>
        <v>0</v>
      </c>
      <c r="Q18" s="212">
        <f>'L D'!F119</f>
        <v>0</v>
      </c>
      <c r="R18" s="205">
        <f t="shared" si="0"/>
        <v>15233.920000000002</v>
      </c>
      <c r="S18" s="442">
        <f>SUM(F18:K18)</f>
        <v>15233.920000000002</v>
      </c>
      <c r="T18" s="212">
        <f>SUM(L18:N18)</f>
        <v>0</v>
      </c>
      <c r="U18" s="3785">
        <f>SUM(L18:Q18)</f>
        <v>0</v>
      </c>
      <c r="V18" s="442">
        <f>SUM(F18:Q18)</f>
        <v>15233.920000000002</v>
      </c>
      <c r="W18" s="257" t="s">
        <v>980</v>
      </c>
      <c r="X18" s="257">
        <f>W7*2.58/1000</f>
        <v>846.7313083680001</v>
      </c>
      <c r="Z18" s="717" t="s">
        <v>29</v>
      </c>
      <c r="AA18" s="717">
        <v>237792</v>
      </c>
      <c r="AB18" s="717">
        <v>246706</v>
      </c>
      <c r="AC18" s="717">
        <f>SUM(AA18:AB18)</f>
        <v>484498</v>
      </c>
      <c r="AD18" s="6">
        <f t="shared" si="6"/>
        <v>0.99375504642712964</v>
      </c>
      <c r="AE18" s="6">
        <f t="shared" si="6"/>
        <v>0.98264736163692812</v>
      </c>
    </row>
    <row r="19" spans="1:33" s="475" customFormat="1" ht="12" customHeight="1">
      <c r="A19" s="7882"/>
      <c r="B19" s="238" t="s">
        <v>16</v>
      </c>
      <c r="C19" s="469">
        <v>1088961.6710000001</v>
      </c>
      <c r="D19" s="473">
        <f>SUM(D14:D18)</f>
        <v>1024862.673</v>
      </c>
      <c r="E19" s="473">
        <f>SUM(E14:E18)</f>
        <v>1040590</v>
      </c>
      <c r="F19" s="474">
        <f>SUM(F14:F18)</f>
        <v>17323.66</v>
      </c>
      <c r="G19" s="474">
        <f>SUM(G14:G18)</f>
        <v>16717.03</v>
      </c>
      <c r="H19" s="474">
        <f t="shared" ref="H19:Q19" si="7">SUM(H14:H18)</f>
        <v>92156.71</v>
      </c>
      <c r="I19" s="474">
        <f t="shared" si="7"/>
        <v>0</v>
      </c>
      <c r="J19" s="474">
        <f t="shared" si="7"/>
        <v>0</v>
      </c>
      <c r="K19" s="474">
        <f t="shared" si="7"/>
        <v>0</v>
      </c>
      <c r="L19" s="474">
        <f t="shared" si="7"/>
        <v>0</v>
      </c>
      <c r="M19" s="474">
        <f>SUM(M14:M18)</f>
        <v>0</v>
      </c>
      <c r="N19" s="474">
        <f t="shared" si="7"/>
        <v>0</v>
      </c>
      <c r="O19" s="474">
        <f t="shared" si="7"/>
        <v>0</v>
      </c>
      <c r="P19" s="474">
        <f t="shared" si="7"/>
        <v>0</v>
      </c>
      <c r="Q19" s="474">
        <f t="shared" si="7"/>
        <v>0</v>
      </c>
      <c r="R19" s="1432">
        <f t="shared" si="0"/>
        <v>126197.40000000001</v>
      </c>
      <c r="S19" s="470">
        <f>SUM(S14:S18)</f>
        <v>126197.40000000001</v>
      </c>
      <c r="T19" s="474">
        <f>SUM(F19:N19)</f>
        <v>126197.40000000001</v>
      </c>
      <c r="U19" s="474">
        <f>SUM(U14:U18)</f>
        <v>0</v>
      </c>
      <c r="V19" s="474">
        <f>SUM(V14:V18)</f>
        <v>126197.40000000001</v>
      </c>
      <c r="W19" s="674">
        <f>V19/V7</f>
        <v>0.99659205089326142</v>
      </c>
      <c r="Y19" s="475">
        <v>6782</v>
      </c>
      <c r="Z19" s="717" t="s">
        <v>30</v>
      </c>
      <c r="AA19" s="718">
        <v>227142</v>
      </c>
      <c r="AB19" s="718">
        <v>180018</v>
      </c>
      <c r="AC19" s="717">
        <f>SUM(AA19:AB19)</f>
        <v>407160</v>
      </c>
      <c r="AD19" s="6">
        <f t="shared" si="6"/>
        <v>0.82062762500990571</v>
      </c>
      <c r="AE19" s="6">
        <f t="shared" si="6"/>
        <v>0.84699307846993077</v>
      </c>
    </row>
    <row r="20" spans="1:33" ht="11.25" customHeight="1">
      <c r="A20" s="7877" t="s">
        <v>1605</v>
      </c>
      <c r="B20" s="208" t="s">
        <v>27</v>
      </c>
      <c r="C20" s="212">
        <v>24.889999999999997</v>
      </c>
      <c r="D20" s="1429">
        <v>8.59</v>
      </c>
      <c r="E20" s="1429">
        <v>4</v>
      </c>
      <c r="F20" s="215"/>
      <c r="G20" s="215"/>
      <c r="H20" s="215">
        <f>'L D'!H23+'L D'!J23</f>
        <v>0</v>
      </c>
      <c r="I20" s="215">
        <f>'L D'!H33+'L D'!J33</f>
        <v>0</v>
      </c>
      <c r="J20" s="215">
        <f>'L D'!H43+'L D'!J43</f>
        <v>0</v>
      </c>
      <c r="K20" s="215">
        <f>'L D'!H53+'L D'!J53</f>
        <v>0</v>
      </c>
      <c r="L20" s="215">
        <f>'L D'!H63+'L D'!J63</f>
        <v>0</v>
      </c>
      <c r="M20" s="215">
        <f>'L D'!H73+'L D'!J73</f>
        <v>0</v>
      </c>
      <c r="N20" s="215">
        <f>'L D'!H83+'L D'!J83</f>
        <v>0</v>
      </c>
      <c r="O20" s="215">
        <f>'L D'!H93+'L D'!J93</f>
        <v>0</v>
      </c>
      <c r="P20" s="215">
        <f>'L D'!H103+'L D'!J103</f>
        <v>0</v>
      </c>
      <c r="Q20" s="215">
        <f>'L D'!H113+'L D'!J113</f>
        <v>0</v>
      </c>
      <c r="R20" s="205">
        <f t="shared" si="0"/>
        <v>0</v>
      </c>
      <c r="S20" s="442">
        <f>SUM(F20:K20)</f>
        <v>0</v>
      </c>
      <c r="T20" s="215">
        <f>SUM(L20:N20)</f>
        <v>0</v>
      </c>
      <c r="U20" s="442">
        <f>SUM(L20:Q20)</f>
        <v>0</v>
      </c>
      <c r="V20" s="209">
        <f>SUM(F20:Q20)</f>
        <v>0</v>
      </c>
      <c r="W20" s="4">
        <f>SUM(I20:K24)</f>
        <v>0</v>
      </c>
      <c r="X20" s="6" t="e">
        <f>K22/K4</f>
        <v>#DIV/0!</v>
      </c>
      <c r="Y20" s="4">
        <v>6567</v>
      </c>
      <c r="Z20" s="717" t="s">
        <v>17</v>
      </c>
      <c r="AA20" s="719">
        <v>155660</v>
      </c>
      <c r="AB20" s="718">
        <v>216706</v>
      </c>
      <c r="AC20" s="717">
        <f>SUM(AA20:AB20)</f>
        <v>372366</v>
      </c>
      <c r="AD20" s="6">
        <f t="shared" si="6"/>
        <v>0.7451946550173455</v>
      </c>
      <c r="AE20" s="6">
        <f t="shared" si="6"/>
        <v>0.74389264718097325</v>
      </c>
    </row>
    <row r="21" spans="1:33" ht="11.25" customHeight="1">
      <c r="A21" s="7878"/>
      <c r="B21" s="208" t="s">
        <v>28</v>
      </c>
      <c r="C21" s="212">
        <v>29.430000000000003</v>
      </c>
      <c r="D21" s="1429">
        <v>0</v>
      </c>
      <c r="E21" s="1429">
        <v>0</v>
      </c>
      <c r="F21" s="215"/>
      <c r="G21" s="215"/>
      <c r="H21" s="215">
        <f>'L D'!H24+'L D'!J24</f>
        <v>0</v>
      </c>
      <c r="I21" s="215">
        <f>'L D'!H34+'L D'!J34</f>
        <v>0</v>
      </c>
      <c r="J21" s="215">
        <f>'L D'!H44+'L D'!J44</f>
        <v>0</v>
      </c>
      <c r="K21" s="215">
        <f>'L D'!H54+'L D'!J54</f>
        <v>0</v>
      </c>
      <c r="L21" s="6021">
        <f>'L D'!H64+'L D'!J64</f>
        <v>0</v>
      </c>
      <c r="M21" s="215">
        <f>'L D'!H74+'L D'!J74</f>
        <v>0</v>
      </c>
      <c r="N21" s="215">
        <f>'L D'!H84+'L D'!J84</f>
        <v>0</v>
      </c>
      <c r="O21" s="215">
        <f>'L D'!H94+'L D'!J94</f>
        <v>0</v>
      </c>
      <c r="P21" s="215">
        <f>'L D'!H104+'L D'!J104</f>
        <v>0</v>
      </c>
      <c r="Q21" s="215">
        <f>'L D'!H114+'L D'!J114</f>
        <v>0</v>
      </c>
      <c r="R21" s="205">
        <f t="shared" si="0"/>
        <v>0</v>
      </c>
      <c r="S21" s="442">
        <f>SUM(F21:K21)</f>
        <v>0</v>
      </c>
      <c r="T21" s="215">
        <f>SUM(L21:N21)</f>
        <v>0</v>
      </c>
      <c r="U21" s="442">
        <f>SUM(L21:Q21)</f>
        <v>0</v>
      </c>
      <c r="V21" s="209">
        <f>SUM(F21:Q21)</f>
        <v>0</v>
      </c>
      <c r="W21" s="6" t="e">
        <f>W20/W13</f>
        <v>#DIV/0!</v>
      </c>
      <c r="Y21" s="4">
        <f>Y19-Y20</f>
        <v>215</v>
      </c>
    </row>
    <row r="22" spans="1:33" ht="11.25" customHeight="1">
      <c r="A22" s="7878"/>
      <c r="B22" s="208" t="s">
        <v>29</v>
      </c>
      <c r="C22" s="212">
        <v>363.24000000000007</v>
      </c>
      <c r="D22" s="1429">
        <v>205.53</v>
      </c>
      <c r="E22" s="1429">
        <v>150</v>
      </c>
      <c r="F22" s="215"/>
      <c r="G22" s="215"/>
      <c r="H22" s="215">
        <f>'L D'!H25+'L D'!J25+'L D'!L25</f>
        <v>47.89</v>
      </c>
      <c r="I22" s="215">
        <f>'L D'!H35+'L D'!J35+'L D'!L35</f>
        <v>0</v>
      </c>
      <c r="J22" s="215">
        <f>'L D'!H45+'L D'!J45+'L D'!L45</f>
        <v>0</v>
      </c>
      <c r="K22" s="215">
        <f>'L D'!H55+'L D'!J55+'L D'!L55</f>
        <v>0</v>
      </c>
      <c r="L22" s="215">
        <f>'L D'!H65+'L D'!J65+'L D'!L65</f>
        <v>0</v>
      </c>
      <c r="M22" s="215">
        <f>'L D'!H75+'L D'!J75+'L D'!L75</f>
        <v>0</v>
      </c>
      <c r="N22" s="215">
        <f>'L D'!H85+'L D'!J85+'L D'!L85</f>
        <v>0</v>
      </c>
      <c r="O22" s="215">
        <f>'L D'!H95+'L D'!J95+'L D'!L95</f>
        <v>0</v>
      </c>
      <c r="P22" s="215">
        <f>'L D'!H105+'L D'!J105+'L D'!L105</f>
        <v>0</v>
      </c>
      <c r="Q22" s="215">
        <f>'L D'!H115+'L D'!J115+'L D'!L115</f>
        <v>0</v>
      </c>
      <c r="R22" s="205">
        <f t="shared" si="0"/>
        <v>47.89</v>
      </c>
      <c r="S22" s="442">
        <f>SUM(F22:K22)</f>
        <v>47.89</v>
      </c>
      <c r="T22" s="215">
        <f>SUM(L22:N22)</f>
        <v>0</v>
      </c>
      <c r="U22" s="442">
        <f>SUM(L22:Q22)</f>
        <v>0</v>
      </c>
      <c r="V22" s="209">
        <f>SUM(F22:Q22)</f>
        <v>47.89</v>
      </c>
      <c r="Y22" s="4">
        <f>Y21*S13/1000000</f>
        <v>27.149367949999998</v>
      </c>
      <c r="Z22" s="257" t="s">
        <v>711</v>
      </c>
      <c r="AA22" s="257"/>
      <c r="AB22" s="257"/>
      <c r="AC22" s="257"/>
    </row>
    <row r="23" spans="1:33" ht="11.25" customHeight="1">
      <c r="A23" s="7878"/>
      <c r="B23" s="208" t="s">
        <v>30</v>
      </c>
      <c r="C23" s="212">
        <v>83.9</v>
      </c>
      <c r="D23" s="1429">
        <v>50.17</v>
      </c>
      <c r="E23" s="1429">
        <v>32</v>
      </c>
      <c r="F23" s="215">
        <f>('L D'!H6+'L D'!J6)</f>
        <v>11.54</v>
      </c>
      <c r="G23" s="215">
        <f>'L D'!H16+'L D'!J16+'L D'!L16</f>
        <v>0</v>
      </c>
      <c r="H23" s="215">
        <f>'L D'!H26+'L D'!J26</f>
        <v>9.27</v>
      </c>
      <c r="I23" s="215">
        <f>'L D'!H36+'L D'!J36</f>
        <v>0</v>
      </c>
      <c r="J23" s="215">
        <f>'L D'!H46+'L D'!J46</f>
        <v>0</v>
      </c>
      <c r="K23" s="215">
        <f>'L D'!H56+'L D'!J56</f>
        <v>0</v>
      </c>
      <c r="L23" s="215">
        <f>'L D'!H66+'L D'!J66</f>
        <v>0</v>
      </c>
      <c r="M23" s="215">
        <f>'L D'!H76+'L D'!J76</f>
        <v>0</v>
      </c>
      <c r="N23" s="215">
        <f>'L D'!H86+'L D'!J86</f>
        <v>0</v>
      </c>
      <c r="O23" s="215">
        <f>'L D'!H96+'L D'!J96</f>
        <v>0</v>
      </c>
      <c r="P23" s="215">
        <f>'L D'!H106+'L D'!J106</f>
        <v>0</v>
      </c>
      <c r="Q23" s="215">
        <f>'L D'!H116+'L D'!J116</f>
        <v>0</v>
      </c>
      <c r="R23" s="205">
        <f t="shared" si="0"/>
        <v>20.81</v>
      </c>
      <c r="S23" s="442">
        <f>SUM(F23:K23)</f>
        <v>20.81</v>
      </c>
      <c r="T23" s="215">
        <f>SUM(L23:N23)</f>
        <v>0</v>
      </c>
      <c r="U23" s="442">
        <f>SUM(L23:Q23)</f>
        <v>0</v>
      </c>
      <c r="V23" s="209">
        <f>SUM(F23:Q23)</f>
        <v>20.81</v>
      </c>
      <c r="W23" s="6">
        <f>C19/C7</f>
        <v>0.99483918463783039</v>
      </c>
      <c r="X23" s="675">
        <f>W19-99.15%</f>
        <v>5.0920508932613684E-3</v>
      </c>
      <c r="Z23" s="717" t="s">
        <v>706</v>
      </c>
      <c r="AA23" s="717" t="s">
        <v>707</v>
      </c>
      <c r="AB23" s="717" t="s">
        <v>708</v>
      </c>
      <c r="AC23" s="717" t="s">
        <v>709</v>
      </c>
    </row>
    <row r="24" spans="1:33" ht="11.25" customHeight="1">
      <c r="A24" s="7878"/>
      <c r="B24" s="208" t="s">
        <v>17</v>
      </c>
      <c r="C24" s="212">
        <v>73.5</v>
      </c>
      <c r="D24" s="1429">
        <v>37.17</v>
      </c>
      <c r="E24" s="1429">
        <v>37.205999999999996</v>
      </c>
      <c r="F24" s="215">
        <f>'L D'!H9+'L D'!J9</f>
        <v>3.47</v>
      </c>
      <c r="G24" s="215">
        <f>'L D'!H19+'L D'!J19+'L D'!L19</f>
        <v>0.96</v>
      </c>
      <c r="H24" s="215">
        <f>('L D'!H29+'L D'!J29)</f>
        <v>5.6</v>
      </c>
      <c r="I24" s="215">
        <f>'L D'!H39+'L D'!J39</f>
        <v>0</v>
      </c>
      <c r="J24" s="215">
        <f>'L D'!H49+'L D'!J49</f>
        <v>0</v>
      </c>
      <c r="K24" s="215">
        <f>'L D'!H59+'L D'!J59</f>
        <v>0</v>
      </c>
      <c r="L24" s="215">
        <f>'L D'!H69+'L D'!J69</f>
        <v>0</v>
      </c>
      <c r="M24" s="215">
        <f>'L D'!H79+'L D'!J79</f>
        <v>0</v>
      </c>
      <c r="N24" s="215">
        <f>'L D'!H89+'L D'!J89</f>
        <v>0</v>
      </c>
      <c r="O24" s="215">
        <f>'L D'!H99+'L D'!J99</f>
        <v>0</v>
      </c>
      <c r="P24" s="215">
        <f>'L D'!H109+'L D'!J109</f>
        <v>0</v>
      </c>
      <c r="Q24" s="215">
        <f>'L D'!H119+'L D'!J119</f>
        <v>0</v>
      </c>
      <c r="R24" s="205">
        <f t="shared" si="0"/>
        <v>10.029999999999999</v>
      </c>
      <c r="S24" s="442">
        <f>SUM(F24:K24)</f>
        <v>10.029999999999999</v>
      </c>
      <c r="T24" s="215">
        <f>SUM(L24:N24)</f>
        <v>0</v>
      </c>
      <c r="U24" s="442">
        <f>SUM(L24:Q24)</f>
        <v>0</v>
      </c>
      <c r="V24" s="209">
        <f>SUM(F24:Q24)</f>
        <v>10.029999999999999</v>
      </c>
      <c r="Z24" s="717" t="s">
        <v>27</v>
      </c>
      <c r="AA24" s="717">
        <v>167465</v>
      </c>
      <c r="AB24" s="717">
        <v>172382</v>
      </c>
      <c r="AC24" s="717">
        <f>SUM(AA24:AB24)</f>
        <v>339847</v>
      </c>
    </row>
    <row r="25" spans="1:33" s="5" customFormat="1">
      <c r="A25" s="7879"/>
      <c r="B25" s="238" t="s">
        <v>31</v>
      </c>
      <c r="C25" s="469">
        <v>574.96</v>
      </c>
      <c r="D25" s="238">
        <f>SUM(D20:D24)</f>
        <v>301.46000000000004</v>
      </c>
      <c r="E25" s="238">
        <f>SUM(E20:E24)</f>
        <v>223.20599999999999</v>
      </c>
      <c r="F25" s="238">
        <f t="shared" ref="F25:V25" si="8">SUM(F20:F24)</f>
        <v>15.01</v>
      </c>
      <c r="G25" s="238">
        <f t="shared" si="8"/>
        <v>0.96</v>
      </c>
      <c r="H25" s="238">
        <f t="shared" si="8"/>
        <v>62.76</v>
      </c>
      <c r="I25" s="238">
        <f t="shared" si="8"/>
        <v>0</v>
      </c>
      <c r="J25" s="238">
        <f t="shared" si="8"/>
        <v>0</v>
      </c>
      <c r="K25" s="238">
        <f t="shared" si="8"/>
        <v>0</v>
      </c>
      <c r="L25" s="238">
        <f t="shared" si="8"/>
        <v>0</v>
      </c>
      <c r="M25" s="238">
        <f>SUM(M20:M24)</f>
        <v>0</v>
      </c>
      <c r="N25" s="238">
        <f>SUM(N20:N24)</f>
        <v>0</v>
      </c>
      <c r="O25" s="238">
        <f t="shared" si="8"/>
        <v>0</v>
      </c>
      <c r="P25" s="238">
        <f t="shared" si="8"/>
        <v>0</v>
      </c>
      <c r="Q25" s="238">
        <f t="shared" si="8"/>
        <v>0</v>
      </c>
      <c r="R25" s="1432">
        <f t="shared" si="0"/>
        <v>78.72999999999999</v>
      </c>
      <c r="S25" s="470">
        <f>SUM(S20:S24)</f>
        <v>78.73</v>
      </c>
      <c r="T25" s="238">
        <f>SUM(T20:T24)</f>
        <v>0</v>
      </c>
      <c r="U25" s="469">
        <f>SUM(U20:U24)</f>
        <v>0</v>
      </c>
      <c r="V25" s="238">
        <f t="shared" si="8"/>
        <v>78.73</v>
      </c>
      <c r="W25" s="627">
        <v>313880.42599999998</v>
      </c>
      <c r="Z25" s="717" t="s">
        <v>28</v>
      </c>
      <c r="AA25" s="717">
        <v>215394</v>
      </c>
      <c r="AB25" s="717">
        <v>209546</v>
      </c>
      <c r="AC25" s="717">
        <f>SUM(AA25:AB25)</f>
        <v>424940</v>
      </c>
    </row>
    <row r="26" spans="1:33" s="257" customFormat="1">
      <c r="A26" s="7872" t="s">
        <v>82</v>
      </c>
      <c r="B26" s="211" t="s">
        <v>27</v>
      </c>
      <c r="C26" s="212">
        <v>311145</v>
      </c>
      <c r="D26" s="5672">
        <v>282824</v>
      </c>
      <c r="E26" s="5672">
        <f>E31/E111</f>
        <v>274673.36683417088</v>
      </c>
      <c r="F26" s="212"/>
      <c r="G26" s="212"/>
      <c r="H26" s="212">
        <v>27767</v>
      </c>
      <c r="I26" s="212">
        <v>0</v>
      </c>
      <c r="J26" s="257">
        <v>0</v>
      </c>
      <c r="K26" s="212">
        <v>0</v>
      </c>
      <c r="L26" s="212">
        <v>0</v>
      </c>
      <c r="M26" s="212">
        <v>0</v>
      </c>
      <c r="N26" s="212">
        <v>0</v>
      </c>
      <c r="O26" s="212">
        <v>0</v>
      </c>
      <c r="P26" s="212">
        <v>0</v>
      </c>
      <c r="Q26" s="212">
        <v>0</v>
      </c>
      <c r="R26" s="205">
        <f t="shared" ref="R26:R35" si="9">SUM(F26:O26)</f>
        <v>27767</v>
      </c>
      <c r="S26" s="3785">
        <f>SUM(F26:O26)</f>
        <v>27767</v>
      </c>
      <c r="T26" s="3786">
        <f t="shared" ref="T26:T35" si="10">SUM(L26:N26)</f>
        <v>0</v>
      </c>
      <c r="U26" s="3785">
        <f>SUM(L26:Q26)</f>
        <v>0</v>
      </c>
      <c r="V26" s="442">
        <f t="shared" ref="V26:V39" si="11">SUM(F26:Q26)</f>
        <v>27767</v>
      </c>
      <c r="W26" s="628">
        <v>311776.17</v>
      </c>
      <c r="X26" s="663"/>
      <c r="Y26" s="663"/>
      <c r="Z26" s="717" t="s">
        <v>29</v>
      </c>
      <c r="AA26" s="717">
        <v>236307</v>
      </c>
      <c r="AB26" s="717">
        <v>242425</v>
      </c>
      <c r="AC26" s="717">
        <f>SUM(AA26:AB26)</f>
        <v>478732</v>
      </c>
      <c r="AD26" s="663"/>
    </row>
    <row r="27" spans="1:33" s="257" customFormat="1">
      <c r="A27" s="7872"/>
      <c r="B27" s="211" t="s">
        <v>28</v>
      </c>
      <c r="C27" s="212">
        <v>391956</v>
      </c>
      <c r="D27" s="5672">
        <v>341359</v>
      </c>
      <c r="E27" s="5672">
        <f>E32/E112</f>
        <v>336311.06268948177</v>
      </c>
      <c r="F27" s="212"/>
      <c r="G27" s="212"/>
      <c r="H27" s="212">
        <v>30185</v>
      </c>
      <c r="I27" s="212">
        <v>0</v>
      </c>
      <c r="J27" s="212">
        <v>0</v>
      </c>
      <c r="K27" s="212">
        <v>0</v>
      </c>
      <c r="L27" s="212">
        <v>0</v>
      </c>
      <c r="M27" s="212">
        <v>0</v>
      </c>
      <c r="N27" s="212">
        <v>0</v>
      </c>
      <c r="O27" s="212">
        <v>0</v>
      </c>
      <c r="P27" s="212">
        <v>0</v>
      </c>
      <c r="Q27" s="212">
        <v>0</v>
      </c>
      <c r="R27" s="205">
        <f t="shared" si="9"/>
        <v>30185</v>
      </c>
      <c r="S27" s="3785">
        <f>SUM(F27:O27)</f>
        <v>30185</v>
      </c>
      <c r="T27" s="3786">
        <f t="shared" si="10"/>
        <v>0</v>
      </c>
      <c r="U27" s="3785">
        <f>SUM(L27:Q27)</f>
        <v>0</v>
      </c>
      <c r="V27" s="442">
        <f t="shared" si="11"/>
        <v>30185</v>
      </c>
      <c r="W27" s="257">
        <f t="shared" ref="W27:W36" si="12">SUM(I27:K27)</f>
        <v>0</v>
      </c>
      <c r="Z27" s="717" t="s">
        <v>30</v>
      </c>
      <c r="AA27" s="718">
        <v>186399</v>
      </c>
      <c r="AB27" s="718">
        <v>152474</v>
      </c>
      <c r="AC27" s="717">
        <f>SUM(AA27:AB27)</f>
        <v>338873</v>
      </c>
    </row>
    <row r="28" spans="1:33" s="257" customFormat="1">
      <c r="A28" s="7872"/>
      <c r="B28" s="211" t="s">
        <v>29</v>
      </c>
      <c r="C28" s="212">
        <v>455952</v>
      </c>
      <c r="D28" s="5672">
        <v>404343</v>
      </c>
      <c r="E28" s="5672">
        <f>E33/E113</f>
        <v>402773.00138499727</v>
      </c>
      <c r="F28" s="212"/>
      <c r="G28" s="212"/>
      <c r="H28" s="212">
        <v>37382</v>
      </c>
      <c r="I28" s="212">
        <v>0</v>
      </c>
      <c r="J28" s="212">
        <v>0</v>
      </c>
      <c r="K28" s="212">
        <v>0</v>
      </c>
      <c r="L28" s="212">
        <v>0</v>
      </c>
      <c r="M28" s="212">
        <v>0</v>
      </c>
      <c r="N28" s="212">
        <v>0</v>
      </c>
      <c r="O28" s="212">
        <v>0</v>
      </c>
      <c r="P28" s="212">
        <v>0</v>
      </c>
      <c r="Q28" s="212">
        <v>0</v>
      </c>
      <c r="R28" s="205">
        <f t="shared" si="9"/>
        <v>37382</v>
      </c>
      <c r="S28" s="3785">
        <f>SUM(F28:O28)</f>
        <v>37382</v>
      </c>
      <c r="T28" s="3786">
        <f t="shared" si="10"/>
        <v>0</v>
      </c>
      <c r="U28" s="3785">
        <f>SUM(L28:Q28)</f>
        <v>0</v>
      </c>
      <c r="V28" s="442">
        <f t="shared" si="11"/>
        <v>37382</v>
      </c>
      <c r="W28" s="257">
        <f t="shared" si="12"/>
        <v>0</v>
      </c>
      <c r="X28" s="257">
        <v>406190</v>
      </c>
      <c r="Z28" s="717" t="s">
        <v>17</v>
      </c>
      <c r="AA28" s="719">
        <v>115997</v>
      </c>
      <c r="AB28" s="719">
        <v>161206</v>
      </c>
      <c r="AC28" s="717">
        <f>SUM(AA28:AB28)</f>
        <v>277203</v>
      </c>
    </row>
    <row r="29" spans="1:33" s="257" customFormat="1">
      <c r="A29" s="7872"/>
      <c r="B29" s="211" t="s">
        <v>30</v>
      </c>
      <c r="C29" s="212">
        <v>457376</v>
      </c>
      <c r="D29" s="5672">
        <v>483340</v>
      </c>
      <c r="E29" s="5672">
        <f>E34/E114</f>
        <v>455084.26966292132</v>
      </c>
      <c r="F29" s="212">
        <v>42040</v>
      </c>
      <c r="G29" s="212">
        <v>39240</v>
      </c>
      <c r="H29" s="212">
        <v>43740</v>
      </c>
      <c r="I29" s="212">
        <v>0</v>
      </c>
      <c r="J29" s="212">
        <v>0</v>
      </c>
      <c r="K29" s="212">
        <v>0</v>
      </c>
      <c r="L29" s="212">
        <v>0</v>
      </c>
      <c r="M29" s="212">
        <v>0</v>
      </c>
      <c r="N29" s="212">
        <v>0</v>
      </c>
      <c r="O29" s="212">
        <v>0</v>
      </c>
      <c r="P29" s="212">
        <v>0</v>
      </c>
      <c r="Q29" s="212">
        <v>0</v>
      </c>
      <c r="R29" s="205">
        <f t="shared" si="9"/>
        <v>125020</v>
      </c>
      <c r="S29" s="3785">
        <f>SUM(F29:O29)</f>
        <v>125020</v>
      </c>
      <c r="T29" s="3786">
        <f t="shared" si="10"/>
        <v>0</v>
      </c>
      <c r="U29" s="3785">
        <f>SUM(L29:Q29)</f>
        <v>0</v>
      </c>
      <c r="V29" s="442">
        <f t="shared" si="11"/>
        <v>125020</v>
      </c>
      <c r="W29" s="257">
        <f t="shared" si="12"/>
        <v>0</v>
      </c>
      <c r="X29" s="257">
        <v>401971</v>
      </c>
    </row>
    <row r="30" spans="1:33" s="257" customFormat="1">
      <c r="A30" s="7872"/>
      <c r="B30" s="211" t="s">
        <v>17</v>
      </c>
      <c r="C30" s="212">
        <v>455761</v>
      </c>
      <c r="D30" s="5672">
        <v>464528</v>
      </c>
      <c r="E30" s="5672">
        <f>E35/E115</f>
        <v>487972.5085910653</v>
      </c>
      <c r="F30" s="212">
        <v>41072</v>
      </c>
      <c r="G30" s="212">
        <v>38000</v>
      </c>
      <c r="H30" s="212">
        <v>43393</v>
      </c>
      <c r="I30" s="212">
        <v>0</v>
      </c>
      <c r="J30" s="212">
        <v>0</v>
      </c>
      <c r="K30" s="212">
        <v>0</v>
      </c>
      <c r="L30" s="212">
        <v>0</v>
      </c>
      <c r="M30" s="212">
        <v>0</v>
      </c>
      <c r="N30" s="212">
        <v>0</v>
      </c>
      <c r="O30" s="212">
        <v>0</v>
      </c>
      <c r="P30" s="212">
        <v>0</v>
      </c>
      <c r="Q30" s="212">
        <v>0</v>
      </c>
      <c r="R30" s="205">
        <f t="shared" si="9"/>
        <v>122465</v>
      </c>
      <c r="S30" s="3785">
        <f>SUM(F30:O30)</f>
        <v>122465</v>
      </c>
      <c r="T30" s="3786">
        <f t="shared" si="10"/>
        <v>0</v>
      </c>
      <c r="U30" s="3785">
        <f>SUM(L30:Q30)</f>
        <v>0</v>
      </c>
      <c r="V30" s="442">
        <f t="shared" si="11"/>
        <v>122465</v>
      </c>
      <c r="W30" s="257">
        <f t="shared" si="12"/>
        <v>0</v>
      </c>
      <c r="X30" s="6">
        <f>V33/V28</f>
        <v>0.98726659889786528</v>
      </c>
      <c r="Z30" s="257" t="s">
        <v>626</v>
      </c>
    </row>
    <row r="31" spans="1:33" s="257" customFormat="1">
      <c r="A31" s="7872" t="s">
        <v>33</v>
      </c>
      <c r="B31" s="444" t="s">
        <v>27</v>
      </c>
      <c r="C31" s="445">
        <v>309128</v>
      </c>
      <c r="D31" s="5673">
        <v>280341</v>
      </c>
      <c r="E31" s="5673">
        <f>E14/E117*60</f>
        <v>273300</v>
      </c>
      <c r="F31" s="445"/>
      <c r="G31" s="445"/>
      <c r="H31" s="445">
        <v>27727</v>
      </c>
      <c r="I31" s="445">
        <v>0</v>
      </c>
      <c r="J31" s="445">
        <v>0</v>
      </c>
      <c r="K31" s="445">
        <v>0</v>
      </c>
      <c r="L31" s="445">
        <v>0</v>
      </c>
      <c r="M31" s="445">
        <v>0</v>
      </c>
      <c r="N31" s="445">
        <v>0</v>
      </c>
      <c r="O31" s="445">
        <v>0</v>
      </c>
      <c r="P31" s="445">
        <v>0</v>
      </c>
      <c r="Q31" s="445">
        <v>0</v>
      </c>
      <c r="R31" s="445">
        <f t="shared" si="9"/>
        <v>27727</v>
      </c>
      <c r="S31" s="445">
        <f>SUM(F31:P31)</f>
        <v>27727</v>
      </c>
      <c r="T31" s="445">
        <f t="shared" si="10"/>
        <v>0</v>
      </c>
      <c r="U31" s="445">
        <f t="shared" ref="U31:U59" si="13">SUM(L31:Q31)</f>
        <v>0</v>
      </c>
      <c r="V31" s="445">
        <f t="shared" si="11"/>
        <v>27727</v>
      </c>
      <c r="W31" s="257">
        <f t="shared" si="12"/>
        <v>0</v>
      </c>
      <c r="Z31" s="717" t="s">
        <v>0</v>
      </c>
      <c r="AA31" s="717" t="s">
        <v>707</v>
      </c>
      <c r="AB31" s="717" t="s">
        <v>708</v>
      </c>
      <c r="AC31" s="717" t="s">
        <v>16</v>
      </c>
      <c r="AD31" s="717" t="s">
        <v>0</v>
      </c>
      <c r="AE31" s="717" t="s">
        <v>707</v>
      </c>
      <c r="AF31" s="717" t="s">
        <v>708</v>
      </c>
      <c r="AG31" s="717" t="s">
        <v>16</v>
      </c>
    </row>
    <row r="32" spans="1:33" s="257" customFormat="1">
      <c r="A32" s="7872"/>
      <c r="B32" s="444" t="s">
        <v>28</v>
      </c>
      <c r="C32" s="445">
        <v>372120</v>
      </c>
      <c r="D32" s="5673">
        <v>322213</v>
      </c>
      <c r="E32" s="5673">
        <f>E15/E118*60</f>
        <v>321042.54044337926</v>
      </c>
      <c r="F32" s="445"/>
      <c r="G32" s="445"/>
      <c r="H32" s="445">
        <v>28675</v>
      </c>
      <c r="I32" s="445">
        <v>0</v>
      </c>
      <c r="J32" s="445">
        <v>0</v>
      </c>
      <c r="K32" s="445">
        <v>0</v>
      </c>
      <c r="L32" s="445">
        <v>0</v>
      </c>
      <c r="M32" s="445">
        <v>0</v>
      </c>
      <c r="N32" s="445">
        <v>0</v>
      </c>
      <c r="O32" s="445">
        <v>0</v>
      </c>
      <c r="P32" s="445">
        <v>0</v>
      </c>
      <c r="Q32" s="445">
        <v>0</v>
      </c>
      <c r="R32" s="445">
        <f t="shared" si="9"/>
        <v>28675</v>
      </c>
      <c r="S32" s="445">
        <f>SUM(F32:P32)</f>
        <v>28675</v>
      </c>
      <c r="T32" s="445">
        <f t="shared" si="10"/>
        <v>0</v>
      </c>
      <c r="U32" s="445">
        <f t="shared" si="13"/>
        <v>0</v>
      </c>
      <c r="V32" s="445">
        <f t="shared" si="11"/>
        <v>28675</v>
      </c>
      <c r="W32" s="257">
        <f t="shared" si="12"/>
        <v>0</v>
      </c>
      <c r="X32" s="664">
        <v>313507.36</v>
      </c>
      <c r="Z32" s="717" t="s">
        <v>27</v>
      </c>
      <c r="AA32" s="717">
        <v>340</v>
      </c>
      <c r="AB32" s="717">
        <v>881</v>
      </c>
      <c r="AC32" s="717">
        <f>SUM(AA32:AB32)</f>
        <v>1221</v>
      </c>
      <c r="AD32" s="717" t="s">
        <v>27</v>
      </c>
      <c r="AE32" s="717">
        <v>3</v>
      </c>
      <c r="AF32" s="717">
        <v>14</v>
      </c>
      <c r="AG32" s="717">
        <f>SUM(AE32:AF32)</f>
        <v>17</v>
      </c>
    </row>
    <row r="33" spans="1:33" s="257" customFormat="1">
      <c r="A33" s="7872"/>
      <c r="B33" s="444" t="s">
        <v>29</v>
      </c>
      <c r="C33" s="445">
        <v>448293</v>
      </c>
      <c r="D33" s="5673">
        <v>402607</v>
      </c>
      <c r="E33" s="5673">
        <f>E16/E119*60</f>
        <v>401363.29588014982</v>
      </c>
      <c r="F33" s="445"/>
      <c r="G33" s="445"/>
      <c r="H33" s="445">
        <v>36906</v>
      </c>
      <c r="I33" s="445">
        <v>0</v>
      </c>
      <c r="J33" s="445">
        <v>0</v>
      </c>
      <c r="K33" s="445">
        <v>0</v>
      </c>
      <c r="L33" s="445">
        <v>0</v>
      </c>
      <c r="M33" s="445">
        <v>0</v>
      </c>
      <c r="N33" s="445">
        <v>0</v>
      </c>
      <c r="O33" s="445">
        <v>0</v>
      </c>
      <c r="P33" s="445">
        <v>0</v>
      </c>
      <c r="Q33" s="445">
        <v>0</v>
      </c>
      <c r="R33" s="445">
        <f t="shared" si="9"/>
        <v>36906</v>
      </c>
      <c r="S33" s="445">
        <f>SUM(F33:P33)</f>
        <v>36906</v>
      </c>
      <c r="T33" s="445">
        <f t="shared" si="10"/>
        <v>0</v>
      </c>
      <c r="U33" s="445">
        <f t="shared" si="13"/>
        <v>0</v>
      </c>
      <c r="V33" s="445">
        <f t="shared" si="11"/>
        <v>36906</v>
      </c>
      <c r="W33" s="257">
        <f t="shared" si="12"/>
        <v>0</v>
      </c>
      <c r="X33" s="257">
        <v>319.64000000000004</v>
      </c>
      <c r="Z33" s="717" t="s">
        <v>28</v>
      </c>
      <c r="AA33" s="717">
        <v>4180</v>
      </c>
      <c r="AB33" s="717">
        <v>1585</v>
      </c>
      <c r="AC33" s="717">
        <f>SUM(AA33:AB33)</f>
        <v>5765</v>
      </c>
      <c r="AD33" s="717" t="s">
        <v>28</v>
      </c>
      <c r="AE33" s="717">
        <v>130</v>
      </c>
      <c r="AF33" s="717">
        <v>63</v>
      </c>
      <c r="AG33" s="717">
        <f>SUM(AE33:AF33)</f>
        <v>193</v>
      </c>
    </row>
    <row r="34" spans="1:33" s="257" customFormat="1">
      <c r="A34" s="7872"/>
      <c r="B34" s="444" t="s">
        <v>30</v>
      </c>
      <c r="C34" s="445">
        <v>393076</v>
      </c>
      <c r="D34" s="5673">
        <v>419806</v>
      </c>
      <c r="E34" s="5673">
        <f>E17/E121*60</f>
        <v>405025</v>
      </c>
      <c r="F34" s="445">
        <v>35304</v>
      </c>
      <c r="G34" s="445">
        <v>33726</v>
      </c>
      <c r="H34" s="445">
        <v>36295</v>
      </c>
      <c r="I34" s="445">
        <v>0</v>
      </c>
      <c r="J34" s="445">
        <v>0</v>
      </c>
      <c r="K34" s="445">
        <v>0</v>
      </c>
      <c r="L34" s="445">
        <v>0</v>
      </c>
      <c r="M34" s="445">
        <v>0</v>
      </c>
      <c r="N34" s="445">
        <v>0</v>
      </c>
      <c r="O34" s="445">
        <v>0</v>
      </c>
      <c r="P34" s="445">
        <v>0</v>
      </c>
      <c r="Q34" s="445">
        <v>0</v>
      </c>
      <c r="R34" s="445">
        <f t="shared" si="9"/>
        <v>105325</v>
      </c>
      <c r="S34" s="445">
        <f>SUM(F34:P34)</f>
        <v>105325</v>
      </c>
      <c r="T34" s="445">
        <f t="shared" si="10"/>
        <v>0</v>
      </c>
      <c r="U34" s="445">
        <f t="shared" si="13"/>
        <v>0</v>
      </c>
      <c r="V34" s="445">
        <f t="shared" si="11"/>
        <v>105325</v>
      </c>
      <c r="W34" s="257">
        <f t="shared" si="12"/>
        <v>0</v>
      </c>
      <c r="Z34" s="717" t="s">
        <v>29</v>
      </c>
      <c r="AA34" s="717">
        <v>693</v>
      </c>
      <c r="AB34" s="717">
        <v>1016</v>
      </c>
      <c r="AC34" s="717">
        <f>SUM(AA34:AB34)</f>
        <v>1709</v>
      </c>
      <c r="AD34" s="717" t="s">
        <v>29</v>
      </c>
      <c r="AE34" s="717">
        <v>12</v>
      </c>
      <c r="AF34" s="717">
        <v>10</v>
      </c>
      <c r="AG34" s="717">
        <f>SUM(AE34:AF34)</f>
        <v>22</v>
      </c>
    </row>
    <row r="35" spans="1:33" s="257" customFormat="1">
      <c r="A35" s="7872"/>
      <c r="B35" s="444" t="s">
        <v>17</v>
      </c>
      <c r="C35" s="445">
        <v>338384</v>
      </c>
      <c r="D35" s="5673">
        <v>353601</v>
      </c>
      <c r="E35" s="5673">
        <f>E18/E123*60</f>
        <v>373298.96907216497</v>
      </c>
      <c r="F35" s="445">
        <v>32063</v>
      </c>
      <c r="G35" s="445">
        <v>29210</v>
      </c>
      <c r="H35" s="445">
        <v>34716</v>
      </c>
      <c r="I35" s="445">
        <v>0</v>
      </c>
      <c r="J35" s="445">
        <v>0</v>
      </c>
      <c r="K35" s="445">
        <v>0</v>
      </c>
      <c r="L35" s="445">
        <v>0</v>
      </c>
      <c r="M35" s="445">
        <v>0</v>
      </c>
      <c r="N35" s="445">
        <v>0</v>
      </c>
      <c r="O35" s="445">
        <v>0</v>
      </c>
      <c r="P35" s="445">
        <v>0</v>
      </c>
      <c r="Q35" s="445">
        <v>0</v>
      </c>
      <c r="R35" s="445">
        <f t="shared" si="9"/>
        <v>95989</v>
      </c>
      <c r="S35" s="445">
        <f>SUM(F35:P35)</f>
        <v>95989</v>
      </c>
      <c r="T35" s="445">
        <f t="shared" si="10"/>
        <v>0</v>
      </c>
      <c r="U35" s="445">
        <f t="shared" si="13"/>
        <v>0</v>
      </c>
      <c r="V35" s="445">
        <f t="shared" si="11"/>
        <v>95989</v>
      </c>
      <c r="W35" s="257">
        <f t="shared" si="12"/>
        <v>0</v>
      </c>
      <c r="Z35" s="717" t="s">
        <v>23</v>
      </c>
      <c r="AA35" s="718">
        <v>3136</v>
      </c>
      <c r="AB35" s="718">
        <v>1008</v>
      </c>
      <c r="AC35" s="717">
        <f>SUM(AA35:AB35)</f>
        <v>4144</v>
      </c>
      <c r="AD35" s="717" t="s">
        <v>23</v>
      </c>
      <c r="AE35" s="718">
        <v>77</v>
      </c>
      <c r="AF35" s="718">
        <v>35</v>
      </c>
      <c r="AG35" s="717">
        <f>SUM(AE35:AF35)</f>
        <v>112</v>
      </c>
    </row>
    <row r="36" spans="1:33">
      <c r="A36" s="7897" t="s">
        <v>390</v>
      </c>
      <c r="B36" s="283" t="s">
        <v>391</v>
      </c>
      <c r="C36" s="720">
        <v>3057</v>
      </c>
      <c r="D36" s="5674">
        <v>728</v>
      </c>
      <c r="E36" s="6722">
        <v>720</v>
      </c>
      <c r="F36" s="806">
        <v>0</v>
      </c>
      <c r="G36" s="493">
        <v>0</v>
      </c>
      <c r="H36" s="493">
        <v>0</v>
      </c>
      <c r="I36" s="493">
        <v>0</v>
      </c>
      <c r="J36" s="493">
        <v>0</v>
      </c>
      <c r="K36" s="493">
        <v>0</v>
      </c>
      <c r="L36" s="493">
        <v>0</v>
      </c>
      <c r="M36" s="493">
        <v>0</v>
      </c>
      <c r="N36" s="493">
        <v>0</v>
      </c>
      <c r="O36" s="493">
        <v>0</v>
      </c>
      <c r="P36" s="493">
        <v>0</v>
      </c>
      <c r="Q36" s="493">
        <v>0</v>
      </c>
      <c r="R36" s="285">
        <f>SUM(F36:H36)</f>
        <v>0</v>
      </c>
      <c r="S36" s="285">
        <f>SUM(F36:K36)</f>
        <v>0</v>
      </c>
      <c r="T36" s="285">
        <f>SUM(F36:N36)</f>
        <v>0</v>
      </c>
      <c r="U36" s="285">
        <f t="shared" si="13"/>
        <v>0</v>
      </c>
      <c r="V36" s="284">
        <f t="shared" si="11"/>
        <v>0</v>
      </c>
      <c r="W36" s="248">
        <f t="shared" si="12"/>
        <v>0</v>
      </c>
      <c r="X36" s="4052"/>
      <c r="Z36" s="717" t="s">
        <v>17</v>
      </c>
      <c r="AA36" s="719">
        <v>2976</v>
      </c>
      <c r="AB36" s="718">
        <v>3456</v>
      </c>
      <c r="AC36" s="717">
        <f>SUM(AA36:AB36)</f>
        <v>6432</v>
      </c>
      <c r="AD36" s="717" t="s">
        <v>17</v>
      </c>
      <c r="AE36" s="719">
        <v>77</v>
      </c>
      <c r="AF36" s="718">
        <v>106</v>
      </c>
      <c r="AG36" s="717">
        <f>SUM(AE36:AF36)</f>
        <v>183</v>
      </c>
    </row>
    <row r="37" spans="1:33">
      <c r="A37" s="7898"/>
      <c r="B37" s="283" t="s">
        <v>392</v>
      </c>
      <c r="C37" s="720">
        <v>18</v>
      </c>
      <c r="D37" s="5674">
        <v>4</v>
      </c>
      <c r="E37" s="6722">
        <v>12</v>
      </c>
      <c r="F37" s="493">
        <v>0</v>
      </c>
      <c r="G37" s="493">
        <v>0</v>
      </c>
      <c r="H37" s="493">
        <v>0</v>
      </c>
      <c r="I37" s="493">
        <v>0</v>
      </c>
      <c r="J37" s="493">
        <v>0</v>
      </c>
      <c r="K37" s="493">
        <v>0</v>
      </c>
      <c r="L37" s="493">
        <v>0</v>
      </c>
      <c r="M37" s="493">
        <v>0</v>
      </c>
      <c r="N37" s="493">
        <v>0</v>
      </c>
      <c r="O37" s="493">
        <v>0</v>
      </c>
      <c r="P37" s="493">
        <v>0</v>
      </c>
      <c r="Q37" s="493">
        <v>0</v>
      </c>
      <c r="R37" s="285">
        <f>SUM(F37:O37)</f>
        <v>0</v>
      </c>
      <c r="S37" s="285">
        <f>SUM(F37:P37)</f>
        <v>0</v>
      </c>
      <c r="T37" s="285">
        <f>SUM(F37:P37)</f>
        <v>0</v>
      </c>
      <c r="U37" s="285">
        <f t="shared" si="13"/>
        <v>0</v>
      </c>
      <c r="V37" s="284">
        <f t="shared" si="11"/>
        <v>0</v>
      </c>
      <c r="W37" s="250">
        <f>33.51-32.28</f>
        <v>1.2299999999999969</v>
      </c>
      <c r="X37" s="74"/>
    </row>
    <row r="38" spans="1:33">
      <c r="A38" s="7898"/>
      <c r="B38" s="283" t="s">
        <v>393</v>
      </c>
      <c r="C38" s="720">
        <v>557418155.25</v>
      </c>
      <c r="D38" s="5674">
        <v>116189210.22297418</v>
      </c>
      <c r="E38" s="5674">
        <f>(D36-D36)*E215</f>
        <v>0</v>
      </c>
      <c r="F38" s="720">
        <f t="shared" ref="F38:Q38" si="14">($D$36/12-F36)*($E$215/60)</f>
        <v>2290827.9333333331</v>
      </c>
      <c r="G38" s="720">
        <f t="shared" si="14"/>
        <v>2290827.9333333331</v>
      </c>
      <c r="H38" s="720">
        <f t="shared" si="14"/>
        <v>2290827.9333333331</v>
      </c>
      <c r="I38" s="720">
        <f t="shared" si="14"/>
        <v>2290827.9333333331</v>
      </c>
      <c r="J38" s="720">
        <f t="shared" si="14"/>
        <v>2290827.9333333331</v>
      </c>
      <c r="K38" s="720">
        <f t="shared" si="14"/>
        <v>2290827.9333333331</v>
      </c>
      <c r="L38" s="720">
        <f t="shared" si="14"/>
        <v>2290827.9333333331</v>
      </c>
      <c r="M38" s="720">
        <f t="shared" si="14"/>
        <v>2290827.9333333331</v>
      </c>
      <c r="N38" s="720">
        <f t="shared" si="14"/>
        <v>2290827.9333333331</v>
      </c>
      <c r="O38" s="720">
        <f t="shared" si="14"/>
        <v>2290827.9333333331</v>
      </c>
      <c r="P38" s="720">
        <f t="shared" si="14"/>
        <v>2290827.9333333331</v>
      </c>
      <c r="Q38" s="720">
        <f t="shared" si="14"/>
        <v>2290827.9333333331</v>
      </c>
      <c r="R38" s="285">
        <f>SUM(F38:H38)</f>
        <v>6872483.7999999989</v>
      </c>
      <c r="S38" s="285">
        <f>SUM(F38:K38)</f>
        <v>13744967.6</v>
      </c>
      <c r="T38" s="285">
        <f>SUM(F38:N38)</f>
        <v>20617451.399999999</v>
      </c>
      <c r="U38" s="285">
        <f t="shared" si="13"/>
        <v>13744967.6</v>
      </c>
      <c r="V38" s="284">
        <f t="shared" si="11"/>
        <v>27489935.199999999</v>
      </c>
      <c r="W38" s="248"/>
    </row>
    <row r="39" spans="1:33" ht="10.15" customHeight="1">
      <c r="A39" s="7899"/>
      <c r="B39" s="283" t="s">
        <v>394</v>
      </c>
      <c r="C39" s="2851">
        <v>-8147403</v>
      </c>
      <c r="D39" s="5675">
        <v>41905940.999269344</v>
      </c>
      <c r="E39" s="6028">
        <f>(D37-D37)*F215</f>
        <v>0</v>
      </c>
      <c r="F39" s="720">
        <f t="shared" ref="F39:Q39" si="15">($D$37/12-F37)*$F$215</f>
        <v>997760.49998260336</v>
      </c>
      <c r="G39" s="720">
        <f t="shared" si="15"/>
        <v>997760.49998260336</v>
      </c>
      <c r="H39" s="720">
        <f t="shared" si="15"/>
        <v>997760.49998260336</v>
      </c>
      <c r="I39" s="720">
        <f t="shared" si="15"/>
        <v>997760.49998260336</v>
      </c>
      <c r="J39" s="720">
        <f t="shared" si="15"/>
        <v>997760.49998260336</v>
      </c>
      <c r="K39" s="720">
        <f t="shared" si="15"/>
        <v>997760.49998260336</v>
      </c>
      <c r="L39" s="720">
        <f t="shared" si="15"/>
        <v>997760.49998260336</v>
      </c>
      <c r="M39" s="720">
        <f t="shared" si="15"/>
        <v>997760.49998260336</v>
      </c>
      <c r="N39" s="720">
        <f t="shared" si="15"/>
        <v>997760.49998260336</v>
      </c>
      <c r="O39" s="720">
        <f t="shared" si="15"/>
        <v>997760.49998260336</v>
      </c>
      <c r="P39" s="720">
        <f t="shared" si="15"/>
        <v>997760.49998260336</v>
      </c>
      <c r="Q39" s="720">
        <f t="shared" si="15"/>
        <v>997760.49998260336</v>
      </c>
      <c r="R39" s="285">
        <f>SUM(F39:H39)</f>
        <v>2993281.4999478101</v>
      </c>
      <c r="S39" s="285">
        <f>SUM(F39:K39)</f>
        <v>5986562.9998956192</v>
      </c>
      <c r="T39" s="285">
        <f>SUM(F39:N39)</f>
        <v>8979844.4998434279</v>
      </c>
      <c r="U39" s="285">
        <f t="shared" si="13"/>
        <v>5986562.9998956192</v>
      </c>
      <c r="V39" s="284">
        <f t="shared" si="11"/>
        <v>11973125.999791237</v>
      </c>
      <c r="W39" s="701">
        <f>V33/V28</f>
        <v>0.98726659889786528</v>
      </c>
      <c r="X39" s="7906" t="s">
        <v>47</v>
      </c>
      <c r="Y39" s="7907"/>
      <c r="Z39" s="7904" t="s">
        <v>135</v>
      </c>
      <c r="AA39" s="7904"/>
      <c r="AB39" s="7904" t="s">
        <v>517</v>
      </c>
      <c r="AC39" s="7904"/>
    </row>
    <row r="40" spans="1:33" ht="10.15" customHeight="1">
      <c r="A40" s="7873" t="s">
        <v>34</v>
      </c>
      <c r="B40" s="208" t="s">
        <v>27</v>
      </c>
      <c r="C40" s="212">
        <v>3</v>
      </c>
      <c r="D40" s="5672">
        <v>7</v>
      </c>
      <c r="E40" s="219">
        <v>5</v>
      </c>
      <c r="F40" s="220"/>
      <c r="G40" s="220"/>
      <c r="H40" s="220">
        <v>1</v>
      </c>
      <c r="I40" s="220">
        <v>0</v>
      </c>
      <c r="J40" s="220">
        <v>0</v>
      </c>
      <c r="K40" s="220">
        <v>0</v>
      </c>
      <c r="L40" s="220">
        <v>0</v>
      </c>
      <c r="M40" s="220">
        <v>0</v>
      </c>
      <c r="N40" s="220">
        <v>0</v>
      </c>
      <c r="O40" s="220">
        <v>0</v>
      </c>
      <c r="P40" s="220">
        <v>0</v>
      </c>
      <c r="Q40" s="220">
        <v>0</v>
      </c>
      <c r="R40" s="217">
        <f t="shared" ref="R40:R49" si="16">SUM(F40:O40)</f>
        <v>1</v>
      </c>
      <c r="S40" s="220">
        <f t="shared" ref="S40:S49" si="17">SUM(F40:O40)</f>
        <v>1</v>
      </c>
      <c r="T40" s="213">
        <f t="shared" ref="T40:T54" si="18">SUM(L40:N40)</f>
        <v>0</v>
      </c>
      <c r="U40" s="217">
        <f t="shared" si="13"/>
        <v>0</v>
      </c>
      <c r="V40" s="209">
        <f>SUM(F40:Q40)</f>
        <v>1</v>
      </c>
      <c r="X40" s="7908"/>
      <c r="Y40" s="7909"/>
      <c r="Z40" s="457" t="s">
        <v>728</v>
      </c>
      <c r="AA40" s="432" t="s">
        <v>729</v>
      </c>
      <c r="AB40" s="735" t="s">
        <v>728</v>
      </c>
      <c r="AC40" s="432" t="s">
        <v>729</v>
      </c>
    </row>
    <row r="41" spans="1:33" ht="10.15" customHeight="1">
      <c r="A41" s="7873"/>
      <c r="B41" s="208" t="s">
        <v>28</v>
      </c>
      <c r="C41" s="212">
        <v>7</v>
      </c>
      <c r="D41" s="5672">
        <v>7</v>
      </c>
      <c r="E41" s="219">
        <v>6</v>
      </c>
      <c r="F41" s="220"/>
      <c r="G41" s="220"/>
      <c r="H41" s="220">
        <v>0</v>
      </c>
      <c r="I41" s="220">
        <v>0</v>
      </c>
      <c r="J41" s="220">
        <v>0</v>
      </c>
      <c r="K41" s="220">
        <v>0</v>
      </c>
      <c r="L41" s="220">
        <v>0</v>
      </c>
      <c r="M41" s="220">
        <v>0</v>
      </c>
      <c r="N41" s="220">
        <v>0</v>
      </c>
      <c r="O41" s="220">
        <v>0</v>
      </c>
      <c r="P41" s="220">
        <v>0</v>
      </c>
      <c r="Q41" s="220">
        <v>0</v>
      </c>
      <c r="R41" s="217">
        <f t="shared" si="16"/>
        <v>0</v>
      </c>
      <c r="S41" s="220">
        <f t="shared" si="17"/>
        <v>0</v>
      </c>
      <c r="T41" s="213">
        <f t="shared" si="18"/>
        <v>0</v>
      </c>
      <c r="U41" s="217">
        <f t="shared" si="13"/>
        <v>0</v>
      </c>
      <c r="V41" s="209">
        <f t="shared" ref="V41:V59" si="19">SUM(F41:Q41)</f>
        <v>0</v>
      </c>
      <c r="W41" s="4">
        <f>W31/W26</f>
        <v>0</v>
      </c>
      <c r="X41" s="7905" t="s">
        <v>27</v>
      </c>
      <c r="Y41" s="433" t="s">
        <v>24</v>
      </c>
      <c r="Z41" s="434">
        <v>11</v>
      </c>
      <c r="AA41" s="434">
        <v>11</v>
      </c>
      <c r="AB41" s="434">
        <v>958</v>
      </c>
      <c r="AC41" s="434">
        <v>638</v>
      </c>
      <c r="AD41" s="737">
        <f>Z41+AA41</f>
        <v>22</v>
      </c>
      <c r="AE41" s="737">
        <f>AA41+AB41</f>
        <v>969</v>
      </c>
      <c r="AF41" s="737">
        <f>AA42+AB42</f>
        <v>178</v>
      </c>
    </row>
    <row r="42" spans="1:33" ht="10.15" customHeight="1">
      <c r="A42" s="7873"/>
      <c r="B42" s="208" t="s">
        <v>29</v>
      </c>
      <c r="C42" s="212">
        <v>18</v>
      </c>
      <c r="D42" s="5672">
        <v>3</v>
      </c>
      <c r="E42" s="219">
        <v>6</v>
      </c>
      <c r="F42" s="220"/>
      <c r="G42" s="220"/>
      <c r="H42" s="220">
        <v>1</v>
      </c>
      <c r="I42" s="220">
        <v>0</v>
      </c>
      <c r="J42" s="220">
        <v>0</v>
      </c>
      <c r="K42" s="220">
        <v>0</v>
      </c>
      <c r="L42" s="220">
        <v>0</v>
      </c>
      <c r="M42" s="220">
        <v>0</v>
      </c>
      <c r="N42" s="220">
        <v>0</v>
      </c>
      <c r="O42" s="220">
        <v>0</v>
      </c>
      <c r="P42" s="220">
        <v>0</v>
      </c>
      <c r="Q42" s="220">
        <v>0</v>
      </c>
      <c r="R42" s="217">
        <f t="shared" si="16"/>
        <v>1</v>
      </c>
      <c r="S42" s="220">
        <f t="shared" si="17"/>
        <v>1</v>
      </c>
      <c r="T42" s="213">
        <f t="shared" si="18"/>
        <v>0</v>
      </c>
      <c r="U42" s="217">
        <f t="shared" si="13"/>
        <v>0</v>
      </c>
      <c r="V42" s="209">
        <f t="shared" si="19"/>
        <v>1</v>
      </c>
      <c r="W42" s="4" t="e">
        <f>W32/W27</f>
        <v>#DIV/0!</v>
      </c>
      <c r="X42" s="7905"/>
      <c r="Y42" s="458" t="s">
        <v>25</v>
      </c>
      <c r="Z42" s="459">
        <v>6</v>
      </c>
      <c r="AA42" s="434">
        <v>5</v>
      </c>
      <c r="AB42" s="459">
        <v>173</v>
      </c>
      <c r="AC42" s="434">
        <v>291</v>
      </c>
      <c r="AD42" s="737">
        <f t="shared" ref="AD42:AD50" si="20">Z42+AA42</f>
        <v>11</v>
      </c>
      <c r="AE42" s="737">
        <f>AA43+AB43</f>
        <v>2905</v>
      </c>
      <c r="AF42" s="737">
        <f>AA44+AB44</f>
        <v>1845</v>
      </c>
    </row>
    <row r="43" spans="1:33" ht="10.15" customHeight="1">
      <c r="A43" s="7873"/>
      <c r="B43" s="208" t="s">
        <v>30</v>
      </c>
      <c r="C43" s="212">
        <v>6</v>
      </c>
      <c r="D43" s="5672">
        <v>9</v>
      </c>
      <c r="E43" s="219">
        <v>6</v>
      </c>
      <c r="F43" s="220">
        <v>0</v>
      </c>
      <c r="G43" s="220">
        <v>1</v>
      </c>
      <c r="H43" s="220">
        <v>1</v>
      </c>
      <c r="I43" s="220">
        <v>0</v>
      </c>
      <c r="J43" s="220">
        <v>0</v>
      </c>
      <c r="K43" s="220">
        <v>0</v>
      </c>
      <c r="L43" s="220">
        <v>0</v>
      </c>
      <c r="M43" s="220">
        <v>0</v>
      </c>
      <c r="N43" s="220">
        <v>0</v>
      </c>
      <c r="O43" s="220">
        <v>0</v>
      </c>
      <c r="P43" s="220">
        <v>0</v>
      </c>
      <c r="Q43" s="220">
        <v>0</v>
      </c>
      <c r="R43" s="217">
        <f t="shared" si="16"/>
        <v>2</v>
      </c>
      <c r="S43" s="220">
        <f t="shared" si="17"/>
        <v>2</v>
      </c>
      <c r="T43" s="213">
        <f t="shared" si="18"/>
        <v>0</v>
      </c>
      <c r="U43" s="217">
        <f t="shared" si="13"/>
        <v>0</v>
      </c>
      <c r="V43" s="209">
        <f t="shared" si="19"/>
        <v>2</v>
      </c>
      <c r="W43" s="4" t="e">
        <f>W33/W28</f>
        <v>#DIV/0!</v>
      </c>
      <c r="X43" s="7905" t="s">
        <v>28</v>
      </c>
      <c r="Y43" s="433" t="s">
        <v>24</v>
      </c>
      <c r="Z43" s="434">
        <v>25</v>
      </c>
      <c r="AA43" s="434">
        <v>5</v>
      </c>
      <c r="AB43" s="434">
        <v>2900</v>
      </c>
      <c r="AC43" s="434">
        <v>660</v>
      </c>
      <c r="AD43" s="737">
        <f t="shared" si="20"/>
        <v>30</v>
      </c>
      <c r="AE43" s="737">
        <f>AA45+AB45</f>
        <v>497</v>
      </c>
      <c r="AF43" s="737">
        <f>AA46+AB46</f>
        <v>320</v>
      </c>
    </row>
    <row r="44" spans="1:33" ht="10.15" customHeight="1">
      <c r="A44" s="7873"/>
      <c r="B44" s="208" t="s">
        <v>17</v>
      </c>
      <c r="C44" s="212">
        <v>6</v>
      </c>
      <c r="D44" s="5672">
        <v>4</v>
      </c>
      <c r="E44" s="219">
        <v>4</v>
      </c>
      <c r="F44" s="220">
        <v>0</v>
      </c>
      <c r="G44" s="220">
        <v>0</v>
      </c>
      <c r="H44" s="220">
        <v>0</v>
      </c>
      <c r="I44" s="220">
        <v>0</v>
      </c>
      <c r="J44" s="220">
        <v>0</v>
      </c>
      <c r="K44" s="220">
        <v>0</v>
      </c>
      <c r="L44" s="220">
        <v>0</v>
      </c>
      <c r="M44" s="220">
        <v>0</v>
      </c>
      <c r="N44" s="220">
        <v>0</v>
      </c>
      <c r="O44" s="220">
        <v>0</v>
      </c>
      <c r="P44" s="220">
        <v>0</v>
      </c>
      <c r="Q44" s="220">
        <v>0</v>
      </c>
      <c r="R44" s="217">
        <f t="shared" si="16"/>
        <v>0</v>
      </c>
      <c r="S44" s="220">
        <f t="shared" si="17"/>
        <v>0</v>
      </c>
      <c r="T44" s="213">
        <f t="shared" si="18"/>
        <v>0</v>
      </c>
      <c r="U44" s="217">
        <f t="shared" si="13"/>
        <v>0</v>
      </c>
      <c r="V44" s="209">
        <f t="shared" si="19"/>
        <v>0</v>
      </c>
      <c r="W44" s="4" t="e">
        <f>W34/W29</f>
        <v>#DIV/0!</v>
      </c>
      <c r="X44" s="7905"/>
      <c r="Y44" s="458" t="s">
        <v>25</v>
      </c>
      <c r="Z44" s="459">
        <v>9</v>
      </c>
      <c r="AA44" s="434">
        <v>10</v>
      </c>
      <c r="AB44" s="459">
        <v>1835</v>
      </c>
      <c r="AC44" s="434">
        <f>1255+255</f>
        <v>1510</v>
      </c>
      <c r="AD44" s="737">
        <f t="shared" si="20"/>
        <v>19</v>
      </c>
      <c r="AE44" s="737">
        <f>AA47+AB47</f>
        <v>1729</v>
      </c>
      <c r="AF44" s="737">
        <f>AA48+AB48</f>
        <v>348</v>
      </c>
    </row>
    <row r="45" spans="1:33" ht="10.15" customHeight="1">
      <c r="A45" s="7896" t="s">
        <v>35</v>
      </c>
      <c r="B45" s="268" t="s">
        <v>27</v>
      </c>
      <c r="C45" s="445">
        <v>3</v>
      </c>
      <c r="D45" s="5673">
        <v>3</v>
      </c>
      <c r="E45" s="274">
        <v>3</v>
      </c>
      <c r="F45" s="275"/>
      <c r="G45" s="275"/>
      <c r="H45" s="275">
        <v>0</v>
      </c>
      <c r="I45" s="275">
        <v>0</v>
      </c>
      <c r="J45" s="275">
        <v>0</v>
      </c>
      <c r="K45" s="275">
        <v>0</v>
      </c>
      <c r="L45" s="275">
        <v>0</v>
      </c>
      <c r="M45" s="275">
        <v>0</v>
      </c>
      <c r="N45" s="275">
        <v>0</v>
      </c>
      <c r="O45" s="275">
        <v>0</v>
      </c>
      <c r="P45" s="275">
        <v>0</v>
      </c>
      <c r="Q45" s="275">
        <v>0</v>
      </c>
      <c r="R45" s="272">
        <f t="shared" si="16"/>
        <v>0</v>
      </c>
      <c r="S45" s="275">
        <f t="shared" si="17"/>
        <v>0</v>
      </c>
      <c r="T45" s="272">
        <f t="shared" si="18"/>
        <v>0</v>
      </c>
      <c r="U45" s="272">
        <f t="shared" si="13"/>
        <v>0</v>
      </c>
      <c r="V45" s="271">
        <f t="shared" si="19"/>
        <v>0</v>
      </c>
      <c r="W45" s="4" t="e">
        <f>W35/W30</f>
        <v>#DIV/0!</v>
      </c>
      <c r="X45" s="7905" t="s">
        <v>29</v>
      </c>
      <c r="Y45" s="433" t="s">
        <v>24</v>
      </c>
      <c r="Z45" s="434">
        <v>5</v>
      </c>
      <c r="AA45" s="434">
        <v>15</v>
      </c>
      <c r="AB45" s="434">
        <v>482</v>
      </c>
      <c r="AC45" s="434">
        <f>1444+101</f>
        <v>1545</v>
      </c>
      <c r="AD45" s="737">
        <f t="shared" si="20"/>
        <v>20</v>
      </c>
      <c r="AE45" s="737">
        <f>AA49+AB49</f>
        <v>235</v>
      </c>
      <c r="AF45" s="737">
        <f>AA50+AB50</f>
        <v>539</v>
      </c>
    </row>
    <row r="46" spans="1:33" ht="10.15" customHeight="1">
      <c r="A46" s="7896"/>
      <c r="B46" s="268" t="s">
        <v>28</v>
      </c>
      <c r="C46" s="445">
        <v>6</v>
      </c>
      <c r="D46" s="5673">
        <v>25</v>
      </c>
      <c r="E46" s="274">
        <v>10</v>
      </c>
      <c r="F46" s="275"/>
      <c r="G46" s="275"/>
      <c r="H46" s="275">
        <v>3</v>
      </c>
      <c r="I46" s="275">
        <v>0</v>
      </c>
      <c r="J46" s="275">
        <v>0</v>
      </c>
      <c r="K46" s="275">
        <v>0</v>
      </c>
      <c r="L46" s="275">
        <v>0</v>
      </c>
      <c r="M46" s="275">
        <v>0</v>
      </c>
      <c r="N46" s="275">
        <v>0</v>
      </c>
      <c r="O46" s="275">
        <v>0</v>
      </c>
      <c r="P46" s="275">
        <v>0</v>
      </c>
      <c r="Q46" s="275">
        <v>0</v>
      </c>
      <c r="R46" s="272">
        <f t="shared" si="16"/>
        <v>3</v>
      </c>
      <c r="S46" s="275">
        <f t="shared" si="17"/>
        <v>3</v>
      </c>
      <c r="T46" s="272">
        <f t="shared" si="18"/>
        <v>0</v>
      </c>
      <c r="U46" s="272">
        <f t="shared" si="13"/>
        <v>0</v>
      </c>
      <c r="V46" s="271">
        <f t="shared" si="19"/>
        <v>3</v>
      </c>
      <c r="W46" s="4" t="e">
        <f>SUM(W41:W45)</f>
        <v>#DIV/0!</v>
      </c>
      <c r="X46" s="7905"/>
      <c r="Y46" s="458" t="s">
        <v>25</v>
      </c>
      <c r="Z46" s="459">
        <v>4</v>
      </c>
      <c r="AA46" s="434">
        <v>10</v>
      </c>
      <c r="AB46" s="459">
        <v>310</v>
      </c>
      <c r="AC46" s="434">
        <f>1567+153</f>
        <v>1720</v>
      </c>
      <c r="AD46" s="737">
        <f t="shared" si="20"/>
        <v>14</v>
      </c>
      <c r="AE46" s="737">
        <v>178</v>
      </c>
      <c r="AF46" s="218"/>
    </row>
    <row r="47" spans="1:33" ht="10.15" customHeight="1">
      <c r="A47" s="7896"/>
      <c r="B47" s="268" t="s">
        <v>29</v>
      </c>
      <c r="C47" s="445">
        <v>14</v>
      </c>
      <c r="D47" s="5673">
        <v>7</v>
      </c>
      <c r="E47" s="274">
        <v>6</v>
      </c>
      <c r="F47" s="275"/>
      <c r="G47" s="275"/>
      <c r="H47" s="275">
        <v>2</v>
      </c>
      <c r="I47" s="275">
        <v>0</v>
      </c>
      <c r="J47" s="275">
        <v>0</v>
      </c>
      <c r="K47" s="275">
        <v>0</v>
      </c>
      <c r="L47" s="275">
        <v>0</v>
      </c>
      <c r="M47" s="275">
        <v>0</v>
      </c>
      <c r="N47" s="275">
        <v>0</v>
      </c>
      <c r="O47" s="275">
        <v>0</v>
      </c>
      <c r="P47" s="275">
        <v>0</v>
      </c>
      <c r="Q47" s="275">
        <v>0</v>
      </c>
      <c r="R47" s="272">
        <f t="shared" si="16"/>
        <v>2</v>
      </c>
      <c r="S47" s="275">
        <f t="shared" si="17"/>
        <v>2</v>
      </c>
      <c r="T47" s="272">
        <f t="shared" si="18"/>
        <v>0</v>
      </c>
      <c r="U47" s="272">
        <f t="shared" si="13"/>
        <v>0</v>
      </c>
      <c r="V47" s="271">
        <f t="shared" si="19"/>
        <v>2</v>
      </c>
      <c r="W47" s="4" t="e">
        <f>W46/5</f>
        <v>#DIV/0!</v>
      </c>
      <c r="X47" s="7905" t="s">
        <v>501</v>
      </c>
      <c r="Y47" s="433" t="s">
        <v>24</v>
      </c>
      <c r="Z47" s="433">
        <v>10</v>
      </c>
      <c r="AA47" s="433">
        <v>5</v>
      </c>
      <c r="AB47" s="433">
        <v>1724</v>
      </c>
      <c r="AC47" s="435">
        <v>196</v>
      </c>
      <c r="AD47" s="737">
        <f t="shared" si="20"/>
        <v>15</v>
      </c>
      <c r="AE47" s="737">
        <v>1845</v>
      </c>
      <c r="AF47" s="218"/>
    </row>
    <row r="48" spans="1:33" ht="10.15" customHeight="1">
      <c r="A48" s="7896"/>
      <c r="B48" s="268" t="s">
        <v>30</v>
      </c>
      <c r="C48" s="445">
        <v>6</v>
      </c>
      <c r="D48" s="5673">
        <v>2</v>
      </c>
      <c r="E48" s="274">
        <v>3</v>
      </c>
      <c r="F48" s="275">
        <v>1</v>
      </c>
      <c r="G48" s="275">
        <v>0</v>
      </c>
      <c r="H48" s="275">
        <v>1</v>
      </c>
      <c r="I48" s="275">
        <v>0</v>
      </c>
      <c r="J48" s="275">
        <v>0</v>
      </c>
      <c r="K48" s="275">
        <v>0</v>
      </c>
      <c r="L48" s="275">
        <v>0</v>
      </c>
      <c r="M48" s="275">
        <v>0</v>
      </c>
      <c r="N48" s="275">
        <v>0</v>
      </c>
      <c r="O48" s="275">
        <v>0</v>
      </c>
      <c r="P48" s="275">
        <v>0</v>
      </c>
      <c r="Q48" s="275">
        <v>0</v>
      </c>
      <c r="R48" s="272">
        <f t="shared" si="16"/>
        <v>2</v>
      </c>
      <c r="S48" s="275">
        <f t="shared" si="17"/>
        <v>2</v>
      </c>
      <c r="T48" s="272">
        <f t="shared" si="18"/>
        <v>0</v>
      </c>
      <c r="U48" s="272">
        <f t="shared" si="13"/>
        <v>0</v>
      </c>
      <c r="V48" s="271">
        <f t="shared" si="19"/>
        <v>2</v>
      </c>
      <c r="X48" s="7905"/>
      <c r="Y48" s="458" t="s">
        <v>25</v>
      </c>
      <c r="Z48" s="458">
        <v>8</v>
      </c>
      <c r="AA48" s="433">
        <v>10</v>
      </c>
      <c r="AB48" s="458">
        <v>338</v>
      </c>
      <c r="AC48" s="433">
        <f>1675+171+38</f>
        <v>1884</v>
      </c>
      <c r="AD48" s="737">
        <f t="shared" si="20"/>
        <v>18</v>
      </c>
      <c r="AE48" s="737">
        <v>320</v>
      </c>
      <c r="AF48" s="273"/>
    </row>
    <row r="49" spans="1:32" ht="10.15" customHeight="1">
      <c r="A49" s="7896"/>
      <c r="B49" s="268" t="s">
        <v>17</v>
      </c>
      <c r="C49" s="445">
        <v>2</v>
      </c>
      <c r="D49" s="5673">
        <v>5</v>
      </c>
      <c r="E49" s="274">
        <v>4</v>
      </c>
      <c r="F49" s="275">
        <v>0</v>
      </c>
      <c r="G49" s="275">
        <v>0</v>
      </c>
      <c r="H49" s="275">
        <v>2</v>
      </c>
      <c r="I49" s="275">
        <v>0</v>
      </c>
      <c r="J49" s="275">
        <v>0</v>
      </c>
      <c r="K49" s="275">
        <v>0</v>
      </c>
      <c r="L49" s="275">
        <v>0</v>
      </c>
      <c r="M49" s="275">
        <v>0</v>
      </c>
      <c r="N49" s="275">
        <v>0</v>
      </c>
      <c r="O49" s="275">
        <v>0</v>
      </c>
      <c r="P49" s="275">
        <v>0</v>
      </c>
      <c r="Q49" s="275">
        <v>0</v>
      </c>
      <c r="R49" s="272">
        <f t="shared" si="16"/>
        <v>2</v>
      </c>
      <c r="S49" s="275">
        <f t="shared" si="17"/>
        <v>2</v>
      </c>
      <c r="T49" s="272">
        <f t="shared" si="18"/>
        <v>0</v>
      </c>
      <c r="U49" s="272">
        <f t="shared" si="13"/>
        <v>0</v>
      </c>
      <c r="V49" s="271">
        <f t="shared" si="19"/>
        <v>2</v>
      </c>
      <c r="X49" s="7905" t="s">
        <v>209</v>
      </c>
      <c r="Y49" s="433" t="s">
        <v>24</v>
      </c>
      <c r="Z49" s="433">
        <v>5</v>
      </c>
      <c r="AA49" s="433">
        <v>10</v>
      </c>
      <c r="AB49" s="433">
        <v>225</v>
      </c>
      <c r="AC49" s="435">
        <v>627</v>
      </c>
      <c r="AD49" s="737">
        <f t="shared" si="20"/>
        <v>15</v>
      </c>
      <c r="AE49" s="737">
        <v>348</v>
      </c>
      <c r="AF49" s="273"/>
    </row>
    <row r="50" spans="1:32" ht="10.15" customHeight="1">
      <c r="A50" s="7874" t="s">
        <v>36</v>
      </c>
      <c r="B50" s="208" t="s">
        <v>27</v>
      </c>
      <c r="C50" s="212">
        <v>490</v>
      </c>
      <c r="D50" s="5672">
        <v>738</v>
      </c>
      <c r="E50" s="219">
        <f>10*60</f>
        <v>600</v>
      </c>
      <c r="F50" s="800"/>
      <c r="G50" s="213"/>
      <c r="H50" s="213">
        <v>40</v>
      </c>
      <c r="I50" s="213">
        <v>0</v>
      </c>
      <c r="J50" s="213">
        <v>0</v>
      </c>
      <c r="K50" s="213">
        <v>0</v>
      </c>
      <c r="L50" s="213">
        <v>0</v>
      </c>
      <c r="M50" s="213">
        <v>0</v>
      </c>
      <c r="N50" s="213">
        <v>0</v>
      </c>
      <c r="O50" s="213">
        <v>0</v>
      </c>
      <c r="P50" s="213">
        <v>0</v>
      </c>
      <c r="Q50" s="213">
        <v>0</v>
      </c>
      <c r="R50" s="217">
        <f>SUM(F50:H50)</f>
        <v>40</v>
      </c>
      <c r="S50" s="220">
        <f>SUM(F50:K50)</f>
        <v>40</v>
      </c>
      <c r="T50" s="213">
        <f t="shared" si="18"/>
        <v>0</v>
      </c>
      <c r="U50" s="217">
        <f t="shared" si="13"/>
        <v>0</v>
      </c>
      <c r="V50" s="1430">
        <f t="shared" si="19"/>
        <v>40</v>
      </c>
      <c r="X50" s="7905"/>
      <c r="Y50" s="458" t="s">
        <v>25</v>
      </c>
      <c r="Z50" s="458">
        <v>6</v>
      </c>
      <c r="AA50" s="433">
        <v>9</v>
      </c>
      <c r="AB50" s="458">
        <v>530</v>
      </c>
      <c r="AC50" s="433">
        <v>428</v>
      </c>
      <c r="AD50" s="737">
        <f t="shared" si="20"/>
        <v>15</v>
      </c>
      <c r="AE50" s="737">
        <v>539</v>
      </c>
      <c r="AF50" s="273"/>
    </row>
    <row r="51" spans="1:32" ht="10.15" customHeight="1">
      <c r="A51" s="7875"/>
      <c r="B51" s="208" t="s">
        <v>28</v>
      </c>
      <c r="C51" s="212">
        <v>1040</v>
      </c>
      <c r="D51" s="5672">
        <v>1095</v>
      </c>
      <c r="E51" s="219">
        <f>16*60</f>
        <v>960</v>
      </c>
      <c r="F51" s="800"/>
      <c r="G51" s="213"/>
      <c r="H51" s="213">
        <v>0</v>
      </c>
      <c r="I51" s="213">
        <v>0</v>
      </c>
      <c r="J51" s="213">
        <v>0</v>
      </c>
      <c r="K51" s="213">
        <v>0</v>
      </c>
      <c r="L51" s="213">
        <v>0</v>
      </c>
      <c r="M51" s="213">
        <v>0</v>
      </c>
      <c r="N51" s="213">
        <v>0</v>
      </c>
      <c r="O51" s="213">
        <v>0</v>
      </c>
      <c r="P51" s="213">
        <v>0</v>
      </c>
      <c r="Q51" s="213">
        <v>0</v>
      </c>
      <c r="R51" s="217">
        <f>SUM(F51:H51)</f>
        <v>0</v>
      </c>
      <c r="S51" s="220">
        <f>SUM(F51:K51)</f>
        <v>0</v>
      </c>
      <c r="T51" s="213">
        <f t="shared" si="18"/>
        <v>0</v>
      </c>
      <c r="U51" s="217">
        <f t="shared" si="13"/>
        <v>0</v>
      </c>
      <c r="V51" s="1430">
        <f t="shared" si="19"/>
        <v>0</v>
      </c>
      <c r="W51" s="74">
        <f>W54/W53</f>
        <v>1.039084418186946E-3</v>
      </c>
      <c r="AE51" s="437" t="s">
        <v>499</v>
      </c>
      <c r="AF51" s="202" t="s">
        <v>500</v>
      </c>
    </row>
    <row r="52" spans="1:32" ht="10.15" customHeight="1">
      <c r="A52" s="7875"/>
      <c r="B52" s="208" t="s">
        <v>29</v>
      </c>
      <c r="C52" s="212">
        <v>2927</v>
      </c>
      <c r="D52" s="5672">
        <v>540</v>
      </c>
      <c r="E52" s="219">
        <f>10*60</f>
        <v>600</v>
      </c>
      <c r="F52" s="800"/>
      <c r="G52" s="213"/>
      <c r="H52" s="213">
        <v>15</v>
      </c>
      <c r="I52" s="213">
        <v>0</v>
      </c>
      <c r="J52" s="213">
        <v>0</v>
      </c>
      <c r="K52" s="213">
        <v>0</v>
      </c>
      <c r="L52" s="213">
        <v>0</v>
      </c>
      <c r="M52" s="213">
        <v>0</v>
      </c>
      <c r="N52" s="213">
        <v>0</v>
      </c>
      <c r="O52" s="213">
        <v>0</v>
      </c>
      <c r="P52" s="213">
        <v>0</v>
      </c>
      <c r="Q52" s="213">
        <v>0</v>
      </c>
      <c r="R52" s="217">
        <f>SUM(F52:H52)</f>
        <v>15</v>
      </c>
      <c r="S52" s="220">
        <f>SUM(F52:K52)</f>
        <v>15</v>
      </c>
      <c r="T52" s="213">
        <f t="shared" si="18"/>
        <v>0</v>
      </c>
      <c r="U52" s="217">
        <f t="shared" si="13"/>
        <v>0</v>
      </c>
      <c r="V52" s="1430">
        <f t="shared" si="19"/>
        <v>15</v>
      </c>
      <c r="AE52" s="216">
        <v>0.97599999999999998</v>
      </c>
      <c r="AF52" s="229">
        <v>0.98149332901655406</v>
      </c>
    </row>
    <row r="53" spans="1:32" ht="10.15" customHeight="1">
      <c r="A53" s="7875"/>
      <c r="B53" s="208" t="s">
        <v>30</v>
      </c>
      <c r="C53" s="212">
        <v>959</v>
      </c>
      <c r="D53" s="5672">
        <v>860</v>
      </c>
      <c r="E53" s="219">
        <f>7*60</f>
        <v>420</v>
      </c>
      <c r="F53" s="800">
        <v>0</v>
      </c>
      <c r="G53" s="213">
        <v>35</v>
      </c>
      <c r="H53" s="213">
        <v>116</v>
      </c>
      <c r="I53" s="213">
        <v>0</v>
      </c>
      <c r="J53" s="213">
        <v>0</v>
      </c>
      <c r="K53" s="213">
        <v>0</v>
      </c>
      <c r="L53" s="213">
        <v>0</v>
      </c>
      <c r="M53" s="213">
        <v>0</v>
      </c>
      <c r="N53" s="213">
        <v>0</v>
      </c>
      <c r="O53" s="213">
        <v>0</v>
      </c>
      <c r="P53" s="213">
        <v>0</v>
      </c>
      <c r="Q53" s="213">
        <v>0</v>
      </c>
      <c r="R53" s="217">
        <f>SUM(F53:H53)</f>
        <v>151</v>
      </c>
      <c r="S53" s="220">
        <f>SUM(F53:K53)</f>
        <v>151</v>
      </c>
      <c r="T53" s="213">
        <f t="shared" si="18"/>
        <v>0</v>
      </c>
      <c r="U53" s="217">
        <f t="shared" si="13"/>
        <v>0</v>
      </c>
      <c r="V53" s="1430">
        <f t="shared" si="19"/>
        <v>151</v>
      </c>
      <c r="W53" s="257">
        <f>SUM(F31:F35)</f>
        <v>67367</v>
      </c>
      <c r="X53" s="7913" t="s">
        <v>715</v>
      </c>
      <c r="Y53" s="7914"/>
      <c r="Z53" s="729" t="s">
        <v>716</v>
      </c>
      <c r="AA53" s="730">
        <v>45000</v>
      </c>
      <c r="AB53" s="731">
        <v>60000</v>
      </c>
      <c r="AE53" s="230">
        <v>51.237989332096475</v>
      </c>
      <c r="AF53" s="231">
        <v>53.616711212227159</v>
      </c>
    </row>
    <row r="54" spans="1:32">
      <c r="A54" s="7875"/>
      <c r="B54" s="208" t="s">
        <v>17</v>
      </c>
      <c r="C54" s="212">
        <v>574</v>
      </c>
      <c r="D54" s="5672">
        <v>245</v>
      </c>
      <c r="E54" s="219">
        <f>4*60</f>
        <v>240</v>
      </c>
      <c r="F54" s="800">
        <v>0</v>
      </c>
      <c r="G54" s="213">
        <v>0</v>
      </c>
      <c r="H54" s="213">
        <v>0</v>
      </c>
      <c r="I54" s="213">
        <v>0</v>
      </c>
      <c r="J54" s="213">
        <v>0</v>
      </c>
      <c r="K54" s="213">
        <v>0</v>
      </c>
      <c r="L54" s="213">
        <v>0</v>
      </c>
      <c r="M54" s="213">
        <v>0</v>
      </c>
      <c r="N54" s="213">
        <v>0</v>
      </c>
      <c r="O54" s="213">
        <v>0</v>
      </c>
      <c r="P54" s="213">
        <v>0</v>
      </c>
      <c r="Q54" s="213">
        <v>0</v>
      </c>
      <c r="R54" s="217">
        <f>SUM(F54:H54)</f>
        <v>0</v>
      </c>
      <c r="S54" s="220">
        <f>SUM(F54:K54)</f>
        <v>0</v>
      </c>
      <c r="T54" s="213">
        <f t="shared" si="18"/>
        <v>0</v>
      </c>
      <c r="U54" s="217">
        <f t="shared" si="13"/>
        <v>0</v>
      </c>
      <c r="V54" s="1430">
        <f t="shared" si="19"/>
        <v>0</v>
      </c>
      <c r="W54" s="4052">
        <f>SUM(F50:F59)</f>
        <v>70</v>
      </c>
    </row>
    <row r="55" spans="1:32">
      <c r="A55" s="7890" t="s">
        <v>37</v>
      </c>
      <c r="B55" s="268" t="s">
        <v>27</v>
      </c>
      <c r="C55" s="445">
        <v>55</v>
      </c>
      <c r="D55" s="5673">
        <v>520</v>
      </c>
      <c r="E55" s="274">
        <f>7*60</f>
        <v>420</v>
      </c>
      <c r="F55" s="492"/>
      <c r="G55" s="492"/>
      <c r="H55" s="492">
        <v>0</v>
      </c>
      <c r="I55" s="492">
        <v>0</v>
      </c>
      <c r="J55" s="492">
        <v>0</v>
      </c>
      <c r="K55" s="492">
        <v>0</v>
      </c>
      <c r="L55" s="492">
        <v>0</v>
      </c>
      <c r="M55" s="492">
        <v>0</v>
      </c>
      <c r="N55" s="492">
        <v>0</v>
      </c>
      <c r="O55" s="492">
        <v>0</v>
      </c>
      <c r="P55" s="492">
        <v>0</v>
      </c>
      <c r="Q55" s="492">
        <v>0</v>
      </c>
      <c r="R55" s="272">
        <f>SUM(F55:P55)</f>
        <v>0</v>
      </c>
      <c r="S55" s="275">
        <f>SUM(F55:P55)</f>
        <v>0</v>
      </c>
      <c r="T55" s="272">
        <f>SUM(F55:P55)</f>
        <v>0</v>
      </c>
      <c r="U55" s="272">
        <f t="shared" si="13"/>
        <v>0</v>
      </c>
      <c r="V55" s="271">
        <f t="shared" si="19"/>
        <v>0</v>
      </c>
    </row>
    <row r="56" spans="1:32">
      <c r="A56" s="7891"/>
      <c r="B56" s="268" t="s">
        <v>28</v>
      </c>
      <c r="C56" s="445">
        <v>815</v>
      </c>
      <c r="D56" s="5673">
        <v>3425</v>
      </c>
      <c r="E56" s="274">
        <f>15*60</f>
        <v>900</v>
      </c>
      <c r="F56" s="492"/>
      <c r="G56" s="492"/>
      <c r="H56" s="492">
        <v>175</v>
      </c>
      <c r="I56" s="492">
        <v>0</v>
      </c>
      <c r="J56" s="492">
        <v>0</v>
      </c>
      <c r="K56" s="492">
        <v>0</v>
      </c>
      <c r="L56" s="492">
        <v>0</v>
      </c>
      <c r="M56" s="492">
        <v>0</v>
      </c>
      <c r="N56" s="492">
        <v>0</v>
      </c>
      <c r="O56" s="492">
        <v>0</v>
      </c>
      <c r="P56" s="492">
        <v>0</v>
      </c>
      <c r="Q56" s="492">
        <v>0</v>
      </c>
      <c r="R56" s="272">
        <f>SUM(F56:P56)</f>
        <v>175</v>
      </c>
      <c r="S56" s="275">
        <f>SUM(F56:P56)</f>
        <v>175</v>
      </c>
      <c r="T56" s="272">
        <f>SUM(F56:P56)</f>
        <v>175</v>
      </c>
      <c r="U56" s="272">
        <f t="shared" si="13"/>
        <v>0</v>
      </c>
      <c r="V56" s="271">
        <f t="shared" si="19"/>
        <v>175</v>
      </c>
      <c r="X56" s="4" t="s">
        <v>2156</v>
      </c>
    </row>
    <row r="57" spans="1:32">
      <c r="A57" s="7891"/>
      <c r="B57" s="268" t="s">
        <v>29</v>
      </c>
      <c r="C57" s="445">
        <v>1675</v>
      </c>
      <c r="D57" s="5673">
        <v>183</v>
      </c>
      <c r="E57" s="274">
        <f>8*60</f>
        <v>480</v>
      </c>
      <c r="F57" s="492"/>
      <c r="G57" s="492"/>
      <c r="H57" s="492">
        <v>44</v>
      </c>
      <c r="I57" s="492">
        <v>0</v>
      </c>
      <c r="J57" s="492">
        <v>0</v>
      </c>
      <c r="K57" s="492">
        <v>0</v>
      </c>
      <c r="L57" s="492">
        <v>0</v>
      </c>
      <c r="M57" s="492">
        <v>0</v>
      </c>
      <c r="N57" s="492">
        <v>0</v>
      </c>
      <c r="O57" s="492">
        <v>0</v>
      </c>
      <c r="P57" s="492">
        <v>0</v>
      </c>
      <c r="Q57" s="492">
        <v>0</v>
      </c>
      <c r="R57" s="272">
        <f>SUM(F57:P57)</f>
        <v>44</v>
      </c>
      <c r="S57" s="275">
        <f>SUM(F57:P57)</f>
        <v>44</v>
      </c>
      <c r="T57" s="272">
        <f>SUM(F57:P57)</f>
        <v>44</v>
      </c>
      <c r="U57" s="272">
        <f t="shared" si="13"/>
        <v>0</v>
      </c>
      <c r="V57" s="271">
        <f t="shared" si="19"/>
        <v>44</v>
      </c>
      <c r="W57" s="6"/>
      <c r="X57" s="4" t="s">
        <v>2157</v>
      </c>
    </row>
    <row r="58" spans="1:32">
      <c r="A58" s="7891"/>
      <c r="B58" s="268" t="s">
        <v>30</v>
      </c>
      <c r="C58" s="445">
        <v>467</v>
      </c>
      <c r="D58" s="5673">
        <v>555</v>
      </c>
      <c r="E58" s="274">
        <f>2.5*60</f>
        <v>150</v>
      </c>
      <c r="F58" s="492">
        <v>70</v>
      </c>
      <c r="G58" s="492">
        <v>0</v>
      </c>
      <c r="H58" s="492">
        <v>154</v>
      </c>
      <c r="I58" s="492">
        <v>0</v>
      </c>
      <c r="J58" s="492">
        <v>0</v>
      </c>
      <c r="K58" s="492">
        <v>0</v>
      </c>
      <c r="L58" s="492">
        <v>0</v>
      </c>
      <c r="M58" s="492">
        <v>0</v>
      </c>
      <c r="N58" s="492">
        <v>0</v>
      </c>
      <c r="O58" s="492">
        <v>0</v>
      </c>
      <c r="P58" s="492">
        <v>0</v>
      </c>
      <c r="Q58" s="492">
        <v>0</v>
      </c>
      <c r="R58" s="272">
        <f>SUM(F58:P58)</f>
        <v>224</v>
      </c>
      <c r="S58" s="275">
        <f>SUM(F58:P58)</f>
        <v>224</v>
      </c>
      <c r="T58" s="272">
        <f>SUM(F58:P58)</f>
        <v>224</v>
      </c>
      <c r="U58" s="272">
        <f t="shared" si="13"/>
        <v>0</v>
      </c>
      <c r="V58" s="271">
        <f t="shared" si="19"/>
        <v>224</v>
      </c>
    </row>
    <row r="59" spans="1:32">
      <c r="A59" s="7891"/>
      <c r="B59" s="268" t="s">
        <v>17</v>
      </c>
      <c r="C59" s="445">
        <v>71</v>
      </c>
      <c r="D59" s="5673">
        <v>558</v>
      </c>
      <c r="E59" s="274">
        <f>6*60</f>
        <v>360</v>
      </c>
      <c r="F59" s="492">
        <v>0</v>
      </c>
      <c r="G59" s="492">
        <v>0</v>
      </c>
      <c r="H59" s="492">
        <v>140</v>
      </c>
      <c r="I59" s="492">
        <v>0</v>
      </c>
      <c r="J59" s="492">
        <v>0</v>
      </c>
      <c r="K59" s="492">
        <v>0</v>
      </c>
      <c r="L59" s="492">
        <v>0</v>
      </c>
      <c r="M59" s="492">
        <v>0</v>
      </c>
      <c r="N59" s="492">
        <v>0</v>
      </c>
      <c r="O59" s="492">
        <v>0</v>
      </c>
      <c r="P59" s="492">
        <v>0</v>
      </c>
      <c r="Q59" s="492">
        <v>0</v>
      </c>
      <c r="R59" s="272">
        <f>SUM(F59:P59)</f>
        <v>140</v>
      </c>
      <c r="S59" s="275">
        <f>SUM(F59:P59)</f>
        <v>140</v>
      </c>
      <c r="T59" s="272">
        <f>SUM(F59:P59)</f>
        <v>140</v>
      </c>
      <c r="U59" s="272">
        <f t="shared" si="13"/>
        <v>0</v>
      </c>
      <c r="V59" s="271">
        <f t="shared" si="19"/>
        <v>140</v>
      </c>
    </row>
    <row r="60" spans="1:32" s="15" customFormat="1">
      <c r="A60" s="7888" t="s">
        <v>0</v>
      </c>
      <c r="B60" s="7889"/>
      <c r="C60" s="713" t="s">
        <v>1144</v>
      </c>
      <c r="D60" s="5671" t="s">
        <v>2152</v>
      </c>
      <c r="E60" s="713" t="s">
        <v>2155</v>
      </c>
      <c r="F60" s="221" t="s">
        <v>38</v>
      </c>
      <c r="G60" s="221" t="s">
        <v>5</v>
      </c>
      <c r="H60" s="221" t="s">
        <v>6</v>
      </c>
      <c r="I60" s="221" t="s">
        <v>7</v>
      </c>
      <c r="J60" s="221" t="s">
        <v>8</v>
      </c>
      <c r="K60" s="221" t="s">
        <v>1694</v>
      </c>
      <c r="L60" s="221" t="s">
        <v>10</v>
      </c>
      <c r="M60" s="221" t="s">
        <v>11</v>
      </c>
      <c r="N60" s="221" t="s">
        <v>12</v>
      </c>
      <c r="O60" s="221" t="s">
        <v>13</v>
      </c>
      <c r="P60" s="221" t="s">
        <v>14</v>
      </c>
      <c r="Q60" s="221" t="s">
        <v>15</v>
      </c>
      <c r="R60" s="202" t="s">
        <v>19</v>
      </c>
      <c r="S60" s="202" t="s">
        <v>20</v>
      </c>
      <c r="T60" s="202" t="s">
        <v>21</v>
      </c>
      <c r="U60" s="202" t="s">
        <v>175</v>
      </c>
      <c r="V60" s="202" t="s">
        <v>22</v>
      </c>
      <c r="W60" s="630" t="e">
        <f>SUM(#REF!)</f>
        <v>#REF!</v>
      </c>
      <c r="AB60" s="15">
        <v>1709</v>
      </c>
      <c r="AC60" s="15">
        <v>22</v>
      </c>
    </row>
    <row r="61" spans="1:32" s="15" customFormat="1" ht="11.25" customHeight="1">
      <c r="A61" s="7885" t="s">
        <v>39</v>
      </c>
      <c r="B61" s="208" t="s">
        <v>104</v>
      </c>
      <c r="C61" s="2532">
        <v>2.48475</v>
      </c>
      <c r="D61" s="5676">
        <v>2.4710000000000001</v>
      </c>
      <c r="E61" s="5676">
        <v>2.48475</v>
      </c>
      <c r="F61" s="215">
        <v>2.3919999999999999</v>
      </c>
      <c r="G61" s="1126">
        <v>2.4249999999999998</v>
      </c>
      <c r="H61" s="1238">
        <v>2.5019999999999998</v>
      </c>
      <c r="I61" s="1238">
        <v>0</v>
      </c>
      <c r="J61" s="1239">
        <v>0</v>
      </c>
      <c r="K61" s="1239">
        <v>0</v>
      </c>
      <c r="L61" s="1239">
        <v>0</v>
      </c>
      <c r="M61" s="1239">
        <v>0</v>
      </c>
      <c r="N61" s="1239">
        <v>0</v>
      </c>
      <c r="O61" s="1239">
        <v>0</v>
      </c>
      <c r="P61" s="1239">
        <v>0</v>
      </c>
      <c r="Q61" s="1239">
        <v>0</v>
      </c>
      <c r="R61" s="1239">
        <f>AVERAGE(F61:H61)</f>
        <v>2.4396666666666667</v>
      </c>
      <c r="S61" s="1239">
        <f>AVERAGE(F61:K61)</f>
        <v>1.2198333333333333</v>
      </c>
      <c r="T61" s="1239">
        <f>AVERAGE(L61:N61)</f>
        <v>0</v>
      </c>
      <c r="U61" s="1239">
        <f>AVERAGE(L61:Q61)</f>
        <v>0</v>
      </c>
      <c r="V61" s="1425">
        <f>AVERAGE(F61:Q61)</f>
        <v>0.60991666666666666</v>
      </c>
      <c r="W61" s="15" t="e">
        <f>W60/12/60</f>
        <v>#REF!</v>
      </c>
    </row>
    <row r="62" spans="1:32" s="15" customFormat="1" ht="11.25" customHeight="1">
      <c r="A62" s="7886"/>
      <c r="B62" s="208" t="s">
        <v>105</v>
      </c>
      <c r="C62" s="222">
        <v>1140.1216666666667</v>
      </c>
      <c r="D62" s="5677">
        <v>1139.347</v>
      </c>
      <c r="E62" s="5677">
        <v>1140.1216666666667</v>
      </c>
      <c r="F62" s="223">
        <v>1119.155</v>
      </c>
      <c r="G62" s="223">
        <v>1190.0550000000001</v>
      </c>
      <c r="H62" s="223">
        <v>1160.325</v>
      </c>
      <c r="I62" s="210">
        <v>0</v>
      </c>
      <c r="J62" s="223">
        <v>0</v>
      </c>
      <c r="K62" s="223">
        <v>0</v>
      </c>
      <c r="L62" s="223">
        <v>0</v>
      </c>
      <c r="M62" s="223">
        <v>0</v>
      </c>
      <c r="N62" s="223">
        <v>0</v>
      </c>
      <c r="O62" s="223">
        <v>0</v>
      </c>
      <c r="P62" s="223">
        <v>0</v>
      </c>
      <c r="Q62" s="223">
        <v>0</v>
      </c>
      <c r="R62" s="2562">
        <f>AVERAGE(F62:N62)</f>
        <v>385.50388888888887</v>
      </c>
      <c r="S62" s="2562">
        <f>AVERAGE(F62:N62)</f>
        <v>385.50388888888887</v>
      </c>
      <c r="T62" s="1239">
        <f>AVERAGE(L62:N62)</f>
        <v>0</v>
      </c>
      <c r="U62" s="2562">
        <f>AVERAGE(L62:Q62)</f>
        <v>0</v>
      </c>
      <c r="V62" s="223">
        <f>AVERAGE(F62:Q62)</f>
        <v>289.12791666666664</v>
      </c>
    </row>
    <row r="63" spans="1:32" s="15" customFormat="1" ht="11.25" customHeight="1">
      <c r="A63" s="7886"/>
      <c r="B63" s="208" t="s">
        <v>40</v>
      </c>
      <c r="C63" s="224">
        <v>58.694362011852697</v>
      </c>
      <c r="D63" s="5678">
        <v>60.293596370134942</v>
      </c>
      <c r="E63" s="6029">
        <v>62</v>
      </c>
      <c r="F63" s="225" t="e">
        <f t="shared" ref="F63:S63" si="21">(F14+F20)/F31*60</f>
        <v>#DIV/0!</v>
      </c>
      <c r="G63" s="225" t="e">
        <f t="shared" si="21"/>
        <v>#DIV/0!</v>
      </c>
      <c r="H63" s="225">
        <f t="shared" si="21"/>
        <v>59.686486096584552</v>
      </c>
      <c r="I63" s="225" t="e">
        <f t="shared" si="21"/>
        <v>#DIV/0!</v>
      </c>
      <c r="J63" s="225" t="e">
        <f t="shared" si="21"/>
        <v>#DIV/0!</v>
      </c>
      <c r="K63" s="225" t="e">
        <f t="shared" si="21"/>
        <v>#DIV/0!</v>
      </c>
      <c r="L63" s="225" t="e">
        <f t="shared" si="21"/>
        <v>#DIV/0!</v>
      </c>
      <c r="M63" s="225" t="e">
        <f>(M14+M20)/M31*60</f>
        <v>#DIV/0!</v>
      </c>
      <c r="N63" s="225" t="e">
        <f>(N14+N20)/N31*60</f>
        <v>#DIV/0!</v>
      </c>
      <c r="O63" s="225" t="e">
        <f t="shared" si="21"/>
        <v>#DIV/0!</v>
      </c>
      <c r="P63" s="225" t="e">
        <f t="shared" si="21"/>
        <v>#DIV/0!</v>
      </c>
      <c r="Q63" s="225" t="e">
        <f t="shared" si="21"/>
        <v>#DIV/0!</v>
      </c>
      <c r="R63" s="225">
        <f t="shared" si="21"/>
        <v>59.686486096584552</v>
      </c>
      <c r="S63" s="225">
        <f t="shared" si="21"/>
        <v>59.686486096584552</v>
      </c>
      <c r="T63" s="1239" t="e">
        <f>AVERAGE(L63:N63)</f>
        <v>#DIV/0!</v>
      </c>
      <c r="U63" s="2562" t="e">
        <f>AVERAGE(L63:Q63)</f>
        <v>#DIV/0!</v>
      </c>
      <c r="V63" s="225">
        <f>(V14+V20)/V31*60</f>
        <v>59.686486096584552</v>
      </c>
      <c r="W63" s="15" t="s">
        <v>1254</v>
      </c>
    </row>
    <row r="64" spans="1:32" s="15" customFormat="1" ht="11.25" customHeight="1">
      <c r="A64" s="7886"/>
      <c r="B64" s="208" t="s">
        <v>41</v>
      </c>
      <c r="C64" s="222">
        <v>2832.9173112500002</v>
      </c>
      <c r="D64" s="223">
        <v>2815.3264370000002</v>
      </c>
      <c r="E64" s="5677">
        <f>E61*E62</f>
        <v>2832.9173112500002</v>
      </c>
      <c r="F64" s="223">
        <f>F61*F62</f>
        <v>2677.0187599999999</v>
      </c>
      <c r="G64" s="223">
        <f>G61*G62</f>
        <v>2885.8833749999999</v>
      </c>
      <c r="H64" s="223">
        <f t="shared" ref="H64:Q64" si="22">H61*H62</f>
        <v>2903.1331499999997</v>
      </c>
      <c r="I64" s="223">
        <f t="shared" si="22"/>
        <v>0</v>
      </c>
      <c r="J64" s="223">
        <f t="shared" si="22"/>
        <v>0</v>
      </c>
      <c r="K64" s="223">
        <f t="shared" si="22"/>
        <v>0</v>
      </c>
      <c r="L64" s="223">
        <f t="shared" si="22"/>
        <v>0</v>
      </c>
      <c r="M64" s="223">
        <f t="shared" si="22"/>
        <v>0</v>
      </c>
      <c r="N64" s="223">
        <f t="shared" si="22"/>
        <v>0</v>
      </c>
      <c r="O64" s="223">
        <f t="shared" si="22"/>
        <v>0</v>
      </c>
      <c r="P64" s="223">
        <f t="shared" si="22"/>
        <v>0</v>
      </c>
      <c r="Q64" s="223">
        <f t="shared" si="22"/>
        <v>0</v>
      </c>
      <c r="R64" s="223">
        <f>R61*R62</f>
        <v>940.50098759259254</v>
      </c>
      <c r="S64" s="223">
        <f>S61*S62</f>
        <v>470.25049379629627</v>
      </c>
      <c r="T64" s="1239">
        <f>AVERAGE(L64:N64)</f>
        <v>0</v>
      </c>
      <c r="U64" s="2562">
        <f>AVERAGE(L64:Q64)</f>
        <v>0</v>
      </c>
      <c r="V64" s="223">
        <f>V61*V62</f>
        <v>176.3439351736111</v>
      </c>
      <c r="W64" s="1404"/>
    </row>
    <row r="65" spans="1:26" ht="11.25" customHeight="1">
      <c r="A65" s="7887"/>
      <c r="B65" s="208" t="s">
        <v>40</v>
      </c>
      <c r="C65" s="1431">
        <v>58.854611570246938</v>
      </c>
      <c r="D65" s="5679">
        <v>60.771263786948523</v>
      </c>
      <c r="E65" s="5679">
        <v>62</v>
      </c>
      <c r="F65" s="1431" t="e">
        <f>F63</f>
        <v>#DIV/0!</v>
      </c>
      <c r="G65" s="1431" t="e">
        <f t="shared" ref="G65:Q65" si="23">G63</f>
        <v>#DIV/0!</v>
      </c>
      <c r="H65" s="1431">
        <f t="shared" si="23"/>
        <v>59.686486096584552</v>
      </c>
      <c r="I65" s="1431" t="e">
        <f t="shared" si="23"/>
        <v>#DIV/0!</v>
      </c>
      <c r="J65" s="1431" t="e">
        <f t="shared" si="23"/>
        <v>#DIV/0!</v>
      </c>
      <c r="K65" s="1431" t="e">
        <f t="shared" si="23"/>
        <v>#DIV/0!</v>
      </c>
      <c r="L65" s="1431" t="e">
        <f t="shared" si="23"/>
        <v>#DIV/0!</v>
      </c>
      <c r="M65" s="1431" t="e">
        <f>M63</f>
        <v>#DIV/0!</v>
      </c>
      <c r="N65" s="1431" t="e">
        <f>N63</f>
        <v>#DIV/0!</v>
      </c>
      <c r="O65" s="1431" t="e">
        <f t="shared" si="23"/>
        <v>#DIV/0!</v>
      </c>
      <c r="P65" s="1431" t="e">
        <f t="shared" si="23"/>
        <v>#DIV/0!</v>
      </c>
      <c r="Q65" s="1431" t="e">
        <f t="shared" si="23"/>
        <v>#DIV/0!</v>
      </c>
      <c r="R65" s="1431">
        <f>$C$64/R64*R63</f>
        <v>179.78384067783892</v>
      </c>
      <c r="S65" s="1431">
        <f>$C$64/S64*S63</f>
        <v>359.56768135567785</v>
      </c>
      <c r="T65" s="1431" t="e">
        <f>T63</f>
        <v>#DIV/0!</v>
      </c>
      <c r="U65" s="1431" t="e">
        <f>U63</f>
        <v>#DIV/0!</v>
      </c>
      <c r="V65" s="2563">
        <f>$D$64/V64*V63</f>
        <v>952.89323147923733</v>
      </c>
      <c r="W65" s="2564" t="s">
        <v>1253</v>
      </c>
    </row>
    <row r="66" spans="1:26" ht="11.25" customHeight="1">
      <c r="A66" s="7885" t="s">
        <v>42</v>
      </c>
      <c r="B66" s="208" t="s">
        <v>110</v>
      </c>
      <c r="C66" s="2532">
        <v>0.8138333333333333</v>
      </c>
      <c r="D66" s="5676">
        <v>0.83599999999999997</v>
      </c>
      <c r="E66" s="5676">
        <v>0.8138333333333333</v>
      </c>
      <c r="F66" s="215">
        <v>0.65800000000000003</v>
      </c>
      <c r="G66" s="215">
        <v>0.502</v>
      </c>
      <c r="H66" s="215">
        <v>0.81</v>
      </c>
      <c r="I66" s="215">
        <v>0</v>
      </c>
      <c r="J66" s="215">
        <v>0</v>
      </c>
      <c r="K66" s="215">
        <v>0</v>
      </c>
      <c r="L66" s="215">
        <v>0</v>
      </c>
      <c r="M66" s="215">
        <v>0</v>
      </c>
      <c r="N66" s="215">
        <v>0</v>
      </c>
      <c r="O66" s="215">
        <v>0</v>
      </c>
      <c r="P66" s="215">
        <v>0</v>
      </c>
      <c r="Q66" s="215">
        <v>0</v>
      </c>
      <c r="R66" s="1239">
        <f>AVERAGE(F66:N66)</f>
        <v>0.21888888888888891</v>
      </c>
      <c r="S66" s="1239">
        <f>AVERAGE(F66:N66)</f>
        <v>0.21888888888888891</v>
      </c>
      <c r="T66" s="1239">
        <f>AVERAGE(L66:N66)</f>
        <v>0</v>
      </c>
      <c r="U66" s="1239">
        <f>AVERAGE(L66:Q66)</f>
        <v>0</v>
      </c>
      <c r="V66" s="1425">
        <f>AVERAGE(F66:Q66)</f>
        <v>0.16416666666666668</v>
      </c>
    </row>
    <row r="67" spans="1:26" ht="11.25" customHeight="1">
      <c r="A67" s="7886"/>
      <c r="B67" s="208" t="s">
        <v>111</v>
      </c>
      <c r="C67" s="222">
        <v>1137.0000833333331</v>
      </c>
      <c r="D67" s="5677">
        <v>1140.96</v>
      </c>
      <c r="E67" s="5677">
        <v>1137.0000833333331</v>
      </c>
      <c r="F67" s="223">
        <v>1031.431</v>
      </c>
      <c r="G67" s="223">
        <v>1135.162</v>
      </c>
      <c r="H67" s="223">
        <v>1166.3579999999999</v>
      </c>
      <c r="I67" s="223">
        <v>0</v>
      </c>
      <c r="J67" s="223">
        <v>0</v>
      </c>
      <c r="K67" s="223">
        <v>0</v>
      </c>
      <c r="L67" s="223">
        <v>0</v>
      </c>
      <c r="M67" s="223">
        <v>0</v>
      </c>
      <c r="N67" s="223">
        <v>0</v>
      </c>
      <c r="O67" s="223">
        <v>0</v>
      </c>
      <c r="P67" s="223">
        <v>0</v>
      </c>
      <c r="Q67" s="223">
        <v>0</v>
      </c>
      <c r="R67" s="2562">
        <f>AVERAGE(F67:N67)</f>
        <v>370.32788888888888</v>
      </c>
      <c r="S67" s="2562">
        <f>AVERAGE(F67:N67)</f>
        <v>370.32788888888888</v>
      </c>
      <c r="T67" s="1239">
        <f>AVERAGE(L67:N67)</f>
        <v>0</v>
      </c>
      <c r="U67" s="2562">
        <f>AVERAGE(L67:Q67)</f>
        <v>0</v>
      </c>
      <c r="V67" s="223">
        <f>AVERAGE(F67:Q67)</f>
        <v>277.74591666666669</v>
      </c>
    </row>
    <row r="68" spans="1:26" ht="11.25" customHeight="1">
      <c r="A68" s="7886"/>
      <c r="B68" s="208" t="s">
        <v>40</v>
      </c>
      <c r="C68" s="222">
        <v>46.906486455981941</v>
      </c>
      <c r="D68" s="5677">
        <v>49.260056236092275</v>
      </c>
      <c r="E68" s="5677">
        <v>48</v>
      </c>
      <c r="F68" s="223" t="e">
        <f>(F15+F21)/F32*60</f>
        <v>#DIV/0!</v>
      </c>
      <c r="G68" s="223" t="e">
        <f t="shared" ref="G68:S68" si="24">(G15+G21)/G32*60</f>
        <v>#DIV/0!</v>
      </c>
      <c r="H68" s="223">
        <f t="shared" si="24"/>
        <v>48.552899738448126</v>
      </c>
      <c r="I68" s="223" t="e">
        <f t="shared" si="24"/>
        <v>#DIV/0!</v>
      </c>
      <c r="J68" s="223" t="e">
        <f t="shared" si="24"/>
        <v>#DIV/0!</v>
      </c>
      <c r="K68" s="223" t="e">
        <f t="shared" si="24"/>
        <v>#DIV/0!</v>
      </c>
      <c r="L68" s="223" t="e">
        <f t="shared" si="24"/>
        <v>#DIV/0!</v>
      </c>
      <c r="M68" s="223" t="e">
        <f>(M15+M21)/M32*60</f>
        <v>#DIV/0!</v>
      </c>
      <c r="N68" s="223" t="e">
        <f>(N15+N21)/N32*60</f>
        <v>#DIV/0!</v>
      </c>
      <c r="O68" s="223" t="e">
        <f t="shared" si="24"/>
        <v>#DIV/0!</v>
      </c>
      <c r="P68" s="223" t="e">
        <f t="shared" si="24"/>
        <v>#DIV/0!</v>
      </c>
      <c r="Q68" s="223" t="e">
        <f t="shared" si="24"/>
        <v>#DIV/0!</v>
      </c>
      <c r="R68" s="223">
        <f>(R15+R21)/R32*60</f>
        <v>48.552899738448126</v>
      </c>
      <c r="S68" s="223">
        <f t="shared" si="24"/>
        <v>48.552899738448126</v>
      </c>
      <c r="T68" s="1239" t="e">
        <f>AVERAGE(L68:N68)</f>
        <v>#DIV/0!</v>
      </c>
      <c r="U68" s="2562" t="e">
        <f>AVERAGE(L68:Q68)</f>
        <v>#DIV/0!</v>
      </c>
      <c r="V68" s="223">
        <f>(V15+V21)/V32*60</f>
        <v>48.552899738448126</v>
      </c>
    </row>
    <row r="69" spans="1:26" ht="11.25" customHeight="1">
      <c r="A69" s="7886"/>
      <c r="B69" s="208" t="s">
        <v>41</v>
      </c>
      <c r="C69" s="222">
        <v>925.32856781944429</v>
      </c>
      <c r="D69" s="223">
        <v>953.84255999999993</v>
      </c>
      <c r="E69" s="5677">
        <f>E66*E67</f>
        <v>925.32856781944429</v>
      </c>
      <c r="F69" s="223">
        <f>F66*F67</f>
        <v>678.68159800000001</v>
      </c>
      <c r="G69" s="223">
        <f>G66*G67</f>
        <v>569.85132399999998</v>
      </c>
      <c r="H69" s="223">
        <f t="shared" ref="H69:Q69" si="25">H66*H67</f>
        <v>944.74998000000005</v>
      </c>
      <c r="I69" s="223">
        <f t="shared" si="25"/>
        <v>0</v>
      </c>
      <c r="J69" s="223">
        <f t="shared" si="25"/>
        <v>0</v>
      </c>
      <c r="K69" s="223">
        <f t="shared" si="25"/>
        <v>0</v>
      </c>
      <c r="L69" s="223">
        <f t="shared" si="25"/>
        <v>0</v>
      </c>
      <c r="M69" s="223">
        <f>M66*M67</f>
        <v>0</v>
      </c>
      <c r="N69" s="223">
        <f>N66*N67</f>
        <v>0</v>
      </c>
      <c r="O69" s="223">
        <f t="shared" si="25"/>
        <v>0</v>
      </c>
      <c r="P69" s="223">
        <f t="shared" si="25"/>
        <v>0</v>
      </c>
      <c r="Q69" s="223">
        <f t="shared" si="25"/>
        <v>0</v>
      </c>
      <c r="R69" s="223">
        <f>R66*R67</f>
        <v>81.060660123456799</v>
      </c>
      <c r="S69" s="223">
        <f>S66*S67</f>
        <v>81.060660123456799</v>
      </c>
      <c r="T69" s="1239">
        <f>AVERAGE(L69:N69)</f>
        <v>0</v>
      </c>
      <c r="U69" s="2562">
        <f>AVERAGE(L69:Q69)</f>
        <v>0</v>
      </c>
      <c r="V69" s="223">
        <f>V66*V67</f>
        <v>45.596621319444452</v>
      </c>
    </row>
    <row r="70" spans="1:26" ht="11.25" customHeight="1">
      <c r="A70" s="7887"/>
      <c r="B70" s="208" t="s">
        <v>40</v>
      </c>
      <c r="C70" s="226">
        <v>36.232760335540597</v>
      </c>
      <c r="D70" s="5680">
        <v>47.670568772343238</v>
      </c>
      <c r="E70" s="5680">
        <v>48</v>
      </c>
      <c r="F70" s="227" t="e">
        <f>F68</f>
        <v>#DIV/0!</v>
      </c>
      <c r="G70" s="227" t="e">
        <f t="shared" ref="G70:Q70" si="26">G68</f>
        <v>#DIV/0!</v>
      </c>
      <c r="H70" s="227">
        <f t="shared" si="26"/>
        <v>48.552899738448126</v>
      </c>
      <c r="I70" s="227" t="e">
        <f t="shared" si="26"/>
        <v>#DIV/0!</v>
      </c>
      <c r="J70" s="227" t="e">
        <f t="shared" si="26"/>
        <v>#DIV/0!</v>
      </c>
      <c r="K70" s="227" t="e">
        <f t="shared" si="26"/>
        <v>#DIV/0!</v>
      </c>
      <c r="L70" s="227" t="e">
        <f t="shared" si="26"/>
        <v>#DIV/0!</v>
      </c>
      <c r="M70" s="227" t="e">
        <f>M68</f>
        <v>#DIV/0!</v>
      </c>
      <c r="N70" s="227" t="e">
        <f>N68</f>
        <v>#DIV/0!</v>
      </c>
      <c r="O70" s="227" t="e">
        <f t="shared" si="26"/>
        <v>#DIV/0!</v>
      </c>
      <c r="P70" s="227" t="e">
        <f t="shared" si="26"/>
        <v>#DIV/0!</v>
      </c>
      <c r="Q70" s="227" t="e">
        <f t="shared" si="26"/>
        <v>#DIV/0!</v>
      </c>
      <c r="R70" s="227">
        <f>$C$69/R69*R68</f>
        <v>554.24400825300563</v>
      </c>
      <c r="S70" s="227">
        <f>$C$69/S69*S68</f>
        <v>554.24400825300563</v>
      </c>
      <c r="T70" s="227" t="e">
        <f>T68</f>
        <v>#DIV/0!</v>
      </c>
      <c r="U70" s="227" t="e">
        <f>U68</f>
        <v>#DIV/0!</v>
      </c>
      <c r="V70" s="227">
        <f>$D$69/V69*V68</f>
        <v>1015.6853916321918</v>
      </c>
    </row>
    <row r="71" spans="1:26" ht="11.25" customHeight="1">
      <c r="A71" s="7885" t="s">
        <v>43</v>
      </c>
      <c r="B71" s="208" t="s">
        <v>110</v>
      </c>
      <c r="C71" s="2532">
        <v>0.80191666666666672</v>
      </c>
      <c r="D71" s="5676">
        <v>0.81499999999999995</v>
      </c>
      <c r="E71" s="5676">
        <v>0.80191666666666672</v>
      </c>
      <c r="F71" s="215">
        <v>0</v>
      </c>
      <c r="G71" s="215">
        <v>0</v>
      </c>
      <c r="H71" s="215">
        <v>0.78700000000000003</v>
      </c>
      <c r="I71" s="215">
        <v>0</v>
      </c>
      <c r="J71" s="215">
        <v>0</v>
      </c>
      <c r="K71" s="215">
        <v>0</v>
      </c>
      <c r="L71" s="215">
        <v>0</v>
      </c>
      <c r="M71" s="215">
        <v>0</v>
      </c>
      <c r="N71" s="215">
        <v>0</v>
      </c>
      <c r="O71" s="215">
        <v>0</v>
      </c>
      <c r="P71" s="215">
        <v>0</v>
      </c>
      <c r="Q71" s="215">
        <v>0</v>
      </c>
      <c r="R71" s="1239">
        <f>AVERAGE(F71:N71)</f>
        <v>8.744444444444445E-2</v>
      </c>
      <c r="S71" s="1239">
        <f>AVERAGE(F71:N71)</f>
        <v>8.744444444444445E-2</v>
      </c>
      <c r="T71" s="1239">
        <f>AVERAGE(F71:N71)</f>
        <v>8.744444444444445E-2</v>
      </c>
      <c r="U71" s="1239">
        <f>AVERAGE(L71:Q71)</f>
        <v>0</v>
      </c>
      <c r="V71" s="1425">
        <f>AVERAGE(F71:Q71)</f>
        <v>6.5583333333333341E-2</v>
      </c>
      <c r="W71" s="4450"/>
    </row>
    <row r="72" spans="1:26" ht="11.25" customHeight="1">
      <c r="A72" s="7886"/>
      <c r="B72" s="208" t="s">
        <v>111</v>
      </c>
      <c r="C72" s="222">
        <v>1137.9399166666669</v>
      </c>
      <c r="D72" s="5677">
        <v>1140.7080000000001</v>
      </c>
      <c r="E72" s="5677">
        <v>1137.9399166666669</v>
      </c>
      <c r="F72" s="223">
        <v>0</v>
      </c>
      <c r="G72" s="223">
        <v>0</v>
      </c>
      <c r="H72" s="223">
        <v>1160.529</v>
      </c>
      <c r="I72" s="223">
        <v>0</v>
      </c>
      <c r="J72" s="223">
        <v>0</v>
      </c>
      <c r="K72" s="223">
        <v>0</v>
      </c>
      <c r="L72" s="223">
        <v>0</v>
      </c>
      <c r="M72" s="223">
        <v>0</v>
      </c>
      <c r="N72" s="223">
        <v>0</v>
      </c>
      <c r="O72" s="223">
        <v>0</v>
      </c>
      <c r="P72" s="223">
        <v>0</v>
      </c>
      <c r="Q72" s="223">
        <v>0</v>
      </c>
      <c r="R72" s="2562">
        <f>AVERAGE(F72:N72)</f>
        <v>128.94766666666666</v>
      </c>
      <c r="S72" s="2562">
        <f>AVERAGE(F72:N72)</f>
        <v>128.94766666666666</v>
      </c>
      <c r="T72" s="2562">
        <f>AVERAGE(F72:N72)</f>
        <v>128.94766666666666</v>
      </c>
      <c r="U72" s="2562">
        <f>AVERAGE(L72:Q72)</f>
        <v>0</v>
      </c>
      <c r="V72" s="223">
        <f>AVERAGE(F72:Q72)</f>
        <v>96.710750000000004</v>
      </c>
    </row>
    <row r="73" spans="1:26" ht="10.9" customHeight="1">
      <c r="A73" s="7886"/>
      <c r="B73" s="208" t="s">
        <v>40</v>
      </c>
      <c r="C73" s="222">
        <v>39.078220717254119</v>
      </c>
      <c r="D73" s="5677">
        <v>39.517993080100446</v>
      </c>
      <c r="E73" s="5677">
        <v>40.049999999999997</v>
      </c>
      <c r="F73" s="223" t="e">
        <f t="shared" ref="F73:U73" si="27">(F16+F22)/F33*60</f>
        <v>#DIV/0!</v>
      </c>
      <c r="G73" s="223" t="e">
        <f>(G16+G22)/G33*60</f>
        <v>#DIV/0!</v>
      </c>
      <c r="H73" s="223">
        <f>(H16+H22)/H33*60</f>
        <v>37.159860185335717</v>
      </c>
      <c r="I73" s="223" t="e">
        <f t="shared" si="27"/>
        <v>#DIV/0!</v>
      </c>
      <c r="J73" s="223" t="e">
        <f t="shared" si="27"/>
        <v>#DIV/0!</v>
      </c>
      <c r="K73" s="223" t="e">
        <f t="shared" si="27"/>
        <v>#DIV/0!</v>
      </c>
      <c r="L73" s="223" t="e">
        <f t="shared" si="27"/>
        <v>#DIV/0!</v>
      </c>
      <c r="M73" s="223" t="e">
        <f>(M16+M22)/M33*60</f>
        <v>#DIV/0!</v>
      </c>
      <c r="N73" s="223" t="e">
        <f t="shared" si="27"/>
        <v>#DIV/0!</v>
      </c>
      <c r="O73" s="223" t="e">
        <f t="shared" si="27"/>
        <v>#DIV/0!</v>
      </c>
      <c r="P73" s="223" t="e">
        <f t="shared" si="27"/>
        <v>#DIV/0!</v>
      </c>
      <c r="Q73" s="223" t="e">
        <f t="shared" si="27"/>
        <v>#DIV/0!</v>
      </c>
      <c r="R73" s="223">
        <f t="shared" si="27"/>
        <v>37.159860185335717</v>
      </c>
      <c r="S73" s="223">
        <f t="shared" si="27"/>
        <v>37.159860185335717</v>
      </c>
      <c r="T73" s="223" t="e">
        <f t="shared" si="27"/>
        <v>#DIV/0!</v>
      </c>
      <c r="U73" s="223" t="e">
        <f t="shared" si="27"/>
        <v>#DIV/0!</v>
      </c>
      <c r="V73" s="223">
        <f>(V16+V22)/V33*60</f>
        <v>37.159860185335717</v>
      </c>
    </row>
    <row r="74" spans="1:26" ht="11.25" customHeight="1">
      <c r="A74" s="7886"/>
      <c r="B74" s="208" t="s">
        <v>41</v>
      </c>
      <c r="C74" s="222">
        <v>912.532984840278</v>
      </c>
      <c r="D74" s="223">
        <v>913.33632299999999</v>
      </c>
      <c r="E74" s="223">
        <v>912.532984840278</v>
      </c>
      <c r="F74" s="223">
        <f>F71*F72</f>
        <v>0</v>
      </c>
      <c r="G74" s="223">
        <f>G71*G72</f>
        <v>0</v>
      </c>
      <c r="H74" s="223">
        <f t="shared" ref="H74:Q74" si="28">H71*H72</f>
        <v>913.33632299999999</v>
      </c>
      <c r="I74" s="223">
        <f t="shared" si="28"/>
        <v>0</v>
      </c>
      <c r="J74" s="223">
        <f t="shared" si="28"/>
        <v>0</v>
      </c>
      <c r="K74" s="223">
        <f t="shared" si="28"/>
        <v>0</v>
      </c>
      <c r="L74" s="223">
        <f t="shared" si="28"/>
        <v>0</v>
      </c>
      <c r="M74" s="223">
        <f>M71*M72</f>
        <v>0</v>
      </c>
      <c r="N74" s="223">
        <f t="shared" si="28"/>
        <v>0</v>
      </c>
      <c r="O74" s="223">
        <f t="shared" si="28"/>
        <v>0</v>
      </c>
      <c r="P74" s="223">
        <f t="shared" si="28"/>
        <v>0</v>
      </c>
      <c r="Q74" s="223">
        <f t="shared" si="28"/>
        <v>0</v>
      </c>
      <c r="R74" s="223">
        <f>R71*R72</f>
        <v>11.275757074074074</v>
      </c>
      <c r="S74" s="223">
        <f>S71*S72</f>
        <v>11.275757074074074</v>
      </c>
      <c r="T74" s="223">
        <f>T71*T72</f>
        <v>11.275757074074074</v>
      </c>
      <c r="U74" s="223">
        <f>U71*U72</f>
        <v>0</v>
      </c>
      <c r="V74" s="223">
        <f>V71*V72</f>
        <v>6.3426133541666676</v>
      </c>
    </row>
    <row r="75" spans="1:26" ht="11.25" customHeight="1">
      <c r="A75" s="7887"/>
      <c r="B75" s="208" t="s">
        <v>40</v>
      </c>
      <c r="C75" s="226">
        <v>39.038434962693486</v>
      </c>
      <c r="D75" s="5680">
        <v>39.313333923127857</v>
      </c>
      <c r="E75" s="5680">
        <v>40.049999999999997</v>
      </c>
      <c r="F75" s="227" t="e">
        <f>F73</f>
        <v>#DIV/0!</v>
      </c>
      <c r="G75" s="227" t="e">
        <f t="shared" ref="G75:Q75" si="29">G73</f>
        <v>#DIV/0!</v>
      </c>
      <c r="H75" s="227">
        <f t="shared" si="29"/>
        <v>37.159860185335717</v>
      </c>
      <c r="I75" s="227" t="e">
        <f t="shared" si="29"/>
        <v>#DIV/0!</v>
      </c>
      <c r="J75" s="227" t="e">
        <f t="shared" si="29"/>
        <v>#DIV/0!</v>
      </c>
      <c r="K75" s="227" t="e">
        <f t="shared" si="29"/>
        <v>#DIV/0!</v>
      </c>
      <c r="L75" s="227" t="e">
        <f t="shared" si="29"/>
        <v>#DIV/0!</v>
      </c>
      <c r="M75" s="227" t="e">
        <f>M73</f>
        <v>#DIV/0!</v>
      </c>
      <c r="N75" s="227" t="e">
        <f t="shared" si="29"/>
        <v>#DIV/0!</v>
      </c>
      <c r="O75" s="227" t="e">
        <f t="shared" si="29"/>
        <v>#DIV/0!</v>
      </c>
      <c r="P75" s="227" t="e">
        <f t="shared" si="29"/>
        <v>#DIV/0!</v>
      </c>
      <c r="Q75" s="227" t="e">
        <f t="shared" si="29"/>
        <v>#DIV/0!</v>
      </c>
      <c r="R75" s="227">
        <f>$C$74/R74*R73</f>
        <v>3007.3012311642365</v>
      </c>
      <c r="S75" s="227">
        <f>$C$74/S74*S73</f>
        <v>3007.3012311642365</v>
      </c>
      <c r="T75" s="227" t="e">
        <f>T73</f>
        <v>#DIV/0!</v>
      </c>
      <c r="U75" s="227" t="e">
        <f>U73</f>
        <v>#DIV/0!</v>
      </c>
      <c r="V75" s="227">
        <f>$D$74/V74*V73</f>
        <v>5351.0198666883425</v>
      </c>
    </row>
    <row r="76" spans="1:26">
      <c r="A76" s="7873" t="s">
        <v>44</v>
      </c>
      <c r="B76" s="208" t="s">
        <v>39</v>
      </c>
      <c r="C76" s="204">
        <f>C50/C26</f>
        <v>1.5748284561860227E-3</v>
      </c>
      <c r="D76" s="5681">
        <v>2.6093966565779426E-3</v>
      </c>
      <c r="E76" s="5681">
        <f>E50/E26</f>
        <v>2.1844127332601533E-3</v>
      </c>
      <c r="F76" s="204" t="e">
        <f>F50/F26</f>
        <v>#DIV/0!</v>
      </c>
      <c r="G76" s="204" t="e">
        <f t="shared" ref="G76:T76" si="30">G50/G26</f>
        <v>#DIV/0!</v>
      </c>
      <c r="H76" s="204">
        <f t="shared" si="30"/>
        <v>1.4405589368675046E-3</v>
      </c>
      <c r="I76" s="204" t="e">
        <f t="shared" si="30"/>
        <v>#DIV/0!</v>
      </c>
      <c r="J76" s="204" t="e">
        <f>J50/J28</f>
        <v>#DIV/0!</v>
      </c>
      <c r="K76" s="204" t="e">
        <f t="shared" si="30"/>
        <v>#DIV/0!</v>
      </c>
      <c r="L76" s="204" t="e">
        <f t="shared" si="30"/>
        <v>#DIV/0!</v>
      </c>
      <c r="M76" s="204" t="e">
        <f>M50/M26</f>
        <v>#DIV/0!</v>
      </c>
      <c r="N76" s="204" t="e">
        <f t="shared" si="30"/>
        <v>#DIV/0!</v>
      </c>
      <c r="O76" s="204" t="e">
        <f t="shared" si="30"/>
        <v>#DIV/0!</v>
      </c>
      <c r="P76" s="204" t="e">
        <f t="shared" si="30"/>
        <v>#DIV/0!</v>
      </c>
      <c r="Q76" s="204" t="e">
        <f t="shared" si="30"/>
        <v>#DIV/0!</v>
      </c>
      <c r="R76" s="204">
        <f>R50/R26</f>
        <v>1.4405589368675046E-3</v>
      </c>
      <c r="S76" s="204">
        <f t="shared" si="30"/>
        <v>1.4405589368675046E-3</v>
      </c>
      <c r="T76" s="204" t="e">
        <f t="shared" si="30"/>
        <v>#DIV/0!</v>
      </c>
      <c r="U76" s="204" t="e">
        <f t="shared" ref="U76:V80" si="31">U50/U26</f>
        <v>#DIV/0!</v>
      </c>
      <c r="V76" s="204">
        <f t="shared" si="31"/>
        <v>1.4405589368675046E-3</v>
      </c>
      <c r="W76" s="4" t="s">
        <v>198</v>
      </c>
      <c r="X76" s="4" t="s">
        <v>246</v>
      </c>
    </row>
    <row r="77" spans="1:26">
      <c r="A77" s="7884"/>
      <c r="B77" s="208" t="s">
        <v>42</v>
      </c>
      <c r="C77" s="204">
        <f>C51/C27</f>
        <v>2.6533590505056692E-3</v>
      </c>
      <c r="D77" s="5681">
        <v>3.2077666034878239E-3</v>
      </c>
      <c r="E77" s="5681">
        <f>E51/E27</f>
        <v>2.8545002127580155E-3</v>
      </c>
      <c r="F77" s="204" t="e">
        <f t="shared" ref="F77:T77" si="32">F51/F27</f>
        <v>#DIV/0!</v>
      </c>
      <c r="G77" s="204" t="e">
        <f t="shared" si="32"/>
        <v>#DIV/0!</v>
      </c>
      <c r="H77" s="204">
        <f t="shared" si="32"/>
        <v>0</v>
      </c>
      <c r="I77" s="204" t="e">
        <f t="shared" si="32"/>
        <v>#DIV/0!</v>
      </c>
      <c r="J77" s="204" t="e">
        <f t="shared" si="32"/>
        <v>#DIV/0!</v>
      </c>
      <c r="K77" s="204" t="e">
        <f t="shared" si="32"/>
        <v>#DIV/0!</v>
      </c>
      <c r="L77" s="204" t="e">
        <f t="shared" si="32"/>
        <v>#DIV/0!</v>
      </c>
      <c r="M77" s="204" t="e">
        <f>M51/M27</f>
        <v>#DIV/0!</v>
      </c>
      <c r="N77" s="204" t="e">
        <f t="shared" si="32"/>
        <v>#DIV/0!</v>
      </c>
      <c r="O77" s="204" t="e">
        <f t="shared" si="32"/>
        <v>#DIV/0!</v>
      </c>
      <c r="P77" s="204" t="e">
        <f t="shared" si="32"/>
        <v>#DIV/0!</v>
      </c>
      <c r="Q77" s="204" t="e">
        <f t="shared" si="32"/>
        <v>#DIV/0!</v>
      </c>
      <c r="R77" s="204">
        <f t="shared" si="32"/>
        <v>0</v>
      </c>
      <c r="S77" s="204">
        <f t="shared" si="32"/>
        <v>0</v>
      </c>
      <c r="T77" s="204" t="e">
        <f t="shared" si="32"/>
        <v>#DIV/0!</v>
      </c>
      <c r="U77" s="204" t="e">
        <f t="shared" si="31"/>
        <v>#DIV/0!</v>
      </c>
      <c r="V77" s="204">
        <f t="shared" si="31"/>
        <v>0</v>
      </c>
      <c r="W77" s="6">
        <v>0.97498842184167667</v>
      </c>
      <c r="X77" s="6">
        <v>0.97365625223348617</v>
      </c>
      <c r="Y77" s="266">
        <v>154334.83099999998</v>
      </c>
      <c r="Z77" s="208" t="s">
        <v>27</v>
      </c>
    </row>
    <row r="78" spans="1:26">
      <c r="A78" s="7884"/>
      <c r="B78" s="208" t="s">
        <v>43</v>
      </c>
      <c r="C78" s="204">
        <f>C52/C28</f>
        <v>6.4195353896901427E-3</v>
      </c>
      <c r="D78" s="5681">
        <v>1.3354998108041935E-3</v>
      </c>
      <c r="E78" s="5681">
        <f>E52/E28</f>
        <v>1.4896728378933225E-3</v>
      </c>
      <c r="F78" s="204" t="e">
        <f t="shared" ref="F78:T78" si="33">F52/F28</f>
        <v>#DIV/0!</v>
      </c>
      <c r="G78" s="204" t="e">
        <f t="shared" si="33"/>
        <v>#DIV/0!</v>
      </c>
      <c r="H78" s="204">
        <f t="shared" si="33"/>
        <v>4.0126263977315285E-4</v>
      </c>
      <c r="I78" s="204" t="e">
        <f t="shared" si="33"/>
        <v>#DIV/0!</v>
      </c>
      <c r="J78" s="204" t="e">
        <f t="shared" si="33"/>
        <v>#DIV/0!</v>
      </c>
      <c r="K78" s="204" t="e">
        <f t="shared" si="33"/>
        <v>#DIV/0!</v>
      </c>
      <c r="L78" s="204" t="e">
        <f t="shared" si="33"/>
        <v>#DIV/0!</v>
      </c>
      <c r="M78" s="204" t="e">
        <f>M52/M28</f>
        <v>#DIV/0!</v>
      </c>
      <c r="N78" s="204" t="e">
        <f t="shared" si="33"/>
        <v>#DIV/0!</v>
      </c>
      <c r="O78" s="204" t="e">
        <f t="shared" si="33"/>
        <v>#DIV/0!</v>
      </c>
      <c r="P78" s="204" t="e">
        <f t="shared" si="33"/>
        <v>#DIV/0!</v>
      </c>
      <c r="Q78" s="204" t="e">
        <f t="shared" si="33"/>
        <v>#DIV/0!</v>
      </c>
      <c r="R78" s="204">
        <f t="shared" si="33"/>
        <v>4.0126263977315285E-4</v>
      </c>
      <c r="S78" s="204">
        <f t="shared" si="33"/>
        <v>4.0126263977315285E-4</v>
      </c>
      <c r="T78" s="204" t="e">
        <f t="shared" si="33"/>
        <v>#DIV/0!</v>
      </c>
      <c r="U78" s="204" t="e">
        <f t="shared" si="31"/>
        <v>#DIV/0!</v>
      </c>
      <c r="V78" s="204">
        <f t="shared" si="31"/>
        <v>4.0126263977315285E-4</v>
      </c>
      <c r="W78" s="6">
        <v>0.99919420580257001</v>
      </c>
      <c r="X78" s="6">
        <v>0.99957082776657291</v>
      </c>
      <c r="Y78" s="266">
        <v>139429.27300000002</v>
      </c>
      <c r="Z78" s="208" t="s">
        <v>28</v>
      </c>
    </row>
    <row r="79" spans="1:26">
      <c r="A79" s="7884"/>
      <c r="B79" s="208" t="s">
        <v>45</v>
      </c>
      <c r="C79" s="204">
        <f>C53/C29</f>
        <v>2.0967431609878961E-3</v>
      </c>
      <c r="D79" s="5681">
        <v>1.7792858029544421E-3</v>
      </c>
      <c r="E79" s="5681">
        <f>E53/E29</f>
        <v>9.2290599345719402E-4</v>
      </c>
      <c r="F79" s="204">
        <f t="shared" ref="F79:T79" si="34">F53/F29</f>
        <v>0</v>
      </c>
      <c r="G79" s="204">
        <f t="shared" si="34"/>
        <v>8.9194699286442405E-4</v>
      </c>
      <c r="H79" s="204">
        <f t="shared" si="34"/>
        <v>2.652034750800183E-3</v>
      </c>
      <c r="I79" s="204" t="e">
        <f t="shared" si="34"/>
        <v>#DIV/0!</v>
      </c>
      <c r="J79" s="204" t="e">
        <f t="shared" si="34"/>
        <v>#DIV/0!</v>
      </c>
      <c r="K79" s="204" t="e">
        <f t="shared" si="34"/>
        <v>#DIV/0!</v>
      </c>
      <c r="L79" s="204" t="e">
        <f t="shared" si="34"/>
        <v>#DIV/0!</v>
      </c>
      <c r="M79" s="204" t="e">
        <f>M53/M29</f>
        <v>#DIV/0!</v>
      </c>
      <c r="N79" s="204" t="e">
        <f t="shared" si="34"/>
        <v>#DIV/0!</v>
      </c>
      <c r="O79" s="204" t="e">
        <f t="shared" si="34"/>
        <v>#DIV/0!</v>
      </c>
      <c r="P79" s="204" t="e">
        <f t="shared" si="34"/>
        <v>#DIV/0!</v>
      </c>
      <c r="Q79" s="204" t="e">
        <f t="shared" si="34"/>
        <v>#DIV/0!</v>
      </c>
      <c r="R79" s="204">
        <f t="shared" si="34"/>
        <v>1.2078067509198528E-3</v>
      </c>
      <c r="S79" s="204">
        <f t="shared" si="34"/>
        <v>1.2078067509198528E-3</v>
      </c>
      <c r="T79" s="204" t="e">
        <f t="shared" si="34"/>
        <v>#DIV/0!</v>
      </c>
      <c r="U79" s="204" t="e">
        <f t="shared" si="31"/>
        <v>#DIV/0!</v>
      </c>
      <c r="V79" s="204">
        <f t="shared" si="31"/>
        <v>1.2078067509198528E-3</v>
      </c>
      <c r="W79" s="6">
        <v>0.98548780998924945</v>
      </c>
      <c r="X79" s="6">
        <v>0.99142331918861526</v>
      </c>
      <c r="Y79" s="266">
        <v>136160.51999999999</v>
      </c>
      <c r="Z79" s="208" t="s">
        <v>29</v>
      </c>
    </row>
    <row r="80" spans="1:26">
      <c r="A80" s="7884"/>
      <c r="B80" s="208" t="s">
        <v>17</v>
      </c>
      <c r="C80" s="204">
        <f>C54/C30</f>
        <v>1.2594320268737344E-3</v>
      </c>
      <c r="D80" s="5681">
        <v>5.2741707711914025E-4</v>
      </c>
      <c r="E80" s="5681">
        <f>E54/E30</f>
        <v>4.9183098591549298E-4</v>
      </c>
      <c r="F80" s="204">
        <f t="shared" ref="F80:T80" si="35">F54/F30</f>
        <v>0</v>
      </c>
      <c r="G80" s="204">
        <f t="shared" si="35"/>
        <v>0</v>
      </c>
      <c r="H80" s="204">
        <f t="shared" si="35"/>
        <v>0</v>
      </c>
      <c r="I80" s="204" t="e">
        <f t="shared" si="35"/>
        <v>#DIV/0!</v>
      </c>
      <c r="J80" s="204" t="e">
        <f t="shared" si="35"/>
        <v>#DIV/0!</v>
      </c>
      <c r="K80" s="204" t="e">
        <f t="shared" si="35"/>
        <v>#DIV/0!</v>
      </c>
      <c r="L80" s="204" t="e">
        <f t="shared" si="35"/>
        <v>#DIV/0!</v>
      </c>
      <c r="M80" s="204" t="e">
        <f>M54/M30</f>
        <v>#DIV/0!</v>
      </c>
      <c r="N80" s="204" t="e">
        <f t="shared" si="35"/>
        <v>#DIV/0!</v>
      </c>
      <c r="O80" s="204" t="e">
        <f t="shared" si="35"/>
        <v>#DIV/0!</v>
      </c>
      <c r="P80" s="204" t="e">
        <f t="shared" si="35"/>
        <v>#DIV/0!</v>
      </c>
      <c r="Q80" s="204" t="e">
        <f t="shared" si="35"/>
        <v>#DIV/0!</v>
      </c>
      <c r="R80" s="204">
        <f t="shared" si="35"/>
        <v>0</v>
      </c>
      <c r="S80" s="204">
        <f t="shared" si="35"/>
        <v>0</v>
      </c>
      <c r="T80" s="204" t="e">
        <f t="shared" si="35"/>
        <v>#DIV/0!</v>
      </c>
      <c r="U80" s="204" t="e">
        <f t="shared" si="31"/>
        <v>#DIV/0!</v>
      </c>
      <c r="V80" s="204">
        <f t="shared" si="31"/>
        <v>0</v>
      </c>
      <c r="W80" s="6">
        <v>1.0010046933121386</v>
      </c>
      <c r="X80" s="6">
        <v>0.99948061276515365</v>
      </c>
      <c r="Y80" s="266">
        <v>54232.192999999999</v>
      </c>
      <c r="Z80" s="208" t="s">
        <v>23</v>
      </c>
    </row>
    <row r="81" spans="1:28">
      <c r="A81" s="7873" t="s">
        <v>46</v>
      </c>
      <c r="B81" s="208" t="s">
        <v>39</v>
      </c>
      <c r="C81" s="228">
        <f>C55/C26</f>
        <v>1.7676645936781887E-4</v>
      </c>
      <c r="D81" s="5682">
        <v>1.8385992702175205E-3</v>
      </c>
      <c r="E81" s="5682">
        <f>E55/E26</f>
        <v>1.5290889132821073E-3</v>
      </c>
      <c r="F81" s="204" t="e">
        <f t="shared" ref="F81:T81" si="36">F55/F26</f>
        <v>#DIV/0!</v>
      </c>
      <c r="G81" s="228" t="e">
        <f t="shared" si="36"/>
        <v>#DIV/0!</v>
      </c>
      <c r="H81" s="228">
        <f t="shared" si="36"/>
        <v>0</v>
      </c>
      <c r="I81" s="228" t="e">
        <f t="shared" si="36"/>
        <v>#DIV/0!</v>
      </c>
      <c r="J81" s="228" t="e">
        <f>J55/J28</f>
        <v>#DIV/0!</v>
      </c>
      <c r="K81" s="228" t="e">
        <f t="shared" si="36"/>
        <v>#DIV/0!</v>
      </c>
      <c r="L81" s="228" t="e">
        <f t="shared" si="36"/>
        <v>#DIV/0!</v>
      </c>
      <c r="M81" s="228" t="e">
        <f>M55/M26</f>
        <v>#DIV/0!</v>
      </c>
      <c r="N81" s="228" t="e">
        <f t="shared" si="36"/>
        <v>#DIV/0!</v>
      </c>
      <c r="O81" s="228" t="e">
        <f t="shared" si="36"/>
        <v>#DIV/0!</v>
      </c>
      <c r="P81" s="228" t="e">
        <f t="shared" si="36"/>
        <v>#DIV/0!</v>
      </c>
      <c r="Q81" s="228" t="e">
        <f t="shared" si="36"/>
        <v>#DIV/0!</v>
      </c>
      <c r="R81" s="228">
        <f t="shared" si="36"/>
        <v>0</v>
      </c>
      <c r="S81" s="228">
        <f t="shared" si="36"/>
        <v>0</v>
      </c>
      <c r="T81" s="228" t="e">
        <f t="shared" si="36"/>
        <v>#DIV/0!</v>
      </c>
      <c r="U81" s="228" t="e">
        <f t="shared" ref="U81:V85" si="37">U55/U26</f>
        <v>#DIV/0!</v>
      </c>
      <c r="V81" s="228">
        <f t="shared" si="37"/>
        <v>0</v>
      </c>
      <c r="W81" s="6">
        <v>1.000613764376415</v>
      </c>
      <c r="X81" s="6">
        <v>1.0016079519472023</v>
      </c>
      <c r="Y81" s="266">
        <v>21998.68</v>
      </c>
      <c r="Z81" s="208" t="s">
        <v>17</v>
      </c>
    </row>
    <row r="82" spans="1:28">
      <c r="A82" s="7884"/>
      <c r="B82" s="208" t="s">
        <v>42</v>
      </c>
      <c r="C82" s="228">
        <f>C56/C27</f>
        <v>2.0793150251558847E-3</v>
      </c>
      <c r="D82" s="5682">
        <v>1.0033425220955065E-2</v>
      </c>
      <c r="E82" s="5682">
        <f>E56/E27</f>
        <v>2.6760939494606395E-3</v>
      </c>
      <c r="F82" s="204" t="e">
        <f t="shared" ref="F82:T82" si="38">F56/F27</f>
        <v>#DIV/0!</v>
      </c>
      <c r="G82" s="228" t="e">
        <f t="shared" si="38"/>
        <v>#DIV/0!</v>
      </c>
      <c r="H82" s="228">
        <f t="shared" si="38"/>
        <v>5.7975815802550935E-3</v>
      </c>
      <c r="I82" s="228" t="e">
        <f t="shared" si="38"/>
        <v>#DIV/0!</v>
      </c>
      <c r="J82" s="228" t="e">
        <f t="shared" si="38"/>
        <v>#DIV/0!</v>
      </c>
      <c r="K82" s="228" t="e">
        <f t="shared" si="38"/>
        <v>#DIV/0!</v>
      </c>
      <c r="L82" s="228" t="e">
        <f t="shared" si="38"/>
        <v>#DIV/0!</v>
      </c>
      <c r="M82" s="228" t="e">
        <f>M56/M27</f>
        <v>#DIV/0!</v>
      </c>
      <c r="N82" s="228" t="e">
        <f t="shared" si="38"/>
        <v>#DIV/0!</v>
      </c>
      <c r="O82" s="228" t="e">
        <f t="shared" si="38"/>
        <v>#DIV/0!</v>
      </c>
      <c r="P82" s="228" t="e">
        <f t="shared" si="38"/>
        <v>#DIV/0!</v>
      </c>
      <c r="Q82" s="228" t="e">
        <f t="shared" si="38"/>
        <v>#DIV/0!</v>
      </c>
      <c r="R82" s="228">
        <f t="shared" si="38"/>
        <v>5.7975815802550935E-3</v>
      </c>
      <c r="S82" s="228">
        <f t="shared" si="38"/>
        <v>5.7975815802550935E-3</v>
      </c>
      <c r="T82" s="228" t="e">
        <f t="shared" si="38"/>
        <v>#DIV/0!</v>
      </c>
      <c r="U82" s="228" t="e">
        <f t="shared" si="37"/>
        <v>#DIV/0!</v>
      </c>
      <c r="V82" s="228">
        <f t="shared" si="37"/>
        <v>5.7975815802550935E-3</v>
      </c>
      <c r="W82" s="6">
        <v>4.603368954835881E-4</v>
      </c>
      <c r="X82" s="6">
        <v>6.1787737338436593E-4</v>
      </c>
    </row>
    <row r="83" spans="1:28">
      <c r="A83" s="7884"/>
      <c r="B83" s="208" t="s">
        <v>43</v>
      </c>
      <c r="C83" s="228">
        <f>C57/C28</f>
        <v>3.6736323121732114E-3</v>
      </c>
      <c r="D83" s="5682">
        <v>4.5258604699475444E-4</v>
      </c>
      <c r="E83" s="5682">
        <f>E57/E28</f>
        <v>1.1917382703146579E-3</v>
      </c>
      <c r="F83" s="204" t="e">
        <f t="shared" ref="F83:T83" si="39">F57/F28</f>
        <v>#DIV/0!</v>
      </c>
      <c r="G83" s="228" t="e">
        <f t="shared" si="39"/>
        <v>#DIV/0!</v>
      </c>
      <c r="H83" s="228">
        <f t="shared" si="39"/>
        <v>1.177037076667915E-3</v>
      </c>
      <c r="I83" s="228" t="e">
        <f t="shared" si="39"/>
        <v>#DIV/0!</v>
      </c>
      <c r="J83" s="228" t="e">
        <f t="shared" si="39"/>
        <v>#DIV/0!</v>
      </c>
      <c r="K83" s="228" t="e">
        <f t="shared" si="39"/>
        <v>#DIV/0!</v>
      </c>
      <c r="L83" s="228" t="e">
        <f t="shared" si="39"/>
        <v>#DIV/0!</v>
      </c>
      <c r="M83" s="228" t="e">
        <f>M57/M28</f>
        <v>#DIV/0!</v>
      </c>
      <c r="N83" s="228" t="e">
        <f t="shared" si="39"/>
        <v>#DIV/0!</v>
      </c>
      <c r="O83" s="228" t="e">
        <f t="shared" si="39"/>
        <v>#DIV/0!</v>
      </c>
      <c r="P83" s="228" t="e">
        <f t="shared" si="39"/>
        <v>#DIV/0!</v>
      </c>
      <c r="Q83" s="228" t="e">
        <f t="shared" si="39"/>
        <v>#DIV/0!</v>
      </c>
      <c r="R83" s="228">
        <f t="shared" si="39"/>
        <v>1.177037076667915E-3</v>
      </c>
      <c r="S83" s="228">
        <f t="shared" si="39"/>
        <v>1.177037076667915E-3</v>
      </c>
      <c r="T83" s="228" t="e">
        <f t="shared" si="39"/>
        <v>#DIV/0!</v>
      </c>
      <c r="U83" s="228" t="e">
        <f t="shared" si="37"/>
        <v>#DIV/0!</v>
      </c>
      <c r="V83" s="228">
        <f t="shared" si="37"/>
        <v>1.177037076667915E-3</v>
      </c>
      <c r="W83" s="6">
        <v>7.9727247213366974E-4</v>
      </c>
      <c r="X83" s="6">
        <v>4.4875798785811637E-4</v>
      </c>
    </row>
    <row r="84" spans="1:28">
      <c r="A84" s="7884"/>
      <c r="B84" s="208" t="s">
        <v>45</v>
      </c>
      <c r="C84" s="228">
        <f>C58/C29</f>
        <v>1.0210417686979641E-3</v>
      </c>
      <c r="D84" s="5682">
        <v>1.1482600239996689E-3</v>
      </c>
      <c r="E84" s="5682">
        <f>E58/E29</f>
        <v>3.2960928337756932E-4</v>
      </c>
      <c r="F84" s="204">
        <f t="shared" ref="F84:T84" si="40">F58/F29</f>
        <v>1.6650808753568031E-3</v>
      </c>
      <c r="G84" s="228">
        <f t="shared" si="40"/>
        <v>0</v>
      </c>
      <c r="H84" s="228">
        <f t="shared" si="40"/>
        <v>3.5208047553726566E-3</v>
      </c>
      <c r="I84" s="228" t="e">
        <f t="shared" si="40"/>
        <v>#DIV/0!</v>
      </c>
      <c r="J84" s="228" t="e">
        <f t="shared" si="40"/>
        <v>#DIV/0!</v>
      </c>
      <c r="K84" s="228" t="e">
        <f t="shared" si="40"/>
        <v>#DIV/0!</v>
      </c>
      <c r="L84" s="228" t="e">
        <f t="shared" si="40"/>
        <v>#DIV/0!</v>
      </c>
      <c r="M84" s="228" t="e">
        <f>M58/M29</f>
        <v>#DIV/0!</v>
      </c>
      <c r="N84" s="228" t="e">
        <f t="shared" si="40"/>
        <v>#DIV/0!</v>
      </c>
      <c r="O84" s="228" t="e">
        <f t="shared" si="40"/>
        <v>#DIV/0!</v>
      </c>
      <c r="P84" s="228" t="e">
        <f t="shared" si="40"/>
        <v>#DIV/0!</v>
      </c>
      <c r="Q84" s="228" t="e">
        <f t="shared" si="40"/>
        <v>#DIV/0!</v>
      </c>
      <c r="R84" s="228">
        <f t="shared" si="40"/>
        <v>1.7917133258678612E-3</v>
      </c>
      <c r="S84" s="228">
        <f t="shared" si="40"/>
        <v>1.7917133258678612E-3</v>
      </c>
      <c r="T84" s="228" t="e">
        <f t="shared" si="40"/>
        <v>#DIV/0!</v>
      </c>
      <c r="U84" s="228" t="e">
        <f t="shared" si="37"/>
        <v>#DIV/0!</v>
      </c>
      <c r="V84" s="228">
        <f t="shared" si="37"/>
        <v>1.7917133258678612E-3</v>
      </c>
      <c r="W84" s="6">
        <v>8.6957492246856408E-3</v>
      </c>
      <c r="X84" s="6">
        <v>5.9850682121366751E-3</v>
      </c>
    </row>
    <row r="85" spans="1:28">
      <c r="A85" s="7884"/>
      <c r="B85" s="208" t="s">
        <v>17</v>
      </c>
      <c r="C85" s="228">
        <f>C59/C30</f>
        <v>1.5578340402096712E-4</v>
      </c>
      <c r="D85" s="5682">
        <v>1.2012193021733889E-3</v>
      </c>
      <c r="E85" s="5682">
        <f>E59/E30</f>
        <v>7.3774647887323941E-4</v>
      </c>
      <c r="F85" s="204">
        <f t="shared" ref="F85:T85" si="41">F59/F30</f>
        <v>0</v>
      </c>
      <c r="G85" s="228">
        <f t="shared" si="41"/>
        <v>0</v>
      </c>
      <c r="H85" s="228">
        <f t="shared" si="41"/>
        <v>3.2263268269075657E-3</v>
      </c>
      <c r="I85" s="228" t="e">
        <f t="shared" si="41"/>
        <v>#DIV/0!</v>
      </c>
      <c r="J85" s="228" t="e">
        <f t="shared" si="41"/>
        <v>#DIV/0!</v>
      </c>
      <c r="K85" s="228" t="e">
        <f t="shared" si="41"/>
        <v>#DIV/0!</v>
      </c>
      <c r="L85" s="228" t="e">
        <f t="shared" si="41"/>
        <v>#DIV/0!</v>
      </c>
      <c r="M85" s="228" t="e">
        <f>M59/M30</f>
        <v>#DIV/0!</v>
      </c>
      <c r="N85" s="228" t="e">
        <f t="shared" si="41"/>
        <v>#DIV/0!</v>
      </c>
      <c r="O85" s="228" t="e">
        <f t="shared" si="41"/>
        <v>#DIV/0!</v>
      </c>
      <c r="P85" s="228" t="e">
        <f t="shared" si="41"/>
        <v>#DIV/0!</v>
      </c>
      <c r="Q85" s="228" t="e">
        <f t="shared" si="41"/>
        <v>#DIV/0!</v>
      </c>
      <c r="R85" s="228">
        <f t="shared" si="41"/>
        <v>1.1431837667905116E-3</v>
      </c>
      <c r="S85" s="228">
        <f t="shared" si="41"/>
        <v>1.1431837667905116E-3</v>
      </c>
      <c r="T85" s="228" t="e">
        <f t="shared" si="41"/>
        <v>#DIV/0!</v>
      </c>
      <c r="U85" s="228" t="e">
        <f t="shared" si="37"/>
        <v>#DIV/0!</v>
      </c>
      <c r="V85" s="228">
        <f t="shared" si="37"/>
        <v>1.1431837667905116E-3</v>
      </c>
      <c r="W85" s="6">
        <v>1.9082062142130073E-3</v>
      </c>
      <c r="X85" s="6">
        <v>8.9227444665569765E-4</v>
      </c>
    </row>
    <row r="86" spans="1:28">
      <c r="A86" s="7883" t="s">
        <v>0</v>
      </c>
      <c r="B86" s="7883"/>
      <c r="C86" s="2528" t="s">
        <v>1144</v>
      </c>
      <c r="D86" s="5671" t="s">
        <v>2152</v>
      </c>
      <c r="E86" s="2528" t="s">
        <v>2155</v>
      </c>
      <c r="F86" s="221" t="s">
        <v>48</v>
      </c>
      <c r="G86" s="221" t="s">
        <v>5</v>
      </c>
      <c r="H86" s="221" t="s">
        <v>6</v>
      </c>
      <c r="I86" s="221" t="s">
        <v>7</v>
      </c>
      <c r="J86" s="221" t="s">
        <v>8</v>
      </c>
      <c r="K86" s="221" t="s">
        <v>9</v>
      </c>
      <c r="L86" s="221" t="s">
        <v>10</v>
      </c>
      <c r="M86" s="221" t="s">
        <v>11</v>
      </c>
      <c r="N86" s="221" t="s">
        <v>12</v>
      </c>
      <c r="O86" s="221" t="s">
        <v>13</v>
      </c>
      <c r="P86" s="221" t="s">
        <v>14</v>
      </c>
      <c r="Q86" s="221" t="s">
        <v>15</v>
      </c>
      <c r="R86" s="202" t="s">
        <v>19</v>
      </c>
      <c r="S86" s="202" t="s">
        <v>20</v>
      </c>
      <c r="T86" s="202" t="s">
        <v>21</v>
      </c>
      <c r="U86" s="202" t="s">
        <v>175</v>
      </c>
      <c r="V86" s="202" t="s">
        <v>22</v>
      </c>
      <c r="W86" s="6">
        <v>1.7245873642511955E-3</v>
      </c>
      <c r="X86" s="6">
        <v>9.6369418528748085E-4</v>
      </c>
    </row>
    <row r="87" spans="1:28">
      <c r="A87" s="7875" t="s">
        <v>49</v>
      </c>
      <c r="B87" s="208" t="s">
        <v>520</v>
      </c>
      <c r="C87" s="216">
        <f t="shared" ref="C87:C92" si="42">C14/C2</f>
        <v>0.97749821155362038</v>
      </c>
      <c r="D87" s="5683">
        <v>0.97872066777537103</v>
      </c>
      <c r="E87" s="216">
        <v>0.98</v>
      </c>
      <c r="F87" s="216" t="e">
        <f>F14/F2</f>
        <v>#DIV/0!</v>
      </c>
      <c r="G87" s="216" t="e">
        <f t="shared" ref="G87:U87" si="43">G14/G2</f>
        <v>#DIV/0!</v>
      </c>
      <c r="H87" s="216">
        <f>H14/H2</f>
        <v>0.97712159552613309</v>
      </c>
      <c r="I87" s="216" t="e">
        <f t="shared" si="43"/>
        <v>#DIV/0!</v>
      </c>
      <c r="J87" s="216" t="e">
        <f t="shared" si="43"/>
        <v>#DIV/0!</v>
      </c>
      <c r="K87" s="216" t="e">
        <f t="shared" si="43"/>
        <v>#DIV/0!</v>
      </c>
      <c r="L87" s="216" t="e">
        <f t="shared" si="43"/>
        <v>#DIV/0!</v>
      </c>
      <c r="M87" s="216" t="e">
        <f t="shared" si="43"/>
        <v>#DIV/0!</v>
      </c>
      <c r="N87" s="216" t="e">
        <f t="shared" si="43"/>
        <v>#DIV/0!</v>
      </c>
      <c r="O87" s="216" t="e">
        <f t="shared" si="43"/>
        <v>#DIV/0!</v>
      </c>
      <c r="P87" s="216" t="e">
        <f>P14/P2</f>
        <v>#DIV/0!</v>
      </c>
      <c r="Q87" s="216" t="e">
        <f t="shared" si="43"/>
        <v>#DIV/0!</v>
      </c>
      <c r="R87" s="216">
        <f>R14/R2</f>
        <v>0.97712159552613309</v>
      </c>
      <c r="S87" s="229">
        <f t="shared" si="43"/>
        <v>0.97712159552613309</v>
      </c>
      <c r="T87" s="3787" t="e">
        <f t="shared" si="43"/>
        <v>#DIV/0!</v>
      </c>
      <c r="U87" s="3787" t="e">
        <f t="shared" si="43"/>
        <v>#DIV/0!</v>
      </c>
      <c r="V87" s="2167">
        <f t="shared" ref="V87:V92" si="44">V14/V2</f>
        <v>0.97712159552613309</v>
      </c>
    </row>
    <row r="88" spans="1:28">
      <c r="A88" s="7875"/>
      <c r="B88" s="208" t="s">
        <v>521</v>
      </c>
      <c r="C88" s="216">
        <f t="shared" si="42"/>
        <v>0.99987013718184936</v>
      </c>
      <c r="D88" s="5683">
        <v>0.99979160392470223</v>
      </c>
      <c r="E88" s="216">
        <v>0.9998999999999999</v>
      </c>
      <c r="F88" s="216" t="e">
        <f t="shared" ref="F88:U88" si="45">F15/F3</f>
        <v>#DIV/0!</v>
      </c>
      <c r="G88" s="216" t="e">
        <f t="shared" si="45"/>
        <v>#DIV/0!</v>
      </c>
      <c r="H88" s="216">
        <f t="shared" si="45"/>
        <v>1</v>
      </c>
      <c r="I88" s="216" t="e">
        <f t="shared" si="45"/>
        <v>#DIV/0!</v>
      </c>
      <c r="J88" s="216" t="e">
        <f t="shared" si="45"/>
        <v>#DIV/0!</v>
      </c>
      <c r="K88" s="216" t="e">
        <f t="shared" si="45"/>
        <v>#DIV/0!</v>
      </c>
      <c r="L88" s="216" t="e">
        <f t="shared" si="45"/>
        <v>#DIV/0!</v>
      </c>
      <c r="M88" s="216" t="e">
        <f t="shared" si="45"/>
        <v>#DIV/0!</v>
      </c>
      <c r="N88" s="216" t="e">
        <f t="shared" si="45"/>
        <v>#DIV/0!</v>
      </c>
      <c r="O88" s="216" t="e">
        <f t="shared" si="45"/>
        <v>#DIV/0!</v>
      </c>
      <c r="P88" s="216" t="e">
        <f t="shared" si="45"/>
        <v>#DIV/0!</v>
      </c>
      <c r="Q88" s="216" t="e">
        <f t="shared" si="45"/>
        <v>#DIV/0!</v>
      </c>
      <c r="R88" s="216">
        <f t="shared" si="45"/>
        <v>1</v>
      </c>
      <c r="S88" s="229">
        <f t="shared" si="45"/>
        <v>1</v>
      </c>
      <c r="T88" s="3787" t="e">
        <f t="shared" si="45"/>
        <v>#DIV/0!</v>
      </c>
      <c r="U88" s="3787" t="e">
        <f t="shared" si="45"/>
        <v>#DIV/0!</v>
      </c>
      <c r="V88" s="2167">
        <f t="shared" si="44"/>
        <v>1</v>
      </c>
      <c r="W88" s="7" t="s">
        <v>75</v>
      </c>
      <c r="X88" s="106" t="s">
        <v>76</v>
      </c>
      <c r="Y88" s="112" t="s">
        <v>183</v>
      </c>
    </row>
    <row r="89" spans="1:28">
      <c r="A89" s="7875"/>
      <c r="B89" s="208" t="s">
        <v>43</v>
      </c>
      <c r="C89" s="216">
        <f t="shared" si="42"/>
        <v>1.0018258233928048</v>
      </c>
      <c r="D89" s="5683">
        <v>1.003806325331841</v>
      </c>
      <c r="E89" s="216">
        <v>1.0042</v>
      </c>
      <c r="F89" s="216" t="e">
        <f t="shared" ref="F89:U90" si="46">F16/F4</f>
        <v>#DIV/0!</v>
      </c>
      <c r="G89" s="216" t="e">
        <f>G16/G4</f>
        <v>#DIV/0!</v>
      </c>
      <c r="H89" s="216">
        <f>H16/H4</f>
        <v>0.99912348904799342</v>
      </c>
      <c r="I89" s="216" t="e">
        <f t="shared" si="46"/>
        <v>#DIV/0!</v>
      </c>
      <c r="J89" s="216" t="e">
        <f t="shared" si="46"/>
        <v>#DIV/0!</v>
      </c>
      <c r="K89" s="216" t="e">
        <f t="shared" si="46"/>
        <v>#DIV/0!</v>
      </c>
      <c r="L89" s="216" t="e">
        <f t="shared" si="46"/>
        <v>#DIV/0!</v>
      </c>
      <c r="M89" s="216" t="e">
        <f t="shared" si="46"/>
        <v>#DIV/0!</v>
      </c>
      <c r="N89" s="216" t="e">
        <f t="shared" si="46"/>
        <v>#DIV/0!</v>
      </c>
      <c r="O89" s="216" t="e">
        <f t="shared" si="46"/>
        <v>#DIV/0!</v>
      </c>
      <c r="P89" s="216" t="e">
        <f t="shared" si="46"/>
        <v>#DIV/0!</v>
      </c>
      <c r="Q89" s="216" t="e">
        <f t="shared" si="46"/>
        <v>#DIV/0!</v>
      </c>
      <c r="R89" s="216">
        <f t="shared" si="46"/>
        <v>0.99912348904799342</v>
      </c>
      <c r="S89" s="229">
        <f t="shared" si="46"/>
        <v>0.99912348904799342</v>
      </c>
      <c r="T89" s="3787" t="e">
        <f t="shared" si="46"/>
        <v>#DIV/0!</v>
      </c>
      <c r="U89" s="3787" t="e">
        <f t="shared" si="46"/>
        <v>#DIV/0!</v>
      </c>
      <c r="V89" s="2167">
        <f t="shared" si="44"/>
        <v>0.99912348904799342</v>
      </c>
      <c r="W89" s="438" t="s">
        <v>77</v>
      </c>
      <c r="X89" s="107" t="s">
        <v>78</v>
      </c>
      <c r="Y89" s="460">
        <v>447000</v>
      </c>
      <c r="AA89" s="248"/>
    </row>
    <row r="90" spans="1:28">
      <c r="A90" s="7875"/>
      <c r="B90" s="208" t="s">
        <v>45</v>
      </c>
      <c r="C90" s="216">
        <f t="shared" si="42"/>
        <v>1.0040908537375219</v>
      </c>
      <c r="D90" s="5683">
        <v>1.0048416087822143</v>
      </c>
      <c r="E90" s="216">
        <v>1.0053000000000001</v>
      </c>
      <c r="F90" s="216">
        <f t="shared" si="46"/>
        <v>1.0038500733750388</v>
      </c>
      <c r="G90" s="216">
        <f t="shared" ref="G90:U90" si="47">G17/G5</f>
        <v>1.0052442303626457</v>
      </c>
      <c r="H90" s="216">
        <f t="shared" si="47"/>
        <v>1.005099429497128</v>
      </c>
      <c r="I90" s="216" t="e">
        <f t="shared" si="47"/>
        <v>#DIV/0!</v>
      </c>
      <c r="J90" s="216" t="e">
        <f t="shared" si="47"/>
        <v>#DIV/0!</v>
      </c>
      <c r="K90" s="216" t="e">
        <f>K17/K5</f>
        <v>#DIV/0!</v>
      </c>
      <c r="L90" s="216" t="e">
        <f t="shared" si="47"/>
        <v>#DIV/0!</v>
      </c>
      <c r="M90" s="216" t="e">
        <f t="shared" si="47"/>
        <v>#DIV/0!</v>
      </c>
      <c r="N90" s="216" t="e">
        <f t="shared" si="47"/>
        <v>#DIV/0!</v>
      </c>
      <c r="O90" s="216" t="e">
        <f t="shared" si="47"/>
        <v>#DIV/0!</v>
      </c>
      <c r="P90" s="216" t="e">
        <f t="shared" si="47"/>
        <v>#DIV/0!</v>
      </c>
      <c r="Q90" s="216" t="e">
        <f t="shared" si="47"/>
        <v>#DIV/0!</v>
      </c>
      <c r="R90" s="216">
        <f t="shared" si="47"/>
        <v>1.004731014370178</v>
      </c>
      <c r="S90" s="229">
        <f t="shared" si="47"/>
        <v>1.004731014370178</v>
      </c>
      <c r="T90" s="3787" t="e">
        <f t="shared" si="47"/>
        <v>#DIV/0!</v>
      </c>
      <c r="U90" s="3787" t="e">
        <f t="shared" si="47"/>
        <v>#DIV/0!</v>
      </c>
      <c r="V90" s="2167">
        <f t="shared" si="44"/>
        <v>1.004731014370178</v>
      </c>
      <c r="W90" s="102" t="s">
        <v>79</v>
      </c>
      <c r="X90" s="108" t="s">
        <v>78</v>
      </c>
      <c r="Y90" s="461">
        <v>447000</v>
      </c>
      <c r="AA90" s="248"/>
      <c r="AB90" s="250"/>
    </row>
    <row r="91" spans="1:28">
      <c r="A91" s="7875"/>
      <c r="B91" s="208" t="s">
        <v>17</v>
      </c>
      <c r="C91" s="216">
        <f t="shared" si="42"/>
        <v>1.0038300232567896</v>
      </c>
      <c r="D91" s="5683">
        <v>1.0057092906575997</v>
      </c>
      <c r="E91" s="216">
        <v>1.0057</v>
      </c>
      <c r="F91" s="216">
        <f t="shared" ref="F91:U92" si="48">F18/F6</f>
        <v>1.0034082893798044</v>
      </c>
      <c r="G91" s="216">
        <f t="shared" si="48"/>
        <v>1.0028494718498875</v>
      </c>
      <c r="H91" s="216">
        <f t="shared" si="48"/>
        <v>1.0050867800872563</v>
      </c>
      <c r="I91" s="216" t="e">
        <f t="shared" si="48"/>
        <v>#DIV/0!</v>
      </c>
      <c r="J91" s="216" t="e">
        <f t="shared" si="48"/>
        <v>#DIV/0!</v>
      </c>
      <c r="K91" s="216" t="e">
        <f t="shared" si="48"/>
        <v>#DIV/0!</v>
      </c>
      <c r="L91" s="216" t="e">
        <f t="shared" si="48"/>
        <v>#DIV/0!</v>
      </c>
      <c r="M91" s="216" t="e">
        <f t="shared" si="48"/>
        <v>#DIV/0!</v>
      </c>
      <c r="N91" s="216" t="e">
        <f t="shared" si="48"/>
        <v>#DIV/0!</v>
      </c>
      <c r="O91" s="216" t="e">
        <f t="shared" si="48"/>
        <v>#DIV/0!</v>
      </c>
      <c r="P91" s="216" t="e">
        <f t="shared" si="48"/>
        <v>#DIV/0!</v>
      </c>
      <c r="Q91" s="216" t="e">
        <f t="shared" si="48"/>
        <v>#DIV/0!</v>
      </c>
      <c r="R91" s="216">
        <f t="shared" si="48"/>
        <v>1.003842945000992</v>
      </c>
      <c r="S91" s="229">
        <f t="shared" si="48"/>
        <v>1.003842945000992</v>
      </c>
      <c r="T91" s="3787" t="e">
        <f t="shared" si="48"/>
        <v>#DIV/0!</v>
      </c>
      <c r="U91" s="3787" t="e">
        <f t="shared" si="48"/>
        <v>#DIV/0!</v>
      </c>
      <c r="V91" s="2167">
        <f t="shared" si="44"/>
        <v>1.003842945000992</v>
      </c>
      <c r="W91" s="102" t="s">
        <v>80</v>
      </c>
      <c r="X91" s="108" t="s">
        <v>78</v>
      </c>
      <c r="Y91" s="461">
        <v>447000</v>
      </c>
    </row>
    <row r="92" spans="1:28">
      <c r="A92" s="7876" t="s">
        <v>195</v>
      </c>
      <c r="B92" s="7876"/>
      <c r="C92" s="237">
        <f t="shared" si="42"/>
        <v>0.99483918463783039</v>
      </c>
      <c r="D92" s="237">
        <f t="shared" ref="D92:Q92" si="49">D19/D7</f>
        <v>0.99601770058959727</v>
      </c>
      <c r="E92" s="237">
        <f t="shared" si="49"/>
        <v>0.99667302275339209</v>
      </c>
      <c r="F92" s="237">
        <f>F19/F7</f>
        <v>1.0037242934726338</v>
      </c>
      <c r="G92" s="237">
        <f t="shared" si="49"/>
        <v>1.004560626149561</v>
      </c>
      <c r="H92" s="237">
        <f t="shared" si="49"/>
        <v>0.99383449054048445</v>
      </c>
      <c r="I92" s="237" t="e">
        <f t="shared" si="49"/>
        <v>#DIV/0!</v>
      </c>
      <c r="J92" s="237" t="e">
        <f t="shared" si="49"/>
        <v>#DIV/0!</v>
      </c>
      <c r="K92" s="237" t="e">
        <f t="shared" si="49"/>
        <v>#DIV/0!</v>
      </c>
      <c r="L92" s="237" t="e">
        <f t="shared" si="49"/>
        <v>#DIV/0!</v>
      </c>
      <c r="M92" s="237" t="e">
        <f t="shared" si="49"/>
        <v>#DIV/0!</v>
      </c>
      <c r="N92" s="237" t="e">
        <f t="shared" si="49"/>
        <v>#DIV/0!</v>
      </c>
      <c r="O92" s="237" t="e">
        <f t="shared" si="49"/>
        <v>#DIV/0!</v>
      </c>
      <c r="P92" s="237" t="e">
        <f t="shared" si="49"/>
        <v>#DIV/0!</v>
      </c>
      <c r="Q92" s="237" t="e">
        <f t="shared" si="49"/>
        <v>#DIV/0!</v>
      </c>
      <c r="R92" s="237">
        <f t="shared" si="48"/>
        <v>0.99659205089326142</v>
      </c>
      <c r="S92" s="237">
        <f t="shared" si="48"/>
        <v>0.99659205089326142</v>
      </c>
      <c r="T92" s="237" t="e">
        <f t="shared" si="48"/>
        <v>#DIV/0!</v>
      </c>
      <c r="U92" s="237" t="e">
        <f t="shared" si="48"/>
        <v>#DIV/0!</v>
      </c>
      <c r="V92" s="237">
        <f t="shared" si="44"/>
        <v>0.99659205089326142</v>
      </c>
      <c r="W92" s="102" t="s">
        <v>23</v>
      </c>
      <c r="X92" s="108" t="s">
        <v>81</v>
      </c>
      <c r="Y92" s="461">
        <v>797000</v>
      </c>
    </row>
    <row r="93" spans="1:28" ht="10.9" customHeight="1">
      <c r="A93" s="7915" t="s">
        <v>1123</v>
      </c>
      <c r="B93" s="208" t="s">
        <v>520</v>
      </c>
      <c r="C93" s="2167">
        <f>종합!I5/100</f>
        <v>0.97749821155362038</v>
      </c>
      <c r="D93" s="5685">
        <v>0.97872066777537103</v>
      </c>
      <c r="E93" s="2167">
        <f>종합!K5/100</f>
        <v>0.98</v>
      </c>
      <c r="F93" s="2167" t="e">
        <f>F87</f>
        <v>#DIV/0!</v>
      </c>
      <c r="G93" s="2167" t="e">
        <f t="shared" ref="G93:Q93" si="50">G87</f>
        <v>#DIV/0!</v>
      </c>
      <c r="H93" s="2167">
        <f t="shared" si="50"/>
        <v>0.97712159552613309</v>
      </c>
      <c r="I93" s="2167" t="e">
        <f t="shared" si="50"/>
        <v>#DIV/0!</v>
      </c>
      <c r="J93" s="2167" t="e">
        <f t="shared" si="50"/>
        <v>#DIV/0!</v>
      </c>
      <c r="K93" s="2167" t="e">
        <f t="shared" si="50"/>
        <v>#DIV/0!</v>
      </c>
      <c r="L93" s="2167" t="e">
        <f t="shared" si="50"/>
        <v>#DIV/0!</v>
      </c>
      <c r="M93" s="2167" t="e">
        <f t="shared" si="50"/>
        <v>#DIV/0!</v>
      </c>
      <c r="N93" s="2167" t="e">
        <f t="shared" si="50"/>
        <v>#DIV/0!</v>
      </c>
      <c r="O93" s="2167" t="e">
        <f t="shared" si="50"/>
        <v>#DIV/0!</v>
      </c>
      <c r="P93" s="2167" t="e">
        <f t="shared" si="50"/>
        <v>#DIV/0!</v>
      </c>
      <c r="Q93" s="2167" t="e">
        <f t="shared" si="50"/>
        <v>#DIV/0!</v>
      </c>
      <c r="R93" s="2167">
        <f>R14/R2</f>
        <v>0.97712159552613309</v>
      </c>
      <c r="S93" s="2167">
        <f>S14/S2</f>
        <v>0.97712159552613309</v>
      </c>
      <c r="T93" s="2167" t="e">
        <f>T14/T2</f>
        <v>#DIV/0!</v>
      </c>
      <c r="U93" s="2167" t="e">
        <f>U14/U2</f>
        <v>#DIV/0!</v>
      </c>
      <c r="V93" s="216">
        <f>V14/V2</f>
        <v>0.97712159552613309</v>
      </c>
      <c r="W93" s="2164"/>
      <c r="X93" s="2165"/>
      <c r="Y93" s="2166"/>
    </row>
    <row r="94" spans="1:28">
      <c r="A94" s="7916"/>
      <c r="B94" s="208" t="s">
        <v>521</v>
      </c>
      <c r="C94" s="2167">
        <f>종합!I6/100</f>
        <v>0.99972522425747468</v>
      </c>
      <c r="D94" s="5685">
        <v>0.99977203109953872</v>
      </c>
      <c r="E94" s="2167">
        <f>종합!K6/100</f>
        <v>0.99988507282170391</v>
      </c>
      <c r="F94" s="2167" t="e">
        <f>년간!F15/(년간!F3+종합!M46)</f>
        <v>#DIV/0!</v>
      </c>
      <c r="G94" s="2167" t="e">
        <f>년간!G15/(년간!G3+종합!N46)</f>
        <v>#DIV/0!</v>
      </c>
      <c r="H94" s="2167">
        <f>년간!H15/(년간!H3+종합!O46)</f>
        <v>1</v>
      </c>
      <c r="I94" s="2167" t="e">
        <f>년간!I15/(년간!I3+종합!P46)</f>
        <v>#DIV/0!</v>
      </c>
      <c r="J94" s="2167" t="e">
        <f>년간!J15/(년간!J3+종합!Q46)</f>
        <v>#DIV/0!</v>
      </c>
      <c r="K94" s="2167" t="e">
        <f>년간!K15/(년간!K3+종합!R46)</f>
        <v>#DIV/0!</v>
      </c>
      <c r="L94" s="2167" t="e">
        <f>년간!L15/(년간!L3+종합!S46)</f>
        <v>#DIV/0!</v>
      </c>
      <c r="M94" s="2167" t="e">
        <f>년간!M15/(년간!M3+종합!T46)</f>
        <v>#DIV/0!</v>
      </c>
      <c r="N94" s="2167" t="e">
        <f>년간!N15/(년간!N3+종합!U46)</f>
        <v>#DIV/0!</v>
      </c>
      <c r="O94" s="2167" t="e">
        <f>년간!O15/(년간!O3+종합!V46)</f>
        <v>#DIV/0!</v>
      </c>
      <c r="P94" s="2167" t="e">
        <f>년간!P15/(년간!P3+종합!W46)</f>
        <v>#DIV/0!</v>
      </c>
      <c r="Q94" s="2167" t="e">
        <f>년간!Q15/(년간!Q3+종합!X46)</f>
        <v>#DIV/0!</v>
      </c>
      <c r="R94" s="2167">
        <f>R15/(R3+종합!M46+종합!N46+종합!O46)</f>
        <v>1</v>
      </c>
      <c r="S94" s="2167">
        <f>S15/(S3+종합!M46+종합!N46+종합!O46+종합!P46+종합!Q46+종합!R46)</f>
        <v>1</v>
      </c>
      <c r="T94" s="2167" t="e">
        <f>T15/(T3+종합!S46+종합!T46+종합!U46)</f>
        <v>#DIV/0!</v>
      </c>
      <c r="U94" s="2167" t="e">
        <f>U15/(U3+종합!S46+종합!T46+종합!U46+종합!V46+종합!W46+종합!X46)</f>
        <v>#DIV/0!</v>
      </c>
      <c r="V94" s="216">
        <f>V15/(V3+종합!Y46)</f>
        <v>1</v>
      </c>
      <c r="W94" s="2164"/>
      <c r="X94" s="2165"/>
      <c r="Y94" s="2166"/>
    </row>
    <row r="95" spans="1:28">
      <c r="A95" s="7916"/>
      <c r="B95" s="208" t="s">
        <v>29</v>
      </c>
      <c r="C95" s="2167">
        <f>종합!I7/100</f>
        <v>1.0016156108737713</v>
      </c>
      <c r="D95" s="5685">
        <v>1.0036819107986636</v>
      </c>
      <c r="E95" s="2167">
        <f>종합!K7/100</f>
        <v>1.0040805503513799</v>
      </c>
      <c r="F95" s="2167" t="e">
        <f>년간!F16/(년간!F4+종합!M47)</f>
        <v>#DIV/0!</v>
      </c>
      <c r="G95" s="2167" t="e">
        <f>년간!G16/(년간!G4+종합!N47)</f>
        <v>#DIV/0!</v>
      </c>
      <c r="H95" s="2167">
        <f>년간!H16/(년간!H4+종합!O47)</f>
        <v>0.99851683358855348</v>
      </c>
      <c r="I95" s="2167" t="e">
        <f>년간!I16/(년간!I4+종합!P47)</f>
        <v>#DIV/0!</v>
      </c>
      <c r="J95" s="2167" t="e">
        <f>년간!J16/(년간!J4+종합!Q47)</f>
        <v>#DIV/0!</v>
      </c>
      <c r="K95" s="2167" t="e">
        <f>년간!K16/(년간!K4+종합!R47)</f>
        <v>#DIV/0!</v>
      </c>
      <c r="L95" s="2167" t="e">
        <f>년간!L16/(년간!L4+종합!S47)</f>
        <v>#DIV/0!</v>
      </c>
      <c r="M95" s="2167" t="e">
        <f>년간!M16/(년간!M4+종합!T47)</f>
        <v>#DIV/0!</v>
      </c>
      <c r="N95" s="2167" t="e">
        <f>년간!N16/(년간!N4+종합!U47)</f>
        <v>#DIV/0!</v>
      </c>
      <c r="O95" s="2167" t="e">
        <f>년간!O16/(년간!O4+종합!V47)</f>
        <v>#DIV/0!</v>
      </c>
      <c r="P95" s="2167" t="e">
        <f>년간!P16/(년간!P4+종합!W47)</f>
        <v>#DIV/0!</v>
      </c>
      <c r="Q95" s="2167" t="e">
        <f>년간!Q16/(년간!Q4+종합!X47)</f>
        <v>#DIV/0!</v>
      </c>
      <c r="R95" s="2167">
        <f>R16/(R4+종합!M47+종합!N47+종합!O47)</f>
        <v>0.99851683358855348</v>
      </c>
      <c r="S95" s="2167">
        <f>S16/(S4+종합!M47+종합!N47+종합!O47+종합!P47+종합!Q47+종합!R47)</f>
        <v>0.99851683358855348</v>
      </c>
      <c r="T95" s="2167" t="e">
        <f>T16/(T4+종합!S47+종합!T47+종합!U47)</f>
        <v>#DIV/0!</v>
      </c>
      <c r="U95" s="2167" t="e">
        <f>U16/(U4+종합!S47+종합!T47+종합!U47+종합!V47+종합!W47+종합!X47)</f>
        <v>#DIV/0!</v>
      </c>
      <c r="V95" s="216">
        <f>V16/(V4+종합!Y47)</f>
        <v>0.99851683358855348</v>
      </c>
      <c r="W95" s="2164"/>
      <c r="X95" s="2165"/>
      <c r="Y95" s="2166"/>
    </row>
    <row r="96" spans="1:28">
      <c r="A96" s="7916"/>
      <c r="B96" s="208" t="s">
        <v>23</v>
      </c>
      <c r="C96" s="2167">
        <f>종합!I8/100</f>
        <v>1.0039461945188946</v>
      </c>
      <c r="D96" s="5685">
        <v>1.0042329805871817</v>
      </c>
      <c r="E96" s="2167">
        <f>종합!K8/100</f>
        <v>1.0049000500157965</v>
      </c>
      <c r="F96" s="2167">
        <f>년간!F17/(년간!F5+종합!M49+종합!AS49)</f>
        <v>1.0036305758120287</v>
      </c>
      <c r="G96" s="2167">
        <f>년간!G17/(년간!G5+종합!N49+종합!AT49)</f>
        <v>1.0050836304207915</v>
      </c>
      <c r="H96" s="2167">
        <f>년간!H17/(년간!H5+종합!O49+종합!AU49)</f>
        <v>1.0041670159293874</v>
      </c>
      <c r="I96" s="2167" t="e">
        <f>년간!I17/(년간!I5+종합!P49+종합!AV49)</f>
        <v>#DIV/0!</v>
      </c>
      <c r="J96" s="2167" t="e">
        <f>년간!J17/(년간!J5+종합!Q49+종합!AW49)</f>
        <v>#DIV/0!</v>
      </c>
      <c r="K96" s="2167" t="e">
        <f>년간!K17/(년간!K5+종합!R49+종합!AX49)</f>
        <v>#DIV/0!</v>
      </c>
      <c r="L96" s="2167" t="e">
        <f>년간!L17/(년간!L5+종합!S49+종합!AY49)</f>
        <v>#DIV/0!</v>
      </c>
      <c r="M96" s="2167" t="e">
        <f>년간!M17/(년간!M5+종합!T49+종합!AZ49)</f>
        <v>#DIV/0!</v>
      </c>
      <c r="N96" s="2167" t="e">
        <f>년간!N17/(년간!N5+종합!U49+종합!BA49)</f>
        <v>#DIV/0!</v>
      </c>
      <c r="O96" s="2167" t="e">
        <f>년간!O17/(년간!O5+종합!V49+종합!BB49)</f>
        <v>#DIV/0!</v>
      </c>
      <c r="P96" s="2167" t="e">
        <f>년간!P17/(년간!P5+종합!W49+종합!BC49)</f>
        <v>#DIV/0!</v>
      </c>
      <c r="Q96" s="2167" t="e">
        <f>년간!Q17/(년간!Q5+종합!X49+종합!BD49)</f>
        <v>#DIV/0!</v>
      </c>
      <c r="R96" s="2167">
        <f>R17/(R5+종합!M49+종합!N49+종합!O49+종합!AS49+종합!AT49+종합!AU49)</f>
        <v>1.0042819608578157</v>
      </c>
      <c r="S96" s="2167">
        <f>S17/(S5+종합!M49+종합!N49+종합!O49+종합!P49+종합!Q49+종합!AS49+종합!AT49+종합!AU49+종합!AV49+종합!AW49+종합!AX49)</f>
        <v>1.0042819608578157</v>
      </c>
      <c r="T96" s="2167" t="e">
        <f>T17/(T5+종합!S49+종합!T49+종합!AY49+종합!AZ49+종합!BA49)</f>
        <v>#DIV/0!</v>
      </c>
      <c r="U96" s="2167" t="e">
        <f>U17/(U5+종합!S49+종합!T49+종합!U49+종합!V49+종합!W49+종합!X49+종합!AY49+종합!AZ49+종합!BA49+종합!BB49+종합!BC49+종합!BD49)</f>
        <v>#DIV/0!</v>
      </c>
      <c r="V96" s="216">
        <f>V17/(V5+종합!Y49+종합!BE49)</f>
        <v>1.0042819608578157</v>
      </c>
      <c r="W96" s="2164"/>
      <c r="X96" s="2165"/>
      <c r="Y96" s="2166"/>
    </row>
    <row r="97" spans="1:25">
      <c r="A97" s="7916"/>
      <c r="B97" s="208" t="s">
        <v>17</v>
      </c>
      <c r="C97" s="2167">
        <f>종합!I9/100</f>
        <v>1.0002734286688211</v>
      </c>
      <c r="D97" s="5685">
        <v>1.0019420910863446</v>
      </c>
      <c r="E97" s="2167">
        <f>종합!K9/100</f>
        <v>1.0028252810427079</v>
      </c>
      <c r="F97" s="2167">
        <f>년간!F18/(년간!F6+종합!M50+종합!AS50)</f>
        <v>1.0006522662090382</v>
      </c>
      <c r="G97" s="2167">
        <f>년간!G18/(년간!G6+종합!N50+종합!AT50)</f>
        <v>1.0007627736221916</v>
      </c>
      <c r="H97" s="2167">
        <f>년간!H18/(년간!H6+종합!O50+종합!AU50)</f>
        <v>1.0037641745462214</v>
      </c>
      <c r="I97" s="2167" t="e">
        <f>년간!I18/(년간!I6+종합!P50+종합!AV50)</f>
        <v>#DIV/0!</v>
      </c>
      <c r="J97" s="2167" t="e">
        <f>년간!J18/(년간!J6+종합!Q50+종합!AW50)</f>
        <v>#DIV/0!</v>
      </c>
      <c r="K97" s="2167" t="e">
        <f>년간!K18/(년간!K6+종합!R50+종합!AX50)</f>
        <v>#DIV/0!</v>
      </c>
      <c r="L97" s="2167" t="e">
        <f>년간!L18/(년간!L6+종합!S50+종합!AY50)</f>
        <v>#DIV/0!</v>
      </c>
      <c r="M97" s="2167" t="e">
        <f>년간!M18/(년간!M6+종합!T50+종합!AZ50)</f>
        <v>#DIV/0!</v>
      </c>
      <c r="N97" s="2167" t="e">
        <f>년간!N18/(년간!N6+종합!U50+종합!BA50)</f>
        <v>#DIV/0!</v>
      </c>
      <c r="O97" s="2167" t="e">
        <f>년간!O18/(년간!O6+종합!V50+종합!BB50)</f>
        <v>#DIV/0!</v>
      </c>
      <c r="P97" s="2167" t="e">
        <f>년간!P18/(년간!P6+종합!W50+종합!BC50)</f>
        <v>#DIV/0!</v>
      </c>
      <c r="Q97" s="2167" t="e">
        <f>년간!Q18/(년간!Q6+종합!X50+종합!BD50)</f>
        <v>#DIV/0!</v>
      </c>
      <c r="R97" s="2167">
        <f>R18/(R6+종합!M50+종합!N50+종합!O50+종합!AS50+종합!AT50+종합!AU50)</f>
        <v>1.0018162206695618</v>
      </c>
      <c r="S97" s="2167">
        <f>S18/(S6+종합!M50+종합!N50+종합!O50+종합!P50+종합!Q50+종합!AS50+종합!AT50+종합!AU50+종합!AV50+종합!AW50+종합!AX50)</f>
        <v>1.0018162206695618</v>
      </c>
      <c r="T97" s="2167" t="e">
        <f>T18/(T6+종합!S50+종합!T50+종합!AY50+종합!AZ50+종합!BA50)</f>
        <v>#DIV/0!</v>
      </c>
      <c r="U97" s="2167" t="e">
        <f>U18/(U6+종합!S50+종합!T50+종합!U50+종합!V50+종합!W50+종합!X50+종합!AY50+종합!AZ50+종합!BA50+종합!BB50+종합!BC50+종합!BD50)</f>
        <v>#DIV/0!</v>
      </c>
      <c r="V97" s="216">
        <f>V18/(V6+종합!Y50+종합!BE50)</f>
        <v>1.001816220669562</v>
      </c>
      <c r="W97" s="2164"/>
      <c r="X97" s="2165"/>
      <c r="Y97" s="2166"/>
    </row>
    <row r="98" spans="1:25">
      <c r="A98" s="7876" t="s">
        <v>1124</v>
      </c>
      <c r="B98" s="7876"/>
      <c r="C98" s="2163">
        <f>종합!I10/100</f>
        <v>0.99458272456152164</v>
      </c>
      <c r="D98" s="5684">
        <v>0.9956861949337682</v>
      </c>
      <c r="E98" s="2163">
        <f>종합!K10/100</f>
        <v>0.99638293608252282</v>
      </c>
      <c r="F98" s="2163">
        <f>년간!F19/(년간!F7+종합!M51)</f>
        <v>1.002798501792876</v>
      </c>
      <c r="G98" s="2163">
        <f>년간!G19/(년간!G7+종합!N51)</f>
        <v>1.0038485094014324</v>
      </c>
      <c r="H98" s="2163">
        <f>년간!H19/(년간!H7+종합!O51)</f>
        <v>0.99347919758598358</v>
      </c>
      <c r="I98" s="2163" t="e">
        <f>년간!I19/(년간!I7+종합!P51)</f>
        <v>#DIV/0!</v>
      </c>
      <c r="J98" s="2163" t="e">
        <f>년간!J19/(년간!J7+종합!Q51)</f>
        <v>#DIV/0!</v>
      </c>
      <c r="K98" s="2163" t="e">
        <f>년간!K19/(년간!K7+종합!R51)</f>
        <v>#DIV/0!</v>
      </c>
      <c r="L98" s="2163" t="e">
        <f>년간!L19/(년간!L7+종합!S51)</f>
        <v>#DIV/0!</v>
      </c>
      <c r="M98" s="2163" t="e">
        <f>년간!M19/(년간!M7+종합!T51)</f>
        <v>#DIV/0!</v>
      </c>
      <c r="N98" s="2163" t="e">
        <f>년간!N19/(년간!N7+종합!U51)</f>
        <v>#DIV/0!</v>
      </c>
      <c r="O98" s="2163" t="e">
        <f>년간!O19/(년간!O7+종합!V51)</f>
        <v>#DIV/0!</v>
      </c>
      <c r="P98" s="2163" t="e">
        <f>년간!P19/(년간!P7+종합!W51)</f>
        <v>#DIV/0!</v>
      </c>
      <c r="Q98" s="2163" t="e">
        <f>년간!Q19/(년간!Q7+종합!X51)</f>
        <v>#DIV/0!</v>
      </c>
      <c r="R98" s="2163">
        <f>R19/(R7+종합!M51+종합!N51+종합!O51)</f>
        <v>0.99611297972530499</v>
      </c>
      <c r="S98" s="2163">
        <f>S19/(S7+종합!M51+종합!N51+종합!O51+종합!P51+종합!Q51+종합!R51)</f>
        <v>0.99611297972530499</v>
      </c>
      <c r="T98" s="2163" t="e">
        <f>T19/(T7+종합!S51+종합!T51+종합!U51)</f>
        <v>#DIV/0!</v>
      </c>
      <c r="U98" s="2163" t="e">
        <f>U19/(U7+종합!S51+종합!T51+종합!U51+종합!V51+종합!W51+종합!X51)</f>
        <v>#DIV/0!</v>
      </c>
      <c r="V98" s="2163">
        <f>V19/(V7+종합!Y51)</f>
        <v>0.9961106209475834</v>
      </c>
      <c r="W98" s="2164"/>
      <c r="X98" s="2165"/>
      <c r="Y98" s="2166"/>
    </row>
    <row r="99" spans="1:25">
      <c r="A99" s="7874" t="s">
        <v>1022</v>
      </c>
      <c r="B99" s="208" t="s">
        <v>39</v>
      </c>
      <c r="C99" s="216">
        <f>(C14+C20)/C2</f>
        <v>0.97757867398196108</v>
      </c>
      <c r="D99" s="5683">
        <v>0.97875051188378481</v>
      </c>
      <c r="E99" s="216">
        <f>종합!K11/100</f>
        <v>0.98</v>
      </c>
      <c r="F99" s="216" t="e">
        <f t="shared" ref="F99:V99" si="51">(F14+F20)/F2</f>
        <v>#DIV/0!</v>
      </c>
      <c r="G99" s="216" t="e">
        <f t="shared" si="51"/>
        <v>#DIV/0!</v>
      </c>
      <c r="H99" s="216">
        <f t="shared" si="51"/>
        <v>0.97712159552613309</v>
      </c>
      <c r="I99" s="216" t="e">
        <f t="shared" si="51"/>
        <v>#DIV/0!</v>
      </c>
      <c r="J99" s="216" t="e">
        <f t="shared" si="51"/>
        <v>#DIV/0!</v>
      </c>
      <c r="K99" s="216" t="e">
        <f t="shared" si="51"/>
        <v>#DIV/0!</v>
      </c>
      <c r="L99" s="216" t="e">
        <f t="shared" si="51"/>
        <v>#DIV/0!</v>
      </c>
      <c r="M99" s="216" t="e">
        <f t="shared" si="51"/>
        <v>#DIV/0!</v>
      </c>
      <c r="N99" s="216" t="e">
        <f t="shared" si="51"/>
        <v>#DIV/0!</v>
      </c>
      <c r="O99" s="216" t="e">
        <f t="shared" si="51"/>
        <v>#DIV/0!</v>
      </c>
      <c r="P99" s="216" t="e">
        <f t="shared" si="51"/>
        <v>#DIV/0!</v>
      </c>
      <c r="Q99" s="216" t="e">
        <f t="shared" si="51"/>
        <v>#DIV/0!</v>
      </c>
      <c r="R99" s="216">
        <f t="shared" si="51"/>
        <v>0.97712159552613309</v>
      </c>
      <c r="S99" s="216">
        <f t="shared" si="51"/>
        <v>0.97712159552613309</v>
      </c>
      <c r="T99" s="216" t="e">
        <f t="shared" si="51"/>
        <v>#DIV/0!</v>
      </c>
      <c r="U99" s="216" t="e">
        <f t="shared" si="51"/>
        <v>#DIV/0!</v>
      </c>
      <c r="V99" s="216">
        <f t="shared" si="51"/>
        <v>0.97712159552613309</v>
      </c>
      <c r="W99" s="103" t="s">
        <v>134</v>
      </c>
      <c r="X99" s="109" t="s">
        <v>81</v>
      </c>
      <c r="Y99" s="462">
        <v>797000</v>
      </c>
    </row>
    <row r="100" spans="1:25">
      <c r="A100" s="7875"/>
      <c r="B100" s="208" t="s">
        <v>42</v>
      </c>
      <c r="C100" s="216">
        <f>(C15+C21)/C3</f>
        <v>0.99997129818603592</v>
      </c>
      <c r="D100" s="5683">
        <v>0.99979160392470223</v>
      </c>
      <c r="E100" s="216">
        <f>종합!K12/100</f>
        <v>0.9998999999999999</v>
      </c>
      <c r="F100" s="216" t="e">
        <f t="shared" ref="F100:V100" si="52">(F15+F21)/F3</f>
        <v>#DIV/0!</v>
      </c>
      <c r="G100" s="216" t="e">
        <f t="shared" si="52"/>
        <v>#DIV/0!</v>
      </c>
      <c r="H100" s="216">
        <f t="shared" si="52"/>
        <v>1</v>
      </c>
      <c r="I100" s="216" t="e">
        <f t="shared" si="52"/>
        <v>#DIV/0!</v>
      </c>
      <c r="J100" s="216" t="e">
        <f t="shared" si="52"/>
        <v>#DIV/0!</v>
      </c>
      <c r="K100" s="216" t="e">
        <f t="shared" si="52"/>
        <v>#DIV/0!</v>
      </c>
      <c r="L100" s="216" t="e">
        <f t="shared" si="52"/>
        <v>#DIV/0!</v>
      </c>
      <c r="M100" s="216" t="e">
        <f t="shared" si="52"/>
        <v>#DIV/0!</v>
      </c>
      <c r="N100" s="216" t="e">
        <f t="shared" si="52"/>
        <v>#DIV/0!</v>
      </c>
      <c r="O100" s="216" t="e">
        <f t="shared" si="52"/>
        <v>#DIV/0!</v>
      </c>
      <c r="P100" s="216" t="e">
        <f t="shared" si="52"/>
        <v>#DIV/0!</v>
      </c>
      <c r="Q100" s="216" t="e">
        <f t="shared" si="52"/>
        <v>#DIV/0!</v>
      </c>
      <c r="R100" s="216">
        <f t="shared" si="52"/>
        <v>1</v>
      </c>
      <c r="S100" s="216">
        <f t="shared" si="52"/>
        <v>1</v>
      </c>
      <c r="T100" s="216" t="e">
        <f t="shared" si="52"/>
        <v>#DIV/0!</v>
      </c>
      <c r="U100" s="216" t="e">
        <f t="shared" si="52"/>
        <v>#DIV/0!</v>
      </c>
      <c r="V100" s="216">
        <f t="shared" si="52"/>
        <v>1</v>
      </c>
    </row>
    <row r="101" spans="1:25">
      <c r="A101" s="7875"/>
      <c r="B101" s="208" t="s">
        <v>43</v>
      </c>
      <c r="C101" s="216">
        <f>(C16+C22)/C4</f>
        <v>1.0030737269815957</v>
      </c>
      <c r="D101" s="5683">
        <v>1.0045849657517931</v>
      </c>
      <c r="E101" s="216">
        <f>종합!K13/100</f>
        <v>1.0042</v>
      </c>
      <c r="F101" s="216" t="e">
        <f t="shared" ref="F101:V101" si="53">(F16+F22)/F4</f>
        <v>#DIV/0!</v>
      </c>
      <c r="G101" s="216" t="e">
        <f t="shared" si="53"/>
        <v>#DIV/0!</v>
      </c>
      <c r="H101" s="216">
        <f t="shared" si="53"/>
        <v>1.0012212456442748</v>
      </c>
      <c r="I101" s="216" t="e">
        <f t="shared" si="53"/>
        <v>#DIV/0!</v>
      </c>
      <c r="J101" s="216" t="e">
        <f t="shared" si="53"/>
        <v>#DIV/0!</v>
      </c>
      <c r="K101" s="216" t="e">
        <f t="shared" si="53"/>
        <v>#DIV/0!</v>
      </c>
      <c r="L101" s="216" t="e">
        <f t="shared" si="53"/>
        <v>#DIV/0!</v>
      </c>
      <c r="M101" s="216" t="e">
        <f t="shared" si="53"/>
        <v>#DIV/0!</v>
      </c>
      <c r="N101" s="216" t="e">
        <f t="shared" si="53"/>
        <v>#DIV/0!</v>
      </c>
      <c r="O101" s="216" t="e">
        <f t="shared" si="53"/>
        <v>#DIV/0!</v>
      </c>
      <c r="P101" s="216" t="e">
        <f t="shared" si="53"/>
        <v>#DIV/0!</v>
      </c>
      <c r="Q101" s="216" t="e">
        <f t="shared" si="53"/>
        <v>#DIV/0!</v>
      </c>
      <c r="R101" s="216">
        <f t="shared" si="53"/>
        <v>1.0012212456442748</v>
      </c>
      <c r="S101" s="216">
        <f t="shared" si="53"/>
        <v>1.0012212456442748</v>
      </c>
      <c r="T101" s="216" t="e">
        <f t="shared" si="53"/>
        <v>#DIV/0!</v>
      </c>
      <c r="U101" s="216" t="e">
        <f t="shared" si="53"/>
        <v>#DIV/0!</v>
      </c>
      <c r="V101" s="216">
        <f t="shared" si="53"/>
        <v>1.0012212456442748</v>
      </c>
    </row>
    <row r="102" spans="1:25">
      <c r="A102" s="7875"/>
      <c r="B102" s="208" t="s">
        <v>45</v>
      </c>
      <c r="C102" s="216">
        <f>(C17+C23)/C5</f>
        <v>1.0046471906956325</v>
      </c>
      <c r="D102" s="5683">
        <v>1.0051615255347359</v>
      </c>
      <c r="E102" s="216">
        <f>종합!K14/100</f>
        <v>1.0053000000000001</v>
      </c>
      <c r="F102" s="216">
        <f t="shared" ref="F102:V102" si="54">(F17+F23)/F5</f>
        <v>1.0047848285190071</v>
      </c>
      <c r="G102" s="216">
        <f t="shared" si="54"/>
        <v>1.0052442303626457</v>
      </c>
      <c r="H102" s="216">
        <f t="shared" si="54"/>
        <v>1.005814941196439</v>
      </c>
      <c r="I102" s="216" t="e">
        <f t="shared" si="54"/>
        <v>#DIV/0!</v>
      </c>
      <c r="J102" s="216" t="e">
        <f t="shared" si="54"/>
        <v>#DIV/0!</v>
      </c>
      <c r="K102" s="216" t="e">
        <f t="shared" si="54"/>
        <v>#DIV/0!</v>
      </c>
      <c r="L102" s="216" t="e">
        <f t="shared" si="54"/>
        <v>#DIV/0!</v>
      </c>
      <c r="M102" s="216" t="e">
        <f t="shared" si="54"/>
        <v>#DIV/0!</v>
      </c>
      <c r="N102" s="216" t="e">
        <f t="shared" si="54"/>
        <v>#DIV/0!</v>
      </c>
      <c r="O102" s="216" t="e">
        <f t="shared" si="54"/>
        <v>#DIV/0!</v>
      </c>
      <c r="P102" s="216" t="e">
        <f t="shared" si="54"/>
        <v>#DIV/0!</v>
      </c>
      <c r="Q102" s="216" t="e">
        <f t="shared" si="54"/>
        <v>#DIV/0!</v>
      </c>
      <c r="R102" s="216">
        <f t="shared" si="54"/>
        <v>1.0052905429400669</v>
      </c>
      <c r="S102" s="216">
        <f t="shared" si="54"/>
        <v>1.0052905429400669</v>
      </c>
      <c r="T102" s="216" t="e">
        <f t="shared" si="54"/>
        <v>#DIV/0!</v>
      </c>
      <c r="U102" s="216" t="e">
        <f t="shared" si="54"/>
        <v>#DIV/0!</v>
      </c>
      <c r="V102" s="216">
        <f t="shared" si="54"/>
        <v>1.0052905429400669</v>
      </c>
      <c r="W102" s="4" t="e">
        <f>248*#REF!</f>
        <v>#REF!</v>
      </c>
    </row>
    <row r="103" spans="1:25">
      <c r="A103" s="7875"/>
      <c r="B103" s="208" t="s">
        <v>17</v>
      </c>
      <c r="C103" s="216">
        <f>(C18+C24)/C6</f>
        <v>1.0052310002314184</v>
      </c>
      <c r="D103" s="5683">
        <v>1.0063759353359323</v>
      </c>
      <c r="E103" s="216">
        <f>종합!K15/100</f>
        <v>1.0057</v>
      </c>
      <c r="F103" s="216">
        <f t="shared" ref="F103:V103" si="55">(F18+F24)/F6</f>
        <v>1.0041144491689089</v>
      </c>
      <c r="G103" s="216">
        <f t="shared" si="55"/>
        <v>1.0030515620520071</v>
      </c>
      <c r="H103" s="216">
        <f t="shared" si="55"/>
        <v>1.0061028659973201</v>
      </c>
      <c r="I103" s="216" t="e">
        <f t="shared" si="55"/>
        <v>#DIV/0!</v>
      </c>
      <c r="J103" s="216" t="e">
        <f t="shared" si="55"/>
        <v>#DIV/0!</v>
      </c>
      <c r="K103" s="216" t="e">
        <f t="shared" si="55"/>
        <v>#DIV/0!</v>
      </c>
      <c r="L103" s="216" t="e">
        <f t="shared" si="55"/>
        <v>#DIV/0!</v>
      </c>
      <c r="M103" s="216" t="e">
        <f t="shared" si="55"/>
        <v>#DIV/0!</v>
      </c>
      <c r="N103" s="216" t="e">
        <f t="shared" si="55"/>
        <v>#DIV/0!</v>
      </c>
      <c r="O103" s="216" t="e">
        <f t="shared" si="55"/>
        <v>#DIV/0!</v>
      </c>
      <c r="P103" s="216" t="e">
        <f t="shared" si="55"/>
        <v>#DIV/0!</v>
      </c>
      <c r="Q103" s="216" t="e">
        <f t="shared" si="55"/>
        <v>#DIV/0!</v>
      </c>
      <c r="R103" s="216">
        <f t="shared" si="55"/>
        <v>1.0045038743440868</v>
      </c>
      <c r="S103" s="216">
        <f t="shared" si="55"/>
        <v>1.0045038743440868</v>
      </c>
      <c r="T103" s="216" t="e">
        <f t="shared" si="55"/>
        <v>#DIV/0!</v>
      </c>
      <c r="U103" s="216" t="e">
        <f t="shared" si="55"/>
        <v>#DIV/0!</v>
      </c>
      <c r="V103" s="216">
        <f t="shared" si="55"/>
        <v>1.0045038743440868</v>
      </c>
    </row>
    <row r="104" spans="1:25">
      <c r="A104" s="7876" t="s">
        <v>50</v>
      </c>
      <c r="B104" s="7876"/>
      <c r="C104" s="237">
        <f>C102*C101*C100*C99</f>
        <v>0.98511216705391147</v>
      </c>
      <c r="D104" s="5684">
        <v>0.9881070971969329</v>
      </c>
      <c r="E104" s="237">
        <f t="shared" ref="E104:P104" si="56">E102*E101*E100*E99</f>
        <v>0.98923288161851997</v>
      </c>
      <c r="F104" s="237" t="e">
        <f t="shared" si="56"/>
        <v>#DIV/0!</v>
      </c>
      <c r="G104" s="237" t="e">
        <f t="shared" si="56"/>
        <v>#DIV/0!</v>
      </c>
      <c r="H104" s="237">
        <f t="shared" si="56"/>
        <v>0.98400374463961948</v>
      </c>
      <c r="I104" s="237" t="e">
        <f t="shared" si="56"/>
        <v>#DIV/0!</v>
      </c>
      <c r="J104" s="237" t="e">
        <f t="shared" si="56"/>
        <v>#DIV/0!</v>
      </c>
      <c r="K104" s="237" t="e">
        <f t="shared" si="56"/>
        <v>#DIV/0!</v>
      </c>
      <c r="L104" s="237" t="e">
        <f t="shared" si="56"/>
        <v>#DIV/0!</v>
      </c>
      <c r="M104" s="237" t="e">
        <f t="shared" si="56"/>
        <v>#DIV/0!</v>
      </c>
      <c r="N104" s="237" t="e">
        <f t="shared" si="56"/>
        <v>#DIV/0!</v>
      </c>
      <c r="O104" s="237" t="e">
        <f t="shared" si="56"/>
        <v>#DIV/0!</v>
      </c>
      <c r="P104" s="237" t="e">
        <f t="shared" si="56"/>
        <v>#DIV/0!</v>
      </c>
      <c r="Q104" s="237" t="e">
        <f t="shared" ref="Q104:V104" si="57">Q102*Q101*Q100*Q99</f>
        <v>#DIV/0!</v>
      </c>
      <c r="R104" s="237">
        <f t="shared" si="57"/>
        <v>0.98349071801134247</v>
      </c>
      <c r="S104" s="237">
        <f t="shared" si="57"/>
        <v>0.98349071801134247</v>
      </c>
      <c r="T104" s="237" t="e">
        <f t="shared" si="57"/>
        <v>#DIV/0!</v>
      </c>
      <c r="U104" s="237" t="e">
        <f t="shared" si="57"/>
        <v>#DIV/0!</v>
      </c>
      <c r="V104" s="237">
        <f t="shared" si="57"/>
        <v>0.98349071801134247</v>
      </c>
    </row>
    <row r="105" spans="1:25">
      <c r="A105" s="7874" t="s">
        <v>51</v>
      </c>
      <c r="B105" s="208" t="s">
        <v>39</v>
      </c>
      <c r="C105" s="216">
        <f t="shared" ref="C105:N105" si="58">C20/(C20+C14)</f>
        <v>8.2307880155454009E-5</v>
      </c>
      <c r="D105" s="5683">
        <v>3.0492978636686621E-2</v>
      </c>
      <c r="E105" s="216">
        <f t="shared" si="58"/>
        <v>1.4163603787347652E-5</v>
      </c>
      <c r="F105" s="216" t="e">
        <f t="shared" si="58"/>
        <v>#DIV/0!</v>
      </c>
      <c r="G105" s="216" t="e">
        <f t="shared" si="58"/>
        <v>#DIV/0!</v>
      </c>
      <c r="H105" s="216">
        <f t="shared" si="58"/>
        <v>0</v>
      </c>
      <c r="I105" s="216" t="e">
        <f t="shared" si="58"/>
        <v>#DIV/0!</v>
      </c>
      <c r="J105" s="216" t="e">
        <f t="shared" si="58"/>
        <v>#DIV/0!</v>
      </c>
      <c r="K105" s="216" t="e">
        <f t="shared" si="58"/>
        <v>#DIV/0!</v>
      </c>
      <c r="L105" s="216" t="e">
        <f t="shared" si="58"/>
        <v>#DIV/0!</v>
      </c>
      <c r="M105" s="216" t="e">
        <f t="shared" si="58"/>
        <v>#DIV/0!</v>
      </c>
      <c r="N105" s="216" t="e">
        <f t="shared" si="58"/>
        <v>#DIV/0!</v>
      </c>
      <c r="O105" s="216" t="e">
        <f t="shared" ref="O105:U109" si="59">O20/(O20+O14)</f>
        <v>#DIV/0!</v>
      </c>
      <c r="P105" s="216" t="e">
        <f t="shared" si="59"/>
        <v>#DIV/0!</v>
      </c>
      <c r="Q105" s="216" t="e">
        <f t="shared" si="59"/>
        <v>#DIV/0!</v>
      </c>
      <c r="R105" s="216">
        <f t="shared" si="59"/>
        <v>0</v>
      </c>
      <c r="S105" s="216">
        <f t="shared" si="59"/>
        <v>0</v>
      </c>
      <c r="T105" s="216" t="e">
        <f t="shared" si="59"/>
        <v>#DIV/0!</v>
      </c>
      <c r="U105" s="216" t="e">
        <f t="shared" si="59"/>
        <v>#DIV/0!</v>
      </c>
      <c r="V105" s="214">
        <f>V20*1000/V14</f>
        <v>0</v>
      </c>
    </row>
    <row r="106" spans="1:25">
      <c r="A106" s="7875"/>
      <c r="B106" s="208" t="s">
        <v>42</v>
      </c>
      <c r="C106" s="216">
        <f>C21/(C21+C15)</f>
        <v>1.0116390777427927E-4</v>
      </c>
      <c r="D106" s="5683">
        <v>0</v>
      </c>
      <c r="E106" s="216">
        <f>E21/(E21+E15)</f>
        <v>0</v>
      </c>
      <c r="F106" s="216" t="e">
        <f t="shared" ref="F106:N106" si="60">F21/(F21+F15)</f>
        <v>#DIV/0!</v>
      </c>
      <c r="G106" s="216" t="e">
        <f t="shared" si="60"/>
        <v>#DIV/0!</v>
      </c>
      <c r="H106" s="216">
        <f t="shared" si="60"/>
        <v>0</v>
      </c>
      <c r="I106" s="216" t="e">
        <f t="shared" si="60"/>
        <v>#DIV/0!</v>
      </c>
      <c r="J106" s="216" t="e">
        <f t="shared" si="60"/>
        <v>#DIV/0!</v>
      </c>
      <c r="K106" s="216" t="e">
        <f t="shared" si="60"/>
        <v>#DIV/0!</v>
      </c>
      <c r="L106" s="216" t="e">
        <f t="shared" si="60"/>
        <v>#DIV/0!</v>
      </c>
      <c r="M106" s="216" t="e">
        <f t="shared" si="60"/>
        <v>#DIV/0!</v>
      </c>
      <c r="N106" s="216" t="e">
        <f t="shared" si="60"/>
        <v>#DIV/0!</v>
      </c>
      <c r="O106" s="216" t="e">
        <f t="shared" si="59"/>
        <v>#DIV/0!</v>
      </c>
      <c r="P106" s="216" t="e">
        <f t="shared" si="59"/>
        <v>#DIV/0!</v>
      </c>
      <c r="Q106" s="216" t="e">
        <f t="shared" si="59"/>
        <v>#DIV/0!</v>
      </c>
      <c r="R106" s="216">
        <f t="shared" si="59"/>
        <v>0</v>
      </c>
      <c r="S106" s="216">
        <f t="shared" si="59"/>
        <v>0</v>
      </c>
      <c r="T106" s="216" t="e">
        <f t="shared" si="59"/>
        <v>#DIV/0!</v>
      </c>
      <c r="U106" s="216" t="e">
        <f t="shared" si="59"/>
        <v>#DIV/0!</v>
      </c>
      <c r="V106" s="214">
        <f>V21*1000/V15</f>
        <v>0</v>
      </c>
    </row>
    <row r="107" spans="1:25">
      <c r="A107" s="7875"/>
      <c r="B107" s="208" t="s">
        <v>43</v>
      </c>
      <c r="C107" s="216">
        <f>C22/(C22+C16)</f>
        <v>1.2440796276720794E-3</v>
      </c>
      <c r="D107" s="5683">
        <v>0.77568789945067962</v>
      </c>
      <c r="E107" s="216">
        <f>E22/(E22+E16)</f>
        <v>5.5957621428038499E-4</v>
      </c>
      <c r="F107" s="216" t="e">
        <f t="shared" ref="F107:N107" si="61">F22/(F22+F16)</f>
        <v>#DIV/0!</v>
      </c>
      <c r="G107" s="216" t="e">
        <f t="shared" si="61"/>
        <v>#DIV/0!</v>
      </c>
      <c r="H107" s="216">
        <f t="shared" si="61"/>
        <v>2.0951978450393601E-3</v>
      </c>
      <c r="I107" s="216" t="e">
        <f t="shared" si="61"/>
        <v>#DIV/0!</v>
      </c>
      <c r="J107" s="216" t="e">
        <f t="shared" si="61"/>
        <v>#DIV/0!</v>
      </c>
      <c r="K107" s="216" t="e">
        <f t="shared" si="61"/>
        <v>#DIV/0!</v>
      </c>
      <c r="L107" s="216" t="e">
        <f t="shared" si="61"/>
        <v>#DIV/0!</v>
      </c>
      <c r="M107" s="216" t="e">
        <f t="shared" si="61"/>
        <v>#DIV/0!</v>
      </c>
      <c r="N107" s="216" t="e">
        <f t="shared" si="61"/>
        <v>#DIV/0!</v>
      </c>
      <c r="O107" s="216" t="e">
        <f t="shared" si="59"/>
        <v>#DIV/0!</v>
      </c>
      <c r="P107" s="216" t="e">
        <f t="shared" si="59"/>
        <v>#DIV/0!</v>
      </c>
      <c r="Q107" s="216" t="e">
        <f t="shared" si="59"/>
        <v>#DIV/0!</v>
      </c>
      <c r="R107" s="216">
        <f t="shared" si="59"/>
        <v>2.0951978450393601E-3</v>
      </c>
      <c r="S107" s="216">
        <f t="shared" si="59"/>
        <v>2.0951978450393601E-3</v>
      </c>
      <c r="T107" s="216" t="e">
        <f t="shared" si="59"/>
        <v>#DIV/0!</v>
      </c>
      <c r="U107" s="216" t="e">
        <f t="shared" si="59"/>
        <v>#DIV/0!</v>
      </c>
      <c r="V107" s="214">
        <f>V22*1000/V16</f>
        <v>2.0995969159731582</v>
      </c>
    </row>
    <row r="108" spans="1:25">
      <c r="A108" s="7875"/>
      <c r="B108" s="208" t="s">
        <v>45</v>
      </c>
      <c r="C108" s="216">
        <f t="shared" ref="C108:N108" si="62">C23/(C23+C17)</f>
        <v>5.537635134632979E-4</v>
      </c>
      <c r="D108" s="5683">
        <v>0.31837530385422969</v>
      </c>
      <c r="E108" s="216">
        <f t="shared" si="62"/>
        <v>1.9747966576566569E-4</v>
      </c>
      <c r="F108" s="216">
        <f t="shared" si="62"/>
        <v>9.3030379981539019E-4</v>
      </c>
      <c r="G108" s="216">
        <f t="shared" si="62"/>
        <v>0</v>
      </c>
      <c r="H108" s="216">
        <f t="shared" si="62"/>
        <v>7.113750949651218E-4</v>
      </c>
      <c r="I108" s="216" t="e">
        <f t="shared" si="62"/>
        <v>#DIV/0!</v>
      </c>
      <c r="J108" s="216" t="e">
        <f t="shared" si="62"/>
        <v>#DIV/0!</v>
      </c>
      <c r="K108" s="216" t="e">
        <f t="shared" si="62"/>
        <v>#DIV/0!</v>
      </c>
      <c r="L108" s="216" t="e">
        <f t="shared" si="62"/>
        <v>#DIV/0!</v>
      </c>
      <c r="M108" s="216" t="e">
        <f t="shared" si="62"/>
        <v>#DIV/0!</v>
      </c>
      <c r="N108" s="216" t="e">
        <f t="shared" si="62"/>
        <v>#DIV/0!</v>
      </c>
      <c r="O108" s="216" t="e">
        <f t="shared" si="59"/>
        <v>#DIV/0!</v>
      </c>
      <c r="P108" s="216" t="e">
        <f t="shared" si="59"/>
        <v>#DIV/0!</v>
      </c>
      <c r="Q108" s="216" t="e">
        <f t="shared" si="59"/>
        <v>#DIV/0!</v>
      </c>
      <c r="R108" s="216">
        <f t="shared" si="59"/>
        <v>5.5658393866182885E-4</v>
      </c>
      <c r="S108" s="216">
        <f t="shared" si="59"/>
        <v>5.5658393866182885E-4</v>
      </c>
      <c r="T108" s="216" t="e">
        <f t="shared" si="59"/>
        <v>#DIV/0!</v>
      </c>
      <c r="U108" s="216" t="e">
        <f t="shared" si="59"/>
        <v>#DIV/0!</v>
      </c>
      <c r="V108" s="214">
        <f>V23*1000/V17</f>
        <v>0.55689389686036006</v>
      </c>
    </row>
    <row r="109" spans="1:25">
      <c r="A109" s="7875"/>
      <c r="B109" s="208" t="s">
        <v>17</v>
      </c>
      <c r="C109" s="216">
        <f t="shared" ref="C109:N109" si="63">C24/(C24+C18)</f>
        <v>1.3936865997033442E-3</v>
      </c>
      <c r="D109" s="5683">
        <v>0.6628602166901999</v>
      </c>
      <c r="E109" s="216">
        <f t="shared" si="63"/>
        <v>6.1612388557933935E-4</v>
      </c>
      <c r="F109" s="216">
        <f t="shared" si="63"/>
        <v>7.0326623592454186E-4</v>
      </c>
      <c r="G109" s="216">
        <f t="shared" si="63"/>
        <v>2.0147538747284803E-4</v>
      </c>
      <c r="H109" s="216">
        <f t="shared" si="63"/>
        <v>1.0099224884490114E-3</v>
      </c>
      <c r="I109" s="216" t="e">
        <f t="shared" si="63"/>
        <v>#DIV/0!</v>
      </c>
      <c r="J109" s="216" t="e">
        <f t="shared" si="63"/>
        <v>#DIV/0!</v>
      </c>
      <c r="K109" s="216" t="e">
        <f t="shared" si="63"/>
        <v>#DIV/0!</v>
      </c>
      <c r="L109" s="216" t="e">
        <f t="shared" si="63"/>
        <v>#DIV/0!</v>
      </c>
      <c r="M109" s="216" t="e">
        <f t="shared" si="63"/>
        <v>#DIV/0!</v>
      </c>
      <c r="N109" s="216" t="e">
        <f t="shared" si="63"/>
        <v>#DIV/0!</v>
      </c>
      <c r="O109" s="216" t="e">
        <f t="shared" si="59"/>
        <v>#DIV/0!</v>
      </c>
      <c r="P109" s="216" t="e">
        <f t="shared" si="59"/>
        <v>#DIV/0!</v>
      </c>
      <c r="Q109" s="216" t="e">
        <f t="shared" si="59"/>
        <v>#DIV/0!</v>
      </c>
      <c r="R109" s="216">
        <f t="shared" si="59"/>
        <v>6.5796594714624473E-4</v>
      </c>
      <c r="S109" s="216">
        <f t="shared" si="59"/>
        <v>6.5796594714624473E-4</v>
      </c>
      <c r="T109" s="216" t="e">
        <f t="shared" si="59"/>
        <v>#DIV/0!</v>
      </c>
      <c r="U109" s="216" t="e">
        <f t="shared" si="59"/>
        <v>#DIV/0!</v>
      </c>
      <c r="V109" s="214">
        <f>V24*1000/V18</f>
        <v>0.65839915136747462</v>
      </c>
    </row>
    <row r="110" spans="1:25">
      <c r="A110" s="7876" t="s">
        <v>196</v>
      </c>
      <c r="B110" s="7876"/>
      <c r="C110" s="237">
        <f>(C105+C106+C107+C108+C109)/5</f>
        <v>6.7500030575369096E-4</v>
      </c>
      <c r="D110" s="5684">
        <v>2.9406022928037817E-4</v>
      </c>
      <c r="E110" s="237">
        <f t="shared" ref="E110:R110" si="64">(E105+E106+E107+E108+E109)/5</f>
        <v>2.7746867388254754E-4</v>
      </c>
      <c r="F110" s="237" t="e">
        <f t="shared" si="64"/>
        <v>#DIV/0!</v>
      </c>
      <c r="G110" s="237" t="e">
        <f t="shared" si="64"/>
        <v>#DIV/0!</v>
      </c>
      <c r="H110" s="237">
        <f t="shared" si="64"/>
        <v>7.6329908569069873E-4</v>
      </c>
      <c r="I110" s="237" t="e">
        <f t="shared" si="64"/>
        <v>#DIV/0!</v>
      </c>
      <c r="J110" s="237" t="e">
        <f t="shared" si="64"/>
        <v>#DIV/0!</v>
      </c>
      <c r="K110" s="237" t="e">
        <f t="shared" si="64"/>
        <v>#DIV/0!</v>
      </c>
      <c r="L110" s="237" t="e">
        <f t="shared" si="64"/>
        <v>#DIV/0!</v>
      </c>
      <c r="M110" s="237" t="e">
        <f t="shared" si="64"/>
        <v>#DIV/0!</v>
      </c>
      <c r="N110" s="237" t="e">
        <f t="shared" si="64"/>
        <v>#DIV/0!</v>
      </c>
      <c r="O110" s="237" t="e">
        <f t="shared" si="64"/>
        <v>#DIV/0!</v>
      </c>
      <c r="P110" s="237" t="e">
        <f t="shared" si="64"/>
        <v>#DIV/0!</v>
      </c>
      <c r="Q110" s="237" t="e">
        <f t="shared" si="64"/>
        <v>#DIV/0!</v>
      </c>
      <c r="R110" s="237">
        <f t="shared" si="64"/>
        <v>6.619495461694867E-4</v>
      </c>
      <c r="S110" s="237">
        <f>S25/(S19+S25)</f>
        <v>6.2347491960673804E-4</v>
      </c>
      <c r="T110" s="237">
        <f>T25/(T19+T25)</f>
        <v>0</v>
      </c>
      <c r="U110" s="237" t="e">
        <f>U25/(U19+U25)</f>
        <v>#DIV/0!</v>
      </c>
      <c r="V110" s="237">
        <f>V25/(V19+V25)</f>
        <v>6.2347491960673804E-4</v>
      </c>
      <c r="W110" s="74">
        <f>0.0006</f>
        <v>5.9999999999999995E-4</v>
      </c>
    </row>
    <row r="111" spans="1:25">
      <c r="A111" s="7875" t="s">
        <v>52</v>
      </c>
      <c r="B111" s="208" t="s">
        <v>39</v>
      </c>
      <c r="C111" s="216">
        <f>C31/C26</f>
        <v>0.99351749184463833</v>
      </c>
      <c r="D111" s="5683">
        <v>0.99122068848471134</v>
      </c>
      <c r="E111" s="216">
        <v>0.995</v>
      </c>
      <c r="F111" s="216" t="e">
        <f t="shared" ref="F111:V111" si="65">F31/F26</f>
        <v>#DIV/0!</v>
      </c>
      <c r="G111" s="216" t="e">
        <f t="shared" si="65"/>
        <v>#DIV/0!</v>
      </c>
      <c r="H111" s="216">
        <f t="shared" si="65"/>
        <v>0.99855944106313255</v>
      </c>
      <c r="I111" s="216" t="e">
        <f t="shared" si="65"/>
        <v>#DIV/0!</v>
      </c>
      <c r="J111" s="216" t="e">
        <f t="shared" si="65"/>
        <v>#DIV/0!</v>
      </c>
      <c r="K111" s="216" t="e">
        <f t="shared" si="65"/>
        <v>#DIV/0!</v>
      </c>
      <c r="L111" s="216" t="e">
        <f t="shared" si="65"/>
        <v>#DIV/0!</v>
      </c>
      <c r="M111" s="216" t="e">
        <f t="shared" si="65"/>
        <v>#DIV/0!</v>
      </c>
      <c r="N111" s="216" t="e">
        <f t="shared" si="65"/>
        <v>#DIV/0!</v>
      </c>
      <c r="O111" s="216" t="e">
        <f t="shared" si="65"/>
        <v>#DIV/0!</v>
      </c>
      <c r="P111" s="216" t="e">
        <f t="shared" si="65"/>
        <v>#DIV/0!</v>
      </c>
      <c r="Q111" s="216" t="e">
        <f t="shared" si="65"/>
        <v>#DIV/0!</v>
      </c>
      <c r="R111" s="216">
        <f t="shared" si="65"/>
        <v>0.99855944106313255</v>
      </c>
      <c r="S111" s="229">
        <f t="shared" si="65"/>
        <v>0.99855944106313255</v>
      </c>
      <c r="T111" s="216" t="e">
        <f t="shared" si="65"/>
        <v>#DIV/0!</v>
      </c>
      <c r="U111" s="216" t="e">
        <f t="shared" si="65"/>
        <v>#DIV/0!</v>
      </c>
      <c r="V111" s="216">
        <f t="shared" si="65"/>
        <v>0.99855944106313255</v>
      </c>
      <c r="W111" s="3">
        <f>W110*V13</f>
        <v>75.765677999999994</v>
      </c>
    </row>
    <row r="112" spans="1:25">
      <c r="A112" s="7875"/>
      <c r="B112" s="208" t="s">
        <v>42</v>
      </c>
      <c r="C112" s="216">
        <f>C32/C27</f>
        <v>0.94939227872516307</v>
      </c>
      <c r="D112" s="5683">
        <v>0.94391242064805669</v>
      </c>
      <c r="E112" s="216">
        <v>0.95459999999999989</v>
      </c>
      <c r="F112" s="216" t="e">
        <f>F32/F27</f>
        <v>#DIV/0!</v>
      </c>
      <c r="G112" s="216" t="e">
        <f t="shared" ref="G112:V112" si="66">G32/G27</f>
        <v>#DIV/0!</v>
      </c>
      <c r="H112" s="216">
        <f t="shared" si="66"/>
        <v>0.94997515322179893</v>
      </c>
      <c r="I112" s="216" t="e">
        <f t="shared" si="66"/>
        <v>#DIV/0!</v>
      </c>
      <c r="J112" s="216" t="e">
        <f t="shared" si="66"/>
        <v>#DIV/0!</v>
      </c>
      <c r="K112" s="216" t="e">
        <f t="shared" si="66"/>
        <v>#DIV/0!</v>
      </c>
      <c r="L112" s="216" t="e">
        <f t="shared" si="66"/>
        <v>#DIV/0!</v>
      </c>
      <c r="M112" s="216" t="e">
        <f t="shared" si="66"/>
        <v>#DIV/0!</v>
      </c>
      <c r="N112" s="216" t="e">
        <f t="shared" si="66"/>
        <v>#DIV/0!</v>
      </c>
      <c r="O112" s="216" t="e">
        <f t="shared" si="66"/>
        <v>#DIV/0!</v>
      </c>
      <c r="P112" s="216" t="e">
        <f t="shared" si="66"/>
        <v>#DIV/0!</v>
      </c>
      <c r="Q112" s="216" t="e">
        <f t="shared" si="66"/>
        <v>#DIV/0!</v>
      </c>
      <c r="R112" s="216">
        <f t="shared" si="66"/>
        <v>0.94997515322179893</v>
      </c>
      <c r="S112" s="229">
        <f t="shared" si="66"/>
        <v>0.94997515322179893</v>
      </c>
      <c r="T112" s="216" t="e">
        <f t="shared" si="66"/>
        <v>#DIV/0!</v>
      </c>
      <c r="U112" s="216" t="e">
        <f t="shared" si="66"/>
        <v>#DIV/0!</v>
      </c>
      <c r="V112" s="216">
        <f t="shared" si="66"/>
        <v>0.94997515322179893</v>
      </c>
      <c r="W112" s="4">
        <v>0.27</v>
      </c>
    </row>
    <row r="113" spans="1:26">
      <c r="A113" s="7875"/>
      <c r="B113" s="208" t="s">
        <v>43</v>
      </c>
      <c r="C113" s="216">
        <f>C33/C28</f>
        <v>0.98320217917675545</v>
      </c>
      <c r="D113" s="5683">
        <v>0.99570661542304428</v>
      </c>
      <c r="E113" s="216">
        <v>0.99650000000000005</v>
      </c>
      <c r="F113" s="216" t="e">
        <f t="shared" ref="F113:V113" si="67">F33/F28</f>
        <v>#DIV/0!</v>
      </c>
      <c r="G113" s="216" t="e">
        <f t="shared" si="67"/>
        <v>#DIV/0!</v>
      </c>
      <c r="H113" s="216">
        <f t="shared" si="67"/>
        <v>0.98726659889786528</v>
      </c>
      <c r="I113" s="216" t="e">
        <f t="shared" si="67"/>
        <v>#DIV/0!</v>
      </c>
      <c r="J113" s="216" t="e">
        <f t="shared" si="67"/>
        <v>#DIV/0!</v>
      </c>
      <c r="K113" s="216" t="e">
        <f t="shared" si="67"/>
        <v>#DIV/0!</v>
      </c>
      <c r="L113" s="216" t="e">
        <f t="shared" si="67"/>
        <v>#DIV/0!</v>
      </c>
      <c r="M113" s="216" t="e">
        <f t="shared" si="67"/>
        <v>#DIV/0!</v>
      </c>
      <c r="N113" s="216" t="e">
        <f t="shared" si="67"/>
        <v>#DIV/0!</v>
      </c>
      <c r="O113" s="216" t="e">
        <f t="shared" si="67"/>
        <v>#DIV/0!</v>
      </c>
      <c r="P113" s="216" t="e">
        <f t="shared" si="67"/>
        <v>#DIV/0!</v>
      </c>
      <c r="Q113" s="216" t="e">
        <f t="shared" si="67"/>
        <v>#DIV/0!</v>
      </c>
      <c r="R113" s="216">
        <f t="shared" si="67"/>
        <v>0.98726659889786528</v>
      </c>
      <c r="S113" s="229">
        <f t="shared" si="67"/>
        <v>0.98726659889786528</v>
      </c>
      <c r="T113" s="216" t="e">
        <f>T33/T28</f>
        <v>#DIV/0!</v>
      </c>
      <c r="U113" s="216" t="e">
        <f t="shared" si="67"/>
        <v>#DIV/0!</v>
      </c>
      <c r="V113" s="216">
        <f t="shared" si="67"/>
        <v>0.98726659889786528</v>
      </c>
      <c r="W113" s="249">
        <f>C110-W112/100</f>
        <v>-2.0249996942463093E-3</v>
      </c>
    </row>
    <row r="114" spans="1:26">
      <c r="A114" s="7875"/>
      <c r="B114" s="208" t="s">
        <v>45</v>
      </c>
      <c r="C114" s="216">
        <f>C34/C29</f>
        <v>0.85941544812145809</v>
      </c>
      <c r="D114" s="5683">
        <v>0.86855215790127027</v>
      </c>
      <c r="E114" s="216">
        <v>0.89</v>
      </c>
      <c r="F114" s="216">
        <f t="shared" ref="F114:V114" si="68">F34/F29</f>
        <v>0.83977164605137966</v>
      </c>
      <c r="G114" s="216">
        <f t="shared" si="68"/>
        <v>0.85948012232415905</v>
      </c>
      <c r="H114" s="216">
        <f t="shared" si="68"/>
        <v>0.8297896662094193</v>
      </c>
      <c r="I114" s="216" t="e">
        <f t="shared" si="68"/>
        <v>#DIV/0!</v>
      </c>
      <c r="J114" s="216" t="e">
        <f t="shared" si="68"/>
        <v>#DIV/0!</v>
      </c>
      <c r="K114" s="216" t="e">
        <f t="shared" si="68"/>
        <v>#DIV/0!</v>
      </c>
      <c r="L114" s="216" t="e">
        <f t="shared" si="68"/>
        <v>#DIV/0!</v>
      </c>
      <c r="M114" s="216" t="e">
        <f t="shared" si="68"/>
        <v>#DIV/0!</v>
      </c>
      <c r="N114" s="216" t="e">
        <f t="shared" si="68"/>
        <v>#DIV/0!</v>
      </c>
      <c r="O114" s="216" t="e">
        <f t="shared" si="68"/>
        <v>#DIV/0!</v>
      </c>
      <c r="P114" s="216" t="e">
        <f t="shared" si="68"/>
        <v>#DIV/0!</v>
      </c>
      <c r="Q114" s="216" t="e">
        <f t="shared" si="68"/>
        <v>#DIV/0!</v>
      </c>
      <c r="R114" s="216">
        <f t="shared" si="68"/>
        <v>0.84246520556710924</v>
      </c>
      <c r="S114" s="229">
        <f t="shared" si="68"/>
        <v>0.84246520556710924</v>
      </c>
      <c r="T114" s="216" t="e">
        <f t="shared" si="68"/>
        <v>#DIV/0!</v>
      </c>
      <c r="U114" s="216" t="e">
        <f t="shared" si="68"/>
        <v>#DIV/0!</v>
      </c>
      <c r="V114" s="216">
        <f t="shared" si="68"/>
        <v>0.84246520556710924</v>
      </c>
      <c r="W114" s="3" t="e">
        <f>W113*#REF!*C217</f>
        <v>#REF!</v>
      </c>
    </row>
    <row r="115" spans="1:26">
      <c r="A115" s="7875"/>
      <c r="B115" s="208" t="s">
        <v>17</v>
      </c>
      <c r="C115" s="216">
        <f>C35/C30</f>
        <v>0.74245931529902731</v>
      </c>
      <c r="D115" s="5683">
        <v>0.76120492198532708</v>
      </c>
      <c r="E115" s="216">
        <v>0.76500000000000001</v>
      </c>
      <c r="F115" s="216">
        <f t="shared" ref="F115:V115" si="69">F35/F30</f>
        <v>0.78065348656018696</v>
      </c>
      <c r="G115" s="216">
        <f t="shared" si="69"/>
        <v>0.76868421052631575</v>
      </c>
      <c r="H115" s="216">
        <f t="shared" si="69"/>
        <v>0.80003687230659326</v>
      </c>
      <c r="I115" s="216" t="e">
        <f t="shared" si="69"/>
        <v>#DIV/0!</v>
      </c>
      <c r="J115" s="216" t="e">
        <f t="shared" si="69"/>
        <v>#DIV/0!</v>
      </c>
      <c r="K115" s="216" t="e">
        <f t="shared" si="69"/>
        <v>#DIV/0!</v>
      </c>
      <c r="L115" s="216" t="e">
        <f t="shared" si="69"/>
        <v>#DIV/0!</v>
      </c>
      <c r="M115" s="216" t="e">
        <f t="shared" si="69"/>
        <v>#DIV/0!</v>
      </c>
      <c r="N115" s="216" t="e">
        <f t="shared" si="69"/>
        <v>#DIV/0!</v>
      </c>
      <c r="O115" s="216" t="e">
        <f t="shared" si="69"/>
        <v>#DIV/0!</v>
      </c>
      <c r="P115" s="216" t="e">
        <f t="shared" si="69"/>
        <v>#DIV/0!</v>
      </c>
      <c r="Q115" s="216" t="e">
        <f t="shared" si="69"/>
        <v>#DIV/0!</v>
      </c>
      <c r="R115" s="216">
        <f t="shared" si="69"/>
        <v>0.78380761850324587</v>
      </c>
      <c r="S115" s="229">
        <f t="shared" si="69"/>
        <v>0.78380761850324587</v>
      </c>
      <c r="T115" s="216" t="e">
        <f t="shared" si="69"/>
        <v>#DIV/0!</v>
      </c>
      <c r="U115" s="216" t="e">
        <f t="shared" si="69"/>
        <v>#DIV/0!</v>
      </c>
      <c r="V115" s="216">
        <f t="shared" si="69"/>
        <v>0.78380761850324587</v>
      </c>
    </row>
    <row r="116" spans="1:26">
      <c r="A116" s="7876" t="s">
        <v>53</v>
      </c>
      <c r="B116" s="7876"/>
      <c r="C116" s="237">
        <f>(C111+C112+C113+C114+C115)/5</f>
        <v>0.90559734263340841</v>
      </c>
      <c r="D116" s="5684">
        <v>0.912119360888482</v>
      </c>
      <c r="E116" s="237">
        <f>(E111+E112+E113+E114+E115)/5</f>
        <v>0.92021999999999993</v>
      </c>
      <c r="F116" s="237" t="e">
        <f>(F111+F112+F113+F114+F115)/5</f>
        <v>#DIV/0!</v>
      </c>
      <c r="G116" s="237" t="e">
        <f t="shared" ref="G116:V116" si="70">(G111+G112+G113+G114+G115)/5</f>
        <v>#DIV/0!</v>
      </c>
      <c r="H116" s="237">
        <f t="shared" si="70"/>
        <v>0.91312554633976184</v>
      </c>
      <c r="I116" s="237" t="e">
        <f t="shared" si="70"/>
        <v>#DIV/0!</v>
      </c>
      <c r="J116" s="237" t="e">
        <f t="shared" si="70"/>
        <v>#DIV/0!</v>
      </c>
      <c r="K116" s="237" t="e">
        <f t="shared" si="70"/>
        <v>#DIV/0!</v>
      </c>
      <c r="L116" s="237" t="e">
        <f t="shared" si="70"/>
        <v>#DIV/0!</v>
      </c>
      <c r="M116" s="237" t="e">
        <f t="shared" si="70"/>
        <v>#DIV/0!</v>
      </c>
      <c r="N116" s="237" t="e">
        <f t="shared" si="70"/>
        <v>#DIV/0!</v>
      </c>
      <c r="O116" s="237" t="e">
        <f t="shared" si="70"/>
        <v>#DIV/0!</v>
      </c>
      <c r="P116" s="237" t="e">
        <f t="shared" si="70"/>
        <v>#DIV/0!</v>
      </c>
      <c r="Q116" s="237" t="e">
        <f t="shared" si="70"/>
        <v>#DIV/0!</v>
      </c>
      <c r="R116" s="237">
        <f t="shared" si="70"/>
        <v>0.91241480345063031</v>
      </c>
      <c r="S116" s="237">
        <f t="shared" si="70"/>
        <v>0.91241480345063031</v>
      </c>
      <c r="T116" s="237" t="e">
        <f t="shared" si="70"/>
        <v>#DIV/0!</v>
      </c>
      <c r="U116" s="237" t="e">
        <f>(U111+U112+U113+U114+U115)/5</f>
        <v>#DIV/0!</v>
      </c>
      <c r="V116" s="237">
        <f t="shared" si="70"/>
        <v>0.91241480345063031</v>
      </c>
      <c r="W116" s="6">
        <v>0.99299297141132337</v>
      </c>
    </row>
    <row r="117" spans="1:26">
      <c r="A117" s="7875" t="s">
        <v>40</v>
      </c>
      <c r="B117" s="208" t="s">
        <v>39</v>
      </c>
      <c r="C117" s="230">
        <f>(C8/C31*60)</f>
        <v>58.694362011852682</v>
      </c>
      <c r="D117" s="230">
        <f>(D8/D31*60)</f>
        <v>60.293596370134956</v>
      </c>
      <c r="E117" s="2833">
        <v>62</v>
      </c>
      <c r="F117" s="223"/>
      <c r="G117" s="223"/>
      <c r="H117" s="223">
        <f t="shared" ref="H117:R117" si="71">H65</f>
        <v>59.686486096584552</v>
      </c>
      <c r="I117" s="223" t="e">
        <f t="shared" si="71"/>
        <v>#DIV/0!</v>
      </c>
      <c r="J117" s="223" t="e">
        <f t="shared" si="71"/>
        <v>#DIV/0!</v>
      </c>
      <c r="K117" s="223" t="e">
        <f t="shared" si="71"/>
        <v>#DIV/0!</v>
      </c>
      <c r="L117" s="223" t="e">
        <f t="shared" si="71"/>
        <v>#DIV/0!</v>
      </c>
      <c r="M117" s="223" t="e">
        <f t="shared" si="71"/>
        <v>#DIV/0!</v>
      </c>
      <c r="N117" s="223" t="e">
        <f t="shared" si="71"/>
        <v>#DIV/0!</v>
      </c>
      <c r="O117" s="223" t="e">
        <f t="shared" si="71"/>
        <v>#DIV/0!</v>
      </c>
      <c r="P117" s="223" t="e">
        <f t="shared" si="71"/>
        <v>#DIV/0!</v>
      </c>
      <c r="Q117" s="223" t="e">
        <f t="shared" si="71"/>
        <v>#DIV/0!</v>
      </c>
      <c r="R117" s="223">
        <f t="shared" si="71"/>
        <v>179.78384067783892</v>
      </c>
      <c r="S117" s="231">
        <f>S63</f>
        <v>59.686486096584552</v>
      </c>
      <c r="T117" s="223" t="e">
        <f>T65</f>
        <v>#DIV/0!</v>
      </c>
      <c r="U117" s="223" t="e">
        <f>U65</f>
        <v>#DIV/0!</v>
      </c>
      <c r="V117" s="223">
        <f>V63</f>
        <v>59.686486096584552</v>
      </c>
      <c r="W117" s="6">
        <v>39.557155264129236</v>
      </c>
    </row>
    <row r="118" spans="1:26">
      <c r="A118" s="7875"/>
      <c r="B118" s="208" t="s">
        <v>42</v>
      </c>
      <c r="C118" s="230">
        <f>(C15+C21)/C32*60</f>
        <v>46.906486455981941</v>
      </c>
      <c r="D118" s="230">
        <f>(D15+D21)/D32*60</f>
        <v>49.260056236092275</v>
      </c>
      <c r="E118" s="2833">
        <v>50.07</v>
      </c>
      <c r="F118" s="223"/>
      <c r="G118" s="223"/>
      <c r="H118" s="223">
        <f t="shared" ref="H118:R118" si="72">H70</f>
        <v>48.552899738448126</v>
      </c>
      <c r="I118" s="223" t="e">
        <f t="shared" si="72"/>
        <v>#DIV/0!</v>
      </c>
      <c r="J118" s="223" t="e">
        <f t="shared" si="72"/>
        <v>#DIV/0!</v>
      </c>
      <c r="K118" s="223" t="e">
        <f t="shared" si="72"/>
        <v>#DIV/0!</v>
      </c>
      <c r="L118" s="223" t="e">
        <f t="shared" si="72"/>
        <v>#DIV/0!</v>
      </c>
      <c r="M118" s="223" t="e">
        <f t="shared" si="72"/>
        <v>#DIV/0!</v>
      </c>
      <c r="N118" s="223" t="e">
        <f t="shared" si="72"/>
        <v>#DIV/0!</v>
      </c>
      <c r="O118" s="223" t="e">
        <f t="shared" si="72"/>
        <v>#DIV/0!</v>
      </c>
      <c r="P118" s="223" t="e">
        <f t="shared" si="72"/>
        <v>#DIV/0!</v>
      </c>
      <c r="Q118" s="223" t="e">
        <f t="shared" si="72"/>
        <v>#DIV/0!</v>
      </c>
      <c r="R118" s="223">
        <f t="shared" si="72"/>
        <v>554.24400825300563</v>
      </c>
      <c r="S118" s="231">
        <f>S68</f>
        <v>48.552899738448126</v>
      </c>
      <c r="T118" s="223" t="e">
        <f>T70</f>
        <v>#DIV/0!</v>
      </c>
      <c r="U118" s="223" t="e">
        <f>U70</f>
        <v>#DIV/0!</v>
      </c>
      <c r="V118" s="223">
        <f>V68</f>
        <v>48.552899738448126</v>
      </c>
    </row>
    <row r="119" spans="1:26">
      <c r="A119" s="7875"/>
      <c r="B119" s="208" t="s">
        <v>43</v>
      </c>
      <c r="C119" s="230">
        <f>(C16+C22)/C33*60</f>
        <v>39.078220717254119</v>
      </c>
      <c r="D119" s="230">
        <f>(D16+D22)/D33*60</f>
        <v>39.517993080100453</v>
      </c>
      <c r="E119" s="2833">
        <v>40.049999999999997</v>
      </c>
      <c r="F119" s="232"/>
      <c r="G119" s="232"/>
      <c r="H119" s="232">
        <f t="shared" ref="H119:R119" si="73">H75</f>
        <v>37.159860185335717</v>
      </c>
      <c r="I119" s="232" t="e">
        <f t="shared" si="73"/>
        <v>#DIV/0!</v>
      </c>
      <c r="J119" s="232" t="e">
        <f t="shared" si="73"/>
        <v>#DIV/0!</v>
      </c>
      <c r="K119" s="232" t="e">
        <f t="shared" si="73"/>
        <v>#DIV/0!</v>
      </c>
      <c r="L119" s="232" t="e">
        <f t="shared" si="73"/>
        <v>#DIV/0!</v>
      </c>
      <c r="M119" s="232" t="e">
        <f t="shared" si="73"/>
        <v>#DIV/0!</v>
      </c>
      <c r="N119" s="232" t="e">
        <f t="shared" si="73"/>
        <v>#DIV/0!</v>
      </c>
      <c r="O119" s="232" t="e">
        <f t="shared" si="73"/>
        <v>#DIV/0!</v>
      </c>
      <c r="P119" s="232" t="e">
        <f t="shared" si="73"/>
        <v>#DIV/0!</v>
      </c>
      <c r="Q119" s="232" t="e">
        <f t="shared" si="73"/>
        <v>#DIV/0!</v>
      </c>
      <c r="R119" s="232">
        <f t="shared" si="73"/>
        <v>3007.3012311642365</v>
      </c>
      <c r="S119" s="233">
        <f>S73</f>
        <v>37.159860185335717</v>
      </c>
      <c r="T119" s="232" t="e">
        <f>T75</f>
        <v>#DIV/0!</v>
      </c>
      <c r="U119" s="232" t="e">
        <f>U75</f>
        <v>#DIV/0!</v>
      </c>
      <c r="V119" s="232">
        <f>V73</f>
        <v>37.159860185335717</v>
      </c>
    </row>
    <row r="120" spans="1:26">
      <c r="A120" s="7903"/>
      <c r="B120" s="4513" t="s">
        <v>1736</v>
      </c>
      <c r="C120" s="230">
        <v>39.078220717254119</v>
      </c>
      <c r="D120" s="4952">
        <v>39.517993080100453</v>
      </c>
      <c r="E120" s="2833">
        <v>41.05</v>
      </c>
      <c r="F120" s="4514"/>
      <c r="G120" s="4514"/>
      <c r="H120" s="4514">
        <f>CGL!Q71</f>
        <v>37.320454047570479</v>
      </c>
      <c r="I120" s="4514" t="e">
        <f>CGL!R71</f>
        <v>#DIV/0!</v>
      </c>
      <c r="J120" s="4514" t="e">
        <f>CGL!S71</f>
        <v>#DIV/0!</v>
      </c>
      <c r="K120" s="4514" t="e">
        <f>CGL!T71</f>
        <v>#DIV/0!</v>
      </c>
      <c r="L120" s="4514" t="e">
        <f>CGL!U71</f>
        <v>#DIV/0!</v>
      </c>
      <c r="M120" s="4514" t="e">
        <f>CGL!V71</f>
        <v>#DIV/0!</v>
      </c>
      <c r="N120" s="4514" t="e">
        <f>CGL!W71</f>
        <v>#DIV/0!</v>
      </c>
      <c r="O120" s="4514" t="e">
        <f>CGL!X71</f>
        <v>#DIV/0!</v>
      </c>
      <c r="P120" s="4514" t="e">
        <f>CGL!Y71</f>
        <v>#DIV/0!</v>
      </c>
      <c r="Q120" s="4514" t="e">
        <f>CGL!Z71</f>
        <v>#DIV/0!</v>
      </c>
      <c r="R120" s="7534"/>
      <c r="S120" s="7534"/>
      <c r="T120" s="7534"/>
      <c r="U120" s="7534"/>
      <c r="V120" s="4675">
        <f>CGL!AA71</f>
        <v>37.320454047570479</v>
      </c>
      <c r="W120" s="4519" t="s">
        <v>1679</v>
      </c>
      <c r="X120" s="4520"/>
      <c r="Y120" s="4520"/>
      <c r="Z120" s="4520"/>
    </row>
    <row r="121" spans="1:26">
      <c r="A121" s="7875"/>
      <c r="B121" s="208" t="s">
        <v>45</v>
      </c>
      <c r="C121" s="230">
        <f>(C17+C23)/C34*60</f>
        <v>23.126629659404287</v>
      </c>
      <c r="D121" s="230">
        <f>(D17+D23)/D34*60</f>
        <v>22.529190340300044</v>
      </c>
      <c r="E121" s="2833">
        <v>24</v>
      </c>
      <c r="F121" s="3779">
        <f>(F17+F23)/F34*60</f>
        <v>21.081832087015638</v>
      </c>
      <c r="G121" s="234">
        <f>(G17+G23)/G34*60</f>
        <v>21.265148550080056</v>
      </c>
      <c r="H121" s="234">
        <f>(H17+H23)/H34*60</f>
        <v>21.541975478716076</v>
      </c>
      <c r="I121" s="234" t="e">
        <f>(I17+I23)/I34*60</f>
        <v>#DIV/0!</v>
      </c>
      <c r="J121" s="234" t="e">
        <f>(J17+J23)/J34*60</f>
        <v>#DIV/0!</v>
      </c>
      <c r="K121" s="234" t="e">
        <f t="shared" ref="K121:Q121" si="74">(K17+K23)/K34*60</f>
        <v>#DIV/0!</v>
      </c>
      <c r="L121" s="234" t="e">
        <f t="shared" si="74"/>
        <v>#DIV/0!</v>
      </c>
      <c r="M121" s="234" t="e">
        <f t="shared" si="74"/>
        <v>#DIV/0!</v>
      </c>
      <c r="N121" s="234" t="e">
        <f t="shared" si="74"/>
        <v>#DIV/0!</v>
      </c>
      <c r="O121" s="234" t="e">
        <f t="shared" si="74"/>
        <v>#DIV/0!</v>
      </c>
      <c r="P121" s="234" t="e">
        <f t="shared" si="74"/>
        <v>#DIV/0!</v>
      </c>
      <c r="Q121" s="234" t="e">
        <f t="shared" si="74"/>
        <v>#DIV/0!</v>
      </c>
      <c r="R121" s="234">
        <f>(R17+R23)/R34*60</f>
        <v>21.299097080465227</v>
      </c>
      <c r="S121" s="235">
        <f>(S17+S23)/S34*60</f>
        <v>21.299097080465227</v>
      </c>
      <c r="T121" s="234" t="e">
        <f>(T17+T23)/T34*60</f>
        <v>#DIV/0!</v>
      </c>
      <c r="U121" s="234" t="e">
        <f>(U17+U23)/U34*60</f>
        <v>#DIV/0!</v>
      </c>
      <c r="V121" s="234">
        <f>(V17+V23)/V34*60</f>
        <v>21.299097080465227</v>
      </c>
    </row>
    <row r="122" spans="1:26">
      <c r="A122" s="7903"/>
      <c r="B122" s="4513" t="s">
        <v>1737</v>
      </c>
      <c r="C122" s="4952">
        <v>23.126629659404287</v>
      </c>
      <c r="D122" s="4952">
        <v>22.529190340300044</v>
      </c>
      <c r="E122" s="4953">
        <v>24</v>
      </c>
      <c r="F122" s="5845">
        <f>'#1CCL'!O7</f>
        <v>22.729410156012456</v>
      </c>
      <c r="G122" s="5845">
        <f>'#1CCL'!P7</f>
        <v>22.227810806017338</v>
      </c>
      <c r="H122" s="5845">
        <f>'#1CCL'!Q7</f>
        <v>20.853383780964851</v>
      </c>
      <c r="I122" s="5845" t="e">
        <f>'#1CCL'!R7</f>
        <v>#DIV/0!</v>
      </c>
      <c r="J122" s="5845" t="e">
        <f>'#1CCL'!S7</f>
        <v>#DIV/0!</v>
      </c>
      <c r="K122" s="5845" t="e">
        <f>'#1CCL'!T7</f>
        <v>#DIV/0!</v>
      </c>
      <c r="L122" s="5845" t="e">
        <f>'#1CCL'!U7</f>
        <v>#DIV/0!</v>
      </c>
      <c r="M122" s="5845" t="e">
        <f>'#1CCL'!V7</f>
        <v>#DIV/0!</v>
      </c>
      <c r="N122" s="5845" t="e">
        <f>'#1CCL'!W7</f>
        <v>#DIV/0!</v>
      </c>
      <c r="O122" s="5845" t="e">
        <f>'#1CCL'!X7</f>
        <v>#DIV/0!</v>
      </c>
      <c r="P122" s="5845" t="e">
        <f>'#1CCL'!Y7</f>
        <v>#DIV/0!</v>
      </c>
      <c r="Q122" s="5845" t="e">
        <f>'#1CCL'!Z7</f>
        <v>#DIV/0!</v>
      </c>
      <c r="R122" s="4954"/>
      <c r="S122" s="4955"/>
      <c r="T122" s="4954"/>
      <c r="U122" s="4954"/>
      <c r="V122" s="4957">
        <f>'#1CCL'!AA7</f>
        <v>21.913417873119961</v>
      </c>
    </row>
    <row r="123" spans="1:26">
      <c r="A123" s="7875"/>
      <c r="B123" s="208" t="s">
        <v>17</v>
      </c>
      <c r="C123" s="230">
        <f>(C18+C24)/C35*60</f>
        <v>9.3511203248380532</v>
      </c>
      <c r="D123" s="230">
        <f>(D18+D24)/D35*60</f>
        <v>9.5212979035692769</v>
      </c>
      <c r="E123" s="2833">
        <v>9.6999999999999993</v>
      </c>
      <c r="F123" s="3779">
        <f>(F18+F24)/F35*60</f>
        <v>9.2332969466363082</v>
      </c>
      <c r="G123" s="234">
        <f>(G18+G24+72.75)/G35*60</f>
        <v>9.9368709346114343</v>
      </c>
      <c r="H123" s="234">
        <f>(H18+H24+435.03)/H35*60</f>
        <v>10.335309367438645</v>
      </c>
      <c r="I123" s="234" t="e">
        <f>(I18+I24)/I35*60</f>
        <v>#DIV/0!</v>
      </c>
      <c r="J123" s="234" t="e">
        <f>(J18+J24)/J35*60</f>
        <v>#DIV/0!</v>
      </c>
      <c r="K123" s="234" t="e">
        <f t="shared" ref="K123:Q123" si="75">(K18+K24)/K35*60</f>
        <v>#DIV/0!</v>
      </c>
      <c r="L123" s="234" t="e">
        <f t="shared" si="75"/>
        <v>#DIV/0!</v>
      </c>
      <c r="M123" s="234" t="e">
        <f t="shared" si="75"/>
        <v>#DIV/0!</v>
      </c>
      <c r="N123" s="234" t="e">
        <f t="shared" si="75"/>
        <v>#DIV/0!</v>
      </c>
      <c r="O123" s="234" t="e">
        <f t="shared" si="75"/>
        <v>#DIV/0!</v>
      </c>
      <c r="P123" s="234" t="e">
        <f t="shared" si="75"/>
        <v>#DIV/0!</v>
      </c>
      <c r="Q123" s="234" t="e">
        <f t="shared" si="75"/>
        <v>#DIV/0!</v>
      </c>
      <c r="R123" s="234">
        <f>(R18+R24)/R35*60</f>
        <v>9.52856056423132</v>
      </c>
      <c r="S123" s="235">
        <f>(S18+S24)/S35*60</f>
        <v>9.52856056423132</v>
      </c>
      <c r="T123" s="234" t="e">
        <f>(T18+T24)/T35*60</f>
        <v>#DIV/0!</v>
      </c>
      <c r="U123" s="234" t="e">
        <f>(U18+U24)/U35*60</f>
        <v>#DIV/0!</v>
      </c>
      <c r="V123" s="234">
        <f>(V18+V24)/V35*60</f>
        <v>9.52856056423132</v>
      </c>
      <c r="W123" s="4">
        <f>W125*C215</f>
        <v>3156881.0141581898</v>
      </c>
    </row>
    <row r="124" spans="1:26">
      <c r="A124" s="7876" t="s">
        <v>54</v>
      </c>
      <c r="B124" s="7876"/>
      <c r="C124" s="239">
        <f>(C117+C118+C119+C121+C123)/5</f>
        <v>35.431363833866214</v>
      </c>
      <c r="D124" s="5686">
        <v>36.224426786039395</v>
      </c>
      <c r="E124" s="239">
        <f>(E117+E118+E119+E121+E123)/5</f>
        <v>37.164000000000001</v>
      </c>
      <c r="F124" s="240">
        <f>(F117+F118+F119+F121+F123)/5</f>
        <v>6.0630258067303888</v>
      </c>
      <c r="G124" s="240">
        <f t="shared" ref="G124:V124" si="76">(G117+G118+G119+G121+G123)/5</f>
        <v>6.2404038969382984</v>
      </c>
      <c r="H124" s="240">
        <f t="shared" si="76"/>
        <v>35.455306173304621</v>
      </c>
      <c r="I124" s="240" t="e">
        <f t="shared" si="76"/>
        <v>#DIV/0!</v>
      </c>
      <c r="J124" s="240" t="e">
        <f t="shared" si="76"/>
        <v>#DIV/0!</v>
      </c>
      <c r="K124" s="240" t="e">
        <f t="shared" si="76"/>
        <v>#DIV/0!</v>
      </c>
      <c r="L124" s="240" t="e">
        <f t="shared" si="76"/>
        <v>#DIV/0!</v>
      </c>
      <c r="M124" s="240" t="e">
        <f t="shared" si="76"/>
        <v>#DIV/0!</v>
      </c>
      <c r="N124" s="240" t="e">
        <f t="shared" si="76"/>
        <v>#DIV/0!</v>
      </c>
      <c r="O124" s="240" t="e">
        <f t="shared" si="76"/>
        <v>#DIV/0!</v>
      </c>
      <c r="P124" s="240" t="e">
        <f t="shared" si="76"/>
        <v>#DIV/0!</v>
      </c>
      <c r="Q124" s="240" t="e">
        <f t="shared" si="76"/>
        <v>#DIV/0!</v>
      </c>
      <c r="R124" s="240">
        <f t="shared" si="76"/>
        <v>754.43134754795551</v>
      </c>
      <c r="S124" s="240">
        <f t="shared" si="76"/>
        <v>35.245380733012993</v>
      </c>
      <c r="T124" s="240" t="e">
        <f t="shared" si="76"/>
        <v>#DIV/0!</v>
      </c>
      <c r="U124" s="240" t="e">
        <f>(U117+U118+U119+U121+U123)/5</f>
        <v>#DIV/0!</v>
      </c>
      <c r="V124" s="240">
        <f t="shared" si="76"/>
        <v>35.245380733012993</v>
      </c>
    </row>
    <row r="125" spans="1:26">
      <c r="A125" s="476"/>
      <c r="B125" s="26"/>
      <c r="C125" s="137"/>
      <c r="D125" s="5687">
        <v>3.9143542637809319E-4</v>
      </c>
      <c r="E125" s="47"/>
      <c r="F125" s="24"/>
      <c r="G125" s="25"/>
      <c r="H125" s="25"/>
      <c r="I125" s="24"/>
      <c r="J125" s="24"/>
      <c r="K125" s="24"/>
      <c r="L125" s="24"/>
      <c r="M125" s="24"/>
      <c r="N125" s="24"/>
      <c r="O125" s="24"/>
      <c r="P125" s="24"/>
      <c r="Q125" s="24"/>
      <c r="R125" s="24"/>
      <c r="S125" s="24"/>
      <c r="T125" s="24"/>
      <c r="U125" s="24"/>
      <c r="V125" s="276">
        <f>C110-V110</f>
        <v>5.152538614695292E-5</v>
      </c>
      <c r="W125" s="4">
        <f>V125*V19</f>
        <v>6.5023697657414772</v>
      </c>
    </row>
    <row r="126" spans="1:26" s="5" customFormat="1">
      <c r="A126" s="7883" t="s">
        <v>0</v>
      </c>
      <c r="B126" s="7883"/>
      <c r="C126" s="2528" t="s">
        <v>1144</v>
      </c>
      <c r="D126" s="5671" t="s">
        <v>2152</v>
      </c>
      <c r="E126" s="2528" t="s">
        <v>2155</v>
      </c>
      <c r="F126" s="201" t="s">
        <v>38</v>
      </c>
      <c r="G126" s="201" t="s">
        <v>5</v>
      </c>
      <c r="H126" s="201" t="s">
        <v>6</v>
      </c>
      <c r="I126" s="201" t="s">
        <v>7</v>
      </c>
      <c r="J126" s="201" t="s">
        <v>8</v>
      </c>
      <c r="K126" s="201" t="s">
        <v>9</v>
      </c>
      <c r="L126" s="201" t="s">
        <v>10</v>
      </c>
      <c r="M126" s="201" t="s">
        <v>11</v>
      </c>
      <c r="N126" s="201" t="s">
        <v>12</v>
      </c>
      <c r="O126" s="201" t="s">
        <v>13</v>
      </c>
      <c r="P126" s="201" t="s">
        <v>14</v>
      </c>
      <c r="Q126" s="201" t="s">
        <v>15</v>
      </c>
      <c r="R126" s="202" t="s">
        <v>19</v>
      </c>
      <c r="S126" s="202" t="s">
        <v>20</v>
      </c>
      <c r="T126" s="202" t="s">
        <v>21</v>
      </c>
      <c r="U126" s="202" t="s">
        <v>175</v>
      </c>
      <c r="V126" s="202" t="s">
        <v>22</v>
      </c>
      <c r="W126" s="5" t="s">
        <v>235</v>
      </c>
      <c r="X126" s="5" t="s">
        <v>232</v>
      </c>
      <c r="Y126" s="5" t="s">
        <v>233</v>
      </c>
      <c r="Z126" s="5" t="s">
        <v>234</v>
      </c>
    </row>
    <row r="127" spans="1:26" s="448" customFormat="1">
      <c r="A127" s="7900" t="s">
        <v>39</v>
      </c>
      <c r="B127" s="446" t="s">
        <v>55</v>
      </c>
      <c r="C127" s="204">
        <f>C14/C2</f>
        <v>0.97749821155362038</v>
      </c>
      <c r="D127" s="5681">
        <v>152645034.02904654</v>
      </c>
      <c r="E127" s="4517">
        <f>(E87-D87)*E2*C213</f>
        <v>178987987.5443947</v>
      </c>
      <c r="F127" s="447" t="e">
        <f>(F87-$D$87)*F2*$C$213</f>
        <v>#DIV/0!</v>
      </c>
      <c r="G127" s="447" t="e">
        <f t="shared" ref="G127:Q127" si="77">(G87-$D$87)*G2*$C$213</f>
        <v>#DIV/0!</v>
      </c>
      <c r="H127" s="447">
        <f t="shared" si="77"/>
        <v>-21914606.0997288</v>
      </c>
      <c r="I127" s="447" t="e">
        <f t="shared" si="77"/>
        <v>#DIV/0!</v>
      </c>
      <c r="J127" s="447" t="e">
        <f t="shared" si="77"/>
        <v>#DIV/0!</v>
      </c>
      <c r="K127" s="447" t="e">
        <f t="shared" si="77"/>
        <v>#DIV/0!</v>
      </c>
      <c r="L127" s="447" t="e">
        <f t="shared" si="77"/>
        <v>#DIV/0!</v>
      </c>
      <c r="M127" s="447" t="e">
        <f t="shared" si="77"/>
        <v>#DIV/0!</v>
      </c>
      <c r="N127" s="447" t="e">
        <f t="shared" si="77"/>
        <v>#DIV/0!</v>
      </c>
      <c r="O127" s="447" t="e">
        <f t="shared" si="77"/>
        <v>#DIV/0!</v>
      </c>
      <c r="P127" s="447" t="e">
        <f t="shared" si="77"/>
        <v>#DIV/0!</v>
      </c>
      <c r="Q127" s="447" t="e">
        <f t="shared" si="77"/>
        <v>#DIV/0!</v>
      </c>
      <c r="R127" s="447" t="e">
        <f>SUM(F127:H127)</f>
        <v>#DIV/0!</v>
      </c>
      <c r="S127" s="447" t="e">
        <f>SUM(F127:K127)</f>
        <v>#DIV/0!</v>
      </c>
      <c r="T127" s="447" t="e">
        <f>SUM(F127:N127)</f>
        <v>#DIV/0!</v>
      </c>
      <c r="U127" s="447" t="e">
        <f>SUM(L127:Q127)</f>
        <v>#DIV/0!</v>
      </c>
      <c r="V127" s="447">
        <f>(V87-$D$87)*V2*$C$213</f>
        <v>-21914606.0997288</v>
      </c>
      <c r="W127" s="448" t="s">
        <v>236</v>
      </c>
      <c r="X127" s="448" t="e">
        <f>SUM(F127:H127)</f>
        <v>#DIV/0!</v>
      </c>
      <c r="Y127" s="448" t="e">
        <f>SUM(I127:K127)</f>
        <v>#DIV/0!</v>
      </c>
      <c r="Z127" s="448" t="e">
        <f>SUM(X127:Y127)</f>
        <v>#DIV/0!</v>
      </c>
    </row>
    <row r="128" spans="1:26" s="448" customFormat="1">
      <c r="A128" s="7900"/>
      <c r="B128" s="446" t="s">
        <v>52</v>
      </c>
      <c r="C128" s="449"/>
      <c r="D128" s="4516">
        <v>-11873500.213739522</v>
      </c>
      <c r="E128" s="4517">
        <f>(E111-D111)*E26*E213/60</f>
        <v>19341661.014379416</v>
      </c>
      <c r="F128" s="447" t="e">
        <f t="shared" ref="F128:Q128" si="78">(F111-$D$111)*F31/60*$E$213</f>
        <v>#DIV/0!</v>
      </c>
      <c r="G128" s="447" t="e">
        <f t="shared" si="78"/>
        <v>#DIV/0!</v>
      </c>
      <c r="H128" s="447">
        <f t="shared" si="78"/>
        <v>3791313.1236452237</v>
      </c>
      <c r="I128" s="447" t="e">
        <f t="shared" si="78"/>
        <v>#DIV/0!</v>
      </c>
      <c r="J128" s="447" t="e">
        <f t="shared" si="78"/>
        <v>#DIV/0!</v>
      </c>
      <c r="K128" s="447" t="e">
        <f t="shared" si="78"/>
        <v>#DIV/0!</v>
      </c>
      <c r="L128" s="447" t="e">
        <f t="shared" si="78"/>
        <v>#DIV/0!</v>
      </c>
      <c r="M128" s="447" t="e">
        <f t="shared" si="78"/>
        <v>#DIV/0!</v>
      </c>
      <c r="N128" s="447" t="e">
        <f t="shared" si="78"/>
        <v>#DIV/0!</v>
      </c>
      <c r="O128" s="447" t="e">
        <f t="shared" si="78"/>
        <v>#DIV/0!</v>
      </c>
      <c r="P128" s="447" t="e">
        <f t="shared" si="78"/>
        <v>#DIV/0!</v>
      </c>
      <c r="Q128" s="447" t="e">
        <f t="shared" si="78"/>
        <v>#DIV/0!</v>
      </c>
      <c r="R128" s="447" t="e">
        <f t="shared" ref="R128:R162" si="79">SUM(F128:H128)</f>
        <v>#DIV/0!</v>
      </c>
      <c r="S128" s="447" t="e">
        <f t="shared" ref="S128:S162" si="80">SUM(F128:K128)</f>
        <v>#DIV/0!</v>
      </c>
      <c r="T128" s="447" t="e">
        <f t="shared" ref="T128:T162" si="81">SUM(F128:N128)</f>
        <v>#DIV/0!</v>
      </c>
      <c r="U128" s="447" t="e">
        <f t="shared" ref="U128:U162" si="82">SUM(L128:Q128)</f>
        <v>#DIV/0!</v>
      </c>
      <c r="V128" s="447">
        <f>(V111-$D$111)*V31/60*$E$213</f>
        <v>3791313.1236452237</v>
      </c>
      <c r="W128" s="448" t="s">
        <v>238</v>
      </c>
      <c r="X128" s="448" t="e">
        <f>SUM(F140:H140)</f>
        <v>#DIV/0!</v>
      </c>
      <c r="Y128" s="448" t="e">
        <f>SUM(I140:K140)</f>
        <v>#DIV/0!</v>
      </c>
      <c r="Z128" s="448" t="e">
        <f>SUM(X128:Y128)</f>
        <v>#DIV/0!</v>
      </c>
    </row>
    <row r="129" spans="1:26" s="448" customFormat="1">
      <c r="A129" s="7900"/>
      <c r="B129" s="446" t="s">
        <v>40</v>
      </c>
      <c r="C129" s="736">
        <f>99.67-99.83</f>
        <v>-0.15999999999999659</v>
      </c>
      <c r="D129" s="5688">
        <v>140854483.33194554</v>
      </c>
      <c r="E129" s="4517">
        <f>(E14/D117-E14/E117)*E213</f>
        <v>144116841.1802302</v>
      </c>
      <c r="F129" s="447" t="e">
        <f t="shared" ref="F129:Q129" si="83">((F14+F20)/$D$117-(F14+F20)/F117)*$E$213</f>
        <v>#DIV/0!</v>
      </c>
      <c r="G129" s="447" t="e">
        <f t="shared" si="83"/>
        <v>#DIV/0!</v>
      </c>
      <c r="H129" s="447">
        <f t="shared" si="83"/>
        <v>-5201921.5823093839</v>
      </c>
      <c r="I129" s="447" t="e">
        <f t="shared" si="83"/>
        <v>#DIV/0!</v>
      </c>
      <c r="J129" s="447" t="e">
        <f t="shared" si="83"/>
        <v>#DIV/0!</v>
      </c>
      <c r="K129" s="447" t="e">
        <f t="shared" si="83"/>
        <v>#DIV/0!</v>
      </c>
      <c r="L129" s="447" t="e">
        <f t="shared" si="83"/>
        <v>#DIV/0!</v>
      </c>
      <c r="M129" s="447" t="e">
        <f t="shared" si="83"/>
        <v>#DIV/0!</v>
      </c>
      <c r="N129" s="447" t="e">
        <f t="shared" si="83"/>
        <v>#DIV/0!</v>
      </c>
      <c r="O129" s="447" t="e">
        <f t="shared" si="83"/>
        <v>#DIV/0!</v>
      </c>
      <c r="P129" s="447" t="e">
        <f t="shared" si="83"/>
        <v>#DIV/0!</v>
      </c>
      <c r="Q129" s="447" t="e">
        <f t="shared" si="83"/>
        <v>#DIV/0!</v>
      </c>
      <c r="R129" s="447" t="e">
        <f t="shared" si="79"/>
        <v>#DIV/0!</v>
      </c>
      <c r="S129" s="447" t="e">
        <f t="shared" si="80"/>
        <v>#DIV/0!</v>
      </c>
      <c r="T129" s="447" t="e">
        <f t="shared" si="81"/>
        <v>#DIV/0!</v>
      </c>
      <c r="U129" s="447" t="e">
        <f t="shared" si="82"/>
        <v>#DIV/0!</v>
      </c>
      <c r="V129" s="447">
        <f>((V14+V20)/$D$117-(V14+V20)/V117)*$E$213</f>
        <v>-5201921.5823093839</v>
      </c>
      <c r="W129" s="448" t="s">
        <v>239</v>
      </c>
      <c r="X129" s="448">
        <f>SUM(F147:H147)</f>
        <v>10571059.079801038</v>
      </c>
      <c r="Y129" s="448" t="e">
        <f>SUM(I147:K147)</f>
        <v>#DIV/0!</v>
      </c>
      <c r="Z129" s="448" t="e">
        <f>SUM(X129:Y129)</f>
        <v>#DIV/0!</v>
      </c>
    </row>
    <row r="130" spans="1:26" s="448" customFormat="1">
      <c r="A130" s="7900"/>
      <c r="B130" s="450" t="s">
        <v>56</v>
      </c>
      <c r="C130" s="449"/>
      <c r="D130" s="4516">
        <v>0</v>
      </c>
      <c r="E130" s="447">
        <f>SUM(F130:K130)</f>
        <v>0</v>
      </c>
      <c r="F130" s="451"/>
      <c r="G130" s="451"/>
      <c r="H130" s="451"/>
      <c r="I130" s="451"/>
      <c r="J130" s="451"/>
      <c r="K130" s="451"/>
      <c r="L130" s="451"/>
      <c r="M130" s="451"/>
      <c r="N130" s="451"/>
      <c r="O130" s="451"/>
      <c r="P130" s="451"/>
      <c r="Q130" s="451"/>
      <c r="R130" s="447">
        <f>SUM(F130:O130)</f>
        <v>0</v>
      </c>
      <c r="S130" s="447">
        <f>SUM(F130:O130)</f>
        <v>0</v>
      </c>
      <c r="T130" s="447">
        <f>SUM(F130:O130)</f>
        <v>0</v>
      </c>
      <c r="U130" s="447">
        <f t="shared" si="82"/>
        <v>0</v>
      </c>
      <c r="V130" s="447">
        <f>SUM(F130:Q130)</f>
        <v>0</v>
      </c>
      <c r="W130" s="448" t="s">
        <v>240</v>
      </c>
      <c r="X130" s="448">
        <f>SUM(F155:H155)</f>
        <v>-34534533.601966478</v>
      </c>
      <c r="Y130" s="448" t="e">
        <f>SUM(I155:K155)</f>
        <v>#DIV/0!</v>
      </c>
      <c r="Z130" s="448" t="e">
        <f>SUM(X130:Y130)</f>
        <v>#DIV/0!</v>
      </c>
    </row>
    <row r="131" spans="1:26" s="448" customFormat="1">
      <c r="A131" s="7900"/>
      <c r="B131" s="452" t="s">
        <v>57</v>
      </c>
      <c r="C131" s="453"/>
      <c r="D131" s="5689" t="e">
        <v>#DIV/0!</v>
      </c>
      <c r="E131" s="454">
        <f t="shared" ref="E131:Q131" si="84">SUM(E127:E130)</f>
        <v>342446489.73900431</v>
      </c>
      <c r="F131" s="454" t="e">
        <f t="shared" si="84"/>
        <v>#DIV/0!</v>
      </c>
      <c r="G131" s="454" t="e">
        <f t="shared" si="84"/>
        <v>#DIV/0!</v>
      </c>
      <c r="H131" s="454">
        <f t="shared" si="84"/>
        <v>-23325214.558392961</v>
      </c>
      <c r="I131" s="454" t="e">
        <f t="shared" si="84"/>
        <v>#DIV/0!</v>
      </c>
      <c r="J131" s="454" t="e">
        <f t="shared" si="84"/>
        <v>#DIV/0!</v>
      </c>
      <c r="K131" s="454" t="e">
        <f t="shared" si="84"/>
        <v>#DIV/0!</v>
      </c>
      <c r="L131" s="454" t="e">
        <f t="shared" si="84"/>
        <v>#DIV/0!</v>
      </c>
      <c r="M131" s="454" t="e">
        <f t="shared" si="84"/>
        <v>#DIV/0!</v>
      </c>
      <c r="N131" s="454" t="e">
        <f t="shared" si="84"/>
        <v>#DIV/0!</v>
      </c>
      <c r="O131" s="454" t="e">
        <f t="shared" si="84"/>
        <v>#DIV/0!</v>
      </c>
      <c r="P131" s="454" t="e">
        <f t="shared" si="84"/>
        <v>#DIV/0!</v>
      </c>
      <c r="Q131" s="454" t="e">
        <f t="shared" si="84"/>
        <v>#DIV/0!</v>
      </c>
      <c r="R131" s="454" t="e">
        <f t="shared" si="79"/>
        <v>#DIV/0!</v>
      </c>
      <c r="S131" s="454" t="e">
        <f t="shared" si="80"/>
        <v>#DIV/0!</v>
      </c>
      <c r="T131" s="454" t="e">
        <f t="shared" si="81"/>
        <v>#DIV/0!</v>
      </c>
      <c r="U131" s="454" t="e">
        <f t="shared" si="82"/>
        <v>#DIV/0!</v>
      </c>
      <c r="V131" s="454" t="e">
        <f>SUM(F131:Q131)</f>
        <v>#DIV/0!</v>
      </c>
      <c r="X131" s="448" t="e">
        <f>SUM(X127:X130)</f>
        <v>#DIV/0!</v>
      </c>
      <c r="Y131" s="448" t="e">
        <f>SUM(Y127:Y130)</f>
        <v>#DIV/0!</v>
      </c>
      <c r="Z131" s="448" t="e">
        <f>SUM(X131:Y131)</f>
        <v>#DIV/0!</v>
      </c>
    </row>
    <row r="132" spans="1:26" s="448" customFormat="1">
      <c r="A132" s="7900" t="s">
        <v>42</v>
      </c>
      <c r="B132" s="446" t="s">
        <v>55</v>
      </c>
      <c r="C132" s="449"/>
      <c r="D132" s="4516">
        <v>-9014583.0901721567</v>
      </c>
      <c r="E132" s="4517">
        <f>(E88-D88)*E3*C214</f>
        <v>14100433.496942688</v>
      </c>
      <c r="F132" s="447" t="e">
        <f>(F88-$D$88)*F3*$C$214</f>
        <v>#DIV/0!</v>
      </c>
      <c r="G132" s="447" t="e">
        <f t="shared" ref="G132:Q132" si="85">(G88-$D$88)*G3*$C$214</f>
        <v>#DIV/0!</v>
      </c>
      <c r="H132" s="447">
        <f t="shared" si="85"/>
        <v>2347704.5141952182</v>
      </c>
      <c r="I132" s="447" t="e">
        <f t="shared" si="85"/>
        <v>#DIV/0!</v>
      </c>
      <c r="J132" s="447" t="e">
        <f t="shared" si="85"/>
        <v>#DIV/0!</v>
      </c>
      <c r="K132" s="447" t="e">
        <f t="shared" si="85"/>
        <v>#DIV/0!</v>
      </c>
      <c r="L132" s="447" t="e">
        <f t="shared" si="85"/>
        <v>#DIV/0!</v>
      </c>
      <c r="M132" s="447" t="e">
        <f t="shared" si="85"/>
        <v>#DIV/0!</v>
      </c>
      <c r="N132" s="447" t="e">
        <f t="shared" si="85"/>
        <v>#DIV/0!</v>
      </c>
      <c r="O132" s="447" t="e">
        <f t="shared" si="85"/>
        <v>#DIV/0!</v>
      </c>
      <c r="P132" s="447" t="e">
        <f t="shared" si="85"/>
        <v>#DIV/0!</v>
      </c>
      <c r="Q132" s="447" t="e">
        <f t="shared" si="85"/>
        <v>#DIV/0!</v>
      </c>
      <c r="R132" s="447" t="e">
        <f t="shared" si="79"/>
        <v>#DIV/0!</v>
      </c>
      <c r="S132" s="447" t="e">
        <f t="shared" si="80"/>
        <v>#DIV/0!</v>
      </c>
      <c r="T132" s="447" t="e">
        <f t="shared" si="81"/>
        <v>#DIV/0!</v>
      </c>
      <c r="U132" s="447" t="e">
        <f t="shared" si="82"/>
        <v>#DIV/0!</v>
      </c>
      <c r="V132" s="447">
        <f>(V88-$D$88)*V3*$C$214</f>
        <v>2347704.5141952182</v>
      </c>
    </row>
    <row r="133" spans="1:26" s="448" customFormat="1">
      <c r="A133" s="7901"/>
      <c r="B133" s="2158" t="s">
        <v>1122</v>
      </c>
      <c r="C133" s="2162"/>
      <c r="D133" s="4516">
        <v>5372913.8816551939</v>
      </c>
      <c r="E133" s="4517">
        <f>(E94-D94)*E3*C214</f>
        <v>14704750.899819052</v>
      </c>
      <c r="F133" s="2159" t="e">
        <f>(F94-$D$94)*(F3+종합!M46)*$C$214</f>
        <v>#DIV/0!</v>
      </c>
      <c r="G133" s="2159" t="e">
        <f>(G94-$D$94)*(G3+종합!N46)*$C$214</f>
        <v>#DIV/0!</v>
      </c>
      <c r="H133" s="2159">
        <f>(H94-$D$94)*(H3+종합!O46)*$C$214</f>
        <v>2568203.9162414591</v>
      </c>
      <c r="I133" s="2159" t="e">
        <f>(I94-$D$94)*(I3+종합!P46)*$C$214</f>
        <v>#DIV/0!</v>
      </c>
      <c r="J133" s="2159" t="e">
        <f>(J94-$D$94)*(J3+종합!Q46)*$C$214</f>
        <v>#DIV/0!</v>
      </c>
      <c r="K133" s="2159" t="e">
        <f>(K94-$D$94)*(K3+종합!R46)*$C$214</f>
        <v>#DIV/0!</v>
      </c>
      <c r="L133" s="2159" t="e">
        <f>(L94-$D$94)*(L3+종합!S46)*$C$214</f>
        <v>#DIV/0!</v>
      </c>
      <c r="M133" s="2159" t="e">
        <f>(M94-$D$94)*(M3+종합!T46)*$C$214</f>
        <v>#DIV/0!</v>
      </c>
      <c r="N133" s="2159" t="e">
        <f>(N94-$D$94)*(N3+종합!U46)*$C$214</f>
        <v>#DIV/0!</v>
      </c>
      <c r="O133" s="2159" t="e">
        <f>(O94-$D$94)*(O3+종합!V46)*$C$214</f>
        <v>#DIV/0!</v>
      </c>
      <c r="P133" s="2159" t="e">
        <f>(P94-$D$94)*(P3+종합!W46)*$C$214</f>
        <v>#DIV/0!</v>
      </c>
      <c r="Q133" s="2159" t="e">
        <f>(Q94-$D$94)*(Q3+종합!X46)*$C$214</f>
        <v>#DIV/0!</v>
      </c>
      <c r="R133" s="2159"/>
      <c r="S133" s="2159"/>
      <c r="T133" s="2159"/>
      <c r="U133" s="2159"/>
      <c r="V133" s="2159">
        <f>(V94-$D$94)*(V3+종합!Y46)*$C$214</f>
        <v>2568203.9162414591</v>
      </c>
    </row>
    <row r="134" spans="1:26" s="448" customFormat="1">
      <c r="A134" s="7900"/>
      <c r="B134" s="446" t="s">
        <v>52</v>
      </c>
      <c r="C134" s="449"/>
      <c r="D134" s="4516">
        <v>-33122502.943707231</v>
      </c>
      <c r="E134" s="4517">
        <f>(E112-D112)*E27/60*E214</f>
        <v>74001699.99328503</v>
      </c>
      <c r="F134" s="447" t="e">
        <f t="shared" ref="F134:Q134" si="86">(F112-$D$112)*F32/60*$E$214</f>
        <v>#DIV/0!</v>
      </c>
      <c r="G134" s="447" t="e">
        <f t="shared" si="86"/>
        <v>#DIV/0!</v>
      </c>
      <c r="H134" s="447">
        <f t="shared" si="86"/>
        <v>3579258.208312633</v>
      </c>
      <c r="I134" s="447" t="e">
        <f t="shared" si="86"/>
        <v>#DIV/0!</v>
      </c>
      <c r="J134" s="447" t="e">
        <f t="shared" si="86"/>
        <v>#DIV/0!</v>
      </c>
      <c r="K134" s="447" t="e">
        <f t="shared" si="86"/>
        <v>#DIV/0!</v>
      </c>
      <c r="L134" s="447" t="e">
        <f t="shared" si="86"/>
        <v>#DIV/0!</v>
      </c>
      <c r="M134" s="447" t="e">
        <f t="shared" si="86"/>
        <v>#DIV/0!</v>
      </c>
      <c r="N134" s="447" t="e">
        <f t="shared" si="86"/>
        <v>#DIV/0!</v>
      </c>
      <c r="O134" s="447" t="e">
        <f t="shared" si="86"/>
        <v>#DIV/0!</v>
      </c>
      <c r="P134" s="447" t="e">
        <f t="shared" si="86"/>
        <v>#DIV/0!</v>
      </c>
      <c r="Q134" s="447" t="e">
        <f t="shared" si="86"/>
        <v>#DIV/0!</v>
      </c>
      <c r="R134" s="447" t="e">
        <f t="shared" si="79"/>
        <v>#DIV/0!</v>
      </c>
      <c r="S134" s="447" t="e">
        <f t="shared" si="80"/>
        <v>#DIV/0!</v>
      </c>
      <c r="T134" s="447" t="e">
        <f t="shared" si="81"/>
        <v>#DIV/0!</v>
      </c>
      <c r="U134" s="447" t="e">
        <f t="shared" si="82"/>
        <v>#DIV/0!</v>
      </c>
      <c r="V134" s="447">
        <f>(V112-$D$112)*V32/60*$E$214</f>
        <v>3579258.208312633</v>
      </c>
    </row>
    <row r="135" spans="1:26" s="448" customFormat="1">
      <c r="A135" s="7900"/>
      <c r="B135" s="446" t="s">
        <v>40</v>
      </c>
      <c r="C135" s="449"/>
      <c r="D135" s="4516">
        <v>303282961.60166776</v>
      </c>
      <c r="E135" s="4517">
        <f>(E15/D118-E15/E118)*E214</f>
        <v>108678525.39062555</v>
      </c>
      <c r="F135" s="447" t="e">
        <f t="shared" ref="F135:Q135" si="87">((F15+F21)/$D$118-(F15+F21)/F118)*$E$214</f>
        <v>#DIV/0!</v>
      </c>
      <c r="G135" s="447" t="e">
        <f t="shared" si="87"/>
        <v>#DIV/0!</v>
      </c>
      <c r="H135" s="447">
        <f t="shared" si="87"/>
        <v>-8475108.18149825</v>
      </c>
      <c r="I135" s="447" t="e">
        <f t="shared" si="87"/>
        <v>#DIV/0!</v>
      </c>
      <c r="J135" s="447" t="e">
        <f t="shared" si="87"/>
        <v>#DIV/0!</v>
      </c>
      <c r="K135" s="447" t="e">
        <f t="shared" si="87"/>
        <v>#DIV/0!</v>
      </c>
      <c r="L135" s="447" t="e">
        <f t="shared" si="87"/>
        <v>#DIV/0!</v>
      </c>
      <c r="M135" s="447" t="e">
        <f t="shared" si="87"/>
        <v>#DIV/0!</v>
      </c>
      <c r="N135" s="447" t="e">
        <f t="shared" si="87"/>
        <v>#DIV/0!</v>
      </c>
      <c r="O135" s="447" t="e">
        <f t="shared" si="87"/>
        <v>#DIV/0!</v>
      </c>
      <c r="P135" s="447" t="e">
        <f t="shared" si="87"/>
        <v>#DIV/0!</v>
      </c>
      <c r="Q135" s="447" t="e">
        <f t="shared" si="87"/>
        <v>#DIV/0!</v>
      </c>
      <c r="R135" s="447" t="e">
        <f t="shared" si="79"/>
        <v>#DIV/0!</v>
      </c>
      <c r="S135" s="447" t="e">
        <f t="shared" si="80"/>
        <v>#DIV/0!</v>
      </c>
      <c r="T135" s="447" t="e">
        <f t="shared" si="81"/>
        <v>#DIV/0!</v>
      </c>
      <c r="U135" s="447" t="e">
        <f t="shared" si="82"/>
        <v>#DIV/0!</v>
      </c>
      <c r="V135" s="447">
        <f>((V15+V21)/$D$118-(V15+V21)/V118)*$E$214</f>
        <v>-8475108.18149825</v>
      </c>
    </row>
    <row r="136" spans="1:26" s="448" customFormat="1">
      <c r="A136" s="7900"/>
      <c r="B136" s="446" t="s">
        <v>96</v>
      </c>
      <c r="C136" s="449"/>
      <c r="D136" s="4516" t="e">
        <v>#REF!</v>
      </c>
      <c r="E136" s="4517"/>
      <c r="F136" s="447" t="e">
        <f>스크!#REF!</f>
        <v>#REF!</v>
      </c>
      <c r="G136" s="447" t="e">
        <f>스크!#REF!</f>
        <v>#REF!</v>
      </c>
      <c r="H136" s="447" t="e">
        <f>스크!#REF!</f>
        <v>#REF!</v>
      </c>
      <c r="I136" s="447" t="e">
        <f>스크!#REF!</f>
        <v>#REF!</v>
      </c>
      <c r="J136" s="447" t="e">
        <f>스크!#REF!</f>
        <v>#REF!</v>
      </c>
      <c r="K136" s="447" t="e">
        <f>스크!#REF!</f>
        <v>#REF!</v>
      </c>
      <c r="L136" s="447" t="e">
        <f>스크!#REF!</f>
        <v>#REF!</v>
      </c>
      <c r="M136" s="447" t="e">
        <f>스크!#REF!</f>
        <v>#REF!</v>
      </c>
      <c r="N136" s="447" t="e">
        <f>스크!#REF!</f>
        <v>#REF!</v>
      </c>
      <c r="O136" s="447"/>
      <c r="P136" s="447"/>
      <c r="Q136" s="447"/>
      <c r="R136" s="447" t="e">
        <f t="shared" si="79"/>
        <v>#REF!</v>
      </c>
      <c r="S136" s="447" t="e">
        <f t="shared" si="80"/>
        <v>#REF!</v>
      </c>
      <c r="T136" s="447" t="e">
        <f t="shared" si="81"/>
        <v>#REF!</v>
      </c>
      <c r="U136" s="447" t="e">
        <f t="shared" si="82"/>
        <v>#REF!</v>
      </c>
      <c r="V136" s="447" t="e">
        <f>스크!#REF!</f>
        <v>#REF!</v>
      </c>
      <c r="W136" s="6" t="e">
        <f>30.3*60/#REF!</f>
        <v>#REF!</v>
      </c>
    </row>
    <row r="137" spans="1:26" s="448" customFormat="1">
      <c r="A137" s="7900"/>
      <c r="B137" s="446" t="s">
        <v>58</v>
      </c>
      <c r="C137" s="449"/>
      <c r="D137" s="4516">
        <v>0</v>
      </c>
      <c r="E137" s="4517"/>
      <c r="F137" s="451"/>
      <c r="G137" s="451"/>
      <c r="H137" s="451"/>
      <c r="I137" s="451"/>
      <c r="J137" s="451"/>
      <c r="K137" s="451"/>
      <c r="L137" s="451"/>
      <c r="M137" s="451"/>
      <c r="N137" s="451"/>
      <c r="O137" s="451"/>
      <c r="P137" s="451"/>
      <c r="Q137" s="451"/>
      <c r="R137" s="447">
        <f>SUM(F137:O137)</f>
        <v>0</v>
      </c>
      <c r="S137" s="447">
        <f>SUM(F137:O137)</f>
        <v>0</v>
      </c>
      <c r="T137" s="447">
        <f>SUM(F137:O137)</f>
        <v>0</v>
      </c>
      <c r="U137" s="447">
        <f t="shared" si="82"/>
        <v>0</v>
      </c>
      <c r="V137" s="447">
        <f>SUM(F137:Q137)</f>
        <v>0</v>
      </c>
    </row>
    <row r="138" spans="1:26" s="448" customFormat="1">
      <c r="A138" s="7900"/>
      <c r="B138" s="450" t="s">
        <v>59</v>
      </c>
      <c r="C138" s="449"/>
      <c r="D138" s="4516">
        <v>2135000</v>
      </c>
      <c r="E138" s="4517"/>
      <c r="F138" s="451">
        <v>2135000</v>
      </c>
      <c r="G138" s="455"/>
      <c r="H138" s="451"/>
      <c r="I138" s="451"/>
      <c r="J138" s="451"/>
      <c r="K138" s="451"/>
      <c r="L138" s="451"/>
      <c r="M138" s="451"/>
      <c r="N138" s="451"/>
      <c r="O138" s="451"/>
      <c r="P138" s="451"/>
      <c r="Q138" s="451"/>
      <c r="R138" s="447">
        <f>SUM(F138:P138)</f>
        <v>2135000</v>
      </c>
      <c r="S138" s="447">
        <f>SUM(F138:P138)</f>
        <v>2135000</v>
      </c>
      <c r="T138" s="447">
        <f>SUM(F138:P138)</f>
        <v>2135000</v>
      </c>
      <c r="U138" s="447">
        <f t="shared" si="82"/>
        <v>0</v>
      </c>
      <c r="V138" s="447">
        <f>SUM(F138:Q138)</f>
        <v>2135000</v>
      </c>
    </row>
    <row r="139" spans="1:26" s="448" customFormat="1">
      <c r="A139" s="7900"/>
      <c r="B139" s="452" t="s">
        <v>57</v>
      </c>
      <c r="C139" s="453"/>
      <c r="D139" s="5689" t="e">
        <v>#REF!</v>
      </c>
      <c r="E139" s="6030">
        <f>SUM(E132:E138)</f>
        <v>211485409.78067231</v>
      </c>
      <c r="F139" s="454" t="e">
        <f t="shared" ref="F139:Q139" si="88">SUM(F132:F138)</f>
        <v>#DIV/0!</v>
      </c>
      <c r="G139" s="454" t="e">
        <f t="shared" si="88"/>
        <v>#DIV/0!</v>
      </c>
      <c r="H139" s="454" t="e">
        <f t="shared" si="88"/>
        <v>#REF!</v>
      </c>
      <c r="I139" s="454" t="e">
        <f t="shared" si="88"/>
        <v>#DIV/0!</v>
      </c>
      <c r="J139" s="454" t="e">
        <f t="shared" si="88"/>
        <v>#DIV/0!</v>
      </c>
      <c r="K139" s="454" t="e">
        <f t="shared" si="88"/>
        <v>#DIV/0!</v>
      </c>
      <c r="L139" s="454" t="e">
        <f t="shared" si="88"/>
        <v>#DIV/0!</v>
      </c>
      <c r="M139" s="454" t="e">
        <f t="shared" si="88"/>
        <v>#DIV/0!</v>
      </c>
      <c r="N139" s="454" t="e">
        <f t="shared" si="88"/>
        <v>#DIV/0!</v>
      </c>
      <c r="O139" s="454" t="e">
        <f t="shared" si="88"/>
        <v>#DIV/0!</v>
      </c>
      <c r="P139" s="454" t="e">
        <f t="shared" si="88"/>
        <v>#DIV/0!</v>
      </c>
      <c r="Q139" s="454" t="e">
        <f t="shared" si="88"/>
        <v>#DIV/0!</v>
      </c>
      <c r="R139" s="454" t="e">
        <f t="shared" si="79"/>
        <v>#DIV/0!</v>
      </c>
      <c r="S139" s="454" t="e">
        <f t="shared" si="80"/>
        <v>#DIV/0!</v>
      </c>
      <c r="T139" s="454" t="e">
        <f t="shared" si="81"/>
        <v>#DIV/0!</v>
      </c>
      <c r="U139" s="454" t="e">
        <f t="shared" si="82"/>
        <v>#DIV/0!</v>
      </c>
      <c r="V139" s="454" t="e">
        <f>SUM(F139:Q139)</f>
        <v>#DIV/0!</v>
      </c>
      <c r="W139" s="448">
        <f>45*40*2</f>
        <v>3600</v>
      </c>
    </row>
    <row r="140" spans="1:26" s="448" customFormat="1">
      <c r="A140" s="7900" t="s">
        <v>43</v>
      </c>
      <c r="B140" s="446" t="s">
        <v>55</v>
      </c>
      <c r="C140" s="449"/>
      <c r="D140" s="4516">
        <v>226792328.25960508</v>
      </c>
      <c r="E140" s="4517">
        <f>(E89-D89)*E4*C215</f>
        <v>50990905.945102252</v>
      </c>
      <c r="F140" s="447" t="e">
        <f>(F89-$D$89)*F4*$C$215</f>
        <v>#DIV/0!</v>
      </c>
      <c r="G140" s="447" t="e">
        <f t="shared" ref="G140:Q140" si="89">(G89-$D$89)*G4*$C$215</f>
        <v>#DIV/0!</v>
      </c>
      <c r="H140" s="447">
        <f t="shared" si="89"/>
        <v>-51902140.265917361</v>
      </c>
      <c r="I140" s="447" t="e">
        <f t="shared" si="89"/>
        <v>#DIV/0!</v>
      </c>
      <c r="J140" s="447" t="e">
        <f t="shared" si="89"/>
        <v>#DIV/0!</v>
      </c>
      <c r="K140" s="447" t="e">
        <f t="shared" si="89"/>
        <v>#DIV/0!</v>
      </c>
      <c r="L140" s="447" t="e">
        <f t="shared" si="89"/>
        <v>#DIV/0!</v>
      </c>
      <c r="M140" s="447" t="e">
        <f t="shared" si="89"/>
        <v>#DIV/0!</v>
      </c>
      <c r="N140" s="447" t="e">
        <f t="shared" si="89"/>
        <v>#DIV/0!</v>
      </c>
      <c r="O140" s="447" t="e">
        <f t="shared" si="89"/>
        <v>#DIV/0!</v>
      </c>
      <c r="P140" s="447" t="e">
        <f t="shared" si="89"/>
        <v>#DIV/0!</v>
      </c>
      <c r="Q140" s="447" t="e">
        <f t="shared" si="89"/>
        <v>#DIV/0!</v>
      </c>
      <c r="R140" s="447" t="e">
        <f t="shared" si="79"/>
        <v>#DIV/0!</v>
      </c>
      <c r="S140" s="447" t="e">
        <f t="shared" si="80"/>
        <v>#DIV/0!</v>
      </c>
      <c r="T140" s="447" t="e">
        <f t="shared" si="81"/>
        <v>#DIV/0!</v>
      </c>
      <c r="U140" s="447" t="e">
        <f t="shared" si="82"/>
        <v>#DIV/0!</v>
      </c>
      <c r="V140" s="447">
        <f>(V89-$D$89)*V4*$C$215</f>
        <v>-51902140.265917361</v>
      </c>
    </row>
    <row r="141" spans="1:26" s="448" customFormat="1">
      <c r="A141" s="7901"/>
      <c r="B141" s="2158" t="s">
        <v>1122</v>
      </c>
      <c r="C141" s="2162"/>
      <c r="D141" s="4516">
        <v>236646605.08056876</v>
      </c>
      <c r="E141" s="4517">
        <f>(E95-D95)*E4*C215</f>
        <v>51633985.070999026</v>
      </c>
      <c r="F141" s="2159" t="e">
        <f>(F95-$D$95)*(F4+종합!M47)*$C$215</f>
        <v>#DIV/0!</v>
      </c>
      <c r="G141" s="2159" t="e">
        <f>(G95-$D$95)*(G4+종합!N47)*$C$215</f>
        <v>#DIV/0!</v>
      </c>
      <c r="H141" s="2159">
        <f>(H95-$D$95)*(H4+종합!O47)*$C$215</f>
        <v>-57281830.598984055</v>
      </c>
      <c r="I141" s="2159" t="e">
        <f>(I95-$D$95)*(I4+종합!P47)*$C$215</f>
        <v>#DIV/0!</v>
      </c>
      <c r="J141" s="2159" t="e">
        <f>(J95-$D$95)*(J4+종합!Q47)*$C$215</f>
        <v>#DIV/0!</v>
      </c>
      <c r="K141" s="2159" t="e">
        <f>(K95-$D$95)*(K4+종합!R47)*$C$215</f>
        <v>#DIV/0!</v>
      </c>
      <c r="L141" s="2159" t="e">
        <f>(L95-$D$95)*(L4+종합!S47)*$C$215</f>
        <v>#DIV/0!</v>
      </c>
      <c r="M141" s="2159" t="e">
        <f>(M95-$D$95)*(M4+종합!T47)*$C$215</f>
        <v>#DIV/0!</v>
      </c>
      <c r="N141" s="2159" t="e">
        <f>(N95-$D$95)*(N4+종합!U47)*$C$215</f>
        <v>#DIV/0!</v>
      </c>
      <c r="O141" s="2159" t="e">
        <f>(O95-$D$95)*(O4+종합!V47)*$C$215</f>
        <v>#DIV/0!</v>
      </c>
      <c r="P141" s="2159" t="e">
        <f>(P95-$D$95)*(P4+종합!W47)*$C$215</f>
        <v>#DIV/0!</v>
      </c>
      <c r="Q141" s="2159" t="e">
        <f>(Q95-$D$95)*(Q4+종합!X47)*$C$215</f>
        <v>#DIV/0!</v>
      </c>
      <c r="R141" s="2159"/>
      <c r="S141" s="2159"/>
      <c r="T141" s="2159"/>
      <c r="U141" s="2159"/>
      <c r="V141" s="2159">
        <f>(V95-$D$95)*(V4+종합!Y47)*$C$215</f>
        <v>-57281830.598984055</v>
      </c>
    </row>
    <row r="142" spans="1:26" s="448" customFormat="1">
      <c r="A142" s="7900"/>
      <c r="B142" s="446" t="s">
        <v>52</v>
      </c>
      <c r="C142" s="449"/>
      <c r="D142" s="4516">
        <v>183932069.87600237</v>
      </c>
      <c r="E142" s="4517">
        <f>(E113-D113)*E28/60*E215</f>
        <v>12066642.383439027</v>
      </c>
      <c r="F142" s="447" t="e">
        <f t="shared" ref="F142:Q142" si="90">(F113-$D$113)*F33/60*$E$215</f>
        <v>#DIV/0!</v>
      </c>
      <c r="G142" s="447" t="e">
        <f t="shared" si="90"/>
        <v>#DIV/0!</v>
      </c>
      <c r="H142" s="447">
        <f t="shared" si="90"/>
        <v>-11762038.893927852</v>
      </c>
      <c r="I142" s="447" t="e">
        <f t="shared" si="90"/>
        <v>#DIV/0!</v>
      </c>
      <c r="J142" s="447" t="e">
        <f t="shared" si="90"/>
        <v>#DIV/0!</v>
      </c>
      <c r="K142" s="447" t="e">
        <f t="shared" si="90"/>
        <v>#DIV/0!</v>
      </c>
      <c r="L142" s="447" t="e">
        <f t="shared" si="90"/>
        <v>#DIV/0!</v>
      </c>
      <c r="M142" s="447" t="e">
        <f t="shared" si="90"/>
        <v>#DIV/0!</v>
      </c>
      <c r="N142" s="447" t="e">
        <f t="shared" si="90"/>
        <v>#DIV/0!</v>
      </c>
      <c r="O142" s="447" t="e">
        <f t="shared" si="90"/>
        <v>#DIV/0!</v>
      </c>
      <c r="P142" s="447" t="e">
        <f t="shared" si="90"/>
        <v>#DIV/0!</v>
      </c>
      <c r="Q142" s="447" t="e">
        <f t="shared" si="90"/>
        <v>#DIV/0!</v>
      </c>
      <c r="R142" s="447" t="e">
        <f t="shared" si="79"/>
        <v>#DIV/0!</v>
      </c>
      <c r="S142" s="447" t="e">
        <f t="shared" si="80"/>
        <v>#DIV/0!</v>
      </c>
      <c r="T142" s="447" t="e">
        <f t="shared" si="81"/>
        <v>#DIV/0!</v>
      </c>
      <c r="U142" s="447" t="e">
        <f t="shared" si="82"/>
        <v>#DIV/0!</v>
      </c>
      <c r="V142" s="447">
        <f>(V113-$D$113)*V33/60*$E$215</f>
        <v>-11762038.893927852</v>
      </c>
    </row>
    <row r="143" spans="1:26" s="448" customFormat="1">
      <c r="A143" s="7900"/>
      <c r="B143" s="446" t="s">
        <v>40</v>
      </c>
      <c r="C143" s="449"/>
      <c r="D143" s="4516">
        <v>165533726.88996443</v>
      </c>
      <c r="E143" s="4517">
        <f>(E16/D119-E16/E119)*E215</f>
        <v>204033928.47362828</v>
      </c>
      <c r="F143" s="4518" t="e">
        <f t="shared" ref="F143:Q143" si="91">((F16+F22)/$D$119-(F16+F22)/F119)*$E$215</f>
        <v>#DIV/0!</v>
      </c>
      <c r="G143" s="4518" t="e">
        <f t="shared" si="91"/>
        <v>#DIV/0!</v>
      </c>
      <c r="H143" s="4518">
        <f t="shared" si="91"/>
        <v>-83159660.926554248</v>
      </c>
      <c r="I143" s="4518" t="e">
        <f t="shared" si="91"/>
        <v>#DIV/0!</v>
      </c>
      <c r="J143" s="4518" t="e">
        <f t="shared" si="91"/>
        <v>#DIV/0!</v>
      </c>
      <c r="K143" s="4518" t="e">
        <f t="shared" si="91"/>
        <v>#DIV/0!</v>
      </c>
      <c r="L143" s="4518" t="e">
        <f t="shared" si="91"/>
        <v>#DIV/0!</v>
      </c>
      <c r="M143" s="4518" t="e">
        <f t="shared" si="91"/>
        <v>#DIV/0!</v>
      </c>
      <c r="N143" s="4518" t="e">
        <f t="shared" si="91"/>
        <v>#DIV/0!</v>
      </c>
      <c r="O143" s="4518" t="e">
        <f t="shared" si="91"/>
        <v>#DIV/0!</v>
      </c>
      <c r="P143" s="4518" t="e">
        <f t="shared" si="91"/>
        <v>#DIV/0!</v>
      </c>
      <c r="Q143" s="4518" t="e">
        <f t="shared" si="91"/>
        <v>#DIV/0!</v>
      </c>
      <c r="R143" s="447" t="e">
        <f t="shared" si="79"/>
        <v>#DIV/0!</v>
      </c>
      <c r="S143" s="447" t="e">
        <f t="shared" si="80"/>
        <v>#DIV/0!</v>
      </c>
      <c r="T143" s="447" t="e">
        <f t="shared" si="81"/>
        <v>#DIV/0!</v>
      </c>
      <c r="U143" s="447" t="e">
        <f t="shared" si="82"/>
        <v>#DIV/0!</v>
      </c>
      <c r="V143" s="447">
        <f>((V16+V22)/$D$119-(V16+V22)/V119)*$E$215</f>
        <v>-83159660.926554248</v>
      </c>
    </row>
    <row r="144" spans="1:26" s="448" customFormat="1">
      <c r="A144" s="7902"/>
      <c r="B144" s="4515" t="s">
        <v>1678</v>
      </c>
      <c r="C144" s="4516"/>
      <c r="D144" s="4516">
        <v>296920365.18836284</v>
      </c>
      <c r="E144" s="4517">
        <v>372059743.93755233</v>
      </c>
      <c r="F144" s="4958" t="e">
        <f t="shared" ref="F144:Q144" si="92">((F16+F22)/$D$120-(F16+F22)/F120)*$E$215</f>
        <v>#DIV/0!</v>
      </c>
      <c r="G144" s="4958" t="e">
        <f t="shared" si="92"/>
        <v>#DIV/0!</v>
      </c>
      <c r="H144" s="4958">
        <f t="shared" si="92"/>
        <v>-77162836.439071819</v>
      </c>
      <c r="I144" s="4958" t="e">
        <f t="shared" si="92"/>
        <v>#DIV/0!</v>
      </c>
      <c r="J144" s="4958" t="e">
        <f t="shared" si="92"/>
        <v>#DIV/0!</v>
      </c>
      <c r="K144" s="4958" t="e">
        <f t="shared" si="92"/>
        <v>#DIV/0!</v>
      </c>
      <c r="L144" s="4958" t="e">
        <f t="shared" si="92"/>
        <v>#DIV/0!</v>
      </c>
      <c r="M144" s="4958" t="e">
        <f t="shared" si="92"/>
        <v>#DIV/0!</v>
      </c>
      <c r="N144" s="4958" t="e">
        <f t="shared" si="92"/>
        <v>#DIV/0!</v>
      </c>
      <c r="O144" s="4958" t="e">
        <f t="shared" si="92"/>
        <v>#DIV/0!</v>
      </c>
      <c r="P144" s="4958" t="e">
        <f t="shared" si="92"/>
        <v>#DIV/0!</v>
      </c>
      <c r="Q144" s="4958" t="e">
        <f t="shared" si="92"/>
        <v>#DIV/0!</v>
      </c>
      <c r="R144" s="447" t="e">
        <f t="shared" si="79"/>
        <v>#DIV/0!</v>
      </c>
      <c r="S144" s="447" t="e">
        <f t="shared" si="80"/>
        <v>#DIV/0!</v>
      </c>
      <c r="T144" s="447" t="e">
        <f t="shared" si="81"/>
        <v>#DIV/0!</v>
      </c>
      <c r="U144" s="447" t="e">
        <f t="shared" si="82"/>
        <v>#DIV/0!</v>
      </c>
      <c r="V144" s="4517">
        <f>((V16+V22)/$D$120-(V16+V22)/V120)*$E$215</f>
        <v>-77162836.439071819</v>
      </c>
    </row>
    <row r="145" spans="1:24" s="448" customFormat="1">
      <c r="A145" s="7900"/>
      <c r="B145" s="446" t="s">
        <v>58</v>
      </c>
      <c r="C145" s="449"/>
      <c r="D145" s="4516">
        <v>0</v>
      </c>
      <c r="E145" s="4517"/>
      <c r="F145" s="451"/>
      <c r="G145" s="451"/>
      <c r="H145" s="451"/>
      <c r="I145" s="451"/>
      <c r="J145" s="451"/>
      <c r="K145" s="451"/>
      <c r="L145" s="451"/>
      <c r="M145" s="451"/>
      <c r="N145" s="451"/>
      <c r="O145" s="451"/>
      <c r="P145" s="451"/>
      <c r="Q145" s="451"/>
      <c r="R145" s="447">
        <f t="shared" si="79"/>
        <v>0</v>
      </c>
      <c r="S145" s="447">
        <f t="shared" si="80"/>
        <v>0</v>
      </c>
      <c r="T145" s="447">
        <f t="shared" si="81"/>
        <v>0</v>
      </c>
      <c r="U145" s="447">
        <f t="shared" si="82"/>
        <v>0</v>
      </c>
      <c r="V145" s="447">
        <f>SUM(F145:Q145)</f>
        <v>0</v>
      </c>
      <c r="X145" s="448">
        <v>253898029.2906</v>
      </c>
    </row>
    <row r="146" spans="1:24" s="448" customFormat="1">
      <c r="A146" s="7900"/>
      <c r="B146" s="452" t="s">
        <v>57</v>
      </c>
      <c r="C146" s="453"/>
      <c r="D146" s="5689" t="e">
        <v>#DIV/0!</v>
      </c>
      <c r="E146" s="6030">
        <f>E145+E143+E142+E140</f>
        <v>267091476.80216956</v>
      </c>
      <c r="F146" s="454" t="e">
        <f t="shared" ref="F146:Q146" si="93">F145+F143+F142+F140</f>
        <v>#DIV/0!</v>
      </c>
      <c r="G146" s="454" t="e">
        <f t="shared" si="93"/>
        <v>#DIV/0!</v>
      </c>
      <c r="H146" s="454">
        <f t="shared" si="93"/>
        <v>-146823840.08639947</v>
      </c>
      <c r="I146" s="454" t="e">
        <f t="shared" si="93"/>
        <v>#DIV/0!</v>
      </c>
      <c r="J146" s="454" t="e">
        <f t="shared" si="93"/>
        <v>#DIV/0!</v>
      </c>
      <c r="K146" s="454" t="e">
        <f t="shared" si="93"/>
        <v>#DIV/0!</v>
      </c>
      <c r="L146" s="454" t="e">
        <f t="shared" si="93"/>
        <v>#DIV/0!</v>
      </c>
      <c r="M146" s="454" t="e">
        <f t="shared" si="93"/>
        <v>#DIV/0!</v>
      </c>
      <c r="N146" s="454" t="e">
        <f t="shared" si="93"/>
        <v>#DIV/0!</v>
      </c>
      <c r="O146" s="454" t="e">
        <f t="shared" si="93"/>
        <v>#DIV/0!</v>
      </c>
      <c r="P146" s="454" t="e">
        <f t="shared" si="93"/>
        <v>#DIV/0!</v>
      </c>
      <c r="Q146" s="454" t="e">
        <f t="shared" si="93"/>
        <v>#DIV/0!</v>
      </c>
      <c r="R146" s="454" t="e">
        <f t="shared" si="79"/>
        <v>#DIV/0!</v>
      </c>
      <c r="S146" s="454" t="e">
        <f t="shared" si="80"/>
        <v>#DIV/0!</v>
      </c>
      <c r="T146" s="454" t="e">
        <f t="shared" si="81"/>
        <v>#DIV/0!</v>
      </c>
      <c r="U146" s="454" t="e">
        <f t="shared" si="82"/>
        <v>#DIV/0!</v>
      </c>
      <c r="V146" s="454" t="e">
        <f>SUM(F146:Q146)</f>
        <v>#DIV/0!</v>
      </c>
      <c r="X146" s="448">
        <v>2.5389802929059999</v>
      </c>
    </row>
    <row r="147" spans="1:24" s="448" customFormat="1">
      <c r="A147" s="7900" t="s">
        <v>45</v>
      </c>
      <c r="B147" s="446" t="s">
        <v>55</v>
      </c>
      <c r="C147" s="449"/>
      <c r="D147" s="4516">
        <v>82788649.258731917</v>
      </c>
      <c r="E147" s="4517">
        <f>(E90-D90)*E5*C216</f>
        <v>53706074.496399358</v>
      </c>
      <c r="F147" s="447">
        <f>(F90-$D$90)*F5*$C$216</f>
        <v>-8899326.7814737801</v>
      </c>
      <c r="G147" s="447">
        <f t="shared" ref="G147:Q147" si="94">(G90-$C$90)*G5*$C$216</f>
        <v>9970628.7196769398</v>
      </c>
      <c r="H147" s="447">
        <f t="shared" si="94"/>
        <v>9499757.1415978782</v>
      </c>
      <c r="I147" s="447" t="e">
        <f t="shared" si="94"/>
        <v>#DIV/0!</v>
      </c>
      <c r="J147" s="447" t="e">
        <f t="shared" si="94"/>
        <v>#DIV/0!</v>
      </c>
      <c r="K147" s="447" t="e">
        <f t="shared" si="94"/>
        <v>#DIV/0!</v>
      </c>
      <c r="L147" s="447" t="e">
        <f t="shared" si="94"/>
        <v>#DIV/0!</v>
      </c>
      <c r="M147" s="447" t="e">
        <f t="shared" si="94"/>
        <v>#DIV/0!</v>
      </c>
      <c r="N147" s="447" t="e">
        <f t="shared" si="94"/>
        <v>#DIV/0!</v>
      </c>
      <c r="O147" s="447" t="e">
        <f t="shared" si="94"/>
        <v>#DIV/0!</v>
      </c>
      <c r="P147" s="447" t="e">
        <f t="shared" si="94"/>
        <v>#DIV/0!</v>
      </c>
      <c r="Q147" s="447" t="e">
        <f t="shared" si="94"/>
        <v>#DIV/0!</v>
      </c>
      <c r="R147" s="447">
        <f t="shared" si="79"/>
        <v>10571059.079801038</v>
      </c>
      <c r="S147" s="447" t="e">
        <f t="shared" si="80"/>
        <v>#DIV/0!</v>
      </c>
      <c r="T147" s="447" t="e">
        <f>SUM(F147:P147)</f>
        <v>#DIV/0!</v>
      </c>
      <c r="U147" s="447" t="e">
        <f t="shared" si="82"/>
        <v>#DIV/0!</v>
      </c>
      <c r="V147" s="447">
        <f>(V90-$D$90)*V5*$C$216</f>
        <v>-2990363.4749560654</v>
      </c>
    </row>
    <row r="148" spans="1:24" s="448" customFormat="1">
      <c r="A148" s="7901"/>
      <c r="B148" s="2158" t="s">
        <v>1122</v>
      </c>
      <c r="C148" s="2162"/>
      <c r="D148" s="4516">
        <v>31644170.641114663</v>
      </c>
      <c r="E148" s="4517">
        <f>(E96-D96)*E5*C216</f>
        <v>78155250.444174364</v>
      </c>
      <c r="F148" s="2159">
        <f>(F96-$D$96)*(F5+종합!M49+종합!AS49)*$C$216</f>
        <v>-5407945.4742914056</v>
      </c>
      <c r="G148" s="2159">
        <f>(G96-$C$96)*(G5+종합!N49+종합!AT49)*$C$216</f>
        <v>9834396.6463182941</v>
      </c>
      <c r="H148" s="2159">
        <f>(H96-$C$96)*(H5+종합!O49+종합!AU49)*$C$216</f>
        <v>2081844.2293106744</v>
      </c>
      <c r="I148" s="2159" t="e">
        <f>(I96-$C$96)*(I5+종합!P49+종합!AV49)*$C$216</f>
        <v>#DIV/0!</v>
      </c>
      <c r="J148" s="2159" t="e">
        <f>(J96-$C$96)*(J5+종합!Q49+종합!AW49)*$C$216</f>
        <v>#DIV/0!</v>
      </c>
      <c r="K148" s="2159" t="e">
        <f>(K96-$C$96)*(K5+종합!R49+종합!AX49)*$C$216</f>
        <v>#DIV/0!</v>
      </c>
      <c r="L148" s="2159" t="e">
        <f>(L96-$C$96)*(L5+종합!S49+종합!AY49)*$C$216</f>
        <v>#DIV/0!</v>
      </c>
      <c r="M148" s="2159" t="e">
        <f>(M96-$C$96)*(M5+종합!T49+종합!AZ49)*$C$216</f>
        <v>#DIV/0!</v>
      </c>
      <c r="N148" s="2159" t="e">
        <f>(N96-$C$96)*(N5+종합!U49+종합!BA49)*$C$216</f>
        <v>#DIV/0!</v>
      </c>
      <c r="O148" s="2159" t="e">
        <f>(O96-$C$96)*(O5+종합!V49+종합!BB49)*$C$216</f>
        <v>#DIV/0!</v>
      </c>
      <c r="P148" s="2159" t="e">
        <f>(P96-$C$96)*(P5+종합!W49+종합!BC49)*$C$216</f>
        <v>#DIV/0!</v>
      </c>
      <c r="Q148" s="2159" t="e">
        <f>(Q96-$C$96)*(Q5+종합!X49+종합!BD49)*$C$216</f>
        <v>#DIV/0!</v>
      </c>
      <c r="R148" s="2159"/>
      <c r="S148" s="2159"/>
      <c r="T148" s="2159"/>
      <c r="U148" s="2159"/>
      <c r="V148" s="2159">
        <f>(V96-$D$96)*(V5+종합!Y49+종합!BE49)*$C$216</f>
        <v>1324970.2358403138</v>
      </c>
    </row>
    <row r="149" spans="1:24" s="448" customFormat="1">
      <c r="A149" s="7900"/>
      <c r="B149" s="446" t="s">
        <v>52</v>
      </c>
      <c r="C149" s="449"/>
      <c r="D149" s="4516">
        <v>67172441.440013051</v>
      </c>
      <c r="E149" s="4517">
        <f>(E114-D114)*E29/60*E216</f>
        <v>235701957.43649754</v>
      </c>
      <c r="F149" s="447">
        <f>(F114-$D$114)*F34/60*$E$216</f>
        <v>-24536363.070506293</v>
      </c>
      <c r="G149" s="447">
        <f t="shared" ref="G149:Q149" si="95">(G114-$C$114)*G34/60*$E$216</f>
        <v>52672.469540865641</v>
      </c>
      <c r="H149" s="447">
        <f t="shared" si="95"/>
        <v>-25965960.000447694</v>
      </c>
      <c r="I149" s="447" t="e">
        <f t="shared" si="95"/>
        <v>#DIV/0!</v>
      </c>
      <c r="J149" s="447" t="e">
        <f t="shared" si="95"/>
        <v>#DIV/0!</v>
      </c>
      <c r="K149" s="447" t="e">
        <f t="shared" si="95"/>
        <v>#DIV/0!</v>
      </c>
      <c r="L149" s="447" t="e">
        <f t="shared" si="95"/>
        <v>#DIV/0!</v>
      </c>
      <c r="M149" s="447" t="e">
        <f t="shared" si="95"/>
        <v>#DIV/0!</v>
      </c>
      <c r="N149" s="447" t="e">
        <f t="shared" si="95"/>
        <v>#DIV/0!</v>
      </c>
      <c r="O149" s="447" t="e">
        <f t="shared" si="95"/>
        <v>#DIV/0!</v>
      </c>
      <c r="P149" s="447" t="e">
        <f t="shared" si="95"/>
        <v>#DIV/0!</v>
      </c>
      <c r="Q149" s="447" t="e">
        <f t="shared" si="95"/>
        <v>#DIV/0!</v>
      </c>
      <c r="R149" s="447">
        <f t="shared" si="79"/>
        <v>-50449650.601413123</v>
      </c>
      <c r="S149" s="447" t="e">
        <f t="shared" si="80"/>
        <v>#DIV/0!</v>
      </c>
      <c r="T149" s="447" t="e">
        <f t="shared" si="81"/>
        <v>#DIV/0!</v>
      </c>
      <c r="U149" s="447" t="e">
        <f t="shared" si="82"/>
        <v>#DIV/0!</v>
      </c>
      <c r="V149" s="447">
        <f>(V114-$D$114)*V34/60*$E$216</f>
        <v>-66350251.588332407</v>
      </c>
    </row>
    <row r="150" spans="1:24" s="448" customFormat="1">
      <c r="A150" s="7900"/>
      <c r="B150" s="446" t="s">
        <v>40</v>
      </c>
      <c r="C150" s="449"/>
      <c r="D150" s="4516">
        <v>-189925272.7453199</v>
      </c>
      <c r="E150" s="4517">
        <f>(E17/D121-E17/E121)*E216</f>
        <v>638528786.98715091</v>
      </c>
      <c r="F150" s="447">
        <f>((F17+F23)/$D$121-(F17+F23)/F121)*$E$216</f>
        <v>-54769923.419098482</v>
      </c>
      <c r="G150" s="447">
        <f t="shared" ref="G150:Q150" si="96">((G17+G23)/$C$121-(G17+G23)/G121)*$E$216</f>
        <v>-65553952.883274369</v>
      </c>
      <c r="H150" s="447">
        <f t="shared" si="96"/>
        <v>-60056043.465342842</v>
      </c>
      <c r="I150" s="447" t="e">
        <f t="shared" si="96"/>
        <v>#DIV/0!</v>
      </c>
      <c r="J150" s="447" t="e">
        <f t="shared" si="96"/>
        <v>#DIV/0!</v>
      </c>
      <c r="K150" s="447" t="e">
        <f t="shared" si="96"/>
        <v>#DIV/0!</v>
      </c>
      <c r="L150" s="447" t="e">
        <f t="shared" si="96"/>
        <v>#DIV/0!</v>
      </c>
      <c r="M150" s="447" t="e">
        <f t="shared" si="96"/>
        <v>#DIV/0!</v>
      </c>
      <c r="N150" s="447" t="e">
        <f t="shared" si="96"/>
        <v>#DIV/0!</v>
      </c>
      <c r="O150" s="447" t="e">
        <f t="shared" si="96"/>
        <v>#DIV/0!</v>
      </c>
      <c r="P150" s="447" t="e">
        <f t="shared" si="96"/>
        <v>#DIV/0!</v>
      </c>
      <c r="Q150" s="447" t="e">
        <f t="shared" si="96"/>
        <v>#DIV/0!</v>
      </c>
      <c r="R150" s="447">
        <f t="shared" si="79"/>
        <v>-180379919.76771569</v>
      </c>
      <c r="S150" s="447" t="e">
        <f t="shared" si="80"/>
        <v>#DIV/0!</v>
      </c>
      <c r="T150" s="447" t="e">
        <f t="shared" si="81"/>
        <v>#DIV/0!</v>
      </c>
      <c r="U150" s="447" t="e">
        <f t="shared" si="82"/>
        <v>#DIV/0!</v>
      </c>
      <c r="V150" s="447">
        <f>((V17+V23)/$D$121-(V17+V23)/V121)*$E$216</f>
        <v>-138871038.72233665</v>
      </c>
    </row>
    <row r="151" spans="1:24" s="448" customFormat="1">
      <c r="A151" s="7902"/>
      <c r="B151" s="4515" t="s">
        <v>1735</v>
      </c>
      <c r="C151" s="4516"/>
      <c r="D151" s="4516">
        <v>315537591.58814543</v>
      </c>
      <c r="E151" s="4517">
        <f>(E17/D122-E17/E122)*E216</f>
        <v>638528786.98715091</v>
      </c>
      <c r="F151" s="447">
        <f>((F17+F23)/$D$122-(F17+F23)/F122)*$E$216</f>
        <v>7027378.3017139789</v>
      </c>
      <c r="G151" s="447">
        <f t="shared" ref="G151:Q151" si="97">((G17+G23)/$C$122-(G17+G23)/G122)*$E$216</f>
        <v>-30281972.040986586</v>
      </c>
      <c r="H151" s="447">
        <f t="shared" si="97"/>
        <v>-88997461.644212261</v>
      </c>
      <c r="I151" s="447" t="e">
        <f t="shared" si="97"/>
        <v>#DIV/0!</v>
      </c>
      <c r="J151" s="447" t="e">
        <f t="shared" si="97"/>
        <v>#DIV/0!</v>
      </c>
      <c r="K151" s="447" t="e">
        <f t="shared" si="97"/>
        <v>#DIV/0!</v>
      </c>
      <c r="L151" s="447" t="e">
        <f t="shared" si="97"/>
        <v>#DIV/0!</v>
      </c>
      <c r="M151" s="447" t="e">
        <f t="shared" si="97"/>
        <v>#DIV/0!</v>
      </c>
      <c r="N151" s="447" t="e">
        <f t="shared" si="97"/>
        <v>#DIV/0!</v>
      </c>
      <c r="O151" s="447" t="e">
        <f t="shared" si="97"/>
        <v>#DIV/0!</v>
      </c>
      <c r="P151" s="447" t="e">
        <f t="shared" si="97"/>
        <v>#DIV/0!</v>
      </c>
      <c r="Q151" s="447" t="e">
        <f t="shared" si="97"/>
        <v>#DIV/0!</v>
      </c>
      <c r="R151" s="447">
        <f>SUM(F151:H151)</f>
        <v>-112252055.38348487</v>
      </c>
      <c r="S151" s="447" t="e">
        <f>SUM(F151:K151)</f>
        <v>#DIV/0!</v>
      </c>
      <c r="T151" s="447" t="e">
        <f>SUM(F151:N151)</f>
        <v>#DIV/0!</v>
      </c>
      <c r="U151" s="447" t="e">
        <f>SUM(L151:Q151)</f>
        <v>#DIV/0!</v>
      </c>
      <c r="V151" s="4517">
        <f>((V17+V23)/$D$122-(V17+V23)/V122)*$E$216</f>
        <v>-67568609.898838863</v>
      </c>
    </row>
    <row r="152" spans="1:24" s="448" customFormat="1">
      <c r="A152" s="7900"/>
      <c r="B152" s="446" t="s">
        <v>58</v>
      </c>
      <c r="C152" s="449"/>
      <c r="D152" s="4516">
        <v>0</v>
      </c>
      <c r="E152" s="4517"/>
      <c r="F152" s="451"/>
      <c r="G152" s="451"/>
      <c r="H152" s="451"/>
      <c r="I152" s="451"/>
      <c r="J152" s="451"/>
      <c r="K152" s="451"/>
      <c r="L152" s="451"/>
      <c r="M152" s="451"/>
      <c r="N152" s="451"/>
      <c r="O152" s="451"/>
      <c r="P152" s="451"/>
      <c r="Q152" s="451"/>
      <c r="R152" s="447">
        <f>SUM(F152:I152)</f>
        <v>0</v>
      </c>
      <c r="S152" s="447">
        <f t="shared" si="80"/>
        <v>0</v>
      </c>
      <c r="T152" s="447">
        <f t="shared" si="81"/>
        <v>0</v>
      </c>
      <c r="U152" s="447">
        <f t="shared" si="82"/>
        <v>0</v>
      </c>
      <c r="V152" s="447">
        <f>SUM(F152:Q152)</f>
        <v>0</v>
      </c>
      <c r="W152" s="4183" t="s">
        <v>1607</v>
      </c>
    </row>
    <row r="153" spans="1:24" s="448" customFormat="1">
      <c r="A153" s="7900"/>
      <c r="B153" s="450" t="s">
        <v>61</v>
      </c>
      <c r="C153" s="449"/>
      <c r="D153" s="4516">
        <v>0</v>
      </c>
      <c r="E153" s="4517"/>
      <c r="F153" s="451"/>
      <c r="G153" s="451"/>
      <c r="H153" s="451"/>
      <c r="I153" s="451"/>
      <c r="J153" s="451"/>
      <c r="K153" s="451"/>
      <c r="L153" s="451"/>
      <c r="M153" s="451"/>
      <c r="N153" s="451"/>
      <c r="O153" s="451"/>
      <c r="P153" s="451"/>
      <c r="Q153" s="451"/>
      <c r="R153" s="447">
        <f>SUM(F153:M153)</f>
        <v>0</v>
      </c>
      <c r="S153" s="447">
        <f>SUM(F153:M153)</f>
        <v>0</v>
      </c>
      <c r="T153" s="447">
        <f t="shared" si="81"/>
        <v>0</v>
      </c>
      <c r="U153" s="447">
        <f t="shared" si="82"/>
        <v>0</v>
      </c>
      <c r="V153" s="447">
        <f>SUM(F153:Q153)</f>
        <v>0</v>
      </c>
    </row>
    <row r="154" spans="1:24" s="448" customFormat="1">
      <c r="A154" s="7900"/>
      <c r="B154" s="452" t="s">
        <v>57</v>
      </c>
      <c r="C154" s="453"/>
      <c r="D154" s="5689">
        <v>317723751.24377102</v>
      </c>
      <c r="E154" s="6030">
        <f>SUM(E147:E153)</f>
        <v>1644620856.3513732</v>
      </c>
      <c r="F154" s="454">
        <f t="shared" ref="F154:Q154" si="98">SUM(F147:F153)</f>
        <v>-86586180.443655983</v>
      </c>
      <c r="G154" s="454">
        <f t="shared" si="98"/>
        <v>-75978227.088724852</v>
      </c>
      <c r="H154" s="454">
        <f t="shared" si="98"/>
        <v>-163437863.73909426</v>
      </c>
      <c r="I154" s="454" t="e">
        <f t="shared" si="98"/>
        <v>#DIV/0!</v>
      </c>
      <c r="J154" s="454" t="e">
        <f t="shared" si="98"/>
        <v>#DIV/0!</v>
      </c>
      <c r="K154" s="454" t="e">
        <f t="shared" si="98"/>
        <v>#DIV/0!</v>
      </c>
      <c r="L154" s="454" t="e">
        <f t="shared" si="98"/>
        <v>#DIV/0!</v>
      </c>
      <c r="M154" s="454" t="e">
        <f t="shared" si="98"/>
        <v>#DIV/0!</v>
      </c>
      <c r="N154" s="454" t="e">
        <f t="shared" si="98"/>
        <v>#DIV/0!</v>
      </c>
      <c r="O154" s="454" t="e">
        <f t="shared" si="98"/>
        <v>#DIV/0!</v>
      </c>
      <c r="P154" s="454" t="e">
        <f t="shared" si="98"/>
        <v>#DIV/0!</v>
      </c>
      <c r="Q154" s="454" t="e">
        <f t="shared" si="98"/>
        <v>#DIV/0!</v>
      </c>
      <c r="R154" s="454">
        <f t="shared" si="79"/>
        <v>-326002271.27147508</v>
      </c>
      <c r="S154" s="454" t="e">
        <f t="shared" si="80"/>
        <v>#DIV/0!</v>
      </c>
      <c r="T154" s="454" t="e">
        <f t="shared" si="81"/>
        <v>#DIV/0!</v>
      </c>
      <c r="U154" s="454" t="e">
        <f t="shared" si="82"/>
        <v>#DIV/0!</v>
      </c>
      <c r="V154" s="454" t="e">
        <f>SUM(F154:Q154)</f>
        <v>#DIV/0!</v>
      </c>
    </row>
    <row r="155" spans="1:24" s="448" customFormat="1">
      <c r="A155" s="7900" t="s">
        <v>62</v>
      </c>
      <c r="B155" s="446" t="s">
        <v>55</v>
      </c>
      <c r="C155" s="449"/>
      <c r="D155" s="4516">
        <v>90568145.240533367</v>
      </c>
      <c r="E155" s="4517">
        <f>(E91-D91)*E6*C217</f>
        <v>-679783.93099222926</v>
      </c>
      <c r="F155" s="447">
        <f>(F91-$D$91)*F6*$C$217</f>
        <v>-13786656.84650543</v>
      </c>
      <c r="G155" s="447">
        <f t="shared" ref="G155:Q155" si="99">(G91-$D$91)*G6*$C$217</f>
        <v>-16564567.770030383</v>
      </c>
      <c r="H155" s="447">
        <f t="shared" si="99"/>
        <v>-4183308.9854306662</v>
      </c>
      <c r="I155" s="447" t="e">
        <f t="shared" si="99"/>
        <v>#DIV/0!</v>
      </c>
      <c r="J155" s="447" t="e">
        <f t="shared" si="99"/>
        <v>#DIV/0!</v>
      </c>
      <c r="K155" s="447" t="e">
        <f t="shared" si="99"/>
        <v>#DIV/0!</v>
      </c>
      <c r="L155" s="447" t="e">
        <f t="shared" si="99"/>
        <v>#DIV/0!</v>
      </c>
      <c r="M155" s="447" t="e">
        <f t="shared" si="99"/>
        <v>#DIV/0!</v>
      </c>
      <c r="N155" s="447" t="e">
        <f t="shared" si="99"/>
        <v>#DIV/0!</v>
      </c>
      <c r="O155" s="447" t="e">
        <f t="shared" si="99"/>
        <v>#DIV/0!</v>
      </c>
      <c r="P155" s="447" t="e">
        <f t="shared" si="99"/>
        <v>#DIV/0!</v>
      </c>
      <c r="Q155" s="447" t="e">
        <f t="shared" si="99"/>
        <v>#DIV/0!</v>
      </c>
      <c r="R155" s="447">
        <f t="shared" si="79"/>
        <v>-34534533.601966478</v>
      </c>
      <c r="S155" s="447" t="e">
        <f t="shared" si="80"/>
        <v>#DIV/0!</v>
      </c>
      <c r="T155" s="447" t="e">
        <f t="shared" si="81"/>
        <v>#DIV/0!</v>
      </c>
      <c r="U155" s="447" t="e">
        <f t="shared" si="82"/>
        <v>#DIV/0!</v>
      </c>
      <c r="V155" s="447">
        <f>(V91-$D$91)*V6*$C$217</f>
        <v>-34534533.601966396</v>
      </c>
    </row>
    <row r="156" spans="1:24" s="448" customFormat="1">
      <c r="A156" s="7901"/>
      <c r="B156" s="2158" t="s">
        <v>1122</v>
      </c>
      <c r="C156" s="2162"/>
      <c r="D156" s="4516">
        <v>-5180385.7792616133</v>
      </c>
      <c r="E156" s="4517">
        <f>(E97-D97)*E6*C217</f>
        <v>64621727.139032774</v>
      </c>
      <c r="F156" s="2159">
        <f>(F97-$D$97)*(F6+종합!M50+종합!AS50)*$C$217</f>
        <v>-7749387.1184233753</v>
      </c>
      <c r="G156" s="2159">
        <f>(G97-$D$97)*(G6+종합!N50+종합!AT50)*$C$217</f>
        <v>-6845054.778624272</v>
      </c>
      <c r="H156" s="2159">
        <f>(H97-$D$97)*(H6+종합!O50+종합!AU50)*$C$217</f>
        <v>12260645.86610085</v>
      </c>
      <c r="I156" s="2159" t="e">
        <f>(I97-$D$97)*(I6+종합!P50+종합!AV50)*$C$217</f>
        <v>#DIV/0!</v>
      </c>
      <c r="J156" s="2159" t="e">
        <f>(J97-$D$97)*(J6+종합!Q50+종합!AW50)*$C$217</f>
        <v>#DIV/0!</v>
      </c>
      <c r="K156" s="2159" t="e">
        <f>(K97-$D$97)*(K6+종합!R50+종합!AX50)*$C$217</f>
        <v>#DIV/0!</v>
      </c>
      <c r="L156" s="2159" t="e">
        <f>(L97-$D$97)*(L6+종합!S50+종합!AY50)*$C$217</f>
        <v>#DIV/0!</v>
      </c>
      <c r="M156" s="2159" t="e">
        <f>(M97-$D$97)*(M6+종합!T50+종합!AZ50)*$C$217</f>
        <v>#DIV/0!</v>
      </c>
      <c r="N156" s="2159" t="e">
        <f>(N97-$D$97)*(N6+종합!U50+종합!BA50)*$C$217</f>
        <v>#DIV/0!</v>
      </c>
      <c r="O156" s="2159" t="e">
        <f>(O97-$D$97)*(O6+종합!V50+종합!BB50)*$C$217</f>
        <v>#DIV/0!</v>
      </c>
      <c r="P156" s="2159" t="e">
        <f>(P97-$D$97)*(P6+종합!W50+종합!BC50)*$C$217</f>
        <v>#DIV/0!</v>
      </c>
      <c r="Q156" s="2159" t="e">
        <f>(Q97-$D$97)*(Q6+종합!X50+종합!BD50)*$C$217</f>
        <v>#DIV/0!</v>
      </c>
      <c r="R156" s="2159"/>
      <c r="S156" s="2159"/>
      <c r="T156" s="2159"/>
      <c r="U156" s="2159"/>
      <c r="V156" s="2159">
        <f>(V97-$D$97)*(V6+종합!Y50+종합!BE50)*$C$217</f>
        <v>-2333796.0309415041</v>
      </c>
    </row>
    <row r="157" spans="1:24" s="448" customFormat="1">
      <c r="A157" s="7900"/>
      <c r="B157" s="446" t="s">
        <v>52</v>
      </c>
      <c r="C157" s="449"/>
      <c r="D157" s="4516">
        <v>189178667.86676878</v>
      </c>
      <c r="E157" s="4517">
        <f>(E115-D115)*E29/60*E217</f>
        <v>45928851.072086029</v>
      </c>
      <c r="F157" s="447">
        <f t="shared" ref="F157:Q157" si="100">(F115-$D$115)*F30/60*$E$217</f>
        <v>21242540.453111906</v>
      </c>
      <c r="G157" s="447">
        <f t="shared" si="100"/>
        <v>7558174.8410170414</v>
      </c>
      <c r="H157" s="447">
        <f t="shared" si="100"/>
        <v>44810720.738177776</v>
      </c>
      <c r="I157" s="447" t="e">
        <f t="shared" si="100"/>
        <v>#DIV/0!</v>
      </c>
      <c r="J157" s="447" t="e">
        <f t="shared" si="100"/>
        <v>#DIV/0!</v>
      </c>
      <c r="K157" s="447" t="e">
        <f t="shared" si="100"/>
        <v>#DIV/0!</v>
      </c>
      <c r="L157" s="447" t="e">
        <f t="shared" si="100"/>
        <v>#DIV/0!</v>
      </c>
      <c r="M157" s="447" t="e">
        <f t="shared" si="100"/>
        <v>#DIV/0!</v>
      </c>
      <c r="N157" s="447" t="e">
        <f t="shared" si="100"/>
        <v>#DIV/0!</v>
      </c>
      <c r="O157" s="447" t="e">
        <f t="shared" si="100"/>
        <v>#DIV/0!</v>
      </c>
      <c r="P157" s="447" t="e">
        <f t="shared" si="100"/>
        <v>#DIV/0!</v>
      </c>
      <c r="Q157" s="447" t="e">
        <f t="shared" si="100"/>
        <v>#DIV/0!</v>
      </c>
      <c r="R157" s="447">
        <f t="shared" si="79"/>
        <v>73611436.032306731</v>
      </c>
      <c r="S157" s="447" t="e">
        <f t="shared" si="80"/>
        <v>#DIV/0!</v>
      </c>
      <c r="T157" s="447" t="e">
        <f t="shared" si="81"/>
        <v>#DIV/0!</v>
      </c>
      <c r="U157" s="447" t="e">
        <f t="shared" si="82"/>
        <v>#DIV/0!</v>
      </c>
      <c r="V157" s="447">
        <f>(V115-$D$115)*V30/60*$E$217</f>
        <v>73611436.032306924</v>
      </c>
    </row>
    <row r="158" spans="1:24" s="448" customFormat="1">
      <c r="A158" s="7900"/>
      <c r="B158" s="446" t="s">
        <v>40</v>
      </c>
      <c r="C158" s="449"/>
      <c r="D158" s="4516">
        <v>139709250.8955602</v>
      </c>
      <c r="E158" s="4517">
        <f>(E18/D123-E18/E123)*E217</f>
        <v>186321655.26925617</v>
      </c>
      <c r="F158" s="447">
        <f t="shared" ref="F158:Q158" si="101">(F18/$D$123-F18/F123)*$E$217</f>
        <v>-25773265.613504175</v>
      </c>
      <c r="G158" s="447">
        <f t="shared" si="101"/>
        <v>33387782.676533714</v>
      </c>
      <c r="H158" s="447">
        <f t="shared" si="101"/>
        <v>73113293.045505911</v>
      </c>
      <c r="I158" s="447" t="e">
        <f t="shared" si="101"/>
        <v>#DIV/0!</v>
      </c>
      <c r="J158" s="447" t="e">
        <f t="shared" si="101"/>
        <v>#DIV/0!</v>
      </c>
      <c r="K158" s="447" t="e">
        <f t="shared" si="101"/>
        <v>#DIV/0!</v>
      </c>
      <c r="L158" s="447" t="e">
        <f t="shared" si="101"/>
        <v>#DIV/0!</v>
      </c>
      <c r="M158" s="447" t="e">
        <f t="shared" si="101"/>
        <v>#DIV/0!</v>
      </c>
      <c r="N158" s="447" t="e">
        <f t="shared" si="101"/>
        <v>#DIV/0!</v>
      </c>
      <c r="O158" s="447" t="e">
        <f t="shared" si="101"/>
        <v>#DIV/0!</v>
      </c>
      <c r="P158" s="447" t="e">
        <f t="shared" si="101"/>
        <v>#DIV/0!</v>
      </c>
      <c r="Q158" s="447" t="e">
        <f t="shared" si="101"/>
        <v>#DIV/0!</v>
      </c>
      <c r="R158" s="447">
        <f t="shared" si="79"/>
        <v>80727810.108535454</v>
      </c>
      <c r="S158" s="447" t="e">
        <f t="shared" si="80"/>
        <v>#DIV/0!</v>
      </c>
      <c r="T158" s="447" t="e">
        <f t="shared" si="81"/>
        <v>#DIV/0!</v>
      </c>
      <c r="U158" s="447" t="e">
        <f t="shared" si="82"/>
        <v>#DIV/0!</v>
      </c>
      <c r="V158" s="447">
        <f>(V18/$D$123-V18/V123)*$E$217</f>
        <v>1945845.1259855805</v>
      </c>
    </row>
    <row r="159" spans="1:24" s="448" customFormat="1">
      <c r="A159" s="7900"/>
      <c r="B159" s="446" t="s">
        <v>58</v>
      </c>
      <c r="C159" s="449"/>
      <c r="D159" s="4516">
        <v>0</v>
      </c>
      <c r="E159" s="4517"/>
      <c r="F159" s="451"/>
      <c r="G159" s="451"/>
      <c r="H159" s="451"/>
      <c r="I159" s="451"/>
      <c r="J159" s="451"/>
      <c r="K159" s="451"/>
      <c r="L159" s="451"/>
      <c r="M159" s="451"/>
      <c r="N159" s="451"/>
      <c r="O159" s="451"/>
      <c r="P159" s="451"/>
      <c r="Q159" s="451"/>
      <c r="R159" s="447">
        <f t="shared" si="79"/>
        <v>0</v>
      </c>
      <c r="S159" s="447">
        <f t="shared" si="80"/>
        <v>0</v>
      </c>
      <c r="T159" s="447">
        <f t="shared" si="81"/>
        <v>0</v>
      </c>
      <c r="U159" s="447">
        <f t="shared" si="82"/>
        <v>0</v>
      </c>
      <c r="V159" s="447">
        <f>SUM(F159:Q159)</f>
        <v>0</v>
      </c>
    </row>
    <row r="160" spans="1:24" s="448" customFormat="1">
      <c r="A160" s="7900"/>
      <c r="B160" s="450" t="s">
        <v>60</v>
      </c>
      <c r="C160" s="449"/>
      <c r="D160" s="4516">
        <v>0</v>
      </c>
      <c r="E160" s="6031"/>
      <c r="F160" s="451"/>
      <c r="G160" s="451"/>
      <c r="H160" s="451"/>
      <c r="I160" s="451"/>
      <c r="J160" s="451"/>
      <c r="K160" s="451"/>
      <c r="L160" s="451"/>
      <c r="M160" s="451"/>
      <c r="N160" s="451"/>
      <c r="O160" s="451"/>
      <c r="P160" s="451"/>
      <c r="Q160" s="451"/>
      <c r="R160" s="447">
        <f>SUM(F160:M160)</f>
        <v>0</v>
      </c>
      <c r="S160" s="447">
        <f>SUM(F160:M160)</f>
        <v>0</v>
      </c>
      <c r="T160" s="447">
        <f t="shared" si="81"/>
        <v>0</v>
      </c>
      <c r="U160" s="447">
        <f t="shared" si="82"/>
        <v>0</v>
      </c>
      <c r="V160" s="447">
        <f>SUM(F160:Q160)</f>
        <v>0</v>
      </c>
      <c r="W160" s="448">
        <v>319336.86499999999</v>
      </c>
    </row>
    <row r="161" spans="1:24" s="448" customFormat="1">
      <c r="A161" s="7900"/>
      <c r="B161" s="450" t="s">
        <v>63</v>
      </c>
      <c r="C161" s="449"/>
      <c r="D161" s="4516">
        <v>0</v>
      </c>
      <c r="E161" s="4517"/>
      <c r="F161" s="451"/>
      <c r="G161" s="451"/>
      <c r="H161" s="451"/>
      <c r="I161" s="451"/>
      <c r="J161" s="451"/>
      <c r="K161" s="451"/>
      <c r="L161" s="451"/>
      <c r="M161" s="451"/>
      <c r="N161" s="451"/>
      <c r="O161" s="451"/>
      <c r="P161" s="451"/>
      <c r="Q161" s="451"/>
      <c r="R161" s="447">
        <f>SUM(F161:M161)</f>
        <v>0</v>
      </c>
      <c r="S161" s="447">
        <f>SUM(F161:M161)</f>
        <v>0</v>
      </c>
      <c r="T161" s="447">
        <f t="shared" si="81"/>
        <v>0</v>
      </c>
      <c r="U161" s="447">
        <f t="shared" si="82"/>
        <v>0</v>
      </c>
      <c r="V161" s="447">
        <f>SUM(F161:Q161)</f>
        <v>0</v>
      </c>
      <c r="W161" s="448">
        <v>310955.55</v>
      </c>
    </row>
    <row r="162" spans="1:24" s="448" customFormat="1">
      <c r="A162" s="7900"/>
      <c r="B162" s="452" t="s">
        <v>57</v>
      </c>
      <c r="C162" s="453"/>
      <c r="D162" s="5689">
        <v>414289070.88039565</v>
      </c>
      <c r="E162" s="6030">
        <f>SUM(E155:E161)</f>
        <v>296192449.54938275</v>
      </c>
      <c r="F162" s="454">
        <f t="shared" ref="F162:Q162" si="102">SUM(F155:F161)</f>
        <v>-26066769.125321075</v>
      </c>
      <c r="G162" s="454">
        <f t="shared" si="102"/>
        <v>17536334.968896102</v>
      </c>
      <c r="H162" s="454">
        <f t="shared" si="102"/>
        <v>126001350.66435388</v>
      </c>
      <c r="I162" s="454" t="e">
        <f t="shared" si="102"/>
        <v>#DIV/0!</v>
      </c>
      <c r="J162" s="454" t="e">
        <f t="shared" si="102"/>
        <v>#DIV/0!</v>
      </c>
      <c r="K162" s="454" t="e">
        <f t="shared" si="102"/>
        <v>#DIV/0!</v>
      </c>
      <c r="L162" s="454" t="e">
        <f t="shared" si="102"/>
        <v>#DIV/0!</v>
      </c>
      <c r="M162" s="454" t="e">
        <f t="shared" si="102"/>
        <v>#DIV/0!</v>
      </c>
      <c r="N162" s="454" t="e">
        <f t="shared" si="102"/>
        <v>#DIV/0!</v>
      </c>
      <c r="O162" s="454" t="e">
        <f t="shared" si="102"/>
        <v>#DIV/0!</v>
      </c>
      <c r="P162" s="454" t="e">
        <f t="shared" si="102"/>
        <v>#DIV/0!</v>
      </c>
      <c r="Q162" s="454" t="e">
        <f t="shared" si="102"/>
        <v>#DIV/0!</v>
      </c>
      <c r="R162" s="454">
        <f t="shared" si="79"/>
        <v>117470916.50792891</v>
      </c>
      <c r="S162" s="454" t="e">
        <f t="shared" si="80"/>
        <v>#DIV/0!</v>
      </c>
      <c r="T162" s="454" t="e">
        <f t="shared" si="81"/>
        <v>#DIV/0!</v>
      </c>
      <c r="U162" s="454" t="e">
        <f t="shared" si="82"/>
        <v>#DIV/0!</v>
      </c>
      <c r="V162" s="454" t="e">
        <f>SUM(F162:Q162)</f>
        <v>#DIV/0!</v>
      </c>
    </row>
    <row r="163" spans="1:24" ht="17.25">
      <c r="A163" s="5"/>
      <c r="B163" s="4"/>
      <c r="C163" s="97"/>
      <c r="D163" s="97"/>
      <c r="E163" s="463"/>
      <c r="F163" s="98"/>
      <c r="G163" s="464"/>
      <c r="H163" s="464"/>
      <c r="I163" s="464"/>
      <c r="J163" s="98"/>
      <c r="K163" s="98"/>
      <c r="L163" s="465"/>
      <c r="M163" s="98"/>
      <c r="N163" s="98"/>
      <c r="O163" s="466"/>
      <c r="P163" s="98"/>
      <c r="Q163" s="98"/>
      <c r="R163" s="98"/>
      <c r="S163" s="98"/>
      <c r="T163" s="98"/>
      <c r="U163" s="98"/>
      <c r="V163" s="98"/>
    </row>
    <row r="164" spans="1:24" s="5" customFormat="1">
      <c r="A164" s="7883" t="s">
        <v>0</v>
      </c>
      <c r="B164" s="7883"/>
      <c r="C164" s="2528" t="s">
        <v>1144</v>
      </c>
      <c r="D164" s="5671" t="s">
        <v>2153</v>
      </c>
      <c r="E164" s="5671" t="s">
        <v>1896</v>
      </c>
      <c r="F164" s="201" t="s">
        <v>48</v>
      </c>
      <c r="G164" s="201" t="s">
        <v>5</v>
      </c>
      <c r="H164" s="201" t="s">
        <v>6</v>
      </c>
      <c r="I164" s="201" t="s">
        <v>7</v>
      </c>
      <c r="J164" s="201" t="s">
        <v>8</v>
      </c>
      <c r="K164" s="201" t="s">
        <v>9</v>
      </c>
      <c r="L164" s="201" t="s">
        <v>10</v>
      </c>
      <c r="M164" s="201" t="s">
        <v>11</v>
      </c>
      <c r="N164" s="201" t="s">
        <v>12</v>
      </c>
      <c r="O164" s="201" t="s">
        <v>13</v>
      </c>
      <c r="P164" s="201" t="s">
        <v>14</v>
      </c>
      <c r="Q164" s="201" t="s">
        <v>15</v>
      </c>
      <c r="R164" s="202" t="s">
        <v>19</v>
      </c>
      <c r="S164" s="202" t="s">
        <v>20</v>
      </c>
      <c r="T164" s="202" t="s">
        <v>21</v>
      </c>
      <c r="U164" s="202" t="s">
        <v>175</v>
      </c>
      <c r="V164" s="202" t="s">
        <v>22</v>
      </c>
    </row>
    <row r="165" spans="1:24" s="62" customFormat="1">
      <c r="A165" s="7921" t="s">
        <v>64</v>
      </c>
      <c r="B165" s="203" t="s">
        <v>65</v>
      </c>
      <c r="C165" s="207"/>
      <c r="D165" s="5690">
        <v>75654997.908735529</v>
      </c>
      <c r="E165" s="6032">
        <f>E181</f>
        <v>10891730.888991637</v>
      </c>
      <c r="F165" s="207" t="e">
        <f>F181</f>
        <v>#DIV/0!</v>
      </c>
      <c r="G165" s="207" t="e">
        <f>G181</f>
        <v>#DIV/0!</v>
      </c>
      <c r="H165" s="207">
        <f>H181</f>
        <v>3521552.0784846274</v>
      </c>
      <c r="I165" s="207" t="e">
        <f>I181</f>
        <v>#DIV/0!</v>
      </c>
      <c r="J165" s="207" t="e">
        <f t="shared" ref="J165:Q165" si="103">J181</f>
        <v>#DIV/0!</v>
      </c>
      <c r="K165" s="207" t="e">
        <f t="shared" si="103"/>
        <v>#DIV/0!</v>
      </c>
      <c r="L165" s="207" t="e">
        <f t="shared" si="103"/>
        <v>#DIV/0!</v>
      </c>
      <c r="M165" s="207" t="e">
        <f t="shared" si="103"/>
        <v>#DIV/0!</v>
      </c>
      <c r="N165" s="207" t="e">
        <f t="shared" si="103"/>
        <v>#DIV/0!</v>
      </c>
      <c r="O165" s="207" t="e">
        <f t="shared" si="103"/>
        <v>#DIV/0!</v>
      </c>
      <c r="P165" s="207" t="e">
        <f t="shared" si="103"/>
        <v>#DIV/0!</v>
      </c>
      <c r="Q165" s="207" t="e">
        <f t="shared" si="103"/>
        <v>#DIV/0!</v>
      </c>
      <c r="R165" s="207" t="e">
        <f>SUM(F165:H165)</f>
        <v>#DIV/0!</v>
      </c>
      <c r="S165" s="207">
        <f>S181</f>
        <v>4836577.1969225565</v>
      </c>
      <c r="T165" s="207" t="e">
        <f>T181</f>
        <v>#DIV/0!</v>
      </c>
      <c r="U165" s="206" t="e">
        <f t="shared" ref="U165:U173" si="104">SUM(L165:Q165)</f>
        <v>#DIV/0!</v>
      </c>
      <c r="V165" s="207">
        <f>V181</f>
        <v>7537777.3634683676</v>
      </c>
    </row>
    <row r="166" spans="1:24" s="62" customFormat="1">
      <c r="A166" s="7921"/>
      <c r="B166" s="203" t="s">
        <v>66</v>
      </c>
      <c r="C166" s="207"/>
      <c r="D166" s="5690">
        <v>-13280644.999598354</v>
      </c>
      <c r="E166" s="6255">
        <f>E191</f>
        <v>-5283870.0057223495</v>
      </c>
      <c r="F166" s="207">
        <f>F191</f>
        <v>1916500.7415637958</v>
      </c>
      <c r="G166" s="207">
        <f t="shared" ref="G166:Q166" si="105">G191</f>
        <v>684509.2435234359</v>
      </c>
      <c r="H166" s="207">
        <f t="shared" si="105"/>
        <v>-2308772.2564243739</v>
      </c>
      <c r="I166" s="207">
        <f t="shared" si="105"/>
        <v>1916500.7415637958</v>
      </c>
      <c r="J166" s="207">
        <f t="shared" si="105"/>
        <v>1916500.7415637958</v>
      </c>
      <c r="K166" s="207">
        <f t="shared" si="105"/>
        <v>1916500.7415637958</v>
      </c>
      <c r="L166" s="207">
        <f t="shared" si="105"/>
        <v>1916500.7415637958</v>
      </c>
      <c r="M166" s="207">
        <f t="shared" si="105"/>
        <v>1916500.7415637958</v>
      </c>
      <c r="N166" s="207">
        <f t="shared" si="105"/>
        <v>1916500.7415637958</v>
      </c>
      <c r="O166" s="207">
        <f t="shared" si="105"/>
        <v>1916500.7415637958</v>
      </c>
      <c r="P166" s="207">
        <f t="shared" si="105"/>
        <v>1916500.7415637958</v>
      </c>
      <c r="Q166" s="207">
        <f t="shared" si="105"/>
        <v>1916500.7415637958</v>
      </c>
      <c r="R166" s="207">
        <f t="shared" ref="R166:R173" si="106">SUM(F166:H166)</f>
        <v>292237.72866285779</v>
      </c>
      <c r="S166" s="207">
        <f>S191</f>
        <v>-3418670.3829414472</v>
      </c>
      <c r="T166" s="207">
        <f>T191</f>
        <v>5222482.479061434</v>
      </c>
      <c r="U166" s="206">
        <f t="shared" si="104"/>
        <v>11499004.449382775</v>
      </c>
      <c r="V166" s="207">
        <f>V191</f>
        <v>-3540763.7544647339</v>
      </c>
    </row>
    <row r="167" spans="1:24" s="62" customFormat="1">
      <c r="A167" s="7921"/>
      <c r="B167" s="203" t="s">
        <v>67</v>
      </c>
      <c r="C167" s="207"/>
      <c r="D167" s="5690">
        <v>74559</v>
      </c>
      <c r="E167" s="6255">
        <f>(고장!AB138+고장!AB149)*1000</f>
        <v>1038898941</v>
      </c>
      <c r="F167" s="207">
        <f>고장!AC63</f>
        <v>29487</v>
      </c>
      <c r="G167" s="207">
        <f>고장!AD63</f>
        <v>0</v>
      </c>
      <c r="H167" s="207">
        <f>고장!AE63</f>
        <v>11472</v>
      </c>
      <c r="I167" s="207">
        <f>고장!AF63</f>
        <v>0</v>
      </c>
      <c r="J167" s="207">
        <f>고장!AG63</f>
        <v>0</v>
      </c>
      <c r="K167" s="207">
        <f>고장!AH63</f>
        <v>0</v>
      </c>
      <c r="L167" s="207">
        <f>고장!AI63</f>
        <v>0</v>
      </c>
      <c r="M167" s="207">
        <f>고장!AJ63</f>
        <v>0</v>
      </c>
      <c r="N167" s="207">
        <f>고장!AK63</f>
        <v>0</v>
      </c>
      <c r="O167" s="207">
        <f>고장!AL63</f>
        <v>0</v>
      </c>
      <c r="P167" s="207">
        <f>고장!AM63</f>
        <v>0</v>
      </c>
      <c r="Q167" s="207">
        <f>고장!AN63</f>
        <v>0</v>
      </c>
      <c r="R167" s="207">
        <f t="shared" si="106"/>
        <v>40959</v>
      </c>
      <c r="S167" s="207">
        <f>SUM(F167:K167)</f>
        <v>40959</v>
      </c>
      <c r="T167" s="207">
        <f>SUM(L167:N167)</f>
        <v>0</v>
      </c>
      <c r="U167" s="206">
        <f t="shared" si="104"/>
        <v>0</v>
      </c>
      <c r="V167" s="207">
        <f>고장!AO63</f>
        <v>40959</v>
      </c>
    </row>
    <row r="168" spans="1:24" s="62" customFormat="1">
      <c r="A168" s="7921"/>
      <c r="B168" s="241" t="s">
        <v>31</v>
      </c>
      <c r="C168" s="242"/>
      <c r="D168" s="5691">
        <v>62448911.909137174</v>
      </c>
      <c r="E168" s="6256">
        <f>SUM(E165:E167)</f>
        <v>1044506801.8832693</v>
      </c>
      <c r="F168" s="242" t="e">
        <f t="shared" ref="F168:K168" si="107">SUM(F165:F167)</f>
        <v>#DIV/0!</v>
      </c>
      <c r="G168" s="242" t="e">
        <f t="shared" si="107"/>
        <v>#DIV/0!</v>
      </c>
      <c r="H168" s="242">
        <f t="shared" si="107"/>
        <v>1224251.8220602535</v>
      </c>
      <c r="I168" s="242" t="e">
        <f t="shared" si="107"/>
        <v>#DIV/0!</v>
      </c>
      <c r="J168" s="242" t="e">
        <f t="shared" si="107"/>
        <v>#DIV/0!</v>
      </c>
      <c r="K168" s="242" t="e">
        <f t="shared" si="107"/>
        <v>#DIV/0!</v>
      </c>
      <c r="L168" s="242" t="e">
        <f t="shared" ref="L168:Q168" si="108">SUM(L165:L167)</f>
        <v>#DIV/0!</v>
      </c>
      <c r="M168" s="242" t="e">
        <f t="shared" si="108"/>
        <v>#DIV/0!</v>
      </c>
      <c r="N168" s="242" t="e">
        <f t="shared" si="108"/>
        <v>#DIV/0!</v>
      </c>
      <c r="O168" s="242" t="e">
        <f t="shared" si="108"/>
        <v>#DIV/0!</v>
      </c>
      <c r="P168" s="242" t="e">
        <f t="shared" si="108"/>
        <v>#DIV/0!</v>
      </c>
      <c r="Q168" s="242" t="e">
        <f t="shared" si="108"/>
        <v>#DIV/0!</v>
      </c>
      <c r="R168" s="242" t="e">
        <f t="shared" si="106"/>
        <v>#DIV/0!</v>
      </c>
      <c r="S168" s="242">
        <f>SUM(S165:S167)</f>
        <v>1458865.8139811093</v>
      </c>
      <c r="T168" s="242" t="e">
        <f>SUM(T165:T167)</f>
        <v>#DIV/0!</v>
      </c>
      <c r="U168" s="236" t="e">
        <f t="shared" si="104"/>
        <v>#DIV/0!</v>
      </c>
      <c r="V168" s="242">
        <f>SUM(V165:V167)</f>
        <v>4037972.6090036337</v>
      </c>
    </row>
    <row r="169" spans="1:24" s="62" customFormat="1">
      <c r="A169" s="7921" t="s">
        <v>68</v>
      </c>
      <c r="B169" s="203" t="s">
        <v>69</v>
      </c>
      <c r="C169" s="207"/>
      <c r="D169" s="5690">
        <v>-19984349.057886615</v>
      </c>
      <c r="E169" s="6032">
        <f>E187</f>
        <v>51611581.861880377</v>
      </c>
      <c r="F169" s="815" t="e">
        <f>F187</f>
        <v>#DIV/0!</v>
      </c>
      <c r="G169" s="207" t="e">
        <f t="shared" ref="G169:Q169" si="109">G187</f>
        <v>#DIV/0!</v>
      </c>
      <c r="H169" s="207">
        <f t="shared" si="109"/>
        <v>-1508093.3660841072</v>
      </c>
      <c r="I169" s="207" t="e">
        <f t="shared" si="109"/>
        <v>#DIV/0!</v>
      </c>
      <c r="J169" s="207" t="e">
        <f t="shared" si="109"/>
        <v>#DIV/0!</v>
      </c>
      <c r="K169" s="207" t="e">
        <f t="shared" si="109"/>
        <v>#DIV/0!</v>
      </c>
      <c r="L169" s="207" t="e">
        <f t="shared" si="109"/>
        <v>#DIV/0!</v>
      </c>
      <c r="M169" s="207" t="e">
        <f t="shared" si="109"/>
        <v>#DIV/0!</v>
      </c>
      <c r="N169" s="207" t="e">
        <f t="shared" si="109"/>
        <v>#DIV/0!</v>
      </c>
      <c r="O169" s="207" t="e">
        <f t="shared" si="109"/>
        <v>#DIV/0!</v>
      </c>
      <c r="P169" s="207" t="e">
        <f t="shared" si="109"/>
        <v>#DIV/0!</v>
      </c>
      <c r="Q169" s="207" t="e">
        <f t="shared" si="109"/>
        <v>#DIV/0!</v>
      </c>
      <c r="R169" s="207" t="e">
        <f t="shared" si="106"/>
        <v>#DIV/0!</v>
      </c>
      <c r="S169" s="207">
        <f>S187</f>
        <v>801245.36526191293</v>
      </c>
      <c r="T169" s="207" t="e">
        <f>T187</f>
        <v>#DIV/0!</v>
      </c>
      <c r="U169" s="206" t="e">
        <f t="shared" si="104"/>
        <v>#DIV/0!</v>
      </c>
      <c r="V169" s="207">
        <f>V187</f>
        <v>966946.08873537148</v>
      </c>
    </row>
    <row r="170" spans="1:24" s="62" customFormat="1">
      <c r="A170" s="7921"/>
      <c r="B170" s="203" t="s">
        <v>66</v>
      </c>
      <c r="C170" s="207"/>
      <c r="D170" s="5690">
        <v>-22100356.867580451</v>
      </c>
      <c r="E170" s="6032">
        <f>E195</f>
        <v>2493850.2310471702</v>
      </c>
      <c r="F170" s="207">
        <f>F195</f>
        <v>1024654.7220774726</v>
      </c>
      <c r="G170" s="207">
        <f t="shared" ref="G170:Q170" si="110">G195</f>
        <v>2256646.2201178325</v>
      </c>
      <c r="H170" s="207">
        <f t="shared" si="110"/>
        <v>-6427028.7360975873</v>
      </c>
      <c r="I170" s="207">
        <f t="shared" si="110"/>
        <v>2256646.2201178325</v>
      </c>
      <c r="J170" s="207">
        <f t="shared" si="110"/>
        <v>2256646.2201178325</v>
      </c>
      <c r="K170" s="207">
        <f t="shared" si="110"/>
        <v>2256646.2201178325</v>
      </c>
      <c r="L170" s="207">
        <f t="shared" si="110"/>
        <v>2256646.2201178325</v>
      </c>
      <c r="M170" s="207">
        <f t="shared" si="110"/>
        <v>2256646.2201178325</v>
      </c>
      <c r="N170" s="207">
        <f t="shared" si="110"/>
        <v>2256646.2201178325</v>
      </c>
      <c r="O170" s="207">
        <f t="shared" si="110"/>
        <v>2256646.2201178325</v>
      </c>
      <c r="P170" s="207">
        <f t="shared" si="110"/>
        <v>2256646.2201178325</v>
      </c>
      <c r="Q170" s="207">
        <f t="shared" si="110"/>
        <v>2256646.2201178325</v>
      </c>
      <c r="R170" s="207">
        <f t="shared" si="106"/>
        <v>-3145727.7939022821</v>
      </c>
      <c r="S170" s="207">
        <f>S195</f>
        <v>-4936268.6804222409</v>
      </c>
      <c r="T170" s="207">
        <f>T195</f>
        <v>3980535.2360322587</v>
      </c>
      <c r="U170" s="206">
        <f t="shared" si="104"/>
        <v>13539877.320706997</v>
      </c>
      <c r="V170" s="207">
        <f>V195</f>
        <v>-7659020.2341379477</v>
      </c>
    </row>
    <row r="171" spans="1:24" s="62" customFormat="1">
      <c r="A171" s="7921"/>
      <c r="B171" s="203" t="s">
        <v>67</v>
      </c>
      <c r="C171" s="207"/>
      <c r="D171" s="5690">
        <v>163814</v>
      </c>
      <c r="E171" s="6032">
        <f>(고장!AB114+고장!AB126)*1000</f>
        <v>163327932</v>
      </c>
      <c r="F171" s="207">
        <f>고장!AC102</f>
        <v>5792</v>
      </c>
      <c r="G171" s="207">
        <f>고장!AD102</f>
        <v>0</v>
      </c>
      <c r="H171" s="207">
        <f>고장!AE102</f>
        <v>0</v>
      </c>
      <c r="I171" s="207">
        <f>고장!AF102</f>
        <v>0</v>
      </c>
      <c r="J171" s="207">
        <f>고장!AG102</f>
        <v>0</v>
      </c>
      <c r="K171" s="207">
        <f>고장!AH102</f>
        <v>0</v>
      </c>
      <c r="L171" s="207">
        <f>고장!AI102</f>
        <v>0</v>
      </c>
      <c r="M171" s="207">
        <f>고장!AJ102</f>
        <v>0</v>
      </c>
      <c r="N171" s="207">
        <f>고장!AK102</f>
        <v>0</v>
      </c>
      <c r="O171" s="207">
        <f>고장!AL102</f>
        <v>0</v>
      </c>
      <c r="P171" s="207">
        <f>고장!AM102</f>
        <v>0</v>
      </c>
      <c r="Q171" s="207">
        <f>고장!AN102</f>
        <v>0</v>
      </c>
      <c r="R171" s="207">
        <f t="shared" si="106"/>
        <v>5792</v>
      </c>
      <c r="S171" s="207">
        <f>SUM(F171:K171)</f>
        <v>5792</v>
      </c>
      <c r="T171" s="207">
        <f>SUM(L171:N171)</f>
        <v>0</v>
      </c>
      <c r="U171" s="206">
        <f t="shared" si="104"/>
        <v>0</v>
      </c>
      <c r="V171" s="207" t="e">
        <f>#REF!</f>
        <v>#REF!</v>
      </c>
    </row>
    <row r="172" spans="1:24" s="62" customFormat="1">
      <c r="A172" s="7921"/>
      <c r="B172" s="203" t="s">
        <v>31</v>
      </c>
      <c r="C172" s="207"/>
      <c r="D172" s="5690">
        <v>-41920891.925467066</v>
      </c>
      <c r="E172" s="6033">
        <f>SUM(E169:E171)</f>
        <v>217433364.09292755</v>
      </c>
      <c r="F172" s="203" t="e">
        <f t="shared" ref="F172:K172" si="111">SUM(F169:F171)</f>
        <v>#DIV/0!</v>
      </c>
      <c r="G172" s="203" t="e">
        <f t="shared" si="111"/>
        <v>#DIV/0!</v>
      </c>
      <c r="H172" s="203">
        <f t="shared" si="111"/>
        <v>-7935122.1021816945</v>
      </c>
      <c r="I172" s="203" t="e">
        <f t="shared" si="111"/>
        <v>#DIV/0!</v>
      </c>
      <c r="J172" s="203" t="e">
        <f t="shared" si="111"/>
        <v>#DIV/0!</v>
      </c>
      <c r="K172" s="203" t="e">
        <f t="shared" si="111"/>
        <v>#DIV/0!</v>
      </c>
      <c r="L172" s="203" t="e">
        <f t="shared" ref="L172:Q172" si="112">SUM(L169:L171)</f>
        <v>#DIV/0!</v>
      </c>
      <c r="M172" s="203" t="e">
        <f t="shared" si="112"/>
        <v>#DIV/0!</v>
      </c>
      <c r="N172" s="203" t="e">
        <f t="shared" si="112"/>
        <v>#DIV/0!</v>
      </c>
      <c r="O172" s="203" t="e">
        <f t="shared" si="112"/>
        <v>#DIV/0!</v>
      </c>
      <c r="P172" s="203" t="e">
        <f t="shared" si="112"/>
        <v>#DIV/0!</v>
      </c>
      <c r="Q172" s="203" t="e">
        <f t="shared" si="112"/>
        <v>#DIV/0!</v>
      </c>
      <c r="R172" s="207" t="e">
        <f t="shared" si="106"/>
        <v>#DIV/0!</v>
      </c>
      <c r="S172" s="203">
        <f>SUM(S169:S171)</f>
        <v>-4129231.3151603281</v>
      </c>
      <c r="T172" s="203" t="e">
        <f>SUM(T169:T171)</f>
        <v>#DIV/0!</v>
      </c>
      <c r="U172" s="206" t="e">
        <f t="shared" si="104"/>
        <v>#DIV/0!</v>
      </c>
      <c r="V172" s="203" t="e">
        <f>SUM(V169:V171)</f>
        <v>#REF!</v>
      </c>
    </row>
    <row r="173" spans="1:24" s="64" customFormat="1">
      <c r="A173" s="7868" t="s">
        <v>70</v>
      </c>
      <c r="B173" s="7868"/>
      <c r="C173" s="243"/>
      <c r="D173" s="5692">
        <v>20528019.983670108</v>
      </c>
      <c r="E173" s="6034">
        <f>E172+E168</f>
        <v>1261940165.9761968</v>
      </c>
      <c r="F173" s="243" t="e">
        <f>F172+F168</f>
        <v>#DIV/0!</v>
      </c>
      <c r="G173" s="243" t="e">
        <f t="shared" ref="G173:Q173" si="113">G172+G168</f>
        <v>#DIV/0!</v>
      </c>
      <c r="H173" s="243">
        <f t="shared" si="113"/>
        <v>-6710870.280121441</v>
      </c>
      <c r="I173" s="243" t="e">
        <f t="shared" si="113"/>
        <v>#DIV/0!</v>
      </c>
      <c r="J173" s="243" t="e">
        <f t="shared" si="113"/>
        <v>#DIV/0!</v>
      </c>
      <c r="K173" s="243" t="e">
        <f t="shared" si="113"/>
        <v>#DIV/0!</v>
      </c>
      <c r="L173" s="243" t="e">
        <f t="shared" si="113"/>
        <v>#DIV/0!</v>
      </c>
      <c r="M173" s="243" t="e">
        <f t="shared" si="113"/>
        <v>#DIV/0!</v>
      </c>
      <c r="N173" s="243" t="e">
        <f t="shared" si="113"/>
        <v>#DIV/0!</v>
      </c>
      <c r="O173" s="243" t="e">
        <f t="shared" si="113"/>
        <v>#DIV/0!</v>
      </c>
      <c r="P173" s="243" t="e">
        <f t="shared" si="113"/>
        <v>#DIV/0!</v>
      </c>
      <c r="Q173" s="243" t="e">
        <f t="shared" si="113"/>
        <v>#DIV/0!</v>
      </c>
      <c r="R173" s="242" t="e">
        <f t="shared" si="106"/>
        <v>#DIV/0!</v>
      </c>
      <c r="S173" s="243">
        <f>S172+S168</f>
        <v>-2670365.5011792188</v>
      </c>
      <c r="T173" s="243" t="e">
        <f>T172+T168</f>
        <v>#DIV/0!</v>
      </c>
      <c r="U173" s="236" t="e">
        <f t="shared" si="104"/>
        <v>#DIV/0!</v>
      </c>
      <c r="V173" s="243" t="e">
        <f>V172+V168</f>
        <v>#REF!</v>
      </c>
      <c r="X173" s="62"/>
    </row>
    <row r="174" spans="1:24">
      <c r="A174" s="476"/>
      <c r="B174" s="26"/>
      <c r="C174" s="137"/>
      <c r="D174" s="97"/>
      <c r="E174" s="24"/>
      <c r="F174" s="24"/>
      <c r="G174" s="25"/>
      <c r="H174" s="25"/>
      <c r="I174" s="24"/>
      <c r="J174" s="24"/>
      <c r="K174" s="24"/>
      <c r="L174" s="24"/>
      <c r="M174" s="24"/>
      <c r="N174" s="24"/>
      <c r="O174" s="24"/>
      <c r="P174" s="24"/>
      <c r="Q174" s="24"/>
      <c r="R174" s="24"/>
      <c r="S174" s="24"/>
      <c r="T174" s="24"/>
      <c r="U174" s="24"/>
      <c r="V174" s="24"/>
      <c r="X174" s="62"/>
    </row>
    <row r="175" spans="1:24" s="5" customFormat="1">
      <c r="A175" s="7894" t="s">
        <v>0</v>
      </c>
      <c r="B175" s="7895"/>
      <c r="C175" s="2528" t="s">
        <v>1144</v>
      </c>
      <c r="D175" s="6716" t="s">
        <v>2154</v>
      </c>
      <c r="E175" s="5671" t="s">
        <v>1895</v>
      </c>
      <c r="F175" s="41" t="s">
        <v>38</v>
      </c>
      <c r="G175" s="34" t="s">
        <v>5</v>
      </c>
      <c r="H175" s="34" t="s">
        <v>6</v>
      </c>
      <c r="I175" s="34" t="s">
        <v>7</v>
      </c>
      <c r="J175" s="34" t="s">
        <v>8</v>
      </c>
      <c r="K175" s="34" t="s">
        <v>9</v>
      </c>
      <c r="L175" s="34" t="s">
        <v>10</v>
      </c>
      <c r="M175" s="34" t="s">
        <v>11</v>
      </c>
      <c r="N175" s="34" t="s">
        <v>12</v>
      </c>
      <c r="O175" s="34" t="s">
        <v>13</v>
      </c>
      <c r="P175" s="34" t="s">
        <v>14</v>
      </c>
      <c r="Q175" s="23" t="s">
        <v>15</v>
      </c>
      <c r="R175" s="70" t="s">
        <v>19</v>
      </c>
      <c r="S175" s="71" t="s">
        <v>20</v>
      </c>
      <c r="T175" s="71" t="s">
        <v>21</v>
      </c>
      <c r="U175" s="123" t="s">
        <v>175</v>
      </c>
      <c r="V175" s="72" t="s">
        <v>22</v>
      </c>
      <c r="X175" s="62"/>
    </row>
    <row r="176" spans="1:24">
      <c r="A176" s="7892" t="s">
        <v>71</v>
      </c>
      <c r="B176" s="440" t="s">
        <v>39</v>
      </c>
      <c r="C176" s="2841">
        <v>5996745.8995810645</v>
      </c>
      <c r="D176" s="6717">
        <v>-5348279.2488043234</v>
      </c>
      <c r="E176" s="6035">
        <f>(D76-E76)*E31/60*E213</f>
        <v>2164096.680937971</v>
      </c>
      <c r="F176" s="94" t="e">
        <f t="shared" ref="F176:Q176" si="114">($D$76-F76)*F31/60*$E$213</f>
        <v>#DIV/0!</v>
      </c>
      <c r="G176" s="94" t="e">
        <f t="shared" si="114"/>
        <v>#DIV/0!</v>
      </c>
      <c r="H176" s="94">
        <f t="shared" si="114"/>
        <v>603839.64969467337</v>
      </c>
      <c r="I176" s="94" t="e">
        <f t="shared" si="114"/>
        <v>#DIV/0!</v>
      </c>
      <c r="J176" s="94" t="e">
        <f t="shared" si="114"/>
        <v>#DIV/0!</v>
      </c>
      <c r="K176" s="94" t="e">
        <f t="shared" si="114"/>
        <v>#DIV/0!</v>
      </c>
      <c r="L176" s="94" t="e">
        <f t="shared" si="114"/>
        <v>#DIV/0!</v>
      </c>
      <c r="M176" s="94" t="e">
        <f t="shared" si="114"/>
        <v>#DIV/0!</v>
      </c>
      <c r="N176" s="94" t="e">
        <f t="shared" si="114"/>
        <v>#DIV/0!</v>
      </c>
      <c r="O176" s="94" t="e">
        <f t="shared" si="114"/>
        <v>#DIV/0!</v>
      </c>
      <c r="P176" s="94" t="e">
        <f t="shared" si="114"/>
        <v>#DIV/0!</v>
      </c>
      <c r="Q176" s="94" t="e">
        <f t="shared" si="114"/>
        <v>#DIV/0!</v>
      </c>
      <c r="R176" s="63" t="e">
        <f>SUM(F176:H176)</f>
        <v>#DIV/0!</v>
      </c>
      <c r="S176" s="94">
        <f>($D$76-S76)*S31/60*$E$213</f>
        <v>603839.64969467337</v>
      </c>
      <c r="T176" s="94" t="e">
        <f>($D$76-T76)*T31/60*$E$213</f>
        <v>#DIV/0!</v>
      </c>
      <c r="U176" s="27" t="e">
        <f t="shared" ref="U176:U198" si="115">SUM(L176:Q176)</f>
        <v>#DIV/0!</v>
      </c>
      <c r="V176" s="94">
        <f>($D$76-V76)*V31/60*$E$213</f>
        <v>603839.64969467337</v>
      </c>
      <c r="X176" s="62"/>
    </row>
    <row r="177" spans="1:24">
      <c r="A177" s="7869"/>
      <c r="B177" s="96" t="s">
        <v>42</v>
      </c>
      <c r="C177" s="2841">
        <v>13057896.964921698</v>
      </c>
      <c r="D177" s="6718">
        <v>-3351065.9486571313</v>
      </c>
      <c r="E177" s="6035">
        <f>(D77-E77)*E32/60*E214</f>
        <v>2334995.756421899</v>
      </c>
      <c r="F177" s="40" t="e">
        <f t="shared" ref="F177:Q177" si="116">($D$77-F77)*F32/60*$E$214</f>
        <v>#DIV/0!</v>
      </c>
      <c r="G177" s="40" t="e">
        <f t="shared" si="116"/>
        <v>#DIV/0!</v>
      </c>
      <c r="H177" s="40">
        <f t="shared" si="116"/>
        <v>1893770.6399274664</v>
      </c>
      <c r="I177" s="40" t="e">
        <f t="shared" si="116"/>
        <v>#DIV/0!</v>
      </c>
      <c r="J177" s="40" t="e">
        <f t="shared" si="116"/>
        <v>#DIV/0!</v>
      </c>
      <c r="K177" s="40" t="e">
        <f t="shared" si="116"/>
        <v>#DIV/0!</v>
      </c>
      <c r="L177" s="40" t="e">
        <f t="shared" si="116"/>
        <v>#DIV/0!</v>
      </c>
      <c r="M177" s="40" t="e">
        <f t="shared" si="116"/>
        <v>#DIV/0!</v>
      </c>
      <c r="N177" s="40" t="e">
        <f t="shared" si="116"/>
        <v>#DIV/0!</v>
      </c>
      <c r="O177" s="40" t="e">
        <f t="shared" si="116"/>
        <v>#DIV/0!</v>
      </c>
      <c r="P177" s="40" t="e">
        <f t="shared" si="116"/>
        <v>#DIV/0!</v>
      </c>
      <c r="Q177" s="40" t="e">
        <f t="shared" si="116"/>
        <v>#DIV/0!</v>
      </c>
      <c r="R177" s="61" t="e">
        <f t="shared" ref="R177:R198" si="117">SUM(F177:H177)</f>
        <v>#DIV/0!</v>
      </c>
      <c r="S177" s="40">
        <f>($R$77-S77)*S32/60*$E$214</f>
        <v>0</v>
      </c>
      <c r="T177" s="40" t="e">
        <f>($D$77-T77)*T32/60*$E$214</f>
        <v>#DIV/0!</v>
      </c>
      <c r="U177" s="27" t="e">
        <f t="shared" si="115"/>
        <v>#DIV/0!</v>
      </c>
      <c r="V177" s="40">
        <f>($D$77-V77)*V32/60*$E$214</f>
        <v>1893770.6399274664</v>
      </c>
      <c r="X177" s="62"/>
    </row>
    <row r="178" spans="1:24">
      <c r="A178" s="7869"/>
      <c r="B178" s="96" t="s">
        <v>43</v>
      </c>
      <c r="C178" s="2841">
        <v>-16982909.421964101</v>
      </c>
      <c r="D178" s="6718">
        <v>74782834.582027987</v>
      </c>
      <c r="E178" s="6035">
        <f>(D78-E78)*E33/60*E215</f>
        <v>-2336621.6197815365</v>
      </c>
      <c r="F178" s="40" t="e">
        <f t="shared" ref="F178:Q178" si="118">($D$78-F78)*F33/60*$E$215</f>
        <v>#DIV/0!</v>
      </c>
      <c r="G178" s="40" t="e">
        <f t="shared" si="118"/>
        <v>#DIV/0!</v>
      </c>
      <c r="H178" s="40">
        <f t="shared" si="118"/>
        <v>1301956.4486678736</v>
      </c>
      <c r="I178" s="40" t="e">
        <f t="shared" si="118"/>
        <v>#DIV/0!</v>
      </c>
      <c r="J178" s="40" t="e">
        <f t="shared" si="118"/>
        <v>#DIV/0!</v>
      </c>
      <c r="K178" s="40" t="e">
        <f t="shared" si="118"/>
        <v>#DIV/0!</v>
      </c>
      <c r="L178" s="40" t="e">
        <f t="shared" si="118"/>
        <v>#DIV/0!</v>
      </c>
      <c r="M178" s="40" t="e">
        <f t="shared" si="118"/>
        <v>#DIV/0!</v>
      </c>
      <c r="N178" s="40" t="e">
        <f t="shared" si="118"/>
        <v>#DIV/0!</v>
      </c>
      <c r="O178" s="40" t="e">
        <f t="shared" si="118"/>
        <v>#DIV/0!</v>
      </c>
      <c r="P178" s="40" t="e">
        <f t="shared" si="118"/>
        <v>#DIV/0!</v>
      </c>
      <c r="Q178" s="40" t="e">
        <f t="shared" si="118"/>
        <v>#DIV/0!</v>
      </c>
      <c r="R178" s="61" t="e">
        <f t="shared" si="117"/>
        <v>#DIV/0!</v>
      </c>
      <c r="S178" s="40">
        <f>($D$78-S78)*S33/60*$E$215</f>
        <v>1301956.4486678736</v>
      </c>
      <c r="T178" s="40" t="e">
        <f>($D$78-T78)*T33/60*$E$215</f>
        <v>#DIV/0!</v>
      </c>
      <c r="U178" s="27" t="e">
        <f t="shared" si="115"/>
        <v>#DIV/0!</v>
      </c>
      <c r="V178" s="40">
        <f>($D$78-V78)*V33/60*$E$215</f>
        <v>1301956.4486678736</v>
      </c>
      <c r="X178" s="62"/>
    </row>
    <row r="179" spans="1:24">
      <c r="A179" s="7869"/>
      <c r="B179" s="96" t="s">
        <v>45</v>
      </c>
      <c r="C179" s="2841">
        <v>-14945990.517432233</v>
      </c>
      <c r="D179" s="6718">
        <v>2895308.2286484153</v>
      </c>
      <c r="E179" s="6035">
        <f>(D79-E79)*E34/60*E216</f>
        <v>8375987.330837369</v>
      </c>
      <c r="F179" s="40">
        <f t="shared" ref="F179:Q179" si="119">($D$79-F79)*F34/60*$E$216</f>
        <v>1516901.5302850995</v>
      </c>
      <c r="G179" s="40">
        <f t="shared" si="119"/>
        <v>722673.40755644231</v>
      </c>
      <c r="H179" s="40">
        <f t="shared" si="119"/>
        <v>-764933.87879110908</v>
      </c>
      <c r="I179" s="40" t="e">
        <f t="shared" si="119"/>
        <v>#DIV/0!</v>
      </c>
      <c r="J179" s="40" t="e">
        <f t="shared" si="119"/>
        <v>#DIV/0!</v>
      </c>
      <c r="K179" s="40" t="e">
        <f t="shared" si="119"/>
        <v>#DIV/0!</v>
      </c>
      <c r="L179" s="40" t="e">
        <f t="shared" si="119"/>
        <v>#DIV/0!</v>
      </c>
      <c r="M179" s="40" t="e">
        <f t="shared" si="119"/>
        <v>#DIV/0!</v>
      </c>
      <c r="N179" s="40" t="e">
        <f t="shared" si="119"/>
        <v>#DIV/0!</v>
      </c>
      <c r="O179" s="40" t="e">
        <f t="shared" si="119"/>
        <v>#DIV/0!</v>
      </c>
      <c r="P179" s="40" t="e">
        <f t="shared" si="119"/>
        <v>#DIV/0!</v>
      </c>
      <c r="Q179" s="40" t="e">
        <f t="shared" si="119"/>
        <v>#DIV/0!</v>
      </c>
      <c r="R179" s="61">
        <f t="shared" si="117"/>
        <v>1474641.0590504329</v>
      </c>
      <c r="S179" s="40">
        <f>($D$79-S79)*S34/60*$E$216</f>
        <v>1453515.0903888121</v>
      </c>
      <c r="T179" s="40" t="e">
        <f>($D$79-T79)*T34/60*$E$216</f>
        <v>#DIV/0!</v>
      </c>
      <c r="U179" s="27" t="e">
        <f t="shared" si="115"/>
        <v>#DIV/0!</v>
      </c>
      <c r="V179" s="40">
        <f>($C$79-V79)*V34/60*$E$216</f>
        <v>2260944.6170071578</v>
      </c>
      <c r="X179" s="62"/>
    </row>
    <row r="180" spans="1:24">
      <c r="A180" s="7869"/>
      <c r="B180" s="96" t="s">
        <v>17</v>
      </c>
      <c r="C180" s="2841">
        <v>-6329298.7789351037</v>
      </c>
      <c r="D180" s="6718">
        <v>6676200.2955205953</v>
      </c>
      <c r="E180" s="6035">
        <f>(D80-E80)*E35/60*E217</f>
        <v>353272.74057593493</v>
      </c>
      <c r="F180" s="40">
        <f t="shared" ref="F180:Q180" si="120">($D$80-F80)*F35/60*$E$217</f>
        <v>449708.80626625306</v>
      </c>
      <c r="G180" s="40">
        <f t="shared" si="120"/>
        <v>409693.23616122163</v>
      </c>
      <c r="H180" s="40">
        <f t="shared" si="120"/>
        <v>486919.21898572316</v>
      </c>
      <c r="I180" s="40" t="e">
        <f t="shared" si="120"/>
        <v>#DIV/0!</v>
      </c>
      <c r="J180" s="40" t="e">
        <f t="shared" si="120"/>
        <v>#DIV/0!</v>
      </c>
      <c r="K180" s="40" t="e">
        <f t="shared" si="120"/>
        <v>#DIV/0!</v>
      </c>
      <c r="L180" s="40" t="e">
        <f t="shared" si="120"/>
        <v>#DIV/0!</v>
      </c>
      <c r="M180" s="40" t="e">
        <f t="shared" si="120"/>
        <v>#DIV/0!</v>
      </c>
      <c r="N180" s="40" t="e">
        <f t="shared" si="120"/>
        <v>#DIV/0!</v>
      </c>
      <c r="O180" s="40" t="e">
        <f t="shared" si="120"/>
        <v>#DIV/0!</v>
      </c>
      <c r="P180" s="40" t="e">
        <f t="shared" si="120"/>
        <v>#DIV/0!</v>
      </c>
      <c r="Q180" s="40" t="e">
        <f t="shared" si="120"/>
        <v>#DIV/0!</v>
      </c>
      <c r="R180" s="61">
        <f t="shared" si="117"/>
        <v>1346321.2614131977</v>
      </c>
      <c r="S180" s="40">
        <f>($D$80-S80)*S34/60*$E$217</f>
        <v>1477266.0081711973</v>
      </c>
      <c r="T180" s="40" t="e">
        <f>($D$80-T80)*T34/60*$E$217</f>
        <v>#DIV/0!</v>
      </c>
      <c r="U180" s="27" t="e">
        <f t="shared" si="115"/>
        <v>#DIV/0!</v>
      </c>
      <c r="V180" s="40">
        <f>($D$80-V80)*V34/60*$E$217</f>
        <v>1477266.0081711973</v>
      </c>
      <c r="X180" s="62"/>
    </row>
    <row r="181" spans="1:24">
      <c r="A181" s="7893"/>
      <c r="B181" s="439" t="s">
        <v>57</v>
      </c>
      <c r="C181" s="2841">
        <v>-19203555.853828676</v>
      </c>
      <c r="D181" s="6719">
        <v>75654997.908735529</v>
      </c>
      <c r="E181" s="2843">
        <f>SUM(E176:E180)</f>
        <v>10891730.888991637</v>
      </c>
      <c r="F181" s="46" t="e">
        <f t="shared" ref="F181:Q181" si="121">SUM(F176:F180)</f>
        <v>#DIV/0!</v>
      </c>
      <c r="G181" s="46" t="e">
        <f t="shared" si="121"/>
        <v>#DIV/0!</v>
      </c>
      <c r="H181" s="46">
        <f t="shared" si="121"/>
        <v>3521552.0784846274</v>
      </c>
      <c r="I181" s="46" t="e">
        <f t="shared" si="121"/>
        <v>#DIV/0!</v>
      </c>
      <c r="J181" s="46" t="e">
        <f t="shared" si="121"/>
        <v>#DIV/0!</v>
      </c>
      <c r="K181" s="46" t="e">
        <f t="shared" si="121"/>
        <v>#DIV/0!</v>
      </c>
      <c r="L181" s="46" t="e">
        <f t="shared" si="121"/>
        <v>#DIV/0!</v>
      </c>
      <c r="M181" s="46" t="e">
        <f t="shared" si="121"/>
        <v>#DIV/0!</v>
      </c>
      <c r="N181" s="46" t="e">
        <f t="shared" si="121"/>
        <v>#DIV/0!</v>
      </c>
      <c r="O181" s="46" t="e">
        <f t="shared" si="121"/>
        <v>#DIV/0!</v>
      </c>
      <c r="P181" s="46" t="e">
        <f t="shared" si="121"/>
        <v>#DIV/0!</v>
      </c>
      <c r="Q181" s="46" t="e">
        <f t="shared" si="121"/>
        <v>#DIV/0!</v>
      </c>
      <c r="R181" s="39" t="e">
        <f t="shared" si="117"/>
        <v>#DIV/0!</v>
      </c>
      <c r="S181" s="46">
        <f>SUM(S176:S180)</f>
        <v>4836577.1969225565</v>
      </c>
      <c r="T181" s="46" t="e">
        <f>SUM(T176:T180)</f>
        <v>#DIV/0!</v>
      </c>
      <c r="U181" s="27" t="e">
        <f t="shared" si="115"/>
        <v>#DIV/0!</v>
      </c>
      <c r="V181" s="46">
        <f>SUM(V176:V180)</f>
        <v>7537777.3634683676</v>
      </c>
      <c r="X181" s="62"/>
    </row>
    <row r="182" spans="1:24">
      <c r="A182" s="7892" t="s">
        <v>72</v>
      </c>
      <c r="B182" s="440" t="s">
        <v>39</v>
      </c>
      <c r="C182" s="2841">
        <v>899750.77853422274</v>
      </c>
      <c r="D182" s="6717">
        <v>-8590971.5124461073</v>
      </c>
      <c r="E182" s="6035">
        <f>(D81-E81)*E31/60*E213</f>
        <v>1576083.9396717406</v>
      </c>
      <c r="F182" s="94" t="e">
        <f t="shared" ref="F182:Q182" si="122">($D$81-F81)*F31/60*$E$213</f>
        <v>#DIV/0!</v>
      </c>
      <c r="G182" s="94" t="e">
        <f t="shared" si="122"/>
        <v>#DIV/0!</v>
      </c>
      <c r="H182" s="94">
        <f t="shared" si="122"/>
        <v>949848.82891362347</v>
      </c>
      <c r="I182" s="94" t="e">
        <f t="shared" si="122"/>
        <v>#DIV/0!</v>
      </c>
      <c r="J182" s="94" t="e">
        <f t="shared" si="122"/>
        <v>#DIV/0!</v>
      </c>
      <c r="K182" s="94" t="e">
        <f t="shared" si="122"/>
        <v>#DIV/0!</v>
      </c>
      <c r="L182" s="94" t="e">
        <f t="shared" si="122"/>
        <v>#DIV/0!</v>
      </c>
      <c r="M182" s="94" t="e">
        <f t="shared" si="122"/>
        <v>#DIV/0!</v>
      </c>
      <c r="N182" s="94" t="e">
        <f t="shared" si="122"/>
        <v>#DIV/0!</v>
      </c>
      <c r="O182" s="94" t="e">
        <f t="shared" si="122"/>
        <v>#DIV/0!</v>
      </c>
      <c r="P182" s="94" t="e">
        <f t="shared" si="122"/>
        <v>#DIV/0!</v>
      </c>
      <c r="Q182" s="94" t="e">
        <f t="shared" si="122"/>
        <v>#DIV/0!</v>
      </c>
      <c r="R182" s="63" t="e">
        <f t="shared" si="117"/>
        <v>#DIV/0!</v>
      </c>
      <c r="S182" s="94">
        <f>($D$81-S81)*S31/60*$E$213</f>
        <v>949848.82891362347</v>
      </c>
      <c r="T182" s="94" t="e">
        <f>($C$81-T81)*T31/60*$E$213</f>
        <v>#DIV/0!</v>
      </c>
      <c r="U182" s="27" t="e">
        <f t="shared" si="115"/>
        <v>#DIV/0!</v>
      </c>
      <c r="V182" s="94">
        <f>($D$81-V81)*V31/60*$E$213</f>
        <v>949848.82891362347</v>
      </c>
      <c r="X182" s="62"/>
    </row>
    <row r="183" spans="1:24">
      <c r="A183" s="7869"/>
      <c r="B183" s="96" t="s">
        <v>42</v>
      </c>
      <c r="C183" s="2841">
        <v>16356988.375394948</v>
      </c>
      <c r="D183" s="6718">
        <v>-48077894.476064451</v>
      </c>
      <c r="E183" s="6035">
        <f>(D82-E82)*E32/60*E214</f>
        <v>48629979.381958909</v>
      </c>
      <c r="F183" s="40" t="e">
        <f t="shared" ref="F183:Q183" si="123">($D$82-F82)*F32/60*$E$214</f>
        <v>#DIV/0!</v>
      </c>
      <c r="G183" s="40" t="e">
        <f t="shared" si="123"/>
        <v>#DIV/0!</v>
      </c>
      <c r="H183" s="40">
        <f t="shared" si="123"/>
        <v>2500716.9515883778</v>
      </c>
      <c r="I183" s="40" t="e">
        <f t="shared" si="123"/>
        <v>#DIV/0!</v>
      </c>
      <c r="J183" s="40" t="e">
        <f t="shared" si="123"/>
        <v>#DIV/0!</v>
      </c>
      <c r="K183" s="40" t="e">
        <f t="shared" si="123"/>
        <v>#DIV/0!</v>
      </c>
      <c r="L183" s="40" t="e">
        <f t="shared" si="123"/>
        <v>#DIV/0!</v>
      </c>
      <c r="M183" s="40" t="e">
        <f t="shared" si="123"/>
        <v>#DIV/0!</v>
      </c>
      <c r="N183" s="40" t="e">
        <f t="shared" si="123"/>
        <v>#DIV/0!</v>
      </c>
      <c r="O183" s="40" t="e">
        <f t="shared" si="123"/>
        <v>#DIV/0!</v>
      </c>
      <c r="P183" s="40" t="e">
        <f t="shared" si="123"/>
        <v>#DIV/0!</v>
      </c>
      <c r="Q183" s="40" t="e">
        <f t="shared" si="123"/>
        <v>#DIV/0!</v>
      </c>
      <c r="R183" s="61" t="e">
        <f t="shared" si="117"/>
        <v>#DIV/0!</v>
      </c>
      <c r="S183" s="40">
        <f>($D$82-S82)*S32/60*$E$214</f>
        <v>2500716.9515883778</v>
      </c>
      <c r="T183" s="40" t="e">
        <f>($C$82-T82)*T32/60*$E$214</f>
        <v>#DIV/0!</v>
      </c>
      <c r="U183" s="27" t="e">
        <f t="shared" si="115"/>
        <v>#DIV/0!</v>
      </c>
      <c r="V183" s="40">
        <f>($D$82-V82)*V32/60*$E$214</f>
        <v>2500716.9515883778</v>
      </c>
      <c r="X183" s="62"/>
    </row>
    <row r="184" spans="1:24">
      <c r="A184" s="7869"/>
      <c r="B184" s="96" t="s">
        <v>43</v>
      </c>
      <c r="C184" s="2841">
        <v>-14962421.694293654</v>
      </c>
      <c r="D184" s="6718">
        <v>47379481.573707387</v>
      </c>
      <c r="E184" s="6035">
        <f>(D83-E83)*E33/60*E215</f>
        <v>-11202472.299648186</v>
      </c>
      <c r="F184" s="40" t="e">
        <f t="shared" ref="F184:Q184" si="124">($D$83-F83)*F33/60*$E$215</f>
        <v>#DIV/0!</v>
      </c>
      <c r="G184" s="40" t="e">
        <f t="shared" si="124"/>
        <v>#DIV/0!</v>
      </c>
      <c r="H184" s="40">
        <f t="shared" si="124"/>
        <v>-1009597.6900449339</v>
      </c>
      <c r="I184" s="40" t="e">
        <f t="shared" si="124"/>
        <v>#DIV/0!</v>
      </c>
      <c r="J184" s="40" t="e">
        <f t="shared" si="124"/>
        <v>#DIV/0!</v>
      </c>
      <c r="K184" s="40" t="e">
        <f t="shared" si="124"/>
        <v>#DIV/0!</v>
      </c>
      <c r="L184" s="40" t="e">
        <f t="shared" si="124"/>
        <v>#DIV/0!</v>
      </c>
      <c r="M184" s="40" t="e">
        <f t="shared" si="124"/>
        <v>#DIV/0!</v>
      </c>
      <c r="N184" s="40" t="e">
        <f t="shared" si="124"/>
        <v>#DIV/0!</v>
      </c>
      <c r="O184" s="40" t="e">
        <f t="shared" si="124"/>
        <v>#DIV/0!</v>
      </c>
      <c r="P184" s="40" t="e">
        <f t="shared" si="124"/>
        <v>#DIV/0!</v>
      </c>
      <c r="Q184" s="40" t="e">
        <f t="shared" si="124"/>
        <v>#DIV/0!</v>
      </c>
      <c r="R184" s="61" t="e">
        <f t="shared" si="117"/>
        <v>#DIV/0!</v>
      </c>
      <c r="S184" s="40">
        <f>($D$83-S83)*S33/60*$E$215</f>
        <v>-1009597.6900449339</v>
      </c>
      <c r="T184" s="40" t="e">
        <f>($C$83-T83)*T33/60*$E$215</f>
        <v>#DIV/0!</v>
      </c>
      <c r="U184" s="27" t="e">
        <f t="shared" si="115"/>
        <v>#DIV/0!</v>
      </c>
      <c r="V184" s="40">
        <f>($D$83-V83)*V33/60*$E$215</f>
        <v>-1009597.6900449339</v>
      </c>
      <c r="X184" s="62"/>
    </row>
    <row r="185" spans="1:24">
      <c r="A185" s="7869"/>
      <c r="B185" s="96" t="s">
        <v>45</v>
      </c>
      <c r="C185" s="2841">
        <v>-3210606.9202077808</v>
      </c>
      <c r="D185" s="6718">
        <v>-1160269.4096966095</v>
      </c>
      <c r="E185" s="6035">
        <f>(D84-E84)*E34/60*E216</f>
        <v>8006970.9208310917</v>
      </c>
      <c r="F185" s="40">
        <f t="shared" ref="F185:Q185" si="125">($D$84-F84)*F34/60*$E$216</f>
        <v>-440607.31502782524</v>
      </c>
      <c r="G185" s="40">
        <f t="shared" si="125"/>
        <v>935174.90147928987</v>
      </c>
      <c r="H185" s="40">
        <f t="shared" si="125"/>
        <v>-2079452.3424568181</v>
      </c>
      <c r="I185" s="40" t="e">
        <f t="shared" si="125"/>
        <v>#DIV/0!</v>
      </c>
      <c r="J185" s="40" t="e">
        <f t="shared" si="125"/>
        <v>#DIV/0!</v>
      </c>
      <c r="K185" s="40" t="e">
        <f t="shared" si="125"/>
        <v>#DIV/0!</v>
      </c>
      <c r="L185" s="40" t="e">
        <f t="shared" si="125"/>
        <v>#DIV/0!</v>
      </c>
      <c r="M185" s="40" t="e">
        <f t="shared" si="125"/>
        <v>#DIV/0!</v>
      </c>
      <c r="N185" s="40" t="e">
        <f t="shared" si="125"/>
        <v>#DIV/0!</v>
      </c>
      <c r="O185" s="40" t="e">
        <f t="shared" si="125"/>
        <v>#DIV/0!</v>
      </c>
      <c r="P185" s="40" t="e">
        <f t="shared" si="125"/>
        <v>#DIV/0!</v>
      </c>
      <c r="Q185" s="40" t="e">
        <f t="shared" si="125"/>
        <v>#DIV/0!</v>
      </c>
      <c r="R185" s="61">
        <f t="shared" si="117"/>
        <v>-1584884.7560053535</v>
      </c>
      <c r="S185" s="40">
        <f>($D$84-S84)*S34/60*$E$217</f>
        <v>-1802277.0439810336</v>
      </c>
      <c r="T185" s="40" t="e">
        <f>($C$84-T84)*T34/60*$E$217</f>
        <v>#DIV/0!</v>
      </c>
      <c r="U185" s="27" t="e">
        <f t="shared" si="115"/>
        <v>#DIV/0!</v>
      </c>
      <c r="V185" s="40">
        <f>($D$84-V84)*V34/60*$E$216</f>
        <v>-1636576.3205075751</v>
      </c>
      <c r="X185" s="62"/>
    </row>
    <row r="186" spans="1:24">
      <c r="A186" s="7869"/>
      <c r="B186" s="96" t="s">
        <v>17</v>
      </c>
      <c r="C186" s="2841">
        <v>-680412.21939613658</v>
      </c>
      <c r="D186" s="6718">
        <v>-9534695.2333868388</v>
      </c>
      <c r="E186" s="6035">
        <f>(D85-E85)*E35/60*E217</f>
        <v>4601019.919066824</v>
      </c>
      <c r="F186" s="40">
        <f t="shared" ref="F186:Q186" si="126">($D$85-F85)*F35/60*$E$217</f>
        <v>1024234.7505982417</v>
      </c>
      <c r="G186" s="40">
        <f t="shared" si="126"/>
        <v>933097.24807331304</v>
      </c>
      <c r="H186" s="40">
        <f t="shared" si="126"/>
        <v>-1869609.1140843565</v>
      </c>
      <c r="I186" s="40" t="e">
        <f t="shared" si="126"/>
        <v>#DIV/0!</v>
      </c>
      <c r="J186" s="40" t="e">
        <f t="shared" si="126"/>
        <v>#DIV/0!</v>
      </c>
      <c r="K186" s="40" t="e">
        <f t="shared" si="126"/>
        <v>#DIV/0!</v>
      </c>
      <c r="L186" s="40" t="e">
        <f t="shared" si="126"/>
        <v>#DIV/0!</v>
      </c>
      <c r="M186" s="40" t="e">
        <f t="shared" si="126"/>
        <v>#DIV/0!</v>
      </c>
      <c r="N186" s="40" t="e">
        <f t="shared" si="126"/>
        <v>#DIV/0!</v>
      </c>
      <c r="O186" s="40" t="e">
        <f t="shared" si="126"/>
        <v>#DIV/0!</v>
      </c>
      <c r="P186" s="40" t="e">
        <f t="shared" si="126"/>
        <v>#DIV/0!</v>
      </c>
      <c r="Q186" s="40" t="e">
        <f t="shared" si="126"/>
        <v>#DIV/0!</v>
      </c>
      <c r="R186" s="61">
        <f t="shared" si="117"/>
        <v>87722.884587198263</v>
      </c>
      <c r="S186" s="40">
        <f>($D$85-S85)*S34/60*$E$217</f>
        <v>162554.31878587921</v>
      </c>
      <c r="T186" s="40" t="e">
        <f>($C$85-T85)*T34/60*$E$217</f>
        <v>#DIV/0!</v>
      </c>
      <c r="U186" s="27" t="e">
        <f t="shared" si="115"/>
        <v>#DIV/0!</v>
      </c>
      <c r="V186" s="40">
        <f>($D$85-V85)*V34/60*$E$217</f>
        <v>162554.31878587921</v>
      </c>
      <c r="X186" s="62"/>
    </row>
    <row r="187" spans="1:24">
      <c r="A187" s="7893"/>
      <c r="B187" s="439" t="s">
        <v>57</v>
      </c>
      <c r="C187" s="2841">
        <v>-1596701.6799684009</v>
      </c>
      <c r="D187" s="6719">
        <v>-19984349.057886615</v>
      </c>
      <c r="E187" s="2844">
        <f>SUM(E182:E186)</f>
        <v>51611581.861880377</v>
      </c>
      <c r="F187" s="775" t="e">
        <f>SUM(F182:F186)</f>
        <v>#DIV/0!</v>
      </c>
      <c r="G187" s="46" t="e">
        <f t="shared" ref="G187:Q187" si="127">SUM(G182:G186)</f>
        <v>#DIV/0!</v>
      </c>
      <c r="H187" s="46">
        <f t="shared" si="127"/>
        <v>-1508093.3660841072</v>
      </c>
      <c r="I187" s="46" t="e">
        <f t="shared" si="127"/>
        <v>#DIV/0!</v>
      </c>
      <c r="J187" s="46" t="e">
        <f t="shared" si="127"/>
        <v>#DIV/0!</v>
      </c>
      <c r="K187" s="46" t="e">
        <f t="shared" si="127"/>
        <v>#DIV/0!</v>
      </c>
      <c r="L187" s="46" t="e">
        <f t="shared" si="127"/>
        <v>#DIV/0!</v>
      </c>
      <c r="M187" s="46" t="e">
        <f t="shared" si="127"/>
        <v>#DIV/0!</v>
      </c>
      <c r="N187" s="46" t="e">
        <f t="shared" si="127"/>
        <v>#DIV/0!</v>
      </c>
      <c r="O187" s="46" t="e">
        <f t="shared" si="127"/>
        <v>#DIV/0!</v>
      </c>
      <c r="P187" s="46" t="e">
        <f t="shared" si="127"/>
        <v>#DIV/0!</v>
      </c>
      <c r="Q187" s="46" t="e">
        <f t="shared" si="127"/>
        <v>#DIV/0!</v>
      </c>
      <c r="R187" s="39" t="e">
        <f t="shared" si="117"/>
        <v>#DIV/0!</v>
      </c>
      <c r="S187" s="46">
        <f>SUM(S182:S186)</f>
        <v>801245.36526191293</v>
      </c>
      <c r="T187" s="46" t="e">
        <f>SUM(T182:T186)</f>
        <v>#DIV/0!</v>
      </c>
      <c r="U187" s="27" t="e">
        <f t="shared" si="115"/>
        <v>#DIV/0!</v>
      </c>
      <c r="V187" s="46">
        <f>SUM(V182:V186)</f>
        <v>966946.08873537148</v>
      </c>
      <c r="X187" s="62"/>
    </row>
    <row r="188" spans="1:24">
      <c r="A188" s="7869" t="s">
        <v>796</v>
      </c>
      <c r="B188" s="96" t="s">
        <v>43</v>
      </c>
      <c r="C188" s="2841">
        <v>-45942300.25</v>
      </c>
      <c r="D188" s="6718">
        <v>-4489922.2499217149</v>
      </c>
      <c r="E188" s="2842">
        <f>(D42-E42)*F215</f>
        <v>-8979844.4998434298</v>
      </c>
      <c r="F188" s="40">
        <f t="shared" ref="F188:Q188" si="128">($D$42/12-F42)*$F$215</f>
        <v>748320.37498695252</v>
      </c>
      <c r="G188" s="40">
        <f t="shared" si="128"/>
        <v>748320.37498695252</v>
      </c>
      <c r="H188" s="40">
        <f t="shared" si="128"/>
        <v>-2244961.1249608574</v>
      </c>
      <c r="I188" s="40">
        <f t="shared" si="128"/>
        <v>748320.37498695252</v>
      </c>
      <c r="J188" s="40">
        <f t="shared" si="128"/>
        <v>748320.37498695252</v>
      </c>
      <c r="K188" s="40">
        <f t="shared" si="128"/>
        <v>748320.37498695252</v>
      </c>
      <c r="L188" s="40">
        <f t="shared" si="128"/>
        <v>748320.37498695252</v>
      </c>
      <c r="M188" s="40">
        <f t="shared" si="128"/>
        <v>748320.37498695252</v>
      </c>
      <c r="N188" s="40">
        <f t="shared" si="128"/>
        <v>748320.37498695252</v>
      </c>
      <c r="O188" s="40">
        <f t="shared" si="128"/>
        <v>748320.37498695252</v>
      </c>
      <c r="P188" s="40">
        <f t="shared" si="128"/>
        <v>748320.37498695252</v>
      </c>
      <c r="Q188" s="40">
        <f t="shared" si="128"/>
        <v>748320.37498695252</v>
      </c>
      <c r="R188" s="61">
        <f t="shared" si="117"/>
        <v>-748320.3749869524</v>
      </c>
      <c r="S188" s="40">
        <f>($D$42/12-S42)*$F$215</f>
        <v>-2244961.1249608574</v>
      </c>
      <c r="T188" s="40">
        <f>($C$42/12-T42)*$F$215</f>
        <v>4489922.2499217149</v>
      </c>
      <c r="U188" s="27">
        <f t="shared" si="115"/>
        <v>4489922.2499217149</v>
      </c>
      <c r="V188" s="40">
        <f>($D$42/12-V42)*$F$215</f>
        <v>-2244961.1249608574</v>
      </c>
    </row>
    <row r="189" spans="1:24">
      <c r="A189" s="7870"/>
      <c r="B189" s="96" t="s">
        <v>45</v>
      </c>
      <c r="C189" s="2841">
        <v>-10702673</v>
      </c>
      <c r="D189" s="6718">
        <v>-6226761.9476876194</v>
      </c>
      <c r="E189" s="2842">
        <f>(D43-E43)*F216</f>
        <v>3695974.4941210798</v>
      </c>
      <c r="F189" s="40">
        <f t="shared" ref="F189:Q189" si="129">($D$43/12-F43)*$F$216</f>
        <v>923993.62353026995</v>
      </c>
      <c r="G189" s="40">
        <f t="shared" si="129"/>
        <v>-307997.87451008998</v>
      </c>
      <c r="H189" s="40">
        <f t="shared" si="129"/>
        <v>-307997.87451008998</v>
      </c>
      <c r="I189" s="40">
        <f t="shared" si="129"/>
        <v>923993.62353026995</v>
      </c>
      <c r="J189" s="40">
        <f t="shared" si="129"/>
        <v>923993.62353026995</v>
      </c>
      <c r="K189" s="40">
        <f t="shared" si="129"/>
        <v>923993.62353026995</v>
      </c>
      <c r="L189" s="40">
        <f t="shared" si="129"/>
        <v>923993.62353026995</v>
      </c>
      <c r="M189" s="40">
        <f t="shared" si="129"/>
        <v>923993.62353026995</v>
      </c>
      <c r="N189" s="40">
        <f t="shared" si="129"/>
        <v>923993.62353026995</v>
      </c>
      <c r="O189" s="40">
        <f t="shared" si="129"/>
        <v>923993.62353026995</v>
      </c>
      <c r="P189" s="40">
        <f t="shared" si="129"/>
        <v>923993.62353026995</v>
      </c>
      <c r="Q189" s="40">
        <f t="shared" si="129"/>
        <v>923993.62353026995</v>
      </c>
      <c r="R189" s="61">
        <f t="shared" si="117"/>
        <v>307997.87451008998</v>
      </c>
      <c r="S189" s="40">
        <f>($D$43/12-S43)*$F$216</f>
        <v>-1539989.3725504498</v>
      </c>
      <c r="T189" s="40">
        <f>($C$43/12-T43)*$F$217</f>
        <v>366280.11456985999</v>
      </c>
      <c r="U189" s="27">
        <f t="shared" si="115"/>
        <v>5543961.7411816195</v>
      </c>
      <c r="V189" s="40">
        <f>($D$43/12-V43)*$F$216</f>
        <v>-1539989.3725504498</v>
      </c>
    </row>
    <row r="190" spans="1:24">
      <c r="A190" s="7871"/>
      <c r="B190" s="439" t="s">
        <v>17</v>
      </c>
      <c r="C190" s="2841">
        <v>-10860065.25</v>
      </c>
      <c r="D190" s="6719">
        <v>-2563960.8019890198</v>
      </c>
      <c r="E190" s="2845">
        <f>(D44-E44)*F217</f>
        <v>0</v>
      </c>
      <c r="F190" s="95">
        <f t="shared" ref="F190:Q190" si="130">($D$44/12-F44)*$F$217</f>
        <v>244186.74304657331</v>
      </c>
      <c r="G190" s="95">
        <f t="shared" si="130"/>
        <v>244186.74304657331</v>
      </c>
      <c r="H190" s="95">
        <f t="shared" si="130"/>
        <v>244186.74304657331</v>
      </c>
      <c r="I190" s="95">
        <f t="shared" si="130"/>
        <v>244186.74304657331</v>
      </c>
      <c r="J190" s="95">
        <f t="shared" si="130"/>
        <v>244186.74304657331</v>
      </c>
      <c r="K190" s="95">
        <f t="shared" si="130"/>
        <v>244186.74304657331</v>
      </c>
      <c r="L190" s="95">
        <f t="shared" si="130"/>
        <v>244186.74304657331</v>
      </c>
      <c r="M190" s="95">
        <f t="shared" si="130"/>
        <v>244186.74304657331</v>
      </c>
      <c r="N190" s="95">
        <f t="shared" si="130"/>
        <v>244186.74304657331</v>
      </c>
      <c r="O190" s="95">
        <f t="shared" si="130"/>
        <v>244186.74304657331</v>
      </c>
      <c r="P190" s="95">
        <f t="shared" si="130"/>
        <v>244186.74304657331</v>
      </c>
      <c r="Q190" s="95">
        <f t="shared" si="130"/>
        <v>244186.74304657331</v>
      </c>
      <c r="R190" s="39">
        <f t="shared" si="117"/>
        <v>732560.22913971986</v>
      </c>
      <c r="S190" s="95">
        <f>($C$44/12-S44)*$F$217</f>
        <v>366280.11456985999</v>
      </c>
      <c r="T190" s="95">
        <f>($C$44/12-T44)*$F$217</f>
        <v>366280.11456985999</v>
      </c>
      <c r="U190" s="27">
        <f t="shared" si="115"/>
        <v>1465120.4582794399</v>
      </c>
      <c r="V190" s="95">
        <f>($D$44/12-V44)*$F$217</f>
        <v>244186.74304657331</v>
      </c>
    </row>
    <row r="191" spans="1:24" s="3" customFormat="1">
      <c r="A191" s="7866" t="s">
        <v>57</v>
      </c>
      <c r="B191" s="7867"/>
      <c r="C191" s="2841">
        <v>-67505038.5</v>
      </c>
      <c r="D191" s="5693">
        <v>-13280644.999598354</v>
      </c>
      <c r="E191" s="6721">
        <f>SUM(E188:E190)</f>
        <v>-5283870.0057223495</v>
      </c>
      <c r="F191" s="32">
        <f t="shared" ref="F191:Q191" si="131">SUM(F188:F190)</f>
        <v>1916500.7415637958</v>
      </c>
      <c r="G191" s="19">
        <f t="shared" si="131"/>
        <v>684509.2435234359</v>
      </c>
      <c r="H191" s="19">
        <f t="shared" si="131"/>
        <v>-2308772.2564243739</v>
      </c>
      <c r="I191" s="19">
        <f t="shared" si="131"/>
        <v>1916500.7415637958</v>
      </c>
      <c r="J191" s="19">
        <f t="shared" si="131"/>
        <v>1916500.7415637958</v>
      </c>
      <c r="K191" s="19">
        <f t="shared" si="131"/>
        <v>1916500.7415637958</v>
      </c>
      <c r="L191" s="19">
        <f t="shared" si="131"/>
        <v>1916500.7415637958</v>
      </c>
      <c r="M191" s="19">
        <f t="shared" si="131"/>
        <v>1916500.7415637958</v>
      </c>
      <c r="N191" s="19">
        <f t="shared" si="131"/>
        <v>1916500.7415637958</v>
      </c>
      <c r="O191" s="19">
        <f t="shared" si="131"/>
        <v>1916500.7415637958</v>
      </c>
      <c r="P191" s="21">
        <f t="shared" si="131"/>
        <v>1916500.7415637958</v>
      </c>
      <c r="Q191" s="20">
        <f t="shared" si="131"/>
        <v>1916500.7415637958</v>
      </c>
      <c r="R191" s="17">
        <f t="shared" si="117"/>
        <v>292237.72866285779</v>
      </c>
      <c r="S191" s="20">
        <f>SUM(S188:S190)</f>
        <v>-3418670.3829414472</v>
      </c>
      <c r="T191" s="20">
        <f>SUM(T188:T190)</f>
        <v>5222482.479061434</v>
      </c>
      <c r="U191" s="27">
        <f t="shared" si="115"/>
        <v>11499004.449382775</v>
      </c>
      <c r="V191" s="20">
        <f>SUM(V188:V190)</f>
        <v>-3540763.7544647339</v>
      </c>
    </row>
    <row r="192" spans="1:24">
      <c r="A192" s="7869" t="s">
        <v>797</v>
      </c>
      <c r="B192" s="96" t="s">
        <v>43</v>
      </c>
      <c r="C192" s="2841">
        <v>-33042245.5</v>
      </c>
      <c r="D192" s="6718">
        <v>-17460808.749695558</v>
      </c>
      <c r="E192" s="2842">
        <f>(D47-E47)*F215</f>
        <v>2993281.4999478101</v>
      </c>
      <c r="F192" s="40">
        <f t="shared" ref="F192:Q192" si="132">($D$47/12-F47)*$F$215</f>
        <v>1746080.874969556</v>
      </c>
      <c r="G192" s="40">
        <f t="shared" si="132"/>
        <v>1746080.874969556</v>
      </c>
      <c r="H192" s="40">
        <f t="shared" si="132"/>
        <v>-4240482.1249260642</v>
      </c>
      <c r="I192" s="40">
        <f t="shared" si="132"/>
        <v>1746080.874969556</v>
      </c>
      <c r="J192" s="40">
        <f t="shared" si="132"/>
        <v>1746080.874969556</v>
      </c>
      <c r="K192" s="40">
        <f t="shared" si="132"/>
        <v>1746080.874969556</v>
      </c>
      <c r="L192" s="40">
        <f t="shared" si="132"/>
        <v>1746080.874969556</v>
      </c>
      <c r="M192" s="40">
        <f t="shared" si="132"/>
        <v>1746080.874969556</v>
      </c>
      <c r="N192" s="40">
        <f t="shared" si="132"/>
        <v>1746080.874969556</v>
      </c>
      <c r="O192" s="40">
        <f t="shared" si="132"/>
        <v>1746080.874969556</v>
      </c>
      <c r="P192" s="40">
        <f t="shared" si="132"/>
        <v>1746080.874969556</v>
      </c>
      <c r="Q192" s="40">
        <f t="shared" si="132"/>
        <v>1746080.874969556</v>
      </c>
      <c r="R192" s="61">
        <f t="shared" si="117"/>
        <v>-748320.37498695217</v>
      </c>
      <c r="S192" s="40">
        <f>($C$47/12-S47)*$F$215</f>
        <v>-2494401.2499565082</v>
      </c>
      <c r="T192" s="40">
        <f>($C$47/12-T47)*$F$215</f>
        <v>3492161.749939112</v>
      </c>
      <c r="U192" s="27">
        <f t="shared" si="115"/>
        <v>10476485.249817338</v>
      </c>
      <c r="V192" s="40">
        <f>($D$47/12-V47)*$F$215</f>
        <v>-4240482.1249260642</v>
      </c>
    </row>
    <row r="193" spans="1:24">
      <c r="A193" s="7870"/>
      <c r="B193" s="96" t="s">
        <v>45</v>
      </c>
      <c r="C193" s="2841">
        <v>-10387888.5</v>
      </c>
      <c r="D193" s="6718">
        <v>-1098840.3437095799</v>
      </c>
      <c r="E193" s="2842">
        <f>(D48-E48)*F216</f>
        <v>-1231991.4980403599</v>
      </c>
      <c r="F193" s="40">
        <f t="shared" ref="F193:Q193" si="133">($D$48/12-F48)*$F$216</f>
        <v>-1026659.5817003</v>
      </c>
      <c r="G193" s="40">
        <f t="shared" si="133"/>
        <v>205331.91634005998</v>
      </c>
      <c r="H193" s="40">
        <f t="shared" si="133"/>
        <v>-1026659.5817003</v>
      </c>
      <c r="I193" s="40">
        <f t="shared" si="133"/>
        <v>205331.91634005998</v>
      </c>
      <c r="J193" s="40">
        <f t="shared" si="133"/>
        <v>205331.91634005998</v>
      </c>
      <c r="K193" s="40">
        <f t="shared" si="133"/>
        <v>205331.91634005998</v>
      </c>
      <c r="L193" s="40">
        <f t="shared" si="133"/>
        <v>205331.91634005998</v>
      </c>
      <c r="M193" s="40">
        <f t="shared" si="133"/>
        <v>205331.91634005998</v>
      </c>
      <c r="N193" s="40">
        <f t="shared" si="133"/>
        <v>205331.91634005998</v>
      </c>
      <c r="O193" s="40">
        <f t="shared" si="133"/>
        <v>205331.91634005998</v>
      </c>
      <c r="P193" s="40">
        <f t="shared" si="133"/>
        <v>205331.91634005998</v>
      </c>
      <c r="Q193" s="40">
        <f t="shared" si="133"/>
        <v>205331.91634005998</v>
      </c>
      <c r="R193" s="61">
        <f t="shared" si="117"/>
        <v>-1847987.2470605401</v>
      </c>
      <c r="S193" s="40">
        <f>($C$48/12-S48)*$F$217</f>
        <v>-1098840.3437095799</v>
      </c>
      <c r="T193" s="40">
        <f>($C$48/12-T48)*$F$217</f>
        <v>366280.11456985999</v>
      </c>
      <c r="U193" s="27">
        <f t="shared" si="115"/>
        <v>1231991.4980403599</v>
      </c>
      <c r="V193" s="40">
        <f>($D$48/12-V48)*$F$216</f>
        <v>-2258651.0797406598</v>
      </c>
    </row>
    <row r="194" spans="1:24">
      <c r="A194" s="7871"/>
      <c r="B194" s="439" t="s">
        <v>17</v>
      </c>
      <c r="C194" s="2841">
        <v>-3462629.5</v>
      </c>
      <c r="D194" s="6719">
        <v>-3540707.7741753128</v>
      </c>
      <c r="E194" s="2845">
        <f>(D49-E49)*F217</f>
        <v>732560.22913971997</v>
      </c>
      <c r="F194" s="95">
        <f t="shared" ref="F194:Q194" si="134">($D$49/12-F49)*$F$217</f>
        <v>305233.42880821665</v>
      </c>
      <c r="G194" s="95">
        <f t="shared" si="134"/>
        <v>305233.42880821665</v>
      </c>
      <c r="H194" s="95">
        <f t="shared" si="134"/>
        <v>-1159887.0294712232</v>
      </c>
      <c r="I194" s="95">
        <f t="shared" si="134"/>
        <v>305233.42880821665</v>
      </c>
      <c r="J194" s="95">
        <f t="shared" si="134"/>
        <v>305233.42880821665</v>
      </c>
      <c r="K194" s="95">
        <f t="shared" si="134"/>
        <v>305233.42880821665</v>
      </c>
      <c r="L194" s="95">
        <f t="shared" si="134"/>
        <v>305233.42880821665</v>
      </c>
      <c r="M194" s="95">
        <f t="shared" si="134"/>
        <v>305233.42880821665</v>
      </c>
      <c r="N194" s="95">
        <f t="shared" si="134"/>
        <v>305233.42880821665</v>
      </c>
      <c r="O194" s="95">
        <f t="shared" si="134"/>
        <v>305233.42880821665</v>
      </c>
      <c r="P194" s="95">
        <f t="shared" si="134"/>
        <v>305233.42880821665</v>
      </c>
      <c r="Q194" s="95">
        <f t="shared" si="134"/>
        <v>305233.42880821665</v>
      </c>
      <c r="R194" s="39">
        <f t="shared" si="117"/>
        <v>-549420.17185478995</v>
      </c>
      <c r="S194" s="95">
        <f>($C$49/12-S49)*$F$217</f>
        <v>-1343027.0867561533</v>
      </c>
      <c r="T194" s="95">
        <f>($C$49/12-T49)*$F$217</f>
        <v>122093.37152328665</v>
      </c>
      <c r="U194" s="27">
        <f t="shared" si="115"/>
        <v>1831400.5728493</v>
      </c>
      <c r="V194" s="95">
        <f>($D$49/12-V49)*$F$217</f>
        <v>-1159887.0294712232</v>
      </c>
    </row>
    <row r="195" spans="1:24" s="3" customFormat="1">
      <c r="A195" s="7866" t="s">
        <v>57</v>
      </c>
      <c r="B195" s="7867"/>
      <c r="C195" s="2841">
        <v>-46892763.5</v>
      </c>
      <c r="D195" s="5693">
        <v>-22100356.867580451</v>
      </c>
      <c r="E195" s="6721">
        <f>SUM(E192:E194)</f>
        <v>2493850.2310471702</v>
      </c>
      <c r="F195" s="32">
        <f t="shared" ref="F195:Q195" si="135">SUM(F192:F194)</f>
        <v>1024654.7220774726</v>
      </c>
      <c r="G195" s="19">
        <f t="shared" si="135"/>
        <v>2256646.2201178325</v>
      </c>
      <c r="H195" s="19">
        <f t="shared" si="135"/>
        <v>-6427028.7360975873</v>
      </c>
      <c r="I195" s="19">
        <f t="shared" si="135"/>
        <v>2256646.2201178325</v>
      </c>
      <c r="J195" s="19">
        <f t="shared" si="135"/>
        <v>2256646.2201178325</v>
      </c>
      <c r="K195" s="19">
        <f t="shared" si="135"/>
        <v>2256646.2201178325</v>
      </c>
      <c r="L195" s="19">
        <f t="shared" si="135"/>
        <v>2256646.2201178325</v>
      </c>
      <c r="M195" s="19">
        <f t="shared" si="135"/>
        <v>2256646.2201178325</v>
      </c>
      <c r="N195" s="19">
        <f t="shared" si="135"/>
        <v>2256646.2201178325</v>
      </c>
      <c r="O195" s="19">
        <f t="shared" si="135"/>
        <v>2256646.2201178325</v>
      </c>
      <c r="P195" s="21">
        <f t="shared" si="135"/>
        <v>2256646.2201178325</v>
      </c>
      <c r="Q195" s="20">
        <f t="shared" si="135"/>
        <v>2256646.2201178325</v>
      </c>
      <c r="R195" s="17">
        <f t="shared" si="117"/>
        <v>-3145727.7939022821</v>
      </c>
      <c r="S195" s="20">
        <f>SUM(S192:S194)</f>
        <v>-4936268.6804222409</v>
      </c>
      <c r="T195" s="20">
        <f>SUM(T192:T194)</f>
        <v>3980535.2360322587</v>
      </c>
      <c r="U195" s="27">
        <f t="shared" si="115"/>
        <v>13539877.320706997</v>
      </c>
      <c r="V195" s="20">
        <f>SUM(V192:V194)</f>
        <v>-7659020.2341379477</v>
      </c>
      <c r="X195" s="4"/>
    </row>
    <row r="196" spans="1:24">
      <c r="A196" s="7920" t="s">
        <v>73</v>
      </c>
      <c r="B196" s="7920"/>
      <c r="C196" s="2841">
        <v>-86708594.353828669</v>
      </c>
      <c r="D196" s="6717">
        <v>62374352.909137174</v>
      </c>
      <c r="E196" s="6036">
        <f>E191+E181</f>
        <v>5607860.8832692876</v>
      </c>
      <c r="F196" s="63" t="e">
        <f t="shared" ref="F196:Q196" si="136">F191+F181</f>
        <v>#DIV/0!</v>
      </c>
      <c r="G196" s="63" t="e">
        <f t="shared" si="136"/>
        <v>#DIV/0!</v>
      </c>
      <c r="H196" s="63">
        <f t="shared" si="136"/>
        <v>1212779.8220602535</v>
      </c>
      <c r="I196" s="63" t="e">
        <f t="shared" si="136"/>
        <v>#DIV/0!</v>
      </c>
      <c r="J196" s="63" t="e">
        <f t="shared" si="136"/>
        <v>#DIV/0!</v>
      </c>
      <c r="K196" s="63" t="e">
        <f t="shared" si="136"/>
        <v>#DIV/0!</v>
      </c>
      <c r="L196" s="63" t="e">
        <f t="shared" si="136"/>
        <v>#DIV/0!</v>
      </c>
      <c r="M196" s="63" t="e">
        <f t="shared" si="136"/>
        <v>#DIV/0!</v>
      </c>
      <c r="N196" s="63" t="e">
        <f t="shared" si="136"/>
        <v>#DIV/0!</v>
      </c>
      <c r="O196" s="63" t="e">
        <f t="shared" si="136"/>
        <v>#DIV/0!</v>
      </c>
      <c r="P196" s="63" t="e">
        <f t="shared" si="136"/>
        <v>#DIV/0!</v>
      </c>
      <c r="Q196" s="63" t="e">
        <f t="shared" si="136"/>
        <v>#DIV/0!</v>
      </c>
      <c r="R196" s="63" t="e">
        <f t="shared" si="117"/>
        <v>#DIV/0!</v>
      </c>
      <c r="S196" s="63">
        <f>S191+S181</f>
        <v>1417906.8139811093</v>
      </c>
      <c r="T196" s="63" t="e">
        <f>T191+T181</f>
        <v>#DIV/0!</v>
      </c>
      <c r="U196" s="27" t="e">
        <f t="shared" si="115"/>
        <v>#DIV/0!</v>
      </c>
      <c r="V196" s="63">
        <f>V191+V181</f>
        <v>3997013.6090036337</v>
      </c>
    </row>
    <row r="197" spans="1:24">
      <c r="A197" s="7917" t="s">
        <v>74</v>
      </c>
      <c r="B197" s="7917"/>
      <c r="C197" s="2846">
        <v>-48489465.179968402</v>
      </c>
      <c r="D197" s="6720">
        <v>-42084705.925467066</v>
      </c>
      <c r="E197" s="2843">
        <f>E195+E187</f>
        <v>54105432.092927545</v>
      </c>
      <c r="F197" s="39" t="e">
        <f t="shared" ref="F197:Q197" si="137">F195+F187</f>
        <v>#DIV/0!</v>
      </c>
      <c r="G197" s="39" t="e">
        <f t="shared" si="137"/>
        <v>#DIV/0!</v>
      </c>
      <c r="H197" s="39">
        <f t="shared" si="137"/>
        <v>-7935122.1021816945</v>
      </c>
      <c r="I197" s="39" t="e">
        <f t="shared" si="137"/>
        <v>#DIV/0!</v>
      </c>
      <c r="J197" s="39" t="e">
        <f t="shared" si="137"/>
        <v>#DIV/0!</v>
      </c>
      <c r="K197" s="39" t="e">
        <f t="shared" si="137"/>
        <v>#DIV/0!</v>
      </c>
      <c r="L197" s="39" t="e">
        <f t="shared" si="137"/>
        <v>#DIV/0!</v>
      </c>
      <c r="M197" s="39" t="e">
        <f t="shared" si="137"/>
        <v>#DIV/0!</v>
      </c>
      <c r="N197" s="39" t="e">
        <f t="shared" si="137"/>
        <v>#DIV/0!</v>
      </c>
      <c r="O197" s="39" t="e">
        <f t="shared" si="137"/>
        <v>#DIV/0!</v>
      </c>
      <c r="P197" s="39" t="e">
        <f t="shared" si="137"/>
        <v>#DIV/0!</v>
      </c>
      <c r="Q197" s="39" t="e">
        <f t="shared" si="137"/>
        <v>#DIV/0!</v>
      </c>
      <c r="R197" s="39" t="e">
        <f t="shared" si="117"/>
        <v>#DIV/0!</v>
      </c>
      <c r="S197" s="39">
        <f>S195+S187</f>
        <v>-4135023.3151603281</v>
      </c>
      <c r="T197" s="39" t="e">
        <f>T195+T187</f>
        <v>#DIV/0!</v>
      </c>
      <c r="U197" s="27" t="e">
        <f t="shared" si="115"/>
        <v>#DIV/0!</v>
      </c>
      <c r="V197" s="39">
        <f>V195+V187</f>
        <v>-6692074.1454025758</v>
      </c>
    </row>
    <row r="198" spans="1:24">
      <c r="A198" s="7918" t="s">
        <v>57</v>
      </c>
      <c r="B198" s="7919"/>
      <c r="C198" s="2847">
        <v>-135198059.53379709</v>
      </c>
      <c r="D198" s="5694">
        <v>20289646.983670108</v>
      </c>
      <c r="E198" s="6255">
        <f>SUM(E196:E197)</f>
        <v>59713292.976196833</v>
      </c>
      <c r="F198" s="33" t="e">
        <f t="shared" ref="F198:P198" si="138">SUM(F196:F197)</f>
        <v>#DIV/0!</v>
      </c>
      <c r="G198" s="11" t="e">
        <f t="shared" si="138"/>
        <v>#DIV/0!</v>
      </c>
      <c r="H198" s="11">
        <f t="shared" si="138"/>
        <v>-6722342.280121441</v>
      </c>
      <c r="I198" s="11" t="e">
        <f t="shared" si="138"/>
        <v>#DIV/0!</v>
      </c>
      <c r="J198" s="11" t="e">
        <f t="shared" si="138"/>
        <v>#DIV/0!</v>
      </c>
      <c r="K198" s="11" t="e">
        <f t="shared" si="138"/>
        <v>#DIV/0!</v>
      </c>
      <c r="L198" s="11" t="e">
        <f t="shared" si="138"/>
        <v>#DIV/0!</v>
      </c>
      <c r="M198" s="11" t="e">
        <f t="shared" si="138"/>
        <v>#DIV/0!</v>
      </c>
      <c r="N198" s="11" t="e">
        <f t="shared" si="138"/>
        <v>#DIV/0!</v>
      </c>
      <c r="O198" s="11" t="e">
        <f t="shared" si="138"/>
        <v>#DIV/0!</v>
      </c>
      <c r="P198" s="12" t="e">
        <f t="shared" si="138"/>
        <v>#DIV/0!</v>
      </c>
      <c r="Q198" s="18" t="e">
        <f>SUM(Q196:Q197)</f>
        <v>#DIV/0!</v>
      </c>
      <c r="R198" s="17" t="e">
        <f t="shared" si="117"/>
        <v>#DIV/0!</v>
      </c>
      <c r="S198" s="18">
        <f>SUM(S196:S197)</f>
        <v>-2717116.5011792188</v>
      </c>
      <c r="T198" s="18" t="e">
        <f>SUM(T196:T197)</f>
        <v>#DIV/0!</v>
      </c>
      <c r="U198" s="27" t="e">
        <f t="shared" si="115"/>
        <v>#DIV/0!</v>
      </c>
      <c r="V198" s="18">
        <f>SUM(V196:V197)</f>
        <v>-2695060.5363989421</v>
      </c>
    </row>
    <row r="199" spans="1:24">
      <c r="A199" s="5"/>
      <c r="B199" s="5"/>
      <c r="C199" s="489"/>
      <c r="D199" s="489"/>
      <c r="E199" s="98"/>
      <c r="F199" s="98"/>
      <c r="G199" s="98"/>
      <c r="H199" s="98"/>
      <c r="I199" s="98"/>
      <c r="J199" s="98"/>
      <c r="K199" s="98"/>
      <c r="L199" s="98"/>
      <c r="M199" s="98"/>
      <c r="N199" s="98"/>
      <c r="O199" s="98"/>
      <c r="P199" s="98"/>
      <c r="Q199" s="98"/>
      <c r="R199" s="98"/>
      <c r="S199" s="98"/>
      <c r="T199" s="98"/>
      <c r="U199" s="490"/>
      <c r="V199" s="98"/>
    </row>
    <row r="200" spans="1:24">
      <c r="A200" s="5"/>
      <c r="B200" s="5"/>
      <c r="C200" s="489"/>
      <c r="D200" s="489"/>
      <c r="E200" s="98"/>
      <c r="F200" s="98"/>
      <c r="G200" s="98"/>
      <c r="H200" s="98"/>
      <c r="I200" s="98"/>
      <c r="J200" s="98"/>
      <c r="K200" s="98"/>
      <c r="L200" s="98"/>
      <c r="M200" s="98"/>
      <c r="N200" s="98"/>
      <c r="O200" s="98"/>
      <c r="P200" s="98"/>
      <c r="Q200" s="98"/>
      <c r="R200" s="98"/>
      <c r="S200" s="98"/>
      <c r="T200" s="98"/>
      <c r="U200" s="490"/>
      <c r="V200" s="98"/>
      <c r="X200" s="4" t="s">
        <v>1884</v>
      </c>
    </row>
    <row r="201" spans="1:24">
      <c r="A201" s="5"/>
      <c r="B201" s="5"/>
      <c r="C201" s="489"/>
      <c r="D201" s="489"/>
      <c r="E201" s="98"/>
      <c r="F201" s="98"/>
      <c r="G201" s="98"/>
      <c r="H201" s="98"/>
      <c r="I201" s="98"/>
      <c r="J201" s="98"/>
      <c r="K201" s="98"/>
      <c r="L201" s="98"/>
      <c r="M201" s="98"/>
      <c r="N201" s="98"/>
      <c r="O201" s="98"/>
      <c r="P201" s="98"/>
      <c r="Q201" s="98"/>
      <c r="R201" s="98"/>
      <c r="S201" s="98"/>
      <c r="T201" s="98"/>
      <c r="U201" s="490"/>
      <c r="V201" s="98"/>
    </row>
    <row r="202" spans="1:24" ht="13.5">
      <c r="A202" s="5"/>
      <c r="B202" s="5"/>
      <c r="C202" s="489"/>
      <c r="D202" s="489"/>
      <c r="E202" s="98"/>
      <c r="F202" s="98"/>
      <c r="G202" s="98"/>
      <c r="H202" s="98"/>
      <c r="I202" s="98"/>
      <c r="J202" s="98"/>
      <c r="K202" s="98"/>
      <c r="L202" s="98"/>
      <c r="M202" s="98"/>
      <c r="N202" s="98"/>
      <c r="O202" s="98"/>
      <c r="P202" s="98"/>
      <c r="Q202" s="98"/>
      <c r="R202" s="98"/>
      <c r="S202" s="98"/>
      <c r="T202" s="98"/>
      <c r="U202" s="490"/>
      <c r="V202" s="98"/>
      <c r="X202" s="258" t="s">
        <v>1880</v>
      </c>
    </row>
    <row r="203" spans="1:24" ht="14.45" customHeight="1">
      <c r="A203" s="5"/>
      <c r="B203" s="5"/>
      <c r="C203" s="489"/>
      <c r="D203" s="489"/>
      <c r="E203" s="98"/>
      <c r="F203" s="98"/>
      <c r="G203" s="98"/>
      <c r="H203" s="98"/>
      <c r="I203" s="98"/>
      <c r="J203" s="98"/>
      <c r="K203" s="98"/>
      <c r="L203" s="98"/>
      <c r="M203" s="7910" t="s">
        <v>1266</v>
      </c>
      <c r="N203" s="2573" t="s">
        <v>1265</v>
      </c>
      <c r="O203" s="2573" t="s">
        <v>1260</v>
      </c>
      <c r="P203" s="2573" t="s">
        <v>1261</v>
      </c>
      <c r="Q203" s="2573" t="s">
        <v>1262</v>
      </c>
      <c r="R203" s="2573" t="s">
        <v>1263</v>
      </c>
      <c r="S203" s="2573" t="s">
        <v>1264</v>
      </c>
      <c r="T203" s="98"/>
      <c r="U203" s="490"/>
      <c r="V203" s="98"/>
      <c r="X203"/>
    </row>
    <row r="204" spans="1:24" ht="13.5">
      <c r="A204" s="5"/>
      <c r="B204" s="5"/>
      <c r="C204" s="489"/>
      <c r="D204" s="489"/>
      <c r="E204" s="98"/>
      <c r="F204" s="98"/>
      <c r="G204" s="98"/>
      <c r="H204" s="98"/>
      <c r="I204" s="98"/>
      <c r="J204" s="98"/>
      <c r="K204" s="98"/>
      <c r="L204" s="98"/>
      <c r="M204" s="7911"/>
      <c r="N204" s="2574" t="s">
        <v>1257</v>
      </c>
      <c r="O204" s="2572">
        <v>368963.72050266073</v>
      </c>
      <c r="P204" s="2572">
        <v>494378.57449204411</v>
      </c>
      <c r="Q204" s="2572">
        <v>1008152.4272189199</v>
      </c>
      <c r="R204" s="2572">
        <v>522609.05837094138</v>
      </c>
      <c r="S204" s="2572">
        <v>501834.61633180169</v>
      </c>
      <c r="T204" s="98"/>
      <c r="U204" s="490"/>
      <c r="V204" s="98"/>
      <c r="X204" s="258" t="s">
        <v>1882</v>
      </c>
    </row>
    <row r="205" spans="1:24" ht="13.5">
      <c r="A205" s="5"/>
      <c r="B205" s="5"/>
      <c r="C205" s="489"/>
      <c r="D205" s="489"/>
      <c r="E205" s="98"/>
      <c r="F205" s="7" t="s">
        <v>207</v>
      </c>
      <c r="G205" s="106" t="s">
        <v>241</v>
      </c>
      <c r="H205" s="112" t="s">
        <v>208</v>
      </c>
      <c r="I205" s="110" t="s">
        <v>207</v>
      </c>
      <c r="J205" s="13" t="s">
        <v>703</v>
      </c>
      <c r="K205" s="8" t="s">
        <v>704</v>
      </c>
      <c r="L205" s="98"/>
      <c r="M205" s="7911"/>
      <c r="N205" s="2574" t="s">
        <v>1258</v>
      </c>
      <c r="O205" s="2572">
        <v>713289.80934813083</v>
      </c>
      <c r="P205" s="2572">
        <v>633799.03050183598</v>
      </c>
      <c r="Q205" s="2572">
        <v>1123747.3179047159</v>
      </c>
      <c r="R205" s="2572">
        <v>529073.78585749806</v>
      </c>
      <c r="S205" s="2572">
        <v>767153.87872781337</v>
      </c>
      <c r="T205" s="98"/>
      <c r="U205" s="490"/>
      <c r="V205" s="98"/>
      <c r="X205"/>
    </row>
    <row r="206" spans="1:24" ht="13.5">
      <c r="A206" s="5"/>
      <c r="B206" s="5"/>
      <c r="C206" s="489"/>
      <c r="D206" s="489"/>
      <c r="E206" s="98"/>
      <c r="F206" s="102" t="s">
        <v>4</v>
      </c>
      <c r="G206" s="108" t="s">
        <v>242</v>
      </c>
      <c r="H206" s="461">
        <v>493782</v>
      </c>
      <c r="I206" s="111" t="s">
        <v>4</v>
      </c>
      <c r="J206" s="467">
        <v>1617000</v>
      </c>
      <c r="K206" s="22">
        <v>2715801</v>
      </c>
      <c r="L206" s="98"/>
      <c r="M206" s="7912"/>
      <c r="N206" s="2574" t="s">
        <v>1259</v>
      </c>
      <c r="O206" s="2619">
        <v>1082253.5298507917</v>
      </c>
      <c r="P206" s="2619">
        <v>1128177.60499388</v>
      </c>
      <c r="Q206" s="2619">
        <v>2131899.745123636</v>
      </c>
      <c r="R206" s="2619">
        <v>1051682.8442284395</v>
      </c>
      <c r="S206" s="2619">
        <v>1268988.495059615</v>
      </c>
      <c r="T206" s="98"/>
      <c r="U206" s="490"/>
      <c r="V206" s="98"/>
      <c r="X206" s="258" t="s">
        <v>1881</v>
      </c>
    </row>
    <row r="207" spans="1:24" ht="13.5">
      <c r="A207" s="5"/>
      <c r="B207" s="5"/>
      <c r="C207" s="489"/>
      <c r="D207" s="489"/>
      <c r="E207" s="98"/>
      <c r="F207" s="98"/>
      <c r="G207" s="98"/>
      <c r="H207" s="98"/>
      <c r="I207" s="98"/>
      <c r="J207" s="98"/>
      <c r="K207" s="98"/>
      <c r="L207" s="98"/>
      <c r="M207" s="98"/>
      <c r="N207" s="98"/>
      <c r="O207" s="98"/>
      <c r="P207" s="98"/>
      <c r="Q207" s="98"/>
      <c r="R207" s="98"/>
      <c r="S207" s="98"/>
      <c r="T207" s="98"/>
      <c r="U207" s="490"/>
      <c r="V207" s="98"/>
      <c r="X207"/>
    </row>
    <row r="208" spans="1:24">
      <c r="A208" s="5"/>
      <c r="B208" s="5"/>
      <c r="C208" s="489"/>
      <c r="D208" s="489"/>
      <c r="E208" s="98"/>
      <c r="F208" s="98"/>
      <c r="G208" s="98"/>
      <c r="H208" s="98"/>
      <c r="I208" s="98"/>
      <c r="J208" s="98"/>
      <c r="K208" s="98"/>
      <c r="L208" s="98"/>
      <c r="M208" s="98"/>
      <c r="N208" s="98"/>
      <c r="O208" s="98"/>
      <c r="P208" s="98">
        <v>1106418.8897122829</v>
      </c>
      <c r="Q208" s="98">
        <v>1125542.8369687139</v>
      </c>
      <c r="R208" s="98">
        <v>2192114.6797475726</v>
      </c>
      <c r="S208" s="98">
        <v>1050760.920481432</v>
      </c>
      <c r="T208" s="98">
        <v>1303502.9430035991</v>
      </c>
      <c r="U208" s="490"/>
      <c r="V208" s="98"/>
    </row>
    <row r="209" spans="1:22">
      <c r="G209" s="36"/>
      <c r="H209" s="36"/>
      <c r="I209" s="37"/>
      <c r="J209" s="37"/>
      <c r="K209" s="37"/>
      <c r="L209" s="37"/>
      <c r="M209" s="37"/>
      <c r="N209" s="37"/>
      <c r="O209" s="37"/>
      <c r="P209" s="37"/>
      <c r="Q209" s="38"/>
      <c r="R209" s="38"/>
      <c r="S209" s="38"/>
      <c r="T209" s="38"/>
      <c r="U209" s="38"/>
    </row>
    <row r="210" spans="1:22">
      <c r="F210" s="15" t="s">
        <v>1370</v>
      </c>
      <c r="G210" s="36"/>
      <c r="H210" s="36"/>
      <c r="I210" s="37"/>
      <c r="J210" s="37"/>
      <c r="K210" s="37"/>
      <c r="L210" s="37"/>
      <c r="M210" s="37"/>
      <c r="N210" s="37"/>
      <c r="O210" s="37"/>
      <c r="P210" s="37"/>
      <c r="Q210" s="38"/>
      <c r="R210" s="38"/>
      <c r="S210" s="38"/>
      <c r="T210" s="38"/>
      <c r="U210" s="38"/>
    </row>
    <row r="211" spans="1:22">
      <c r="A211" s="5"/>
      <c r="B211" s="4"/>
      <c r="C211" s="1335" t="s">
        <v>957</v>
      </c>
      <c r="D211" s="1335"/>
      <c r="E211" s="1336" t="s">
        <v>958</v>
      </c>
      <c r="F211" s="1336" t="s">
        <v>959</v>
      </c>
      <c r="G211" s="36"/>
      <c r="H211" s="36"/>
      <c r="I211" s="93"/>
      <c r="J211" s="2177" t="s">
        <v>1871</v>
      </c>
      <c r="K211" s="37"/>
      <c r="L211" s="3326"/>
      <c r="M211" s="3326"/>
      <c r="N211" s="3326" t="s">
        <v>1459</v>
      </c>
      <c r="O211" s="3327" t="s">
        <v>1460</v>
      </c>
      <c r="P211" s="3326" t="s">
        <v>1885</v>
      </c>
      <c r="Q211" s="15"/>
      <c r="R211" s="37" t="s">
        <v>1456</v>
      </c>
      <c r="S211" s="38" t="s">
        <v>1457</v>
      </c>
      <c r="T211" s="38" t="s">
        <v>1883</v>
      </c>
      <c r="U211" s="117"/>
      <c r="V211" s="38"/>
    </row>
    <row r="212" spans="1:22">
      <c r="A212" s="7" t="s">
        <v>207</v>
      </c>
      <c r="B212" s="106" t="s">
        <v>241</v>
      </c>
      <c r="C212" s="112" t="s">
        <v>208</v>
      </c>
      <c r="D212" s="5695"/>
      <c r="E212" s="13" t="s">
        <v>703</v>
      </c>
      <c r="F212" s="8" t="s">
        <v>704</v>
      </c>
      <c r="G212" s="36"/>
      <c r="H212" s="2176" t="s">
        <v>1032</v>
      </c>
      <c r="I212" s="93"/>
      <c r="J212" s="2620" t="s">
        <v>207</v>
      </c>
      <c r="K212" s="2620" t="s">
        <v>241</v>
      </c>
      <c r="L212" s="2621" t="s">
        <v>244</v>
      </c>
      <c r="M212" s="2621" t="s">
        <v>245</v>
      </c>
      <c r="N212" s="2620" t="s">
        <v>208</v>
      </c>
      <c r="O212" s="2620" t="s">
        <v>208</v>
      </c>
      <c r="P212" s="2620" t="s">
        <v>208</v>
      </c>
      <c r="Q212" s="2622" t="s">
        <v>207</v>
      </c>
      <c r="R212" s="2622" t="s">
        <v>1267</v>
      </c>
      <c r="S212" s="5663" t="s">
        <v>1267</v>
      </c>
      <c r="T212" s="5663" t="s">
        <v>1267</v>
      </c>
      <c r="U212" s="5659"/>
      <c r="V212" s="5659"/>
    </row>
    <row r="213" spans="1:22" ht="12">
      <c r="A213" s="438" t="s">
        <v>2</v>
      </c>
      <c r="B213" s="107" t="s">
        <v>242</v>
      </c>
      <c r="C213" s="2584">
        <v>485497</v>
      </c>
      <c r="D213" s="5696"/>
      <c r="E213" s="762">
        <v>1117933</v>
      </c>
      <c r="F213" s="104" t="s">
        <v>136</v>
      </c>
      <c r="G213" s="36"/>
      <c r="H213" s="1822">
        <v>1082253.5298507917</v>
      </c>
      <c r="I213" s="93"/>
      <c r="J213" s="2621" t="s">
        <v>2</v>
      </c>
      <c r="K213" s="2174" t="s">
        <v>1354</v>
      </c>
      <c r="L213" s="2817">
        <v>608318</v>
      </c>
      <c r="M213" s="2175">
        <v>323933</v>
      </c>
      <c r="N213" s="2584">
        <v>300762.41409725283</v>
      </c>
      <c r="O213" s="2584">
        <v>433825.23423139862</v>
      </c>
      <c r="P213" s="2584">
        <f t="shared" ref="P213:P218" si="139">L213-M213</f>
        <v>284385</v>
      </c>
      <c r="Q213" s="2581" t="s">
        <v>2</v>
      </c>
      <c r="R213" s="2583">
        <v>1082253.5298507917</v>
      </c>
      <c r="S213" s="5664">
        <v>1106418.8897122829</v>
      </c>
      <c r="T213" s="5664">
        <v>1117933</v>
      </c>
      <c r="U213" s="5660"/>
      <c r="V213" s="5665"/>
    </row>
    <row r="214" spans="1:22" ht="12">
      <c r="A214" s="102" t="s">
        <v>3</v>
      </c>
      <c r="B214" s="108" t="s">
        <v>242</v>
      </c>
      <c r="C214" s="2584">
        <v>485497</v>
      </c>
      <c r="D214" s="5697"/>
      <c r="E214" s="762">
        <v>1235300</v>
      </c>
      <c r="F214" s="22" t="s">
        <v>136</v>
      </c>
      <c r="G214" s="36"/>
      <c r="H214" s="1822">
        <v>1128177.60499388</v>
      </c>
      <c r="I214" s="93"/>
      <c r="J214" s="2621" t="s">
        <v>3</v>
      </c>
      <c r="K214" s="2174" t="s">
        <v>1353</v>
      </c>
      <c r="L214" s="2817">
        <v>655527</v>
      </c>
      <c r="M214" s="2175">
        <v>323933</v>
      </c>
      <c r="N214" s="2584">
        <v>388378.09635378438</v>
      </c>
      <c r="O214" s="2584">
        <v>433825.23423139902</v>
      </c>
      <c r="P214" s="2584">
        <f t="shared" si="139"/>
        <v>331594</v>
      </c>
      <c r="Q214" s="2581" t="s">
        <v>3</v>
      </c>
      <c r="R214" s="2583">
        <v>1128177.60499388</v>
      </c>
      <c r="S214" s="5664">
        <v>1125542.8369687139</v>
      </c>
      <c r="T214" s="5664">
        <v>1235300</v>
      </c>
      <c r="U214" s="5660"/>
      <c r="V214" s="5665"/>
    </row>
    <row r="215" spans="1:22" ht="13.5">
      <c r="A215" s="102" t="s">
        <v>4</v>
      </c>
      <c r="B215" s="108" t="s">
        <v>242</v>
      </c>
      <c r="C215" s="2584">
        <v>485497</v>
      </c>
      <c r="D215" s="5697"/>
      <c r="E215" s="762">
        <v>2265654</v>
      </c>
      <c r="F215" s="22">
        <v>2993281.4999478101</v>
      </c>
      <c r="G215" s="36"/>
      <c r="H215" s="1822">
        <v>2131899.745123636</v>
      </c>
      <c r="I215" s="1821"/>
      <c r="J215" s="2621" t="s">
        <v>4</v>
      </c>
      <c r="K215" s="2174" t="s">
        <v>242</v>
      </c>
      <c r="L215" s="2817">
        <v>809430</v>
      </c>
      <c r="M215" s="2175">
        <v>323933</v>
      </c>
      <c r="N215" s="2584">
        <v>468639.26189459168</v>
      </c>
      <c r="O215" s="2584">
        <v>433825.23423139902</v>
      </c>
      <c r="P215" s="2584">
        <f t="shared" si="139"/>
        <v>485497</v>
      </c>
      <c r="Q215" s="2582" t="s">
        <v>4</v>
      </c>
      <c r="R215" s="2583">
        <v>2131899.745123636</v>
      </c>
      <c r="S215" s="5664">
        <v>2192114.6797475726</v>
      </c>
      <c r="T215" s="5664">
        <v>2265654</v>
      </c>
      <c r="U215" s="5660"/>
      <c r="V215" s="5659"/>
    </row>
    <row r="216" spans="1:22" ht="12">
      <c r="A216" s="102" t="s">
        <v>190</v>
      </c>
      <c r="B216" s="108" t="s">
        <v>705</v>
      </c>
      <c r="C216" s="2584">
        <v>727011</v>
      </c>
      <c r="D216" s="5697"/>
      <c r="E216" s="762">
        <v>1448902</v>
      </c>
      <c r="F216" s="22">
        <v>1231991.4980403599</v>
      </c>
      <c r="G216" s="36"/>
      <c r="H216" s="1822">
        <v>1051682.8442284395</v>
      </c>
      <c r="I216" s="93"/>
      <c r="J216" s="2621" t="s">
        <v>190</v>
      </c>
      <c r="K216" s="2174" t="s">
        <v>243</v>
      </c>
      <c r="L216" s="3328">
        <v>1050944</v>
      </c>
      <c r="M216" s="2175">
        <v>323933</v>
      </c>
      <c r="N216" s="2584">
        <v>770040.23423139867</v>
      </c>
      <c r="O216" s="2584">
        <v>703178.23423139902</v>
      </c>
      <c r="P216" s="2584">
        <f t="shared" si="139"/>
        <v>727011</v>
      </c>
      <c r="Q216" s="2582" t="s">
        <v>190</v>
      </c>
      <c r="R216" s="2583">
        <v>1051682.8442284395</v>
      </c>
      <c r="S216" s="5664">
        <v>1050760.920481432</v>
      </c>
      <c r="T216" s="5664">
        <v>1448902</v>
      </c>
      <c r="U216" s="5661"/>
      <c r="V216" s="5662"/>
    </row>
    <row r="217" spans="1:22" ht="12">
      <c r="A217" s="103" t="s">
        <v>209</v>
      </c>
      <c r="B217" s="109" t="s">
        <v>705</v>
      </c>
      <c r="C217" s="2584">
        <v>1219314.1542026224</v>
      </c>
      <c r="D217" s="5698"/>
      <c r="E217" s="762">
        <v>1595601</v>
      </c>
      <c r="F217" s="22">
        <v>732560.22913971997</v>
      </c>
      <c r="G217" s="36"/>
      <c r="H217" s="1822">
        <v>1268988.495059615</v>
      </c>
      <c r="I217" s="93"/>
      <c r="J217" s="2621" t="s">
        <v>209</v>
      </c>
      <c r="K217" s="2174" t="s">
        <v>243</v>
      </c>
      <c r="L217" s="2175">
        <v>1671954.12</v>
      </c>
      <c r="M217" s="2175">
        <v>452639.96579737787</v>
      </c>
      <c r="N217" s="2584">
        <v>1197345.2347561251</v>
      </c>
      <c r="O217" s="2584">
        <v>864348.23423139902</v>
      </c>
      <c r="P217" s="2584">
        <f t="shared" si="139"/>
        <v>1219314.1542026224</v>
      </c>
      <c r="Q217" s="2582" t="s">
        <v>209</v>
      </c>
      <c r="R217" s="2583">
        <v>1268988.495059615</v>
      </c>
      <c r="S217" s="5664">
        <v>1303502.9430035991</v>
      </c>
      <c r="T217" s="5664">
        <v>1595601</v>
      </c>
      <c r="U217" s="5661"/>
      <c r="V217" s="5662"/>
    </row>
    <row r="218" spans="1:22">
      <c r="A218" s="14" t="s">
        <v>2252</v>
      </c>
      <c r="B218" s="14" t="s">
        <v>2253</v>
      </c>
      <c r="C218" s="7095">
        <v>1475180.508577399</v>
      </c>
      <c r="D218" s="7093"/>
      <c r="E218" s="7092">
        <v>200992.65247076112</v>
      </c>
      <c r="F218" s="7094"/>
      <c r="G218" s="36"/>
      <c r="H218" s="36"/>
      <c r="I218" s="93"/>
      <c r="J218" s="37" t="s">
        <v>2250</v>
      </c>
      <c r="K218" s="37"/>
      <c r="L218" s="7091">
        <v>2007656.9000000001</v>
      </c>
      <c r="M218" s="7091">
        <v>532476.39142260118</v>
      </c>
      <c r="N218" s="37"/>
      <c r="P218" s="2584">
        <f t="shared" si="139"/>
        <v>1475180.508577399</v>
      </c>
      <c r="R218" s="257"/>
    </row>
    <row r="219" spans="1:22">
      <c r="B219" s="440" t="s">
        <v>27</v>
      </c>
      <c r="C219" s="139" t="e">
        <f>#REF!/1000</f>
        <v>#REF!</v>
      </c>
      <c r="D219" s="139"/>
      <c r="E219" s="15" t="s">
        <v>2251</v>
      </c>
      <c r="G219" s="36"/>
      <c r="H219" s="36"/>
      <c r="I219" s="36"/>
      <c r="N219" s="38"/>
    </row>
    <row r="220" spans="1:22">
      <c r="B220" s="96" t="s">
        <v>28</v>
      </c>
      <c r="C220" s="139" t="e">
        <f>#REF!/1000</f>
        <v>#REF!</v>
      </c>
      <c r="D220" s="139"/>
      <c r="F220" s="251">
        <f>608/60*E215</f>
        <v>22958627.199999999</v>
      </c>
      <c r="G220" s="36"/>
      <c r="H220" s="36"/>
      <c r="I220" s="36"/>
      <c r="N220" s="38"/>
    </row>
    <row r="221" spans="1:22">
      <c r="A221" s="5"/>
      <c r="B221" s="96" t="s">
        <v>29</v>
      </c>
      <c r="C221" s="139" t="e">
        <f>#REF!/1000</f>
        <v>#REF!</v>
      </c>
      <c r="D221" s="139"/>
      <c r="G221" s="36"/>
      <c r="H221" s="36"/>
      <c r="I221" s="36"/>
      <c r="N221" s="38"/>
    </row>
    <row r="222" spans="1:22">
      <c r="A222" s="5"/>
      <c r="B222" s="96" t="s">
        <v>23</v>
      </c>
      <c r="C222" s="139" t="e">
        <f>#REF!/1000</f>
        <v>#REF!</v>
      </c>
      <c r="D222" s="139"/>
      <c r="E222" s="441"/>
      <c r="F222" s="441" t="s">
        <v>102</v>
      </c>
      <c r="G222" s="441" t="s">
        <v>5</v>
      </c>
      <c r="H222" s="441" t="s">
        <v>6</v>
      </c>
      <c r="I222" s="441" t="s">
        <v>7</v>
      </c>
      <c r="J222" s="441" t="s">
        <v>8</v>
      </c>
      <c r="K222" s="441" t="s">
        <v>9</v>
      </c>
      <c r="L222" s="441" t="s">
        <v>10</v>
      </c>
      <c r="M222" s="441" t="s">
        <v>11</v>
      </c>
      <c r="N222" s="441" t="s">
        <v>12</v>
      </c>
      <c r="O222" s="441" t="s">
        <v>13</v>
      </c>
      <c r="P222" s="441" t="s">
        <v>14</v>
      </c>
      <c r="Q222" s="441" t="s">
        <v>15</v>
      </c>
      <c r="R222" s="73" t="s">
        <v>19</v>
      </c>
      <c r="S222" s="73" t="s">
        <v>20</v>
      </c>
      <c r="T222" s="73" t="s">
        <v>21</v>
      </c>
      <c r="U222" s="73"/>
      <c r="V222" s="73" t="s">
        <v>22</v>
      </c>
    </row>
    <row r="223" spans="1:22">
      <c r="A223" s="5"/>
      <c r="B223" s="96" t="s">
        <v>17</v>
      </c>
      <c r="C223" s="139" t="e">
        <f>#REF!/1000</f>
        <v>#REF!</v>
      </c>
      <c r="D223" s="139"/>
      <c r="E223" s="78" t="s">
        <v>55</v>
      </c>
      <c r="F223" s="79">
        <f t="shared" ref="F223:T223" si="140">F92</f>
        <v>1.0037242934726338</v>
      </c>
      <c r="G223" s="79">
        <f t="shared" si="140"/>
        <v>1.004560626149561</v>
      </c>
      <c r="H223" s="79">
        <f t="shared" si="140"/>
        <v>0.99383449054048445</v>
      </c>
      <c r="I223" s="79" t="e">
        <f t="shared" si="140"/>
        <v>#DIV/0!</v>
      </c>
      <c r="J223" s="79" t="e">
        <f t="shared" si="140"/>
        <v>#DIV/0!</v>
      </c>
      <c r="K223" s="79" t="e">
        <f t="shared" si="140"/>
        <v>#DIV/0!</v>
      </c>
      <c r="L223" s="79" t="e">
        <f t="shared" si="140"/>
        <v>#DIV/0!</v>
      </c>
      <c r="M223" s="79" t="e">
        <f t="shared" si="140"/>
        <v>#DIV/0!</v>
      </c>
      <c r="N223" s="79" t="e">
        <f t="shared" si="140"/>
        <v>#DIV/0!</v>
      </c>
      <c r="O223" s="79" t="e">
        <f t="shared" si="140"/>
        <v>#DIV/0!</v>
      </c>
      <c r="P223" s="79" t="e">
        <f t="shared" si="140"/>
        <v>#DIV/0!</v>
      </c>
      <c r="Q223" s="79" t="e">
        <f t="shared" si="140"/>
        <v>#DIV/0!</v>
      </c>
      <c r="R223" s="79">
        <f t="shared" si="140"/>
        <v>0.99659205089326142</v>
      </c>
      <c r="S223" s="79">
        <f t="shared" si="140"/>
        <v>0.99659205089326142</v>
      </c>
      <c r="T223" s="79" t="e">
        <f t="shared" si="140"/>
        <v>#DIV/0!</v>
      </c>
      <c r="U223" s="124"/>
      <c r="V223" s="80">
        <f>V92</f>
        <v>0.99659205089326142</v>
      </c>
    </row>
    <row r="224" spans="1:22">
      <c r="A224" s="5"/>
      <c r="B224" s="4"/>
      <c r="C224" s="139" t="e">
        <f>SUM(C219:C223)</f>
        <v>#REF!</v>
      </c>
      <c r="D224" s="139"/>
      <c r="E224" s="81" t="s">
        <v>188</v>
      </c>
      <c r="F224" s="82">
        <f>(F223-$C$92)/$C$92</f>
        <v>8.9312011147188904E-3</v>
      </c>
      <c r="G224" s="82">
        <f t="shared" ref="G224:V224" si="141">(G223-$C$92)/$C$92</f>
        <v>9.7718723406232492E-3</v>
      </c>
      <c r="H224" s="82">
        <f t="shared" si="141"/>
        <v>-1.0099060359305154E-3</v>
      </c>
      <c r="I224" s="82" t="e">
        <f t="shared" si="141"/>
        <v>#DIV/0!</v>
      </c>
      <c r="J224" s="82" t="e">
        <f t="shared" si="141"/>
        <v>#DIV/0!</v>
      </c>
      <c r="K224" s="82" t="e">
        <f t="shared" si="141"/>
        <v>#DIV/0!</v>
      </c>
      <c r="L224" s="82" t="e">
        <f t="shared" si="141"/>
        <v>#DIV/0!</v>
      </c>
      <c r="M224" s="82" t="e">
        <f t="shared" si="141"/>
        <v>#DIV/0!</v>
      </c>
      <c r="N224" s="82" t="e">
        <f t="shared" si="141"/>
        <v>#DIV/0!</v>
      </c>
      <c r="O224" s="82" t="e">
        <f t="shared" si="141"/>
        <v>#DIV/0!</v>
      </c>
      <c r="P224" s="82" t="e">
        <f t="shared" si="141"/>
        <v>#DIV/0!</v>
      </c>
      <c r="Q224" s="82" t="e">
        <f t="shared" si="141"/>
        <v>#DIV/0!</v>
      </c>
      <c r="R224" s="82">
        <f t="shared" si="141"/>
        <v>1.7619594025834009E-3</v>
      </c>
      <c r="S224" s="82">
        <f t="shared" si="141"/>
        <v>1.7619594025834009E-3</v>
      </c>
      <c r="T224" s="82" t="e">
        <f t="shared" si="141"/>
        <v>#DIV/0!</v>
      </c>
      <c r="U224" s="125"/>
      <c r="V224" s="83">
        <f t="shared" si="141"/>
        <v>1.7619594025834009E-3</v>
      </c>
    </row>
    <row r="225" spans="1:22">
      <c r="A225" s="5"/>
      <c r="B225" s="440" t="s">
        <v>27</v>
      </c>
      <c r="C225" s="139" t="e">
        <f>#REF!/1000</f>
        <v>#REF!</v>
      </c>
      <c r="D225" s="139"/>
      <c r="E225" s="84" t="s">
        <v>189</v>
      </c>
      <c r="F225" s="85" t="e">
        <f>(F223-#REF!)/#REF!</f>
        <v>#REF!</v>
      </c>
      <c r="G225" s="85" t="e">
        <f>(G223-#REF!)/#REF!</f>
        <v>#REF!</v>
      </c>
      <c r="H225" s="85" t="e">
        <f>(H223-#REF!)/#REF!</f>
        <v>#REF!</v>
      </c>
      <c r="I225" s="85" t="e">
        <f>(I223-#REF!)/#REF!</f>
        <v>#DIV/0!</v>
      </c>
      <c r="J225" s="85" t="e">
        <f>(J223-#REF!)/#REF!</f>
        <v>#DIV/0!</v>
      </c>
      <c r="K225" s="85" t="e">
        <f>(K223-#REF!)/#REF!</f>
        <v>#DIV/0!</v>
      </c>
      <c r="L225" s="85" t="e">
        <f>(L223-#REF!)/#REF!</f>
        <v>#DIV/0!</v>
      </c>
      <c r="M225" s="85" t="e">
        <f>(M223-#REF!)/#REF!</f>
        <v>#DIV/0!</v>
      </c>
      <c r="N225" s="85" t="e">
        <f>(N223-#REF!)/#REF!</f>
        <v>#DIV/0!</v>
      </c>
      <c r="O225" s="85" t="e">
        <f>(O223-#REF!)/#REF!</f>
        <v>#DIV/0!</v>
      </c>
      <c r="P225" s="85" t="e">
        <f>(P223-#REF!)/#REF!</f>
        <v>#DIV/0!</v>
      </c>
      <c r="Q225" s="85" t="e">
        <f>(Q223-#REF!)/#REF!</f>
        <v>#DIV/0!</v>
      </c>
      <c r="R225" s="85" t="e">
        <f>(R223-#REF!)/#REF!</f>
        <v>#REF!</v>
      </c>
      <c r="S225" s="85" t="e">
        <f>(S223-#REF!)/#REF!</f>
        <v>#REF!</v>
      </c>
      <c r="T225" s="85" t="e">
        <f>(T223-#REF!)/#REF!</f>
        <v>#DIV/0!</v>
      </c>
      <c r="U225" s="126"/>
      <c r="V225" s="86" t="e">
        <f>(V223-#REF!)/#REF!</f>
        <v>#REF!</v>
      </c>
    </row>
    <row r="226" spans="1:22">
      <c r="A226" s="5"/>
      <c r="B226" s="96" t="s">
        <v>28</v>
      </c>
      <c r="C226" s="139" t="e">
        <f>#REF!/1000</f>
        <v>#REF!</v>
      </c>
      <c r="D226" s="139"/>
      <c r="E226" s="31" t="s">
        <v>52</v>
      </c>
      <c r="F226" s="75" t="e">
        <f t="shared" ref="F226:T226" si="142">F116</f>
        <v>#DIV/0!</v>
      </c>
      <c r="G226" s="75" t="e">
        <f t="shared" si="142"/>
        <v>#DIV/0!</v>
      </c>
      <c r="H226" s="75">
        <f t="shared" si="142"/>
        <v>0.91312554633976184</v>
      </c>
      <c r="I226" s="75" t="e">
        <f t="shared" si="142"/>
        <v>#DIV/0!</v>
      </c>
      <c r="J226" s="75" t="e">
        <f t="shared" si="142"/>
        <v>#DIV/0!</v>
      </c>
      <c r="K226" s="75" t="e">
        <f t="shared" si="142"/>
        <v>#DIV/0!</v>
      </c>
      <c r="L226" s="75" t="e">
        <f t="shared" si="142"/>
        <v>#DIV/0!</v>
      </c>
      <c r="M226" s="75" t="e">
        <f t="shared" si="142"/>
        <v>#DIV/0!</v>
      </c>
      <c r="N226" s="75" t="e">
        <f t="shared" si="142"/>
        <v>#DIV/0!</v>
      </c>
      <c r="O226" s="75" t="e">
        <f t="shared" si="142"/>
        <v>#DIV/0!</v>
      </c>
      <c r="P226" s="75" t="e">
        <f t="shared" si="142"/>
        <v>#DIV/0!</v>
      </c>
      <c r="Q226" s="75" t="e">
        <f t="shared" si="142"/>
        <v>#DIV/0!</v>
      </c>
      <c r="R226" s="75">
        <f t="shared" si="142"/>
        <v>0.91241480345063031</v>
      </c>
      <c r="S226" s="75">
        <f t="shared" si="142"/>
        <v>0.91241480345063031</v>
      </c>
      <c r="T226" s="75" t="e">
        <f t="shared" si="142"/>
        <v>#DIV/0!</v>
      </c>
      <c r="U226" s="127"/>
      <c r="V226" s="76">
        <f>V116</f>
        <v>0.91241480345063031</v>
      </c>
    </row>
    <row r="227" spans="1:22">
      <c r="A227" s="5"/>
      <c r="B227" s="96" t="s">
        <v>29</v>
      </c>
      <c r="C227" s="139" t="e">
        <f>#REF!/1000</f>
        <v>#REF!</v>
      </c>
      <c r="D227" s="139"/>
      <c r="E227" s="81" t="s">
        <v>188</v>
      </c>
      <c r="F227" s="1" t="e">
        <f>(F226-$C$116)/$C$116</f>
        <v>#DIV/0!</v>
      </c>
      <c r="G227" s="1" t="e">
        <f t="shared" ref="G227:V227" si="143">(G226-$C$116)/$C$116</f>
        <v>#DIV/0!</v>
      </c>
      <c r="H227" s="1">
        <f t="shared" si="143"/>
        <v>8.3129701821584249E-3</v>
      </c>
      <c r="I227" s="1" t="e">
        <f t="shared" si="143"/>
        <v>#DIV/0!</v>
      </c>
      <c r="J227" s="1" t="e">
        <f t="shared" si="143"/>
        <v>#DIV/0!</v>
      </c>
      <c r="K227" s="1" t="e">
        <f t="shared" si="143"/>
        <v>#DIV/0!</v>
      </c>
      <c r="L227" s="1" t="e">
        <f t="shared" si="143"/>
        <v>#DIV/0!</v>
      </c>
      <c r="M227" s="1" t="e">
        <f t="shared" si="143"/>
        <v>#DIV/0!</v>
      </c>
      <c r="N227" s="1" t="e">
        <f t="shared" si="143"/>
        <v>#DIV/0!</v>
      </c>
      <c r="O227" s="1" t="e">
        <f t="shared" si="143"/>
        <v>#DIV/0!</v>
      </c>
      <c r="P227" s="1" t="e">
        <f t="shared" si="143"/>
        <v>#DIV/0!</v>
      </c>
      <c r="Q227" s="1" t="e">
        <f t="shared" si="143"/>
        <v>#DIV/0!</v>
      </c>
      <c r="R227" s="1">
        <f t="shared" si="143"/>
        <v>7.5281369503550433E-3</v>
      </c>
      <c r="S227" s="1">
        <f t="shared" si="143"/>
        <v>7.5281369503550433E-3</v>
      </c>
      <c r="T227" s="1" t="e">
        <f t="shared" si="143"/>
        <v>#DIV/0!</v>
      </c>
      <c r="U227" s="128"/>
      <c r="V227" s="2">
        <f t="shared" si="143"/>
        <v>7.5281369503550433E-3</v>
      </c>
    </row>
    <row r="228" spans="1:22">
      <c r="A228" s="5"/>
      <c r="B228" s="96" t="s">
        <v>23</v>
      </c>
      <c r="C228" s="139" t="e">
        <f>#REF!/1000</f>
        <v>#REF!</v>
      </c>
      <c r="D228" s="139"/>
      <c r="E228" s="84" t="s">
        <v>189</v>
      </c>
      <c r="F228" s="9" t="e">
        <f>(F226-#REF!)/#REF!</f>
        <v>#DIV/0!</v>
      </c>
      <c r="G228" s="9" t="e">
        <f>(G226-#REF!)/#REF!</f>
        <v>#DIV/0!</v>
      </c>
      <c r="H228" s="9" t="e">
        <f>(H226-#REF!)/#REF!</f>
        <v>#REF!</v>
      </c>
      <c r="I228" s="9" t="e">
        <f>(I226-#REF!)/#REF!</f>
        <v>#DIV/0!</v>
      </c>
      <c r="J228" s="9" t="e">
        <f>(J226-#REF!)/#REF!</f>
        <v>#DIV/0!</v>
      </c>
      <c r="K228" s="9" t="e">
        <f>(K226-#REF!)/#REF!</f>
        <v>#DIV/0!</v>
      </c>
      <c r="L228" s="9" t="e">
        <f>(L226-#REF!)/#REF!</f>
        <v>#DIV/0!</v>
      </c>
      <c r="M228" s="9" t="e">
        <f>(M226-#REF!)/#REF!</f>
        <v>#DIV/0!</v>
      </c>
      <c r="N228" s="9" t="e">
        <f>(N226-#REF!)/#REF!</f>
        <v>#DIV/0!</v>
      </c>
      <c r="O228" s="9" t="e">
        <f>(O226-#REF!)/#REF!</f>
        <v>#DIV/0!</v>
      </c>
      <c r="P228" s="9" t="e">
        <f>(P226-#REF!)/#REF!</f>
        <v>#DIV/0!</v>
      </c>
      <c r="Q228" s="9" t="e">
        <f>(Q226-#REF!)/#REF!</f>
        <v>#DIV/0!</v>
      </c>
      <c r="R228" s="9" t="e">
        <f>(R226-#REF!)/#REF!</f>
        <v>#REF!</v>
      </c>
      <c r="S228" s="9" t="e">
        <f>(S226-#REF!)/#REF!</f>
        <v>#REF!</v>
      </c>
      <c r="T228" s="9" t="e">
        <f>(T226-#REF!)/#REF!</f>
        <v>#DIV/0!</v>
      </c>
      <c r="U228" s="129"/>
      <c r="V228" s="10" t="e">
        <f>(V226-#REF!)/#REF!</f>
        <v>#REF!</v>
      </c>
    </row>
    <row r="229" spans="1:22">
      <c r="A229" s="5"/>
      <c r="B229" s="96" t="s">
        <v>17</v>
      </c>
      <c r="C229" s="139" t="e">
        <f>#REF!/1000</f>
        <v>#REF!</v>
      </c>
      <c r="D229" s="139"/>
      <c r="E229" s="78" t="s">
        <v>40</v>
      </c>
      <c r="F229" s="87">
        <f t="shared" ref="F229:T229" si="144">F124</f>
        <v>6.0630258067303888</v>
      </c>
      <c r="G229" s="87">
        <f t="shared" si="144"/>
        <v>6.2404038969382984</v>
      </c>
      <c r="H229" s="87">
        <f t="shared" si="144"/>
        <v>35.455306173304621</v>
      </c>
      <c r="I229" s="87" t="e">
        <f t="shared" si="144"/>
        <v>#DIV/0!</v>
      </c>
      <c r="J229" s="87" t="e">
        <f t="shared" si="144"/>
        <v>#DIV/0!</v>
      </c>
      <c r="K229" s="87" t="e">
        <f t="shared" si="144"/>
        <v>#DIV/0!</v>
      </c>
      <c r="L229" s="87" t="e">
        <f t="shared" si="144"/>
        <v>#DIV/0!</v>
      </c>
      <c r="M229" s="87" t="e">
        <f t="shared" si="144"/>
        <v>#DIV/0!</v>
      </c>
      <c r="N229" s="87" t="e">
        <f t="shared" si="144"/>
        <v>#DIV/0!</v>
      </c>
      <c r="O229" s="87" t="e">
        <f t="shared" si="144"/>
        <v>#DIV/0!</v>
      </c>
      <c r="P229" s="87" t="e">
        <f t="shared" si="144"/>
        <v>#DIV/0!</v>
      </c>
      <c r="Q229" s="87" t="e">
        <f t="shared" si="144"/>
        <v>#DIV/0!</v>
      </c>
      <c r="R229" s="87">
        <f t="shared" si="144"/>
        <v>754.43134754795551</v>
      </c>
      <c r="S229" s="87">
        <f t="shared" si="144"/>
        <v>35.245380733012993</v>
      </c>
      <c r="T229" s="87" t="e">
        <f t="shared" si="144"/>
        <v>#DIV/0!</v>
      </c>
      <c r="U229" s="87"/>
      <c r="V229" s="87">
        <f>V124</f>
        <v>35.245380733012993</v>
      </c>
    </row>
    <row r="230" spans="1:22">
      <c r="A230" s="5"/>
      <c r="B230" s="4"/>
      <c r="C230" s="139" t="e">
        <f>#REF!/1000</f>
        <v>#REF!</v>
      </c>
      <c r="D230" s="139"/>
      <c r="E230" s="81" t="s">
        <v>188</v>
      </c>
      <c r="F230" s="82">
        <f>(F229-$C$124)/$C$124</f>
        <v>-0.82887969440975373</v>
      </c>
      <c r="G230" s="82">
        <f t="shared" ref="G230:V230" si="145">(G229-$C$124)/$C$124</f>
        <v>-0.82387344934846796</v>
      </c>
      <c r="H230" s="82">
        <f t="shared" si="145"/>
        <v>6.7573857869737068E-4</v>
      </c>
      <c r="I230" s="82" t="e">
        <f t="shared" si="145"/>
        <v>#DIV/0!</v>
      </c>
      <c r="J230" s="82" t="e">
        <f t="shared" si="145"/>
        <v>#DIV/0!</v>
      </c>
      <c r="K230" s="82" t="e">
        <f t="shared" si="145"/>
        <v>#DIV/0!</v>
      </c>
      <c r="L230" s="82" t="e">
        <f t="shared" si="145"/>
        <v>#DIV/0!</v>
      </c>
      <c r="M230" s="82" t="e">
        <f t="shared" si="145"/>
        <v>#DIV/0!</v>
      </c>
      <c r="N230" s="82" t="e">
        <f t="shared" si="145"/>
        <v>#DIV/0!</v>
      </c>
      <c r="O230" s="82" t="e">
        <f t="shared" si="145"/>
        <v>#DIV/0!</v>
      </c>
      <c r="P230" s="82" t="e">
        <f t="shared" si="145"/>
        <v>#DIV/0!</v>
      </c>
      <c r="Q230" s="82" t="e">
        <f t="shared" si="145"/>
        <v>#DIV/0!</v>
      </c>
      <c r="R230" s="82">
        <f t="shared" si="145"/>
        <v>20.292754946871405</v>
      </c>
      <c r="S230" s="82">
        <f t="shared" si="145"/>
        <v>-5.2491092842283892E-3</v>
      </c>
      <c r="T230" s="82" t="e">
        <f t="shared" si="145"/>
        <v>#DIV/0!</v>
      </c>
      <c r="U230" s="125"/>
      <c r="V230" s="83">
        <f t="shared" si="145"/>
        <v>-5.2491092842283892E-3</v>
      </c>
    </row>
    <row r="231" spans="1:22">
      <c r="A231" s="5"/>
      <c r="B231" s="4"/>
      <c r="C231" s="105"/>
      <c r="D231" s="105"/>
      <c r="E231" s="84" t="s">
        <v>189</v>
      </c>
      <c r="F231" s="85" t="e">
        <f>(F229-#REF!)/#REF!</f>
        <v>#REF!</v>
      </c>
      <c r="G231" s="85" t="e">
        <f>(G229-#REF!)/#REF!</f>
        <v>#REF!</v>
      </c>
      <c r="H231" s="85" t="e">
        <f>(H229-#REF!)/#REF!</f>
        <v>#REF!</v>
      </c>
      <c r="I231" s="85" t="e">
        <f>(I229-#REF!)/#REF!</f>
        <v>#DIV/0!</v>
      </c>
      <c r="J231" s="85" t="e">
        <f>(J229-#REF!)/#REF!</f>
        <v>#DIV/0!</v>
      </c>
      <c r="K231" s="85" t="e">
        <f>(K229-#REF!)/#REF!</f>
        <v>#DIV/0!</v>
      </c>
      <c r="L231" s="85" t="e">
        <f>(L229-#REF!)/#REF!</f>
        <v>#DIV/0!</v>
      </c>
      <c r="M231" s="85" t="e">
        <f>(M229-#REF!)/#REF!</f>
        <v>#DIV/0!</v>
      </c>
      <c r="N231" s="85" t="e">
        <f>(N229-#REF!)/#REF!</f>
        <v>#DIV/0!</v>
      </c>
      <c r="O231" s="85" t="e">
        <f>(O229-#REF!)/#REF!</f>
        <v>#DIV/0!</v>
      </c>
      <c r="P231" s="85" t="e">
        <f>(P229-#REF!)/#REF!</f>
        <v>#DIV/0!</v>
      </c>
      <c r="Q231" s="85" t="e">
        <f>(Q229-#REF!)/#REF!</f>
        <v>#DIV/0!</v>
      </c>
      <c r="R231" s="85" t="e">
        <f>(R229-#REF!)/#REF!</f>
        <v>#REF!</v>
      </c>
      <c r="S231" s="85" t="e">
        <f>(S229-#REF!)/#REF!</f>
        <v>#REF!</v>
      </c>
      <c r="T231" s="85" t="e">
        <f>(T229-#REF!)/#REF!</f>
        <v>#DIV/0!</v>
      </c>
      <c r="U231" s="126"/>
      <c r="V231" s="86" t="e">
        <f>(V229-#REF!)/#REF!</f>
        <v>#REF!</v>
      </c>
    </row>
    <row r="232" spans="1:22">
      <c r="A232" s="5"/>
      <c r="B232" s="4"/>
      <c r="E232" s="77" t="s">
        <v>103</v>
      </c>
      <c r="F232" s="75" t="e">
        <f>#REF!</f>
        <v>#REF!</v>
      </c>
      <c r="G232" s="75" t="e">
        <f>#REF!</f>
        <v>#REF!</v>
      </c>
      <c r="H232" s="75" t="e">
        <f>#REF!</f>
        <v>#REF!</v>
      </c>
      <c r="I232" s="75" t="e">
        <f>#REF!</f>
        <v>#REF!</v>
      </c>
      <c r="J232" s="75" t="e">
        <f>#REF!</f>
        <v>#REF!</v>
      </c>
      <c r="K232" s="75" t="e">
        <f>#REF!</f>
        <v>#REF!</v>
      </c>
      <c r="L232" s="75" t="e">
        <f>#REF!</f>
        <v>#REF!</v>
      </c>
      <c r="M232" s="75" t="e">
        <f>#REF!</f>
        <v>#REF!</v>
      </c>
      <c r="N232" s="75" t="e">
        <f>#REF!</f>
        <v>#REF!</v>
      </c>
      <c r="O232" s="75" t="e">
        <f>#REF!</f>
        <v>#REF!</v>
      </c>
      <c r="P232" s="75" t="e">
        <f>#REF!</f>
        <v>#REF!</v>
      </c>
      <c r="Q232" s="75" t="e">
        <f>#REF!</f>
        <v>#REF!</v>
      </c>
      <c r="R232" s="75" t="e">
        <f>#REF!</f>
        <v>#REF!</v>
      </c>
      <c r="S232" s="75" t="e">
        <f>#REF!</f>
        <v>#REF!</v>
      </c>
      <c r="T232" s="75" t="e">
        <f>#REF!</f>
        <v>#REF!</v>
      </c>
      <c r="U232" s="75"/>
      <c r="V232" s="75" t="e">
        <f>#REF!</f>
        <v>#REF!</v>
      </c>
    </row>
    <row r="233" spans="1:22">
      <c r="A233" s="5"/>
      <c r="B233" s="4"/>
      <c r="C233" s="105"/>
      <c r="D233" s="105"/>
      <c r="E233" s="81" t="s">
        <v>188</v>
      </c>
      <c r="F233" s="1" t="e">
        <f>(F232-#REF!)/#REF!</f>
        <v>#REF!</v>
      </c>
      <c r="G233" s="1" t="e">
        <f>(G232-#REF!)/#REF!</f>
        <v>#REF!</v>
      </c>
      <c r="H233" s="1" t="e">
        <f>(H232-#REF!)/#REF!</f>
        <v>#REF!</v>
      </c>
      <c r="I233" s="1" t="e">
        <f>(I232-#REF!)/#REF!</f>
        <v>#REF!</v>
      </c>
      <c r="J233" s="1" t="e">
        <f>(J232-#REF!)/#REF!</f>
        <v>#REF!</v>
      </c>
      <c r="K233" s="1" t="e">
        <f>(K232-#REF!)/#REF!</f>
        <v>#REF!</v>
      </c>
      <c r="L233" s="1" t="e">
        <f>(L232-#REF!)/#REF!</f>
        <v>#REF!</v>
      </c>
      <c r="M233" s="1" t="e">
        <f>(M232-#REF!)/#REF!</f>
        <v>#REF!</v>
      </c>
      <c r="N233" s="1" t="e">
        <f>(N232-#REF!)/#REF!</f>
        <v>#REF!</v>
      </c>
      <c r="O233" s="1" t="e">
        <f>(O232-#REF!)/#REF!</f>
        <v>#REF!</v>
      </c>
      <c r="P233" s="1" t="e">
        <f>(P232-#REF!)/#REF!</f>
        <v>#REF!</v>
      </c>
      <c r="Q233" s="1" t="e">
        <f>(Q232-#REF!)/#REF!</f>
        <v>#REF!</v>
      </c>
      <c r="R233" s="1" t="e">
        <f>(R232-#REF!)/#REF!</f>
        <v>#REF!</v>
      </c>
      <c r="S233" s="1" t="e">
        <f>(S232-#REF!)/#REF!</f>
        <v>#REF!</v>
      </c>
      <c r="T233" s="1" t="e">
        <f>(T232-#REF!)/#REF!</f>
        <v>#REF!</v>
      </c>
      <c r="U233" s="128"/>
      <c r="V233" s="2" t="e">
        <f>(V232-#REF!)/#REF!</f>
        <v>#REF!</v>
      </c>
    </row>
    <row r="234" spans="1:22">
      <c r="A234" s="5"/>
      <c r="B234" s="96" t="s">
        <v>29</v>
      </c>
      <c r="C234" s="139" t="e">
        <f>#REF!/1000</f>
        <v>#REF!</v>
      </c>
      <c r="D234" s="139"/>
      <c r="E234" s="84" t="s">
        <v>189</v>
      </c>
      <c r="F234" s="9" t="e">
        <f>(F232-#REF!)/#REF!</f>
        <v>#REF!</v>
      </c>
      <c r="G234" s="9" t="e">
        <f>(G232-#REF!)/#REF!</f>
        <v>#REF!</v>
      </c>
      <c r="H234" s="9" t="e">
        <f>(H232-#REF!)/#REF!</f>
        <v>#REF!</v>
      </c>
      <c r="I234" s="9" t="e">
        <f>(I232-#REF!)/#REF!</f>
        <v>#REF!</v>
      </c>
      <c r="J234" s="9" t="e">
        <f>(J232-#REF!)/#REF!</f>
        <v>#REF!</v>
      </c>
      <c r="K234" s="9" t="e">
        <f>(K232-#REF!)/#REF!</f>
        <v>#REF!</v>
      </c>
      <c r="L234" s="9" t="e">
        <f>(L232-#REF!)/#REF!</f>
        <v>#REF!</v>
      </c>
      <c r="M234" s="9" t="e">
        <f>(M232-#REF!)/#REF!</f>
        <v>#REF!</v>
      </c>
      <c r="N234" s="9" t="e">
        <f>(N232-#REF!)/#REF!</f>
        <v>#REF!</v>
      </c>
      <c r="O234" s="9" t="e">
        <f>(O232-#REF!)/#REF!</f>
        <v>#REF!</v>
      </c>
      <c r="P234" s="9" t="e">
        <f>(P232-#REF!)/#REF!</f>
        <v>#REF!</v>
      </c>
      <c r="Q234" s="9" t="e">
        <f>(Q232-#REF!)/#REF!</f>
        <v>#REF!</v>
      </c>
      <c r="R234" s="9" t="e">
        <f>(R232-#REF!)/#REF!</f>
        <v>#REF!</v>
      </c>
      <c r="S234" s="9" t="e">
        <f>(S232-#REF!)/#REF!</f>
        <v>#REF!</v>
      </c>
      <c r="T234" s="9" t="e">
        <f>(T232-#REF!)/#REF!</f>
        <v>#REF!</v>
      </c>
      <c r="U234" s="129"/>
      <c r="V234" s="10" t="e">
        <f>(V232-#REF!)/#REF!</f>
        <v>#REF!</v>
      </c>
    </row>
    <row r="235" spans="1:22">
      <c r="B235" s="96" t="s">
        <v>23</v>
      </c>
      <c r="C235" s="139" t="e">
        <f>#REF!/1000</f>
        <v>#REF!</v>
      </c>
      <c r="D235" s="139"/>
    </row>
    <row r="236" spans="1:22">
      <c r="B236" s="96" t="s">
        <v>17</v>
      </c>
      <c r="C236" s="139" t="e">
        <f>#REF!/1000</f>
        <v>#REF!</v>
      </c>
      <c r="D236" s="139"/>
    </row>
    <row r="237" spans="1:22">
      <c r="A237" s="5"/>
      <c r="B237" s="4"/>
      <c r="C237" s="139" t="e">
        <f>SUM(C234:C236)</f>
        <v>#REF!</v>
      </c>
      <c r="D237" s="139"/>
      <c r="E237" s="441" t="s">
        <v>106</v>
      </c>
      <c r="F237" s="441" t="s">
        <v>18</v>
      </c>
      <c r="G237" s="441" t="s">
        <v>5</v>
      </c>
      <c r="H237" s="441" t="s">
        <v>6</v>
      </c>
      <c r="I237" s="441" t="s">
        <v>7</v>
      </c>
      <c r="J237" s="441" t="s">
        <v>8</v>
      </c>
      <c r="K237" s="441" t="s">
        <v>9</v>
      </c>
      <c r="L237" s="441" t="s">
        <v>10</v>
      </c>
      <c r="M237" s="441" t="s">
        <v>11</v>
      </c>
      <c r="N237" s="441" t="s">
        <v>12</v>
      </c>
      <c r="O237" s="441" t="s">
        <v>13</v>
      </c>
      <c r="P237" s="441" t="s">
        <v>14</v>
      </c>
      <c r="Q237" s="441" t="s">
        <v>15</v>
      </c>
      <c r="R237" s="73" t="s">
        <v>19</v>
      </c>
      <c r="S237" s="73" t="s">
        <v>20</v>
      </c>
      <c r="T237" s="73" t="s">
        <v>21</v>
      </c>
      <c r="U237" s="73"/>
      <c r="V237" s="73" t="s">
        <v>22</v>
      </c>
    </row>
    <row r="238" spans="1:22">
      <c r="A238" s="5"/>
      <c r="B238" s="96" t="s">
        <v>29</v>
      </c>
      <c r="C238" s="139" t="e">
        <f>#REF!/1000</f>
        <v>#REF!</v>
      </c>
      <c r="D238" s="139"/>
      <c r="E238" s="88" t="s">
        <v>52</v>
      </c>
      <c r="F238" s="91" t="e">
        <f t="shared" ref="F238:Q238" si="146">(F128+F134+F142+F149+F157)/1000000</f>
        <v>#DIV/0!</v>
      </c>
      <c r="G238" s="91" t="e">
        <f t="shared" si="146"/>
        <v>#DIV/0!</v>
      </c>
      <c r="H238" s="91">
        <f t="shared" si="146"/>
        <v>14.453293175760086</v>
      </c>
      <c r="I238" s="91" t="e">
        <f t="shared" si="146"/>
        <v>#DIV/0!</v>
      </c>
      <c r="J238" s="91" t="e">
        <f t="shared" si="146"/>
        <v>#DIV/0!</v>
      </c>
      <c r="K238" s="91" t="e">
        <f t="shared" si="146"/>
        <v>#DIV/0!</v>
      </c>
      <c r="L238" s="91" t="e">
        <f t="shared" si="146"/>
        <v>#DIV/0!</v>
      </c>
      <c r="M238" s="91" t="e">
        <f t="shared" si="146"/>
        <v>#DIV/0!</v>
      </c>
      <c r="N238" s="91" t="e">
        <f t="shared" si="146"/>
        <v>#DIV/0!</v>
      </c>
      <c r="O238" s="91" t="e">
        <f t="shared" si="146"/>
        <v>#DIV/0!</v>
      </c>
      <c r="P238" s="91" t="e">
        <f t="shared" si="146"/>
        <v>#DIV/0!</v>
      </c>
      <c r="Q238" s="91" t="e">
        <f t="shared" si="146"/>
        <v>#DIV/0!</v>
      </c>
      <c r="R238" s="91" t="e">
        <f>SUM(F238:H238)</f>
        <v>#DIV/0!</v>
      </c>
      <c r="S238" s="441"/>
      <c r="T238" s="441"/>
      <c r="U238" s="441"/>
      <c r="V238" s="441"/>
    </row>
    <row r="239" spans="1:22">
      <c r="A239" s="5"/>
      <c r="B239" s="96" t="s">
        <v>23</v>
      </c>
      <c r="C239" s="139" t="e">
        <f>#REF!/1000</f>
        <v>#REF!</v>
      </c>
      <c r="D239" s="139"/>
      <c r="E239" s="90" t="s">
        <v>55</v>
      </c>
      <c r="F239" s="92" t="e">
        <f t="shared" ref="F239:Q239" si="147">(F127+F132+F140+F147+F155)/1000000</f>
        <v>#DIV/0!</v>
      </c>
      <c r="G239" s="92" t="e">
        <f t="shared" si="147"/>
        <v>#DIV/0!</v>
      </c>
      <c r="H239" s="92">
        <f t="shared" si="147"/>
        <v>-66.152593695283727</v>
      </c>
      <c r="I239" s="92" t="e">
        <f t="shared" si="147"/>
        <v>#DIV/0!</v>
      </c>
      <c r="J239" s="92" t="e">
        <f t="shared" si="147"/>
        <v>#DIV/0!</v>
      </c>
      <c r="K239" s="92" t="e">
        <f t="shared" si="147"/>
        <v>#DIV/0!</v>
      </c>
      <c r="L239" s="92" t="e">
        <f t="shared" si="147"/>
        <v>#DIV/0!</v>
      </c>
      <c r="M239" s="92" t="e">
        <f t="shared" si="147"/>
        <v>#DIV/0!</v>
      </c>
      <c r="N239" s="92" t="e">
        <f t="shared" si="147"/>
        <v>#DIV/0!</v>
      </c>
      <c r="O239" s="92" t="e">
        <f t="shared" si="147"/>
        <v>#DIV/0!</v>
      </c>
      <c r="P239" s="92" t="e">
        <f t="shared" si="147"/>
        <v>#DIV/0!</v>
      </c>
      <c r="Q239" s="92" t="e">
        <f t="shared" si="147"/>
        <v>#DIV/0!</v>
      </c>
      <c r="R239" s="91" t="e">
        <f t="shared" ref="R239:R244" si="148">SUM(F239:H239)</f>
        <v>#DIV/0!</v>
      </c>
      <c r="S239" s="441"/>
      <c r="T239" s="441"/>
      <c r="U239" s="441"/>
      <c r="V239" s="441"/>
    </row>
    <row r="240" spans="1:22">
      <c r="A240" s="5"/>
      <c r="B240" s="96" t="s">
        <v>17</v>
      </c>
      <c r="C240" s="139" t="e">
        <f>#REF!/1000</f>
        <v>#REF!</v>
      </c>
      <c r="D240" s="139"/>
      <c r="E240" s="441"/>
      <c r="F240" s="441"/>
      <c r="G240" s="89"/>
      <c r="H240" s="89"/>
      <c r="I240" s="441"/>
      <c r="J240" s="441"/>
      <c r="K240" s="441"/>
      <c r="L240" s="441"/>
      <c r="M240" s="441"/>
      <c r="N240" s="441"/>
      <c r="O240" s="441"/>
      <c r="P240" s="441"/>
      <c r="Q240" s="441"/>
      <c r="R240" s="91">
        <f t="shared" si="148"/>
        <v>0</v>
      </c>
      <c r="S240" s="441"/>
      <c r="T240" s="441"/>
      <c r="U240" s="441"/>
      <c r="V240" s="441"/>
    </row>
    <row r="241" spans="1:22">
      <c r="A241" s="5"/>
      <c r="B241" s="4"/>
      <c r="C241" s="139" t="e">
        <f>SUM(C238:C240)</f>
        <v>#REF!</v>
      </c>
      <c r="D241" s="139"/>
      <c r="E241" s="441"/>
      <c r="F241" s="441"/>
      <c r="G241" s="89"/>
      <c r="H241" s="89"/>
      <c r="I241" s="441"/>
      <c r="J241" s="441"/>
      <c r="K241" s="441"/>
      <c r="L241" s="441"/>
      <c r="M241" s="441"/>
      <c r="N241" s="441"/>
      <c r="O241" s="441"/>
      <c r="P241" s="441"/>
      <c r="Q241" s="441"/>
      <c r="R241" s="91">
        <f t="shared" si="148"/>
        <v>0</v>
      </c>
      <c r="S241" s="441"/>
      <c r="T241" s="441"/>
      <c r="U241" s="441"/>
      <c r="V241" s="441"/>
    </row>
    <row r="242" spans="1:22">
      <c r="A242" s="5"/>
      <c r="B242" s="4"/>
      <c r="C242" s="139"/>
      <c r="D242" s="139"/>
      <c r="E242" s="90" t="s">
        <v>40</v>
      </c>
      <c r="F242" s="92" t="e">
        <f t="shared" ref="F242:Q242" si="149">(F129+F135+F143+F150+F158)/1000000</f>
        <v>#DIV/0!</v>
      </c>
      <c r="G242" s="92" t="e">
        <f t="shared" si="149"/>
        <v>#DIV/0!</v>
      </c>
      <c r="H242" s="92">
        <f t="shared" si="149"/>
        <v>-83.779441110198832</v>
      </c>
      <c r="I242" s="92" t="e">
        <f t="shared" si="149"/>
        <v>#DIV/0!</v>
      </c>
      <c r="J242" s="92" t="e">
        <f t="shared" si="149"/>
        <v>#DIV/0!</v>
      </c>
      <c r="K242" s="92" t="e">
        <f t="shared" si="149"/>
        <v>#DIV/0!</v>
      </c>
      <c r="L242" s="92" t="e">
        <f t="shared" si="149"/>
        <v>#DIV/0!</v>
      </c>
      <c r="M242" s="92" t="e">
        <f t="shared" si="149"/>
        <v>#DIV/0!</v>
      </c>
      <c r="N242" s="92" t="e">
        <f t="shared" si="149"/>
        <v>#DIV/0!</v>
      </c>
      <c r="O242" s="92" t="e">
        <f t="shared" si="149"/>
        <v>#DIV/0!</v>
      </c>
      <c r="P242" s="92" t="e">
        <f t="shared" si="149"/>
        <v>#DIV/0!</v>
      </c>
      <c r="Q242" s="92" t="e">
        <f t="shared" si="149"/>
        <v>#DIV/0!</v>
      </c>
      <c r="R242" s="91" t="e">
        <f t="shared" si="148"/>
        <v>#DIV/0!</v>
      </c>
      <c r="S242" s="441"/>
      <c r="T242" s="441"/>
      <c r="U242" s="441"/>
      <c r="V242" s="441"/>
    </row>
    <row r="243" spans="1:22">
      <c r="A243" s="5"/>
      <c r="B243" s="4"/>
      <c r="C243" s="4"/>
      <c r="D243" s="4"/>
      <c r="E243" s="441" t="s">
        <v>99</v>
      </c>
      <c r="F243" s="91" t="e">
        <f>#REF!/1000000</f>
        <v>#REF!</v>
      </c>
      <c r="G243" s="91" t="e">
        <f>#REF!/1000000</f>
        <v>#REF!</v>
      </c>
      <c r="H243" s="91" t="e">
        <f>#REF!/1000000</f>
        <v>#REF!</v>
      </c>
      <c r="I243" s="91" t="e">
        <f>#REF!/1000000</f>
        <v>#REF!</v>
      </c>
      <c r="J243" s="91" t="e">
        <f>#REF!/1000000</f>
        <v>#REF!</v>
      </c>
      <c r="K243" s="91" t="e">
        <f>#REF!/1000000</f>
        <v>#REF!</v>
      </c>
      <c r="L243" s="91" t="e">
        <f>#REF!/1000000</f>
        <v>#REF!</v>
      </c>
      <c r="M243" s="91" t="e">
        <f>#REF!/1000000</f>
        <v>#REF!</v>
      </c>
      <c r="N243" s="91" t="e">
        <f>#REF!/1000000</f>
        <v>#REF!</v>
      </c>
      <c r="O243" s="91" t="e">
        <f>#REF!/1000000</f>
        <v>#REF!</v>
      </c>
      <c r="P243" s="91" t="e">
        <f>#REF!/1000000</f>
        <v>#REF!</v>
      </c>
      <c r="Q243" s="91" t="e">
        <f>#REF!/1000000</f>
        <v>#REF!</v>
      </c>
      <c r="R243" s="91" t="e">
        <f t="shared" si="148"/>
        <v>#REF!</v>
      </c>
      <c r="S243" s="441"/>
      <c r="T243" s="441"/>
      <c r="U243" s="441"/>
      <c r="V243" s="441"/>
    </row>
    <row r="244" spans="1:22">
      <c r="A244" s="5"/>
      <c r="B244" s="4"/>
      <c r="C244" s="4"/>
      <c r="D244" s="4"/>
      <c r="E244" s="441"/>
      <c r="F244" s="441"/>
      <c r="G244" s="89"/>
      <c r="H244" s="89"/>
      <c r="I244" s="441"/>
      <c r="J244" s="441"/>
      <c r="K244" s="441"/>
      <c r="L244" s="441"/>
      <c r="M244" s="441"/>
      <c r="N244" s="441"/>
      <c r="O244" s="441"/>
      <c r="P244" s="441"/>
      <c r="Q244" s="441"/>
      <c r="R244" s="91">
        <f t="shared" si="148"/>
        <v>0</v>
      </c>
      <c r="S244" s="441"/>
      <c r="T244" s="441"/>
      <c r="U244" s="441"/>
      <c r="V244" s="441"/>
    </row>
    <row r="247" spans="1:22" ht="17.25">
      <c r="F247" s="468" t="s">
        <v>470</v>
      </c>
      <c r="J247" s="15">
        <v>4238520</v>
      </c>
      <c r="K247" s="15">
        <v>15568972</v>
      </c>
    </row>
    <row r="248" spans="1:22" ht="17.25">
      <c r="E248" s="113">
        <f>70*12/1000000</f>
        <v>8.4000000000000003E-4</v>
      </c>
      <c r="F248" s="468" t="s">
        <v>471</v>
      </c>
      <c r="J248" s="15">
        <v>780000</v>
      </c>
      <c r="M248" s="2239">
        <f>450*420789</f>
        <v>189355050</v>
      </c>
      <c r="T248" s="3"/>
    </row>
    <row r="249" spans="1:22" ht="17.25">
      <c r="F249" s="468" t="s">
        <v>472</v>
      </c>
    </row>
    <row r="251" spans="1:22" s="6" customFormat="1">
      <c r="A251" s="477"/>
      <c r="B251" s="113"/>
      <c r="C251" s="113"/>
      <c r="D251" s="113"/>
      <c r="E251" s="113"/>
      <c r="F251" s="113"/>
      <c r="G251" s="113"/>
      <c r="H251" s="113"/>
      <c r="I251" s="113"/>
      <c r="J251" s="113"/>
      <c r="K251" s="113"/>
      <c r="L251" s="113"/>
      <c r="M251" s="113"/>
      <c r="N251" s="113"/>
      <c r="O251" s="113"/>
      <c r="P251" s="113"/>
    </row>
  </sheetData>
  <mergeCells count="61">
    <mergeCell ref="X49:X50"/>
    <mergeCell ref="X39:Y40"/>
    <mergeCell ref="Z39:AA39"/>
    <mergeCell ref="M203:M206"/>
    <mergeCell ref="A155:A162"/>
    <mergeCell ref="A132:A139"/>
    <mergeCell ref="X53:Y53"/>
    <mergeCell ref="A127:A131"/>
    <mergeCell ref="A147:A154"/>
    <mergeCell ref="A93:A97"/>
    <mergeCell ref="A98:B98"/>
    <mergeCell ref="A197:B197"/>
    <mergeCell ref="A198:B198"/>
    <mergeCell ref="A196:B196"/>
    <mergeCell ref="A165:A168"/>
    <mergeCell ref="A169:A172"/>
    <mergeCell ref="AB39:AC39"/>
    <mergeCell ref="X41:X42"/>
    <mergeCell ref="X43:X44"/>
    <mergeCell ref="X45:X46"/>
    <mergeCell ref="X47:X48"/>
    <mergeCell ref="A2:A6"/>
    <mergeCell ref="A188:A190"/>
    <mergeCell ref="A191:B191"/>
    <mergeCell ref="A176:A181"/>
    <mergeCell ref="A164:B164"/>
    <mergeCell ref="A182:A187"/>
    <mergeCell ref="A124:B124"/>
    <mergeCell ref="A126:B126"/>
    <mergeCell ref="A175:B175"/>
    <mergeCell ref="A45:A49"/>
    <mergeCell ref="A92:B92"/>
    <mergeCell ref="A36:A39"/>
    <mergeCell ref="A140:A146"/>
    <mergeCell ref="A111:A115"/>
    <mergeCell ref="A117:A123"/>
    <mergeCell ref="A116:B116"/>
    <mergeCell ref="A20:A25"/>
    <mergeCell ref="A14:A19"/>
    <mergeCell ref="A1:B1"/>
    <mergeCell ref="A99:A103"/>
    <mergeCell ref="A104:B104"/>
    <mergeCell ref="A81:A85"/>
    <mergeCell ref="A76:A80"/>
    <mergeCell ref="A66:A70"/>
    <mergeCell ref="A71:A75"/>
    <mergeCell ref="A60:B60"/>
    <mergeCell ref="A61:A65"/>
    <mergeCell ref="A50:A54"/>
    <mergeCell ref="A8:A13"/>
    <mergeCell ref="A55:A59"/>
    <mergeCell ref="A86:B86"/>
    <mergeCell ref="A87:A91"/>
    <mergeCell ref="A195:B195"/>
    <mergeCell ref="A173:B173"/>
    <mergeCell ref="A192:A194"/>
    <mergeCell ref="A31:A35"/>
    <mergeCell ref="A26:A30"/>
    <mergeCell ref="A40:A44"/>
    <mergeCell ref="A105:A109"/>
    <mergeCell ref="A110:B110"/>
  </mergeCells>
  <phoneticPr fontId="23" type="noConversion"/>
  <pageMargins left="0.13" right="0.13" top="0.17" bottom="0.17" header="0.5" footer="0.18"/>
  <pageSetup paperSize="9" orientation="landscape" horizontalDpi="300" verticalDpi="300"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V195"/>
  <sheetViews>
    <sheetView workbookViewId="0">
      <selection activeCell="G25" sqref="G25"/>
    </sheetView>
  </sheetViews>
  <sheetFormatPr defaultRowHeight="13.5"/>
  <cols>
    <col min="1" max="1" width="7" style="53" bestFit="1" customWidth="1"/>
    <col min="2" max="2" width="14.88671875" style="54" bestFit="1" customWidth="1"/>
    <col min="3" max="3" width="10.5546875" style="55" bestFit="1" customWidth="1"/>
    <col min="4" max="4" width="8.5546875" style="55" bestFit="1" customWidth="1"/>
    <col min="5" max="5" width="10.5546875" style="56" bestFit="1" customWidth="1"/>
    <col min="6" max="6" width="10.5546875" style="55" bestFit="1" customWidth="1"/>
    <col min="7" max="7" width="9.5546875" style="53" bestFit="1" customWidth="1"/>
    <col min="8" max="8" width="8.5546875" style="55" bestFit="1" customWidth="1"/>
    <col min="9" max="9" width="6.21875" style="53" bestFit="1" customWidth="1"/>
    <col min="10" max="10" width="7.6640625" style="55" bestFit="1" customWidth="1"/>
    <col min="11" max="11" width="10.77734375" style="53" bestFit="1" customWidth="1"/>
    <col min="12" max="12" width="9.77734375" style="55" bestFit="1" customWidth="1"/>
    <col min="13" max="13" width="16.5546875" style="53" bestFit="1" customWidth="1"/>
    <col min="14" max="14" width="12.6640625" style="55" bestFit="1" customWidth="1"/>
    <col min="15" max="15" width="13.77734375" style="53" bestFit="1" customWidth="1"/>
    <col min="16" max="16" width="15.33203125" style="57" bestFit="1" customWidth="1"/>
    <col min="17" max="17" width="15.88671875" style="57" customWidth="1"/>
    <col min="18" max="18" width="9.5546875" style="57" bestFit="1" customWidth="1"/>
    <col min="19" max="19" width="10.5546875" style="57" bestFit="1" customWidth="1"/>
    <col min="20" max="20" width="15.44140625" style="57" bestFit="1" customWidth="1"/>
    <col min="21" max="21" width="11.44140625" style="57" bestFit="1" customWidth="1"/>
    <col min="22" max="22" width="9.5546875" style="57" bestFit="1" customWidth="1"/>
    <col min="23" max="256" width="5.6640625" style="57" customWidth="1"/>
    <col min="257" max="257" width="0" style="58" hidden="1" customWidth="1"/>
    <col min="258" max="258" width="6.6640625" style="58" customWidth="1"/>
    <col min="259" max="259" width="8.5546875" style="58" customWidth="1"/>
    <col min="260" max="260" width="4.77734375" style="58" customWidth="1"/>
    <col min="261" max="262" width="8.5546875" style="58" customWidth="1"/>
    <col min="263" max="263" width="5.21875" style="58" customWidth="1"/>
    <col min="264" max="264" width="6.6640625" style="58" customWidth="1"/>
    <col min="265" max="265" width="5.21875" style="58" customWidth="1"/>
    <col min="266" max="266" width="5.6640625" style="58" customWidth="1"/>
    <col min="267" max="267" width="5.21875" style="58" customWidth="1"/>
    <col min="268" max="268" width="5.6640625" style="58" customWidth="1"/>
    <col min="269" max="269" width="5.21875" style="58" customWidth="1"/>
    <col min="270" max="270" width="8.5546875" style="58" customWidth="1"/>
    <col min="271" max="271" width="5.21875" style="58" customWidth="1"/>
    <col min="272" max="512" width="5.6640625" style="58" customWidth="1"/>
    <col min="513" max="513" width="0" style="58" hidden="1" customWidth="1"/>
    <col min="514" max="514" width="6.6640625" style="58" customWidth="1"/>
    <col min="515" max="515" width="8.5546875" style="58" customWidth="1"/>
    <col min="516" max="516" width="4.77734375" style="58" customWidth="1"/>
    <col min="517" max="518" width="8.5546875" style="58" customWidth="1"/>
    <col min="519" max="519" width="5.21875" style="58" customWidth="1"/>
    <col min="520" max="520" width="6.6640625" style="58" customWidth="1"/>
    <col min="521" max="521" width="5.21875" style="58" customWidth="1"/>
    <col min="522" max="522" width="5.6640625" style="58" customWidth="1"/>
    <col min="523" max="523" width="5.21875" style="58" customWidth="1"/>
    <col min="524" max="524" width="5.6640625" style="58" customWidth="1"/>
    <col min="525" max="525" width="5.21875" style="58" customWidth="1"/>
    <col min="526" max="526" width="8.5546875" style="58" customWidth="1"/>
    <col min="527" max="527" width="5.21875" style="58" customWidth="1"/>
    <col min="528" max="768" width="5.6640625" style="58" customWidth="1"/>
    <col min="769" max="769" width="0" style="58" hidden="1" customWidth="1"/>
    <col min="770" max="770" width="6.6640625" style="58" customWidth="1"/>
    <col min="771" max="771" width="8.5546875" style="58" customWidth="1"/>
    <col min="772" max="772" width="4.77734375" style="58" customWidth="1"/>
    <col min="773" max="774" width="8.5546875" style="58" customWidth="1"/>
    <col min="775" max="775" width="5.21875" style="58" customWidth="1"/>
    <col min="776" max="776" width="6.6640625" style="58" customWidth="1"/>
    <col min="777" max="777" width="5.21875" style="58" customWidth="1"/>
    <col min="778" max="778" width="5.6640625" style="58" customWidth="1"/>
    <col min="779" max="779" width="5.21875" style="58" customWidth="1"/>
    <col min="780" max="780" width="5.6640625" style="58" customWidth="1"/>
    <col min="781" max="781" width="5.21875" style="58" customWidth="1"/>
    <col min="782" max="782" width="8.5546875" style="58" customWidth="1"/>
    <col min="783" max="783" width="5.21875" style="58" customWidth="1"/>
    <col min="784" max="1024" width="5.6640625" style="58" customWidth="1"/>
    <col min="1025" max="1025" width="0" style="58" hidden="1" customWidth="1"/>
    <col min="1026" max="1026" width="6.6640625" style="58" customWidth="1"/>
    <col min="1027" max="1027" width="8.5546875" style="58" customWidth="1"/>
    <col min="1028" max="1028" width="4.77734375" style="58" customWidth="1"/>
    <col min="1029" max="1030" width="8.5546875" style="58" customWidth="1"/>
    <col min="1031" max="1031" width="5.21875" style="58" customWidth="1"/>
    <col min="1032" max="1032" width="6.6640625" style="58" customWidth="1"/>
    <col min="1033" max="1033" width="5.21875" style="58" customWidth="1"/>
    <col min="1034" max="1034" width="5.6640625" style="58" customWidth="1"/>
    <col min="1035" max="1035" width="5.21875" style="58" customWidth="1"/>
    <col min="1036" max="1036" width="5.6640625" style="58" customWidth="1"/>
    <col min="1037" max="1037" width="5.21875" style="58" customWidth="1"/>
    <col min="1038" max="1038" width="8.5546875" style="58" customWidth="1"/>
    <col min="1039" max="1039" width="5.21875" style="58" customWidth="1"/>
    <col min="1040" max="1280" width="5.6640625" style="58" customWidth="1"/>
    <col min="1281" max="1281" width="0" style="58" hidden="1" customWidth="1"/>
    <col min="1282" max="1282" width="6.6640625" style="58" customWidth="1"/>
    <col min="1283" max="1283" width="8.5546875" style="58" customWidth="1"/>
    <col min="1284" max="1284" width="4.77734375" style="58" customWidth="1"/>
    <col min="1285" max="1286" width="8.5546875" style="58" customWidth="1"/>
    <col min="1287" max="1287" width="5.21875" style="58" customWidth="1"/>
    <col min="1288" max="1288" width="6.6640625" style="58" customWidth="1"/>
    <col min="1289" max="1289" width="5.21875" style="58" customWidth="1"/>
    <col min="1290" max="1290" width="5.6640625" style="58" customWidth="1"/>
    <col min="1291" max="1291" width="5.21875" style="58" customWidth="1"/>
    <col min="1292" max="1292" width="5.6640625" style="58" customWidth="1"/>
    <col min="1293" max="1293" width="5.21875" style="58" customWidth="1"/>
    <col min="1294" max="1294" width="8.5546875" style="58" customWidth="1"/>
    <col min="1295" max="1295" width="5.21875" style="58" customWidth="1"/>
    <col min="1296" max="1536" width="5.6640625" style="58" customWidth="1"/>
    <col min="1537" max="1537" width="0" style="58" hidden="1" customWidth="1"/>
    <col min="1538" max="1538" width="6.6640625" style="58" customWidth="1"/>
    <col min="1539" max="1539" width="8.5546875" style="58" customWidth="1"/>
    <col min="1540" max="1540" width="4.77734375" style="58" customWidth="1"/>
    <col min="1541" max="1542" width="8.5546875" style="58" customWidth="1"/>
    <col min="1543" max="1543" width="5.21875" style="58" customWidth="1"/>
    <col min="1544" max="1544" width="6.6640625" style="58" customWidth="1"/>
    <col min="1545" max="1545" width="5.21875" style="58" customWidth="1"/>
    <col min="1546" max="1546" width="5.6640625" style="58" customWidth="1"/>
    <col min="1547" max="1547" width="5.21875" style="58" customWidth="1"/>
    <col min="1548" max="1548" width="5.6640625" style="58" customWidth="1"/>
    <col min="1549" max="1549" width="5.21875" style="58" customWidth="1"/>
    <col min="1550" max="1550" width="8.5546875" style="58" customWidth="1"/>
    <col min="1551" max="1551" width="5.21875" style="58" customWidth="1"/>
    <col min="1552" max="1792" width="5.6640625" style="58" customWidth="1"/>
    <col min="1793" max="1793" width="0" style="58" hidden="1" customWidth="1"/>
    <col min="1794" max="1794" width="6.6640625" style="58" customWidth="1"/>
    <col min="1795" max="1795" width="8.5546875" style="58" customWidth="1"/>
    <col min="1796" max="1796" width="4.77734375" style="58" customWidth="1"/>
    <col min="1797" max="1798" width="8.5546875" style="58" customWidth="1"/>
    <col min="1799" max="1799" width="5.21875" style="58" customWidth="1"/>
    <col min="1800" max="1800" width="6.6640625" style="58" customWidth="1"/>
    <col min="1801" max="1801" width="5.21875" style="58" customWidth="1"/>
    <col min="1802" max="1802" width="5.6640625" style="58" customWidth="1"/>
    <col min="1803" max="1803" width="5.21875" style="58" customWidth="1"/>
    <col min="1804" max="1804" width="5.6640625" style="58" customWidth="1"/>
    <col min="1805" max="1805" width="5.21875" style="58" customWidth="1"/>
    <col min="1806" max="1806" width="8.5546875" style="58" customWidth="1"/>
    <col min="1807" max="1807" width="5.21875" style="58" customWidth="1"/>
    <col min="1808" max="2048" width="5.6640625" style="58" customWidth="1"/>
    <col min="2049" max="2049" width="0" style="58" hidden="1" customWidth="1"/>
    <col min="2050" max="2050" width="6.6640625" style="58" customWidth="1"/>
    <col min="2051" max="2051" width="8.5546875" style="58" customWidth="1"/>
    <col min="2052" max="2052" width="4.77734375" style="58" customWidth="1"/>
    <col min="2053" max="2054" width="8.5546875" style="58" customWidth="1"/>
    <col min="2055" max="2055" width="5.21875" style="58" customWidth="1"/>
    <col min="2056" max="2056" width="6.6640625" style="58" customWidth="1"/>
    <col min="2057" max="2057" width="5.21875" style="58" customWidth="1"/>
    <col min="2058" max="2058" width="5.6640625" style="58" customWidth="1"/>
    <col min="2059" max="2059" width="5.21875" style="58" customWidth="1"/>
    <col min="2060" max="2060" width="5.6640625" style="58" customWidth="1"/>
    <col min="2061" max="2061" width="5.21875" style="58" customWidth="1"/>
    <col min="2062" max="2062" width="8.5546875" style="58" customWidth="1"/>
    <col min="2063" max="2063" width="5.21875" style="58" customWidth="1"/>
    <col min="2064" max="2304" width="5.6640625" style="58" customWidth="1"/>
    <col min="2305" max="2305" width="0" style="58" hidden="1" customWidth="1"/>
    <col min="2306" max="2306" width="6.6640625" style="58" customWidth="1"/>
    <col min="2307" max="2307" width="8.5546875" style="58" customWidth="1"/>
    <col min="2308" max="2308" width="4.77734375" style="58" customWidth="1"/>
    <col min="2309" max="2310" width="8.5546875" style="58" customWidth="1"/>
    <col min="2311" max="2311" width="5.21875" style="58" customWidth="1"/>
    <col min="2312" max="2312" width="6.6640625" style="58" customWidth="1"/>
    <col min="2313" max="2313" width="5.21875" style="58" customWidth="1"/>
    <col min="2314" max="2314" width="5.6640625" style="58" customWidth="1"/>
    <col min="2315" max="2315" width="5.21875" style="58" customWidth="1"/>
    <col min="2316" max="2316" width="5.6640625" style="58" customWidth="1"/>
    <col min="2317" max="2317" width="5.21875" style="58" customWidth="1"/>
    <col min="2318" max="2318" width="8.5546875" style="58" customWidth="1"/>
    <col min="2319" max="2319" width="5.21875" style="58" customWidth="1"/>
    <col min="2320" max="2560" width="5.6640625" style="58" customWidth="1"/>
    <col min="2561" max="2561" width="0" style="58" hidden="1" customWidth="1"/>
    <col min="2562" max="2562" width="6.6640625" style="58" customWidth="1"/>
    <col min="2563" max="2563" width="8.5546875" style="58" customWidth="1"/>
    <col min="2564" max="2564" width="4.77734375" style="58" customWidth="1"/>
    <col min="2565" max="2566" width="8.5546875" style="58" customWidth="1"/>
    <col min="2567" max="2567" width="5.21875" style="58" customWidth="1"/>
    <col min="2568" max="2568" width="6.6640625" style="58" customWidth="1"/>
    <col min="2569" max="2569" width="5.21875" style="58" customWidth="1"/>
    <col min="2570" max="2570" width="5.6640625" style="58" customWidth="1"/>
    <col min="2571" max="2571" width="5.21875" style="58" customWidth="1"/>
    <col min="2572" max="2572" width="5.6640625" style="58" customWidth="1"/>
    <col min="2573" max="2573" width="5.21875" style="58" customWidth="1"/>
    <col min="2574" max="2574" width="8.5546875" style="58" customWidth="1"/>
    <col min="2575" max="2575" width="5.21875" style="58" customWidth="1"/>
    <col min="2576" max="2816" width="5.6640625" style="58" customWidth="1"/>
    <col min="2817" max="2817" width="0" style="58" hidden="1" customWidth="1"/>
    <col min="2818" max="2818" width="6.6640625" style="58" customWidth="1"/>
    <col min="2819" max="2819" width="8.5546875" style="58" customWidth="1"/>
    <col min="2820" max="2820" width="4.77734375" style="58" customWidth="1"/>
    <col min="2821" max="2822" width="8.5546875" style="58" customWidth="1"/>
    <col min="2823" max="2823" width="5.21875" style="58" customWidth="1"/>
    <col min="2824" max="2824" width="6.6640625" style="58" customWidth="1"/>
    <col min="2825" max="2825" width="5.21875" style="58" customWidth="1"/>
    <col min="2826" max="2826" width="5.6640625" style="58" customWidth="1"/>
    <col min="2827" max="2827" width="5.21875" style="58" customWidth="1"/>
    <col min="2828" max="2828" width="5.6640625" style="58" customWidth="1"/>
    <col min="2829" max="2829" width="5.21875" style="58" customWidth="1"/>
    <col min="2830" max="2830" width="8.5546875" style="58" customWidth="1"/>
    <col min="2831" max="2831" width="5.21875" style="58" customWidth="1"/>
    <col min="2832" max="3072" width="5.6640625" style="58" customWidth="1"/>
    <col min="3073" max="3073" width="0" style="58" hidden="1" customWidth="1"/>
    <col min="3074" max="3074" width="6.6640625" style="58" customWidth="1"/>
    <col min="3075" max="3075" width="8.5546875" style="58" customWidth="1"/>
    <col min="3076" max="3076" width="4.77734375" style="58" customWidth="1"/>
    <col min="3077" max="3078" width="8.5546875" style="58" customWidth="1"/>
    <col min="3079" max="3079" width="5.21875" style="58" customWidth="1"/>
    <col min="3080" max="3080" width="6.6640625" style="58" customWidth="1"/>
    <col min="3081" max="3081" width="5.21875" style="58" customWidth="1"/>
    <col min="3082" max="3082" width="5.6640625" style="58" customWidth="1"/>
    <col min="3083" max="3083" width="5.21875" style="58" customWidth="1"/>
    <col min="3084" max="3084" width="5.6640625" style="58" customWidth="1"/>
    <col min="3085" max="3085" width="5.21875" style="58" customWidth="1"/>
    <col min="3086" max="3086" width="8.5546875" style="58" customWidth="1"/>
    <col min="3087" max="3087" width="5.21875" style="58" customWidth="1"/>
    <col min="3088" max="3328" width="5.6640625" style="58" customWidth="1"/>
    <col min="3329" max="3329" width="0" style="58" hidden="1" customWidth="1"/>
    <col min="3330" max="3330" width="6.6640625" style="58" customWidth="1"/>
    <col min="3331" max="3331" width="8.5546875" style="58" customWidth="1"/>
    <col min="3332" max="3332" width="4.77734375" style="58" customWidth="1"/>
    <col min="3333" max="3334" width="8.5546875" style="58" customWidth="1"/>
    <col min="3335" max="3335" width="5.21875" style="58" customWidth="1"/>
    <col min="3336" max="3336" width="6.6640625" style="58" customWidth="1"/>
    <col min="3337" max="3337" width="5.21875" style="58" customWidth="1"/>
    <col min="3338" max="3338" width="5.6640625" style="58" customWidth="1"/>
    <col min="3339" max="3339" width="5.21875" style="58" customWidth="1"/>
    <col min="3340" max="3340" width="5.6640625" style="58" customWidth="1"/>
    <col min="3341" max="3341" width="5.21875" style="58" customWidth="1"/>
    <col min="3342" max="3342" width="8.5546875" style="58" customWidth="1"/>
    <col min="3343" max="3343" width="5.21875" style="58" customWidth="1"/>
    <col min="3344" max="3584" width="5.6640625" style="58" customWidth="1"/>
    <col min="3585" max="3585" width="0" style="58" hidden="1" customWidth="1"/>
    <col min="3586" max="3586" width="6.6640625" style="58" customWidth="1"/>
    <col min="3587" max="3587" width="8.5546875" style="58" customWidth="1"/>
    <col min="3588" max="3588" width="4.77734375" style="58" customWidth="1"/>
    <col min="3589" max="3590" width="8.5546875" style="58" customWidth="1"/>
    <col min="3591" max="3591" width="5.21875" style="58" customWidth="1"/>
    <col min="3592" max="3592" width="6.6640625" style="58" customWidth="1"/>
    <col min="3593" max="3593" width="5.21875" style="58" customWidth="1"/>
    <col min="3594" max="3594" width="5.6640625" style="58" customWidth="1"/>
    <col min="3595" max="3595" width="5.21875" style="58" customWidth="1"/>
    <col min="3596" max="3596" width="5.6640625" style="58" customWidth="1"/>
    <col min="3597" max="3597" width="5.21875" style="58" customWidth="1"/>
    <col min="3598" max="3598" width="8.5546875" style="58" customWidth="1"/>
    <col min="3599" max="3599" width="5.21875" style="58" customWidth="1"/>
    <col min="3600" max="3840" width="5.6640625" style="58" customWidth="1"/>
    <col min="3841" max="3841" width="0" style="58" hidden="1" customWidth="1"/>
    <col min="3842" max="3842" width="6.6640625" style="58" customWidth="1"/>
    <col min="3843" max="3843" width="8.5546875" style="58" customWidth="1"/>
    <col min="3844" max="3844" width="4.77734375" style="58" customWidth="1"/>
    <col min="3845" max="3846" width="8.5546875" style="58" customWidth="1"/>
    <col min="3847" max="3847" width="5.21875" style="58" customWidth="1"/>
    <col min="3848" max="3848" width="6.6640625" style="58" customWidth="1"/>
    <col min="3849" max="3849" width="5.21875" style="58" customWidth="1"/>
    <col min="3850" max="3850" width="5.6640625" style="58" customWidth="1"/>
    <col min="3851" max="3851" width="5.21875" style="58" customWidth="1"/>
    <col min="3852" max="3852" width="5.6640625" style="58" customWidth="1"/>
    <col min="3853" max="3853" width="5.21875" style="58" customWidth="1"/>
    <col min="3854" max="3854" width="8.5546875" style="58" customWidth="1"/>
    <col min="3855" max="3855" width="5.21875" style="58" customWidth="1"/>
    <col min="3856" max="4096" width="5.6640625" style="58" customWidth="1"/>
    <col min="4097" max="4097" width="0" style="58" hidden="1" customWidth="1"/>
    <col min="4098" max="4098" width="6.6640625" style="58" customWidth="1"/>
    <col min="4099" max="4099" width="8.5546875" style="58" customWidth="1"/>
    <col min="4100" max="4100" width="4.77734375" style="58" customWidth="1"/>
    <col min="4101" max="4102" width="8.5546875" style="58" customWidth="1"/>
    <col min="4103" max="4103" width="5.21875" style="58" customWidth="1"/>
    <col min="4104" max="4104" width="6.6640625" style="58" customWidth="1"/>
    <col min="4105" max="4105" width="5.21875" style="58" customWidth="1"/>
    <col min="4106" max="4106" width="5.6640625" style="58" customWidth="1"/>
    <col min="4107" max="4107" width="5.21875" style="58" customWidth="1"/>
    <col min="4108" max="4108" width="5.6640625" style="58" customWidth="1"/>
    <col min="4109" max="4109" width="5.21875" style="58" customWidth="1"/>
    <col min="4110" max="4110" width="8.5546875" style="58" customWidth="1"/>
    <col min="4111" max="4111" width="5.21875" style="58" customWidth="1"/>
    <col min="4112" max="4352" width="5.6640625" style="58" customWidth="1"/>
    <col min="4353" max="4353" width="0" style="58" hidden="1" customWidth="1"/>
    <col min="4354" max="4354" width="6.6640625" style="58" customWidth="1"/>
    <col min="4355" max="4355" width="8.5546875" style="58" customWidth="1"/>
    <col min="4356" max="4356" width="4.77734375" style="58" customWidth="1"/>
    <col min="4357" max="4358" width="8.5546875" style="58" customWidth="1"/>
    <col min="4359" max="4359" width="5.21875" style="58" customWidth="1"/>
    <col min="4360" max="4360" width="6.6640625" style="58" customWidth="1"/>
    <col min="4361" max="4361" width="5.21875" style="58" customWidth="1"/>
    <col min="4362" max="4362" width="5.6640625" style="58" customWidth="1"/>
    <col min="4363" max="4363" width="5.21875" style="58" customWidth="1"/>
    <col min="4364" max="4364" width="5.6640625" style="58" customWidth="1"/>
    <col min="4365" max="4365" width="5.21875" style="58" customWidth="1"/>
    <col min="4366" max="4366" width="8.5546875" style="58" customWidth="1"/>
    <col min="4367" max="4367" width="5.21875" style="58" customWidth="1"/>
    <col min="4368" max="4608" width="5.6640625" style="58" customWidth="1"/>
    <col min="4609" max="4609" width="0" style="58" hidden="1" customWidth="1"/>
    <col min="4610" max="4610" width="6.6640625" style="58" customWidth="1"/>
    <col min="4611" max="4611" width="8.5546875" style="58" customWidth="1"/>
    <col min="4612" max="4612" width="4.77734375" style="58" customWidth="1"/>
    <col min="4613" max="4614" width="8.5546875" style="58" customWidth="1"/>
    <col min="4615" max="4615" width="5.21875" style="58" customWidth="1"/>
    <col min="4616" max="4616" width="6.6640625" style="58" customWidth="1"/>
    <col min="4617" max="4617" width="5.21875" style="58" customWidth="1"/>
    <col min="4618" max="4618" width="5.6640625" style="58" customWidth="1"/>
    <col min="4619" max="4619" width="5.21875" style="58" customWidth="1"/>
    <col min="4620" max="4620" width="5.6640625" style="58" customWidth="1"/>
    <col min="4621" max="4621" width="5.21875" style="58" customWidth="1"/>
    <col min="4622" max="4622" width="8.5546875" style="58" customWidth="1"/>
    <col min="4623" max="4623" width="5.21875" style="58" customWidth="1"/>
    <col min="4624" max="4864" width="5.6640625" style="58" customWidth="1"/>
    <col min="4865" max="4865" width="0" style="58" hidden="1" customWidth="1"/>
    <col min="4866" max="4866" width="6.6640625" style="58" customWidth="1"/>
    <col min="4867" max="4867" width="8.5546875" style="58" customWidth="1"/>
    <col min="4868" max="4868" width="4.77734375" style="58" customWidth="1"/>
    <col min="4869" max="4870" width="8.5546875" style="58" customWidth="1"/>
    <col min="4871" max="4871" width="5.21875" style="58" customWidth="1"/>
    <col min="4872" max="4872" width="6.6640625" style="58" customWidth="1"/>
    <col min="4873" max="4873" width="5.21875" style="58" customWidth="1"/>
    <col min="4874" max="4874" width="5.6640625" style="58" customWidth="1"/>
    <col min="4875" max="4875" width="5.21875" style="58" customWidth="1"/>
    <col min="4876" max="4876" width="5.6640625" style="58" customWidth="1"/>
    <col min="4877" max="4877" width="5.21875" style="58" customWidth="1"/>
    <col min="4878" max="4878" width="8.5546875" style="58" customWidth="1"/>
    <col min="4879" max="4879" width="5.21875" style="58" customWidth="1"/>
    <col min="4880" max="5120" width="5.6640625" style="58" customWidth="1"/>
    <col min="5121" max="5121" width="0" style="58" hidden="1" customWidth="1"/>
    <col min="5122" max="5122" width="6.6640625" style="58" customWidth="1"/>
    <col min="5123" max="5123" width="8.5546875" style="58" customWidth="1"/>
    <col min="5124" max="5124" width="4.77734375" style="58" customWidth="1"/>
    <col min="5125" max="5126" width="8.5546875" style="58" customWidth="1"/>
    <col min="5127" max="5127" width="5.21875" style="58" customWidth="1"/>
    <col min="5128" max="5128" width="6.6640625" style="58" customWidth="1"/>
    <col min="5129" max="5129" width="5.21875" style="58" customWidth="1"/>
    <col min="5130" max="5130" width="5.6640625" style="58" customWidth="1"/>
    <col min="5131" max="5131" width="5.21875" style="58" customWidth="1"/>
    <col min="5132" max="5132" width="5.6640625" style="58" customWidth="1"/>
    <col min="5133" max="5133" width="5.21875" style="58" customWidth="1"/>
    <col min="5134" max="5134" width="8.5546875" style="58" customWidth="1"/>
    <col min="5135" max="5135" width="5.21875" style="58" customWidth="1"/>
    <col min="5136" max="5376" width="5.6640625" style="58" customWidth="1"/>
    <col min="5377" max="5377" width="0" style="58" hidden="1" customWidth="1"/>
    <col min="5378" max="5378" width="6.6640625" style="58" customWidth="1"/>
    <col min="5379" max="5379" width="8.5546875" style="58" customWidth="1"/>
    <col min="5380" max="5380" width="4.77734375" style="58" customWidth="1"/>
    <col min="5381" max="5382" width="8.5546875" style="58" customWidth="1"/>
    <col min="5383" max="5383" width="5.21875" style="58" customWidth="1"/>
    <col min="5384" max="5384" width="6.6640625" style="58" customWidth="1"/>
    <col min="5385" max="5385" width="5.21875" style="58" customWidth="1"/>
    <col min="5386" max="5386" width="5.6640625" style="58" customWidth="1"/>
    <col min="5387" max="5387" width="5.21875" style="58" customWidth="1"/>
    <col min="5388" max="5388" width="5.6640625" style="58" customWidth="1"/>
    <col min="5389" max="5389" width="5.21875" style="58" customWidth="1"/>
    <col min="5390" max="5390" width="8.5546875" style="58" customWidth="1"/>
    <col min="5391" max="5391" width="5.21875" style="58" customWidth="1"/>
    <col min="5392" max="5632" width="5.6640625" style="58" customWidth="1"/>
    <col min="5633" max="5633" width="0" style="58" hidden="1" customWidth="1"/>
    <col min="5634" max="5634" width="6.6640625" style="58" customWidth="1"/>
    <col min="5635" max="5635" width="8.5546875" style="58" customWidth="1"/>
    <col min="5636" max="5636" width="4.77734375" style="58" customWidth="1"/>
    <col min="5637" max="5638" width="8.5546875" style="58" customWidth="1"/>
    <col min="5639" max="5639" width="5.21875" style="58" customWidth="1"/>
    <col min="5640" max="5640" width="6.6640625" style="58" customWidth="1"/>
    <col min="5641" max="5641" width="5.21875" style="58" customWidth="1"/>
    <col min="5642" max="5642" width="5.6640625" style="58" customWidth="1"/>
    <col min="5643" max="5643" width="5.21875" style="58" customWidth="1"/>
    <col min="5644" max="5644" width="5.6640625" style="58" customWidth="1"/>
    <col min="5645" max="5645" width="5.21875" style="58" customWidth="1"/>
    <col min="5646" max="5646" width="8.5546875" style="58" customWidth="1"/>
    <col min="5647" max="5647" width="5.21875" style="58" customWidth="1"/>
    <col min="5648" max="5888" width="5.6640625" style="58" customWidth="1"/>
    <col min="5889" max="5889" width="0" style="58" hidden="1" customWidth="1"/>
    <col min="5890" max="5890" width="6.6640625" style="58" customWidth="1"/>
    <col min="5891" max="5891" width="8.5546875" style="58" customWidth="1"/>
    <col min="5892" max="5892" width="4.77734375" style="58" customWidth="1"/>
    <col min="5893" max="5894" width="8.5546875" style="58" customWidth="1"/>
    <col min="5895" max="5895" width="5.21875" style="58" customWidth="1"/>
    <col min="5896" max="5896" width="6.6640625" style="58" customWidth="1"/>
    <col min="5897" max="5897" width="5.21875" style="58" customWidth="1"/>
    <col min="5898" max="5898" width="5.6640625" style="58" customWidth="1"/>
    <col min="5899" max="5899" width="5.21875" style="58" customWidth="1"/>
    <col min="5900" max="5900" width="5.6640625" style="58" customWidth="1"/>
    <col min="5901" max="5901" width="5.21875" style="58" customWidth="1"/>
    <col min="5902" max="5902" width="8.5546875" style="58" customWidth="1"/>
    <col min="5903" max="5903" width="5.21875" style="58" customWidth="1"/>
    <col min="5904" max="6144" width="5.6640625" style="58" customWidth="1"/>
    <col min="6145" max="6145" width="0" style="58" hidden="1" customWidth="1"/>
    <col min="6146" max="6146" width="6.6640625" style="58" customWidth="1"/>
    <col min="6147" max="6147" width="8.5546875" style="58" customWidth="1"/>
    <col min="6148" max="6148" width="4.77734375" style="58" customWidth="1"/>
    <col min="6149" max="6150" width="8.5546875" style="58" customWidth="1"/>
    <col min="6151" max="6151" width="5.21875" style="58" customWidth="1"/>
    <col min="6152" max="6152" width="6.6640625" style="58" customWidth="1"/>
    <col min="6153" max="6153" width="5.21875" style="58" customWidth="1"/>
    <col min="6154" max="6154" width="5.6640625" style="58" customWidth="1"/>
    <col min="6155" max="6155" width="5.21875" style="58" customWidth="1"/>
    <col min="6156" max="6156" width="5.6640625" style="58" customWidth="1"/>
    <col min="6157" max="6157" width="5.21875" style="58" customWidth="1"/>
    <col min="6158" max="6158" width="8.5546875" style="58" customWidth="1"/>
    <col min="6159" max="6159" width="5.21875" style="58" customWidth="1"/>
    <col min="6160" max="6400" width="5.6640625" style="58" customWidth="1"/>
    <col min="6401" max="6401" width="0" style="58" hidden="1" customWidth="1"/>
    <col min="6402" max="6402" width="6.6640625" style="58" customWidth="1"/>
    <col min="6403" max="6403" width="8.5546875" style="58" customWidth="1"/>
    <col min="6404" max="6404" width="4.77734375" style="58" customWidth="1"/>
    <col min="6405" max="6406" width="8.5546875" style="58" customWidth="1"/>
    <col min="6407" max="6407" width="5.21875" style="58" customWidth="1"/>
    <col min="6408" max="6408" width="6.6640625" style="58" customWidth="1"/>
    <col min="6409" max="6409" width="5.21875" style="58" customWidth="1"/>
    <col min="6410" max="6410" width="5.6640625" style="58" customWidth="1"/>
    <col min="6411" max="6411" width="5.21875" style="58" customWidth="1"/>
    <col min="6412" max="6412" width="5.6640625" style="58" customWidth="1"/>
    <col min="6413" max="6413" width="5.21875" style="58" customWidth="1"/>
    <col min="6414" max="6414" width="8.5546875" style="58" customWidth="1"/>
    <col min="6415" max="6415" width="5.21875" style="58" customWidth="1"/>
    <col min="6416" max="6656" width="5.6640625" style="58" customWidth="1"/>
    <col min="6657" max="6657" width="0" style="58" hidden="1" customWidth="1"/>
    <col min="6658" max="6658" width="6.6640625" style="58" customWidth="1"/>
    <col min="6659" max="6659" width="8.5546875" style="58" customWidth="1"/>
    <col min="6660" max="6660" width="4.77734375" style="58" customWidth="1"/>
    <col min="6661" max="6662" width="8.5546875" style="58" customWidth="1"/>
    <col min="6663" max="6663" width="5.21875" style="58" customWidth="1"/>
    <col min="6664" max="6664" width="6.6640625" style="58" customWidth="1"/>
    <col min="6665" max="6665" width="5.21875" style="58" customWidth="1"/>
    <col min="6666" max="6666" width="5.6640625" style="58" customWidth="1"/>
    <col min="6667" max="6667" width="5.21875" style="58" customWidth="1"/>
    <col min="6668" max="6668" width="5.6640625" style="58" customWidth="1"/>
    <col min="6669" max="6669" width="5.21875" style="58" customWidth="1"/>
    <col min="6670" max="6670" width="8.5546875" style="58" customWidth="1"/>
    <col min="6671" max="6671" width="5.21875" style="58" customWidth="1"/>
    <col min="6672" max="6912" width="5.6640625" style="58" customWidth="1"/>
    <col min="6913" max="6913" width="0" style="58" hidden="1" customWidth="1"/>
    <col min="6914" max="6914" width="6.6640625" style="58" customWidth="1"/>
    <col min="6915" max="6915" width="8.5546875" style="58" customWidth="1"/>
    <col min="6916" max="6916" width="4.77734375" style="58" customWidth="1"/>
    <col min="6917" max="6918" width="8.5546875" style="58" customWidth="1"/>
    <col min="6919" max="6919" width="5.21875" style="58" customWidth="1"/>
    <col min="6920" max="6920" width="6.6640625" style="58" customWidth="1"/>
    <col min="6921" max="6921" width="5.21875" style="58" customWidth="1"/>
    <col min="6922" max="6922" width="5.6640625" style="58" customWidth="1"/>
    <col min="6923" max="6923" width="5.21875" style="58" customWidth="1"/>
    <col min="6924" max="6924" width="5.6640625" style="58" customWidth="1"/>
    <col min="6925" max="6925" width="5.21875" style="58" customWidth="1"/>
    <col min="6926" max="6926" width="8.5546875" style="58" customWidth="1"/>
    <col min="6927" max="6927" width="5.21875" style="58" customWidth="1"/>
    <col min="6928" max="7168" width="5.6640625" style="58" customWidth="1"/>
    <col min="7169" max="7169" width="0" style="58" hidden="1" customWidth="1"/>
    <col min="7170" max="7170" width="6.6640625" style="58" customWidth="1"/>
    <col min="7171" max="7171" width="8.5546875" style="58" customWidth="1"/>
    <col min="7172" max="7172" width="4.77734375" style="58" customWidth="1"/>
    <col min="7173" max="7174" width="8.5546875" style="58" customWidth="1"/>
    <col min="7175" max="7175" width="5.21875" style="58" customWidth="1"/>
    <col min="7176" max="7176" width="6.6640625" style="58" customWidth="1"/>
    <col min="7177" max="7177" width="5.21875" style="58" customWidth="1"/>
    <col min="7178" max="7178" width="5.6640625" style="58" customWidth="1"/>
    <col min="7179" max="7179" width="5.21875" style="58" customWidth="1"/>
    <col min="7180" max="7180" width="5.6640625" style="58" customWidth="1"/>
    <col min="7181" max="7181" width="5.21875" style="58" customWidth="1"/>
    <col min="7182" max="7182" width="8.5546875" style="58" customWidth="1"/>
    <col min="7183" max="7183" width="5.21875" style="58" customWidth="1"/>
    <col min="7184" max="7424" width="5.6640625" style="58" customWidth="1"/>
    <col min="7425" max="7425" width="0" style="58" hidden="1" customWidth="1"/>
    <col min="7426" max="7426" width="6.6640625" style="58" customWidth="1"/>
    <col min="7427" max="7427" width="8.5546875" style="58" customWidth="1"/>
    <col min="7428" max="7428" width="4.77734375" style="58" customWidth="1"/>
    <col min="7429" max="7430" width="8.5546875" style="58" customWidth="1"/>
    <col min="7431" max="7431" width="5.21875" style="58" customWidth="1"/>
    <col min="7432" max="7432" width="6.6640625" style="58" customWidth="1"/>
    <col min="7433" max="7433" width="5.21875" style="58" customWidth="1"/>
    <col min="7434" max="7434" width="5.6640625" style="58" customWidth="1"/>
    <col min="7435" max="7435" width="5.21875" style="58" customWidth="1"/>
    <col min="7436" max="7436" width="5.6640625" style="58" customWidth="1"/>
    <col min="7437" max="7437" width="5.21875" style="58" customWidth="1"/>
    <col min="7438" max="7438" width="8.5546875" style="58" customWidth="1"/>
    <col min="7439" max="7439" width="5.21875" style="58" customWidth="1"/>
    <col min="7440" max="7680" width="5.6640625" style="58" customWidth="1"/>
    <col min="7681" max="7681" width="0" style="58" hidden="1" customWidth="1"/>
    <col min="7682" max="7682" width="6.6640625" style="58" customWidth="1"/>
    <col min="7683" max="7683" width="8.5546875" style="58" customWidth="1"/>
    <col min="7684" max="7684" width="4.77734375" style="58" customWidth="1"/>
    <col min="7685" max="7686" width="8.5546875" style="58" customWidth="1"/>
    <col min="7687" max="7687" width="5.21875" style="58" customWidth="1"/>
    <col min="7688" max="7688" width="6.6640625" style="58" customWidth="1"/>
    <col min="7689" max="7689" width="5.21875" style="58" customWidth="1"/>
    <col min="7690" max="7690" width="5.6640625" style="58" customWidth="1"/>
    <col min="7691" max="7691" width="5.21875" style="58" customWidth="1"/>
    <col min="7692" max="7692" width="5.6640625" style="58" customWidth="1"/>
    <col min="7693" max="7693" width="5.21875" style="58" customWidth="1"/>
    <col min="7694" max="7694" width="8.5546875" style="58" customWidth="1"/>
    <col min="7695" max="7695" width="5.21875" style="58" customWidth="1"/>
    <col min="7696" max="7936" width="5.6640625" style="58" customWidth="1"/>
    <col min="7937" max="7937" width="0" style="58" hidden="1" customWidth="1"/>
    <col min="7938" max="7938" width="6.6640625" style="58" customWidth="1"/>
    <col min="7939" max="7939" width="8.5546875" style="58" customWidth="1"/>
    <col min="7940" max="7940" width="4.77734375" style="58" customWidth="1"/>
    <col min="7941" max="7942" width="8.5546875" style="58" customWidth="1"/>
    <col min="7943" max="7943" width="5.21875" style="58" customWidth="1"/>
    <col min="7944" max="7944" width="6.6640625" style="58" customWidth="1"/>
    <col min="7945" max="7945" width="5.21875" style="58" customWidth="1"/>
    <col min="7946" max="7946" width="5.6640625" style="58" customWidth="1"/>
    <col min="7947" max="7947" width="5.21875" style="58" customWidth="1"/>
    <col min="7948" max="7948" width="5.6640625" style="58" customWidth="1"/>
    <col min="7949" max="7949" width="5.21875" style="58" customWidth="1"/>
    <col min="7950" max="7950" width="8.5546875" style="58" customWidth="1"/>
    <col min="7951" max="7951" width="5.21875" style="58" customWidth="1"/>
    <col min="7952" max="8192" width="5.6640625" style="58" customWidth="1"/>
    <col min="8193" max="8193" width="0" style="58" hidden="1" customWidth="1"/>
    <col min="8194" max="8194" width="6.6640625" style="58" customWidth="1"/>
    <col min="8195" max="8195" width="8.5546875" style="58" customWidth="1"/>
    <col min="8196" max="8196" width="4.77734375" style="58" customWidth="1"/>
    <col min="8197" max="8198" width="8.5546875" style="58" customWidth="1"/>
    <col min="8199" max="8199" width="5.21875" style="58" customWidth="1"/>
    <col min="8200" max="8200" width="6.6640625" style="58" customWidth="1"/>
    <col min="8201" max="8201" width="5.21875" style="58" customWidth="1"/>
    <col min="8202" max="8202" width="5.6640625" style="58" customWidth="1"/>
    <col min="8203" max="8203" width="5.21875" style="58" customWidth="1"/>
    <col min="8204" max="8204" width="5.6640625" style="58" customWidth="1"/>
    <col min="8205" max="8205" width="5.21875" style="58" customWidth="1"/>
    <col min="8206" max="8206" width="8.5546875" style="58" customWidth="1"/>
    <col min="8207" max="8207" width="5.21875" style="58" customWidth="1"/>
    <col min="8208" max="8448" width="5.6640625" style="58" customWidth="1"/>
    <col min="8449" max="8449" width="0" style="58" hidden="1" customWidth="1"/>
    <col min="8450" max="8450" width="6.6640625" style="58" customWidth="1"/>
    <col min="8451" max="8451" width="8.5546875" style="58" customWidth="1"/>
    <col min="8452" max="8452" width="4.77734375" style="58" customWidth="1"/>
    <col min="8453" max="8454" width="8.5546875" style="58" customWidth="1"/>
    <col min="8455" max="8455" width="5.21875" style="58" customWidth="1"/>
    <col min="8456" max="8456" width="6.6640625" style="58" customWidth="1"/>
    <col min="8457" max="8457" width="5.21875" style="58" customWidth="1"/>
    <col min="8458" max="8458" width="5.6640625" style="58" customWidth="1"/>
    <col min="8459" max="8459" width="5.21875" style="58" customWidth="1"/>
    <col min="8460" max="8460" width="5.6640625" style="58" customWidth="1"/>
    <col min="8461" max="8461" width="5.21875" style="58" customWidth="1"/>
    <col min="8462" max="8462" width="8.5546875" style="58" customWidth="1"/>
    <col min="8463" max="8463" width="5.21875" style="58" customWidth="1"/>
    <col min="8464" max="8704" width="5.6640625" style="58" customWidth="1"/>
    <col min="8705" max="8705" width="0" style="58" hidden="1" customWidth="1"/>
    <col min="8706" max="8706" width="6.6640625" style="58" customWidth="1"/>
    <col min="8707" max="8707" width="8.5546875" style="58" customWidth="1"/>
    <col min="8708" max="8708" width="4.77734375" style="58" customWidth="1"/>
    <col min="8709" max="8710" width="8.5546875" style="58" customWidth="1"/>
    <col min="8711" max="8711" width="5.21875" style="58" customWidth="1"/>
    <col min="8712" max="8712" width="6.6640625" style="58" customWidth="1"/>
    <col min="8713" max="8713" width="5.21875" style="58" customWidth="1"/>
    <col min="8714" max="8714" width="5.6640625" style="58" customWidth="1"/>
    <col min="8715" max="8715" width="5.21875" style="58" customWidth="1"/>
    <col min="8716" max="8716" width="5.6640625" style="58" customWidth="1"/>
    <col min="8717" max="8717" width="5.21875" style="58" customWidth="1"/>
    <col min="8718" max="8718" width="8.5546875" style="58" customWidth="1"/>
    <col min="8719" max="8719" width="5.21875" style="58" customWidth="1"/>
    <col min="8720" max="8960" width="5.6640625" style="58" customWidth="1"/>
    <col min="8961" max="8961" width="0" style="58" hidden="1" customWidth="1"/>
    <col min="8962" max="8962" width="6.6640625" style="58" customWidth="1"/>
    <col min="8963" max="8963" width="8.5546875" style="58" customWidth="1"/>
    <col min="8964" max="8964" width="4.77734375" style="58" customWidth="1"/>
    <col min="8965" max="8966" width="8.5546875" style="58" customWidth="1"/>
    <col min="8967" max="8967" width="5.21875" style="58" customWidth="1"/>
    <col min="8968" max="8968" width="6.6640625" style="58" customWidth="1"/>
    <col min="8969" max="8969" width="5.21875" style="58" customWidth="1"/>
    <col min="8970" max="8970" width="5.6640625" style="58" customWidth="1"/>
    <col min="8971" max="8971" width="5.21875" style="58" customWidth="1"/>
    <col min="8972" max="8972" width="5.6640625" style="58" customWidth="1"/>
    <col min="8973" max="8973" width="5.21875" style="58" customWidth="1"/>
    <col min="8974" max="8974" width="8.5546875" style="58" customWidth="1"/>
    <col min="8975" max="8975" width="5.21875" style="58" customWidth="1"/>
    <col min="8976" max="9216" width="5.6640625" style="58" customWidth="1"/>
    <col min="9217" max="9217" width="0" style="58" hidden="1" customWidth="1"/>
    <col min="9218" max="9218" width="6.6640625" style="58" customWidth="1"/>
    <col min="9219" max="9219" width="8.5546875" style="58" customWidth="1"/>
    <col min="9220" max="9220" width="4.77734375" style="58" customWidth="1"/>
    <col min="9221" max="9222" width="8.5546875" style="58" customWidth="1"/>
    <col min="9223" max="9223" width="5.21875" style="58" customWidth="1"/>
    <col min="9224" max="9224" width="6.6640625" style="58" customWidth="1"/>
    <col min="9225" max="9225" width="5.21875" style="58" customWidth="1"/>
    <col min="9226" max="9226" width="5.6640625" style="58" customWidth="1"/>
    <col min="9227" max="9227" width="5.21875" style="58" customWidth="1"/>
    <col min="9228" max="9228" width="5.6640625" style="58" customWidth="1"/>
    <col min="9229" max="9229" width="5.21875" style="58" customWidth="1"/>
    <col min="9230" max="9230" width="8.5546875" style="58" customWidth="1"/>
    <col min="9231" max="9231" width="5.21875" style="58" customWidth="1"/>
    <col min="9232" max="9472" width="5.6640625" style="58" customWidth="1"/>
    <col min="9473" max="9473" width="0" style="58" hidden="1" customWidth="1"/>
    <col min="9474" max="9474" width="6.6640625" style="58" customWidth="1"/>
    <col min="9475" max="9475" width="8.5546875" style="58" customWidth="1"/>
    <col min="9476" max="9476" width="4.77734375" style="58" customWidth="1"/>
    <col min="9477" max="9478" width="8.5546875" style="58" customWidth="1"/>
    <col min="9479" max="9479" width="5.21875" style="58" customWidth="1"/>
    <col min="9480" max="9480" width="6.6640625" style="58" customWidth="1"/>
    <col min="9481" max="9481" width="5.21875" style="58" customWidth="1"/>
    <col min="9482" max="9482" width="5.6640625" style="58" customWidth="1"/>
    <col min="9483" max="9483" width="5.21875" style="58" customWidth="1"/>
    <col min="9484" max="9484" width="5.6640625" style="58" customWidth="1"/>
    <col min="9485" max="9485" width="5.21875" style="58" customWidth="1"/>
    <col min="9486" max="9486" width="8.5546875" style="58" customWidth="1"/>
    <col min="9487" max="9487" width="5.21875" style="58" customWidth="1"/>
    <col min="9488" max="9728" width="5.6640625" style="58" customWidth="1"/>
    <col min="9729" max="9729" width="0" style="58" hidden="1" customWidth="1"/>
    <col min="9730" max="9730" width="6.6640625" style="58" customWidth="1"/>
    <col min="9731" max="9731" width="8.5546875" style="58" customWidth="1"/>
    <col min="9732" max="9732" width="4.77734375" style="58" customWidth="1"/>
    <col min="9733" max="9734" width="8.5546875" style="58" customWidth="1"/>
    <col min="9735" max="9735" width="5.21875" style="58" customWidth="1"/>
    <col min="9736" max="9736" width="6.6640625" style="58" customWidth="1"/>
    <col min="9737" max="9737" width="5.21875" style="58" customWidth="1"/>
    <col min="9738" max="9738" width="5.6640625" style="58" customWidth="1"/>
    <col min="9739" max="9739" width="5.21875" style="58" customWidth="1"/>
    <col min="9740" max="9740" width="5.6640625" style="58" customWidth="1"/>
    <col min="9741" max="9741" width="5.21875" style="58" customWidth="1"/>
    <col min="9742" max="9742" width="8.5546875" style="58" customWidth="1"/>
    <col min="9743" max="9743" width="5.21875" style="58" customWidth="1"/>
    <col min="9744" max="9984" width="5.6640625" style="58" customWidth="1"/>
    <col min="9985" max="9985" width="0" style="58" hidden="1" customWidth="1"/>
    <col min="9986" max="9986" width="6.6640625" style="58" customWidth="1"/>
    <col min="9987" max="9987" width="8.5546875" style="58" customWidth="1"/>
    <col min="9988" max="9988" width="4.77734375" style="58" customWidth="1"/>
    <col min="9989" max="9990" width="8.5546875" style="58" customWidth="1"/>
    <col min="9991" max="9991" width="5.21875" style="58" customWidth="1"/>
    <col min="9992" max="9992" width="6.6640625" style="58" customWidth="1"/>
    <col min="9993" max="9993" width="5.21875" style="58" customWidth="1"/>
    <col min="9994" max="9994" width="5.6640625" style="58" customWidth="1"/>
    <col min="9995" max="9995" width="5.21875" style="58" customWidth="1"/>
    <col min="9996" max="9996" width="5.6640625" style="58" customWidth="1"/>
    <col min="9997" max="9997" width="5.21875" style="58" customWidth="1"/>
    <col min="9998" max="9998" width="8.5546875" style="58" customWidth="1"/>
    <col min="9999" max="9999" width="5.21875" style="58" customWidth="1"/>
    <col min="10000" max="10240" width="5.6640625" style="58" customWidth="1"/>
    <col min="10241" max="10241" width="0" style="58" hidden="1" customWidth="1"/>
    <col min="10242" max="10242" width="6.6640625" style="58" customWidth="1"/>
    <col min="10243" max="10243" width="8.5546875" style="58" customWidth="1"/>
    <col min="10244" max="10244" width="4.77734375" style="58" customWidth="1"/>
    <col min="10245" max="10246" width="8.5546875" style="58" customWidth="1"/>
    <col min="10247" max="10247" width="5.21875" style="58" customWidth="1"/>
    <col min="10248" max="10248" width="6.6640625" style="58" customWidth="1"/>
    <col min="10249" max="10249" width="5.21875" style="58" customWidth="1"/>
    <col min="10250" max="10250" width="5.6640625" style="58" customWidth="1"/>
    <col min="10251" max="10251" width="5.21875" style="58" customWidth="1"/>
    <col min="10252" max="10252" width="5.6640625" style="58" customWidth="1"/>
    <col min="10253" max="10253" width="5.21875" style="58" customWidth="1"/>
    <col min="10254" max="10254" width="8.5546875" style="58" customWidth="1"/>
    <col min="10255" max="10255" width="5.21875" style="58" customWidth="1"/>
    <col min="10256" max="10496" width="5.6640625" style="58" customWidth="1"/>
    <col min="10497" max="10497" width="0" style="58" hidden="1" customWidth="1"/>
    <col min="10498" max="10498" width="6.6640625" style="58" customWidth="1"/>
    <col min="10499" max="10499" width="8.5546875" style="58" customWidth="1"/>
    <col min="10500" max="10500" width="4.77734375" style="58" customWidth="1"/>
    <col min="10501" max="10502" width="8.5546875" style="58" customWidth="1"/>
    <col min="10503" max="10503" width="5.21875" style="58" customWidth="1"/>
    <col min="10504" max="10504" width="6.6640625" style="58" customWidth="1"/>
    <col min="10505" max="10505" width="5.21875" style="58" customWidth="1"/>
    <col min="10506" max="10506" width="5.6640625" style="58" customWidth="1"/>
    <col min="10507" max="10507" width="5.21875" style="58" customWidth="1"/>
    <col min="10508" max="10508" width="5.6640625" style="58" customWidth="1"/>
    <col min="10509" max="10509" width="5.21875" style="58" customWidth="1"/>
    <col min="10510" max="10510" width="8.5546875" style="58" customWidth="1"/>
    <col min="10511" max="10511" width="5.21875" style="58" customWidth="1"/>
    <col min="10512" max="10752" width="5.6640625" style="58" customWidth="1"/>
    <col min="10753" max="10753" width="0" style="58" hidden="1" customWidth="1"/>
    <col min="10754" max="10754" width="6.6640625" style="58" customWidth="1"/>
    <col min="10755" max="10755" width="8.5546875" style="58" customWidth="1"/>
    <col min="10756" max="10756" width="4.77734375" style="58" customWidth="1"/>
    <col min="10757" max="10758" width="8.5546875" style="58" customWidth="1"/>
    <col min="10759" max="10759" width="5.21875" style="58" customWidth="1"/>
    <col min="10760" max="10760" width="6.6640625" style="58" customWidth="1"/>
    <col min="10761" max="10761" width="5.21875" style="58" customWidth="1"/>
    <col min="10762" max="10762" width="5.6640625" style="58" customWidth="1"/>
    <col min="10763" max="10763" width="5.21875" style="58" customWidth="1"/>
    <col min="10764" max="10764" width="5.6640625" style="58" customWidth="1"/>
    <col min="10765" max="10765" width="5.21875" style="58" customWidth="1"/>
    <col min="10766" max="10766" width="8.5546875" style="58" customWidth="1"/>
    <col min="10767" max="10767" width="5.21875" style="58" customWidth="1"/>
    <col min="10768" max="11008" width="5.6640625" style="58" customWidth="1"/>
    <col min="11009" max="11009" width="0" style="58" hidden="1" customWidth="1"/>
    <col min="11010" max="11010" width="6.6640625" style="58" customWidth="1"/>
    <col min="11011" max="11011" width="8.5546875" style="58" customWidth="1"/>
    <col min="11012" max="11012" width="4.77734375" style="58" customWidth="1"/>
    <col min="11013" max="11014" width="8.5546875" style="58" customWidth="1"/>
    <col min="11015" max="11015" width="5.21875" style="58" customWidth="1"/>
    <col min="11016" max="11016" width="6.6640625" style="58" customWidth="1"/>
    <col min="11017" max="11017" width="5.21875" style="58" customWidth="1"/>
    <col min="11018" max="11018" width="5.6640625" style="58" customWidth="1"/>
    <col min="11019" max="11019" width="5.21875" style="58" customWidth="1"/>
    <col min="11020" max="11020" width="5.6640625" style="58" customWidth="1"/>
    <col min="11021" max="11021" width="5.21875" style="58" customWidth="1"/>
    <col min="11022" max="11022" width="8.5546875" style="58" customWidth="1"/>
    <col min="11023" max="11023" width="5.21875" style="58" customWidth="1"/>
    <col min="11024" max="11264" width="5.6640625" style="58" customWidth="1"/>
    <col min="11265" max="11265" width="0" style="58" hidden="1" customWidth="1"/>
    <col min="11266" max="11266" width="6.6640625" style="58" customWidth="1"/>
    <col min="11267" max="11267" width="8.5546875" style="58" customWidth="1"/>
    <col min="11268" max="11268" width="4.77734375" style="58" customWidth="1"/>
    <col min="11269" max="11270" width="8.5546875" style="58" customWidth="1"/>
    <col min="11271" max="11271" width="5.21875" style="58" customWidth="1"/>
    <col min="11272" max="11272" width="6.6640625" style="58" customWidth="1"/>
    <col min="11273" max="11273" width="5.21875" style="58" customWidth="1"/>
    <col min="11274" max="11274" width="5.6640625" style="58" customWidth="1"/>
    <col min="11275" max="11275" width="5.21875" style="58" customWidth="1"/>
    <col min="11276" max="11276" width="5.6640625" style="58" customWidth="1"/>
    <col min="11277" max="11277" width="5.21875" style="58" customWidth="1"/>
    <col min="11278" max="11278" width="8.5546875" style="58" customWidth="1"/>
    <col min="11279" max="11279" width="5.21875" style="58" customWidth="1"/>
    <col min="11280" max="11520" width="5.6640625" style="58" customWidth="1"/>
    <col min="11521" max="11521" width="0" style="58" hidden="1" customWidth="1"/>
    <col min="11522" max="11522" width="6.6640625" style="58" customWidth="1"/>
    <col min="11523" max="11523" width="8.5546875" style="58" customWidth="1"/>
    <col min="11524" max="11524" width="4.77734375" style="58" customWidth="1"/>
    <col min="11525" max="11526" width="8.5546875" style="58" customWidth="1"/>
    <col min="11527" max="11527" width="5.21875" style="58" customWidth="1"/>
    <col min="11528" max="11528" width="6.6640625" style="58" customWidth="1"/>
    <col min="11529" max="11529" width="5.21875" style="58" customWidth="1"/>
    <col min="11530" max="11530" width="5.6640625" style="58" customWidth="1"/>
    <col min="11531" max="11531" width="5.21875" style="58" customWidth="1"/>
    <col min="11532" max="11532" width="5.6640625" style="58" customWidth="1"/>
    <col min="11533" max="11533" width="5.21875" style="58" customWidth="1"/>
    <col min="11534" max="11534" width="8.5546875" style="58" customWidth="1"/>
    <col min="11535" max="11535" width="5.21875" style="58" customWidth="1"/>
    <col min="11536" max="11776" width="5.6640625" style="58" customWidth="1"/>
    <col min="11777" max="11777" width="0" style="58" hidden="1" customWidth="1"/>
    <col min="11778" max="11778" width="6.6640625" style="58" customWidth="1"/>
    <col min="11779" max="11779" width="8.5546875" style="58" customWidth="1"/>
    <col min="11780" max="11780" width="4.77734375" style="58" customWidth="1"/>
    <col min="11781" max="11782" width="8.5546875" style="58" customWidth="1"/>
    <col min="11783" max="11783" width="5.21875" style="58" customWidth="1"/>
    <col min="11784" max="11784" width="6.6640625" style="58" customWidth="1"/>
    <col min="11785" max="11785" width="5.21875" style="58" customWidth="1"/>
    <col min="11786" max="11786" width="5.6640625" style="58" customWidth="1"/>
    <col min="11787" max="11787" width="5.21875" style="58" customWidth="1"/>
    <col min="11788" max="11788" width="5.6640625" style="58" customWidth="1"/>
    <col min="11789" max="11789" width="5.21875" style="58" customWidth="1"/>
    <col min="11790" max="11790" width="8.5546875" style="58" customWidth="1"/>
    <col min="11791" max="11791" width="5.21875" style="58" customWidth="1"/>
    <col min="11792" max="12032" width="5.6640625" style="58" customWidth="1"/>
    <col min="12033" max="12033" width="0" style="58" hidden="1" customWidth="1"/>
    <col min="12034" max="12034" width="6.6640625" style="58" customWidth="1"/>
    <col min="12035" max="12035" width="8.5546875" style="58" customWidth="1"/>
    <col min="12036" max="12036" width="4.77734375" style="58" customWidth="1"/>
    <col min="12037" max="12038" width="8.5546875" style="58" customWidth="1"/>
    <col min="12039" max="12039" width="5.21875" style="58" customWidth="1"/>
    <col min="12040" max="12040" width="6.6640625" style="58" customWidth="1"/>
    <col min="12041" max="12041" width="5.21875" style="58" customWidth="1"/>
    <col min="12042" max="12042" width="5.6640625" style="58" customWidth="1"/>
    <col min="12043" max="12043" width="5.21875" style="58" customWidth="1"/>
    <col min="12044" max="12044" width="5.6640625" style="58" customWidth="1"/>
    <col min="12045" max="12045" width="5.21875" style="58" customWidth="1"/>
    <col min="12046" max="12046" width="8.5546875" style="58" customWidth="1"/>
    <col min="12047" max="12047" width="5.21875" style="58" customWidth="1"/>
    <col min="12048" max="12288" width="5.6640625" style="58" customWidth="1"/>
    <col min="12289" max="12289" width="0" style="58" hidden="1" customWidth="1"/>
    <col min="12290" max="12290" width="6.6640625" style="58" customWidth="1"/>
    <col min="12291" max="12291" width="8.5546875" style="58" customWidth="1"/>
    <col min="12292" max="12292" width="4.77734375" style="58" customWidth="1"/>
    <col min="12293" max="12294" width="8.5546875" style="58" customWidth="1"/>
    <col min="12295" max="12295" width="5.21875" style="58" customWidth="1"/>
    <col min="12296" max="12296" width="6.6640625" style="58" customWidth="1"/>
    <col min="12297" max="12297" width="5.21875" style="58" customWidth="1"/>
    <col min="12298" max="12298" width="5.6640625" style="58" customWidth="1"/>
    <col min="12299" max="12299" width="5.21875" style="58" customWidth="1"/>
    <col min="12300" max="12300" width="5.6640625" style="58" customWidth="1"/>
    <col min="12301" max="12301" width="5.21875" style="58" customWidth="1"/>
    <col min="12302" max="12302" width="8.5546875" style="58" customWidth="1"/>
    <col min="12303" max="12303" width="5.21875" style="58" customWidth="1"/>
    <col min="12304" max="12544" width="5.6640625" style="58" customWidth="1"/>
    <col min="12545" max="12545" width="0" style="58" hidden="1" customWidth="1"/>
    <col min="12546" max="12546" width="6.6640625" style="58" customWidth="1"/>
    <col min="12547" max="12547" width="8.5546875" style="58" customWidth="1"/>
    <col min="12548" max="12548" width="4.77734375" style="58" customWidth="1"/>
    <col min="12549" max="12550" width="8.5546875" style="58" customWidth="1"/>
    <col min="12551" max="12551" width="5.21875" style="58" customWidth="1"/>
    <col min="12552" max="12552" width="6.6640625" style="58" customWidth="1"/>
    <col min="12553" max="12553" width="5.21875" style="58" customWidth="1"/>
    <col min="12554" max="12554" width="5.6640625" style="58" customWidth="1"/>
    <col min="12555" max="12555" width="5.21875" style="58" customWidth="1"/>
    <col min="12556" max="12556" width="5.6640625" style="58" customWidth="1"/>
    <col min="12557" max="12557" width="5.21875" style="58" customWidth="1"/>
    <col min="12558" max="12558" width="8.5546875" style="58" customWidth="1"/>
    <col min="12559" max="12559" width="5.21875" style="58" customWidth="1"/>
    <col min="12560" max="12800" width="5.6640625" style="58" customWidth="1"/>
    <col min="12801" max="12801" width="0" style="58" hidden="1" customWidth="1"/>
    <col min="12802" max="12802" width="6.6640625" style="58" customWidth="1"/>
    <col min="12803" max="12803" width="8.5546875" style="58" customWidth="1"/>
    <col min="12804" max="12804" width="4.77734375" style="58" customWidth="1"/>
    <col min="12805" max="12806" width="8.5546875" style="58" customWidth="1"/>
    <col min="12807" max="12807" width="5.21875" style="58" customWidth="1"/>
    <col min="12808" max="12808" width="6.6640625" style="58" customWidth="1"/>
    <col min="12809" max="12809" width="5.21875" style="58" customWidth="1"/>
    <col min="12810" max="12810" width="5.6640625" style="58" customWidth="1"/>
    <col min="12811" max="12811" width="5.21875" style="58" customWidth="1"/>
    <col min="12812" max="12812" width="5.6640625" style="58" customWidth="1"/>
    <col min="12813" max="12813" width="5.21875" style="58" customWidth="1"/>
    <col min="12814" max="12814" width="8.5546875" style="58" customWidth="1"/>
    <col min="12815" max="12815" width="5.21875" style="58" customWidth="1"/>
    <col min="12816" max="13056" width="5.6640625" style="58" customWidth="1"/>
    <col min="13057" max="13057" width="0" style="58" hidden="1" customWidth="1"/>
    <col min="13058" max="13058" width="6.6640625" style="58" customWidth="1"/>
    <col min="13059" max="13059" width="8.5546875" style="58" customWidth="1"/>
    <col min="13060" max="13060" width="4.77734375" style="58" customWidth="1"/>
    <col min="13061" max="13062" width="8.5546875" style="58" customWidth="1"/>
    <col min="13063" max="13063" width="5.21875" style="58" customWidth="1"/>
    <col min="13064" max="13064" width="6.6640625" style="58" customWidth="1"/>
    <col min="13065" max="13065" width="5.21875" style="58" customWidth="1"/>
    <col min="13066" max="13066" width="5.6640625" style="58" customWidth="1"/>
    <col min="13067" max="13067" width="5.21875" style="58" customWidth="1"/>
    <col min="13068" max="13068" width="5.6640625" style="58" customWidth="1"/>
    <col min="13069" max="13069" width="5.21875" style="58" customWidth="1"/>
    <col min="13070" max="13070" width="8.5546875" style="58" customWidth="1"/>
    <col min="13071" max="13071" width="5.21875" style="58" customWidth="1"/>
    <col min="13072" max="13312" width="5.6640625" style="58" customWidth="1"/>
    <col min="13313" max="13313" width="0" style="58" hidden="1" customWidth="1"/>
    <col min="13314" max="13314" width="6.6640625" style="58" customWidth="1"/>
    <col min="13315" max="13315" width="8.5546875" style="58" customWidth="1"/>
    <col min="13316" max="13316" width="4.77734375" style="58" customWidth="1"/>
    <col min="13317" max="13318" width="8.5546875" style="58" customWidth="1"/>
    <col min="13319" max="13319" width="5.21875" style="58" customWidth="1"/>
    <col min="13320" max="13320" width="6.6640625" style="58" customWidth="1"/>
    <col min="13321" max="13321" width="5.21875" style="58" customWidth="1"/>
    <col min="13322" max="13322" width="5.6640625" style="58" customWidth="1"/>
    <col min="13323" max="13323" width="5.21875" style="58" customWidth="1"/>
    <col min="13324" max="13324" width="5.6640625" style="58" customWidth="1"/>
    <col min="13325" max="13325" width="5.21875" style="58" customWidth="1"/>
    <col min="13326" max="13326" width="8.5546875" style="58" customWidth="1"/>
    <col min="13327" max="13327" width="5.21875" style="58" customWidth="1"/>
    <col min="13328" max="13568" width="5.6640625" style="58" customWidth="1"/>
    <col min="13569" max="13569" width="0" style="58" hidden="1" customWidth="1"/>
    <col min="13570" max="13570" width="6.6640625" style="58" customWidth="1"/>
    <col min="13571" max="13571" width="8.5546875" style="58" customWidth="1"/>
    <col min="13572" max="13572" width="4.77734375" style="58" customWidth="1"/>
    <col min="13573" max="13574" width="8.5546875" style="58" customWidth="1"/>
    <col min="13575" max="13575" width="5.21875" style="58" customWidth="1"/>
    <col min="13576" max="13576" width="6.6640625" style="58" customWidth="1"/>
    <col min="13577" max="13577" width="5.21875" style="58" customWidth="1"/>
    <col min="13578" max="13578" width="5.6640625" style="58" customWidth="1"/>
    <col min="13579" max="13579" width="5.21875" style="58" customWidth="1"/>
    <col min="13580" max="13580" width="5.6640625" style="58" customWidth="1"/>
    <col min="13581" max="13581" width="5.21875" style="58" customWidth="1"/>
    <col min="13582" max="13582" width="8.5546875" style="58" customWidth="1"/>
    <col min="13583" max="13583" width="5.21875" style="58" customWidth="1"/>
    <col min="13584" max="13824" width="5.6640625" style="58" customWidth="1"/>
    <col min="13825" max="13825" width="0" style="58" hidden="1" customWidth="1"/>
    <col min="13826" max="13826" width="6.6640625" style="58" customWidth="1"/>
    <col min="13827" max="13827" width="8.5546875" style="58" customWidth="1"/>
    <col min="13828" max="13828" width="4.77734375" style="58" customWidth="1"/>
    <col min="13829" max="13830" width="8.5546875" style="58" customWidth="1"/>
    <col min="13831" max="13831" width="5.21875" style="58" customWidth="1"/>
    <col min="13832" max="13832" width="6.6640625" style="58" customWidth="1"/>
    <col min="13833" max="13833" width="5.21875" style="58" customWidth="1"/>
    <col min="13834" max="13834" width="5.6640625" style="58" customWidth="1"/>
    <col min="13835" max="13835" width="5.21875" style="58" customWidth="1"/>
    <col min="13836" max="13836" width="5.6640625" style="58" customWidth="1"/>
    <col min="13837" max="13837" width="5.21875" style="58" customWidth="1"/>
    <col min="13838" max="13838" width="8.5546875" style="58" customWidth="1"/>
    <col min="13839" max="13839" width="5.21875" style="58" customWidth="1"/>
    <col min="13840" max="14080" width="5.6640625" style="58" customWidth="1"/>
    <col min="14081" max="14081" width="0" style="58" hidden="1" customWidth="1"/>
    <col min="14082" max="14082" width="6.6640625" style="58" customWidth="1"/>
    <col min="14083" max="14083" width="8.5546875" style="58" customWidth="1"/>
    <col min="14084" max="14084" width="4.77734375" style="58" customWidth="1"/>
    <col min="14085" max="14086" width="8.5546875" style="58" customWidth="1"/>
    <col min="14087" max="14087" width="5.21875" style="58" customWidth="1"/>
    <col min="14088" max="14088" width="6.6640625" style="58" customWidth="1"/>
    <col min="14089" max="14089" width="5.21875" style="58" customWidth="1"/>
    <col min="14090" max="14090" width="5.6640625" style="58" customWidth="1"/>
    <col min="14091" max="14091" width="5.21875" style="58" customWidth="1"/>
    <col min="14092" max="14092" width="5.6640625" style="58" customWidth="1"/>
    <col min="14093" max="14093" width="5.21875" style="58" customWidth="1"/>
    <col min="14094" max="14094" width="8.5546875" style="58" customWidth="1"/>
    <col min="14095" max="14095" width="5.21875" style="58" customWidth="1"/>
    <col min="14096" max="14336" width="5.6640625" style="58" customWidth="1"/>
    <col min="14337" max="14337" width="0" style="58" hidden="1" customWidth="1"/>
    <col min="14338" max="14338" width="6.6640625" style="58" customWidth="1"/>
    <col min="14339" max="14339" width="8.5546875" style="58" customWidth="1"/>
    <col min="14340" max="14340" width="4.77734375" style="58" customWidth="1"/>
    <col min="14341" max="14342" width="8.5546875" style="58" customWidth="1"/>
    <col min="14343" max="14343" width="5.21875" style="58" customWidth="1"/>
    <col min="14344" max="14344" width="6.6640625" style="58" customWidth="1"/>
    <col min="14345" max="14345" width="5.21875" style="58" customWidth="1"/>
    <col min="14346" max="14346" width="5.6640625" style="58" customWidth="1"/>
    <col min="14347" max="14347" width="5.21875" style="58" customWidth="1"/>
    <col min="14348" max="14348" width="5.6640625" style="58" customWidth="1"/>
    <col min="14349" max="14349" width="5.21875" style="58" customWidth="1"/>
    <col min="14350" max="14350" width="8.5546875" style="58" customWidth="1"/>
    <col min="14351" max="14351" width="5.21875" style="58" customWidth="1"/>
    <col min="14352" max="14592" width="5.6640625" style="58" customWidth="1"/>
    <col min="14593" max="14593" width="0" style="58" hidden="1" customWidth="1"/>
    <col min="14594" max="14594" width="6.6640625" style="58" customWidth="1"/>
    <col min="14595" max="14595" width="8.5546875" style="58" customWidth="1"/>
    <col min="14596" max="14596" width="4.77734375" style="58" customWidth="1"/>
    <col min="14597" max="14598" width="8.5546875" style="58" customWidth="1"/>
    <col min="14599" max="14599" width="5.21875" style="58" customWidth="1"/>
    <col min="14600" max="14600" width="6.6640625" style="58" customWidth="1"/>
    <col min="14601" max="14601" width="5.21875" style="58" customWidth="1"/>
    <col min="14602" max="14602" width="5.6640625" style="58" customWidth="1"/>
    <col min="14603" max="14603" width="5.21875" style="58" customWidth="1"/>
    <col min="14604" max="14604" width="5.6640625" style="58" customWidth="1"/>
    <col min="14605" max="14605" width="5.21875" style="58" customWidth="1"/>
    <col min="14606" max="14606" width="8.5546875" style="58" customWidth="1"/>
    <col min="14607" max="14607" width="5.21875" style="58" customWidth="1"/>
    <col min="14608" max="14848" width="5.6640625" style="58" customWidth="1"/>
    <col min="14849" max="14849" width="0" style="58" hidden="1" customWidth="1"/>
    <col min="14850" max="14850" width="6.6640625" style="58" customWidth="1"/>
    <col min="14851" max="14851" width="8.5546875" style="58" customWidth="1"/>
    <col min="14852" max="14852" width="4.77734375" style="58" customWidth="1"/>
    <col min="14853" max="14854" width="8.5546875" style="58" customWidth="1"/>
    <col min="14855" max="14855" width="5.21875" style="58" customWidth="1"/>
    <col min="14856" max="14856" width="6.6640625" style="58" customWidth="1"/>
    <col min="14857" max="14857" width="5.21875" style="58" customWidth="1"/>
    <col min="14858" max="14858" width="5.6640625" style="58" customWidth="1"/>
    <col min="14859" max="14859" width="5.21875" style="58" customWidth="1"/>
    <col min="14860" max="14860" width="5.6640625" style="58" customWidth="1"/>
    <col min="14861" max="14861" width="5.21875" style="58" customWidth="1"/>
    <col min="14862" max="14862" width="8.5546875" style="58" customWidth="1"/>
    <col min="14863" max="14863" width="5.21875" style="58" customWidth="1"/>
    <col min="14864" max="15104" width="5.6640625" style="58" customWidth="1"/>
    <col min="15105" max="15105" width="0" style="58" hidden="1" customWidth="1"/>
    <col min="15106" max="15106" width="6.6640625" style="58" customWidth="1"/>
    <col min="15107" max="15107" width="8.5546875" style="58" customWidth="1"/>
    <col min="15108" max="15108" width="4.77734375" style="58" customWidth="1"/>
    <col min="15109" max="15110" width="8.5546875" style="58" customWidth="1"/>
    <col min="15111" max="15111" width="5.21875" style="58" customWidth="1"/>
    <col min="15112" max="15112" width="6.6640625" style="58" customWidth="1"/>
    <col min="15113" max="15113" width="5.21875" style="58" customWidth="1"/>
    <col min="15114" max="15114" width="5.6640625" style="58" customWidth="1"/>
    <col min="15115" max="15115" width="5.21875" style="58" customWidth="1"/>
    <col min="15116" max="15116" width="5.6640625" style="58" customWidth="1"/>
    <col min="15117" max="15117" width="5.21875" style="58" customWidth="1"/>
    <col min="15118" max="15118" width="8.5546875" style="58" customWidth="1"/>
    <col min="15119" max="15119" width="5.21875" style="58" customWidth="1"/>
    <col min="15120" max="15360" width="5.6640625" style="58" customWidth="1"/>
    <col min="15361" max="15361" width="0" style="58" hidden="1" customWidth="1"/>
    <col min="15362" max="15362" width="6.6640625" style="58" customWidth="1"/>
    <col min="15363" max="15363" width="8.5546875" style="58" customWidth="1"/>
    <col min="15364" max="15364" width="4.77734375" style="58" customWidth="1"/>
    <col min="15365" max="15366" width="8.5546875" style="58" customWidth="1"/>
    <col min="15367" max="15367" width="5.21875" style="58" customWidth="1"/>
    <col min="15368" max="15368" width="6.6640625" style="58" customWidth="1"/>
    <col min="15369" max="15369" width="5.21875" style="58" customWidth="1"/>
    <col min="15370" max="15370" width="5.6640625" style="58" customWidth="1"/>
    <col min="15371" max="15371" width="5.21875" style="58" customWidth="1"/>
    <col min="15372" max="15372" width="5.6640625" style="58" customWidth="1"/>
    <col min="15373" max="15373" width="5.21875" style="58" customWidth="1"/>
    <col min="15374" max="15374" width="8.5546875" style="58" customWidth="1"/>
    <col min="15375" max="15375" width="5.21875" style="58" customWidth="1"/>
    <col min="15376" max="15616" width="5.6640625" style="58" customWidth="1"/>
    <col min="15617" max="15617" width="0" style="58" hidden="1" customWidth="1"/>
    <col min="15618" max="15618" width="6.6640625" style="58" customWidth="1"/>
    <col min="15619" max="15619" width="8.5546875" style="58" customWidth="1"/>
    <col min="15620" max="15620" width="4.77734375" style="58" customWidth="1"/>
    <col min="15621" max="15622" width="8.5546875" style="58" customWidth="1"/>
    <col min="15623" max="15623" width="5.21875" style="58" customWidth="1"/>
    <col min="15624" max="15624" width="6.6640625" style="58" customWidth="1"/>
    <col min="15625" max="15625" width="5.21875" style="58" customWidth="1"/>
    <col min="15626" max="15626" width="5.6640625" style="58" customWidth="1"/>
    <col min="15627" max="15627" width="5.21875" style="58" customWidth="1"/>
    <col min="15628" max="15628" width="5.6640625" style="58" customWidth="1"/>
    <col min="15629" max="15629" width="5.21875" style="58" customWidth="1"/>
    <col min="15630" max="15630" width="8.5546875" style="58" customWidth="1"/>
    <col min="15631" max="15631" width="5.21875" style="58" customWidth="1"/>
    <col min="15632" max="15872" width="5.6640625" style="58" customWidth="1"/>
    <col min="15873" max="15873" width="0" style="58" hidden="1" customWidth="1"/>
    <col min="15874" max="15874" width="6.6640625" style="58" customWidth="1"/>
    <col min="15875" max="15875" width="8.5546875" style="58" customWidth="1"/>
    <col min="15876" max="15876" width="4.77734375" style="58" customWidth="1"/>
    <col min="15877" max="15878" width="8.5546875" style="58" customWidth="1"/>
    <col min="15879" max="15879" width="5.21875" style="58" customWidth="1"/>
    <col min="15880" max="15880" width="6.6640625" style="58" customWidth="1"/>
    <col min="15881" max="15881" width="5.21875" style="58" customWidth="1"/>
    <col min="15882" max="15882" width="5.6640625" style="58" customWidth="1"/>
    <col min="15883" max="15883" width="5.21875" style="58" customWidth="1"/>
    <col min="15884" max="15884" width="5.6640625" style="58" customWidth="1"/>
    <col min="15885" max="15885" width="5.21875" style="58" customWidth="1"/>
    <col min="15886" max="15886" width="8.5546875" style="58" customWidth="1"/>
    <col min="15887" max="15887" width="5.21875" style="58" customWidth="1"/>
    <col min="15888" max="16128" width="5.6640625" style="58" customWidth="1"/>
    <col min="16129" max="16129" width="0" style="58" hidden="1" customWidth="1"/>
    <col min="16130" max="16130" width="6.6640625" style="58" customWidth="1"/>
    <col min="16131" max="16131" width="8.5546875" style="58" customWidth="1"/>
    <col min="16132" max="16132" width="4.77734375" style="58" customWidth="1"/>
    <col min="16133" max="16134" width="8.5546875" style="58" customWidth="1"/>
    <col min="16135" max="16135" width="5.21875" style="58" customWidth="1"/>
    <col min="16136" max="16136" width="6.6640625" style="58" customWidth="1"/>
    <col min="16137" max="16137" width="5.21875" style="58" customWidth="1"/>
    <col min="16138" max="16138" width="5.6640625" style="58" customWidth="1"/>
    <col min="16139" max="16139" width="5.21875" style="58" customWidth="1"/>
    <col min="16140" max="16140" width="5.6640625" style="58" customWidth="1"/>
    <col min="16141" max="16141" width="5.21875" style="58" customWidth="1"/>
    <col min="16142" max="16142" width="8.5546875" style="58" customWidth="1"/>
    <col min="16143" max="16143" width="5.21875" style="58" customWidth="1"/>
    <col min="16144" max="16384" width="5.6640625" style="58" customWidth="1"/>
  </cols>
  <sheetData>
    <row r="1" spans="1:256" ht="20.25">
      <c r="A1" s="59" t="s">
        <v>84</v>
      </c>
      <c r="Q1" s="57" t="s">
        <v>108</v>
      </c>
      <c r="R1" s="57">
        <v>253001.489</v>
      </c>
      <c r="S1" s="58">
        <f>R1*1000</f>
        <v>253001489</v>
      </c>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c r="BN1" s="58"/>
      <c r="BO1" s="58"/>
      <c r="BP1" s="58"/>
      <c r="BQ1" s="58"/>
      <c r="BR1" s="58"/>
      <c r="BS1" s="58"/>
      <c r="BT1" s="58"/>
      <c r="BU1" s="58"/>
      <c r="BV1" s="58"/>
      <c r="BW1" s="58"/>
      <c r="BX1" s="58"/>
      <c r="BY1" s="58"/>
      <c r="BZ1" s="58"/>
      <c r="CA1" s="58"/>
      <c r="CB1" s="58"/>
      <c r="CC1" s="58"/>
      <c r="CD1" s="58"/>
      <c r="CE1" s="58"/>
      <c r="CF1" s="58"/>
      <c r="CG1" s="58"/>
      <c r="CH1" s="58"/>
      <c r="CI1" s="58"/>
      <c r="CJ1" s="58"/>
      <c r="CK1" s="58"/>
      <c r="CL1" s="58"/>
      <c r="CM1" s="58"/>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c r="EB1" s="58"/>
      <c r="EC1" s="58"/>
      <c r="ED1" s="58"/>
      <c r="EE1" s="58"/>
      <c r="EF1" s="58"/>
      <c r="EG1" s="58"/>
      <c r="EH1" s="58"/>
      <c r="EI1" s="58"/>
      <c r="EJ1" s="58"/>
      <c r="EK1" s="58"/>
      <c r="EL1" s="58"/>
      <c r="EM1" s="58"/>
      <c r="EN1" s="58"/>
      <c r="EO1" s="58"/>
      <c r="EP1" s="58"/>
      <c r="EQ1" s="58"/>
      <c r="ER1" s="58"/>
      <c r="ES1" s="58"/>
      <c r="ET1" s="58"/>
      <c r="EU1" s="58"/>
      <c r="EV1" s="58"/>
      <c r="EW1" s="58"/>
      <c r="EX1" s="58"/>
      <c r="EY1" s="58"/>
      <c r="EZ1" s="58"/>
      <c r="FA1" s="58"/>
      <c r="FB1" s="58"/>
      <c r="FC1" s="58"/>
      <c r="FD1" s="58"/>
      <c r="FE1" s="58"/>
      <c r="FF1" s="58"/>
      <c r="FG1" s="58"/>
      <c r="FH1" s="58"/>
      <c r="FI1" s="58"/>
      <c r="FJ1" s="58"/>
      <c r="FK1" s="58"/>
      <c r="FL1" s="58"/>
      <c r="FM1" s="58"/>
      <c r="FN1" s="58"/>
      <c r="FO1" s="58"/>
      <c r="FP1" s="58"/>
      <c r="FQ1" s="58"/>
      <c r="FR1" s="58"/>
      <c r="FS1" s="58"/>
      <c r="FT1" s="58"/>
      <c r="FU1" s="58"/>
      <c r="FV1" s="58"/>
      <c r="FW1" s="58"/>
      <c r="FX1" s="58"/>
      <c r="FY1" s="58"/>
      <c r="FZ1" s="58"/>
      <c r="GA1" s="58"/>
      <c r="GB1" s="58"/>
      <c r="GC1" s="58"/>
      <c r="GD1" s="58"/>
      <c r="GE1" s="58"/>
      <c r="GF1" s="58"/>
      <c r="GG1" s="58"/>
      <c r="GH1" s="58"/>
      <c r="GI1" s="58"/>
      <c r="GJ1" s="58"/>
      <c r="GK1" s="58"/>
      <c r="GL1" s="58"/>
      <c r="GM1" s="58"/>
      <c r="GN1" s="58"/>
      <c r="GO1" s="58"/>
      <c r="GP1" s="58"/>
      <c r="GQ1" s="58"/>
      <c r="GR1" s="58"/>
      <c r="GS1" s="58"/>
      <c r="GT1" s="58"/>
      <c r="GU1" s="58"/>
      <c r="GV1" s="58"/>
      <c r="GW1" s="58"/>
      <c r="GX1" s="58"/>
      <c r="GY1" s="58"/>
      <c r="GZ1" s="58"/>
      <c r="HA1" s="58"/>
      <c r="HB1" s="58"/>
      <c r="HC1" s="58"/>
      <c r="HD1" s="58"/>
      <c r="HE1" s="58"/>
      <c r="HF1" s="58"/>
      <c r="HG1" s="58"/>
      <c r="HH1" s="58"/>
      <c r="HI1" s="58"/>
      <c r="HJ1" s="58"/>
      <c r="HK1" s="58"/>
      <c r="HL1" s="58"/>
      <c r="HM1" s="58"/>
      <c r="HN1" s="58"/>
      <c r="HO1" s="58"/>
      <c r="HP1" s="58"/>
      <c r="HQ1" s="58"/>
      <c r="HR1" s="58"/>
      <c r="HS1" s="58"/>
      <c r="HT1" s="58"/>
      <c r="HU1" s="58"/>
      <c r="HV1" s="58"/>
      <c r="HW1" s="58"/>
      <c r="HX1" s="58"/>
      <c r="HY1" s="58"/>
      <c r="HZ1" s="58"/>
      <c r="IA1" s="58"/>
      <c r="IB1" s="58"/>
      <c r="IC1" s="58"/>
      <c r="ID1" s="58"/>
      <c r="IE1" s="58"/>
      <c r="IF1" s="58"/>
      <c r="IG1" s="58"/>
      <c r="IH1" s="58"/>
      <c r="II1" s="58"/>
      <c r="IJ1" s="58"/>
      <c r="IK1" s="58"/>
      <c r="IL1" s="58"/>
      <c r="IM1" s="58"/>
      <c r="IN1" s="58"/>
      <c r="IO1" s="58"/>
      <c r="IP1" s="58"/>
      <c r="IQ1" s="58"/>
      <c r="IR1" s="58"/>
      <c r="IS1" s="58"/>
      <c r="IT1" s="58"/>
      <c r="IU1" s="58"/>
      <c r="IV1" s="58"/>
    </row>
    <row r="2" spans="1:256" s="50" customFormat="1" ht="29.25" customHeight="1">
      <c r="A2" s="7102" t="s">
        <v>112</v>
      </c>
      <c r="B2" s="7102" t="s">
        <v>113</v>
      </c>
      <c r="C2" s="7102" t="s">
        <v>114</v>
      </c>
      <c r="D2" s="7102" t="s">
        <v>115</v>
      </c>
      <c r="E2" s="7102" t="s">
        <v>116</v>
      </c>
      <c r="F2" s="7102" t="s">
        <v>117</v>
      </c>
      <c r="G2" s="7102" t="s">
        <v>118</v>
      </c>
      <c r="H2" s="7102" t="s">
        <v>119</v>
      </c>
      <c r="I2" s="7102" t="s">
        <v>120</v>
      </c>
      <c r="J2" s="7102" t="s">
        <v>121</v>
      </c>
      <c r="K2" s="7102" t="s">
        <v>122</v>
      </c>
      <c r="L2" s="7102" t="s">
        <v>123</v>
      </c>
      <c r="M2" s="7102" t="s">
        <v>124</v>
      </c>
      <c r="N2" s="7102" t="s">
        <v>125</v>
      </c>
      <c r="O2" s="7102" t="s">
        <v>126</v>
      </c>
    </row>
    <row r="3" spans="1:256" s="50" customFormat="1" ht="15" customHeight="1">
      <c r="A3" s="49" t="s">
        <v>721</v>
      </c>
      <c r="B3" s="49" t="s">
        <v>127</v>
      </c>
      <c r="C3" s="49">
        <v>2171.79</v>
      </c>
      <c r="D3" s="49">
        <v>0</v>
      </c>
      <c r="E3" s="49">
        <v>2171.79</v>
      </c>
      <c r="F3" s="49">
        <v>2138.14</v>
      </c>
      <c r="G3" s="49">
        <v>98.45</v>
      </c>
      <c r="H3" s="49">
        <v>0</v>
      </c>
      <c r="I3" s="49">
        <v>0</v>
      </c>
      <c r="J3" s="49">
        <v>0</v>
      </c>
      <c r="K3" s="49">
        <v>0</v>
      </c>
      <c r="L3" s="49">
        <v>0</v>
      </c>
      <c r="M3" s="49">
        <v>0</v>
      </c>
      <c r="N3" s="49">
        <v>2138.14</v>
      </c>
      <c r="O3" s="49">
        <v>98.45</v>
      </c>
    </row>
    <row r="4" spans="1:256" s="52" customFormat="1" ht="15" customHeight="1">
      <c r="A4" s="51" t="s">
        <v>722</v>
      </c>
      <c r="B4" s="51" t="s">
        <v>128</v>
      </c>
      <c r="C4" s="51">
        <v>795.9</v>
      </c>
      <c r="D4" s="51">
        <v>8.6</v>
      </c>
      <c r="E4" s="51">
        <v>787.3</v>
      </c>
      <c r="F4" s="51">
        <v>787.3</v>
      </c>
      <c r="G4" s="51">
        <v>100</v>
      </c>
      <c r="H4" s="51">
        <v>0</v>
      </c>
      <c r="I4" s="51">
        <v>0</v>
      </c>
      <c r="J4" s="51">
        <v>0</v>
      </c>
      <c r="K4" s="51">
        <v>0</v>
      </c>
      <c r="L4" s="51">
        <v>0</v>
      </c>
      <c r="M4" s="51">
        <v>0</v>
      </c>
      <c r="N4" s="51">
        <v>787.3</v>
      </c>
      <c r="O4" s="51">
        <v>100</v>
      </c>
    </row>
    <row r="5" spans="1:256" s="50" customFormat="1" ht="15" customHeight="1">
      <c r="A5" s="49" t="s">
        <v>723</v>
      </c>
      <c r="B5" s="49" t="s">
        <v>129</v>
      </c>
      <c r="C5" s="49">
        <v>0</v>
      </c>
      <c r="D5" s="49">
        <v>0</v>
      </c>
      <c r="E5" s="49">
        <v>0</v>
      </c>
      <c r="F5" s="49">
        <v>0</v>
      </c>
      <c r="G5" s="49">
        <v>0</v>
      </c>
      <c r="H5" s="49">
        <v>0</v>
      </c>
      <c r="I5" s="49">
        <v>0</v>
      </c>
      <c r="J5" s="49">
        <v>0</v>
      </c>
      <c r="K5" s="49">
        <v>0</v>
      </c>
      <c r="L5" s="49">
        <v>0</v>
      </c>
      <c r="M5" s="49">
        <v>0</v>
      </c>
      <c r="N5" s="49">
        <v>0</v>
      </c>
      <c r="O5" s="49">
        <v>0</v>
      </c>
    </row>
    <row r="6" spans="1:256" s="52" customFormat="1" ht="15" customHeight="1">
      <c r="A6" s="51" t="s">
        <v>724</v>
      </c>
      <c r="B6" s="51" t="s">
        <v>130</v>
      </c>
      <c r="C6" s="51">
        <v>13124.993</v>
      </c>
      <c r="D6" s="51">
        <v>779.51400000000001</v>
      </c>
      <c r="E6" s="51">
        <v>12345.478999999999</v>
      </c>
      <c r="F6" s="51">
        <v>12393.01</v>
      </c>
      <c r="G6" s="51">
        <v>100.39</v>
      </c>
      <c r="H6" s="51">
        <v>0</v>
      </c>
      <c r="I6" s="51">
        <v>0</v>
      </c>
      <c r="J6" s="51">
        <v>11.54</v>
      </c>
      <c r="K6" s="51">
        <v>0.09</v>
      </c>
      <c r="L6" s="51">
        <v>0</v>
      </c>
      <c r="M6" s="51">
        <v>0</v>
      </c>
      <c r="N6" s="51">
        <v>12404.55</v>
      </c>
      <c r="O6" s="51">
        <v>100.48</v>
      </c>
    </row>
    <row r="7" spans="1:256" s="50" customFormat="1" ht="15" customHeight="1">
      <c r="A7" s="49" t="s">
        <v>725</v>
      </c>
      <c r="B7" s="49" t="s">
        <v>131</v>
      </c>
      <c r="C7" s="49">
        <v>1765.953</v>
      </c>
      <c r="D7" s="49">
        <v>3.64</v>
      </c>
      <c r="E7" s="49">
        <v>1762.3130000000001</v>
      </c>
      <c r="F7" s="49">
        <v>1734.1990000000001</v>
      </c>
      <c r="G7" s="49">
        <v>98.4</v>
      </c>
      <c r="H7" s="49">
        <v>0</v>
      </c>
      <c r="I7" s="49">
        <v>0</v>
      </c>
      <c r="J7" s="49">
        <v>0</v>
      </c>
      <c r="K7" s="49">
        <v>0</v>
      </c>
      <c r="L7" s="49">
        <v>0</v>
      </c>
      <c r="M7" s="49">
        <v>0</v>
      </c>
      <c r="N7" s="49">
        <v>1734.1990000000001</v>
      </c>
      <c r="O7" s="49">
        <v>98.4</v>
      </c>
    </row>
    <row r="8" spans="1:256" s="52" customFormat="1" ht="15" customHeight="1">
      <c r="A8" s="51" t="s">
        <v>726</v>
      </c>
      <c r="B8" s="51" t="s">
        <v>132</v>
      </c>
      <c r="C8" s="51">
        <v>244.54499999999999</v>
      </c>
      <c r="D8" s="51">
        <v>0</v>
      </c>
      <c r="E8" s="51">
        <v>244.54499999999999</v>
      </c>
      <c r="F8" s="51">
        <v>243.39599999999999</v>
      </c>
      <c r="G8" s="51">
        <v>99.53</v>
      </c>
      <c r="H8" s="51">
        <v>0</v>
      </c>
      <c r="I8" s="51">
        <v>0</v>
      </c>
      <c r="J8" s="51">
        <v>0</v>
      </c>
      <c r="K8" s="51">
        <v>0</v>
      </c>
      <c r="L8" s="51">
        <v>0</v>
      </c>
      <c r="M8" s="51">
        <v>0</v>
      </c>
      <c r="N8" s="51">
        <v>243.39599999999999</v>
      </c>
      <c r="O8" s="51">
        <v>99.53</v>
      </c>
    </row>
    <row r="9" spans="1:256" s="50" customFormat="1" ht="15" customHeight="1">
      <c r="A9" s="49" t="s">
        <v>727</v>
      </c>
      <c r="B9" s="49" t="s">
        <v>133</v>
      </c>
      <c r="C9" s="49">
        <v>5449.55</v>
      </c>
      <c r="D9" s="49">
        <v>535.64800000000002</v>
      </c>
      <c r="E9" s="49">
        <v>4913.902</v>
      </c>
      <c r="F9" s="49">
        <v>4930.6499999999996</v>
      </c>
      <c r="G9" s="49">
        <v>100.34</v>
      </c>
      <c r="H9" s="49">
        <v>3.47</v>
      </c>
      <c r="I9" s="49">
        <v>7.0000000000000007E-2</v>
      </c>
      <c r="J9" s="49">
        <v>0</v>
      </c>
      <c r="K9" s="49">
        <v>0</v>
      </c>
      <c r="L9" s="49">
        <v>0</v>
      </c>
      <c r="M9" s="49">
        <v>0</v>
      </c>
      <c r="N9" s="49">
        <v>4934.12</v>
      </c>
      <c r="O9" s="49">
        <v>100.41</v>
      </c>
    </row>
    <row r="10" spans="1:256">
      <c r="N10" s="134">
        <f>SUM(N3:N9)</f>
        <v>22241.704999999998</v>
      </c>
      <c r="O10" s="53" t="s">
        <v>223</v>
      </c>
      <c r="R10" s="57" t="s">
        <v>179</v>
      </c>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c r="ER10" s="58"/>
      <c r="ES10" s="58"/>
      <c r="ET10" s="58"/>
      <c r="EU10" s="58"/>
      <c r="EV10" s="58"/>
      <c r="EW10" s="58"/>
      <c r="EX10" s="58"/>
      <c r="EY10" s="58"/>
      <c r="EZ10" s="58"/>
      <c r="FA10" s="58"/>
      <c r="FB10" s="58"/>
      <c r="FC10" s="58"/>
      <c r="FD10" s="58"/>
      <c r="FE10" s="58"/>
      <c r="FF10" s="58"/>
      <c r="FG10" s="58"/>
      <c r="FH10" s="58"/>
      <c r="FI10" s="58"/>
      <c r="FJ10" s="58"/>
      <c r="FK10" s="58"/>
      <c r="FL10" s="58"/>
      <c r="FM10" s="58"/>
      <c r="FN10" s="58"/>
      <c r="FO10" s="58"/>
      <c r="FP10" s="58"/>
      <c r="FQ10" s="58"/>
      <c r="FR10" s="58"/>
      <c r="FS10" s="58"/>
      <c r="FT10" s="58"/>
      <c r="FU10" s="58"/>
      <c r="FV10" s="58"/>
      <c r="FW10" s="58"/>
      <c r="FX10" s="58"/>
      <c r="FY10" s="58"/>
      <c r="FZ10" s="58"/>
      <c r="GA10" s="58"/>
      <c r="GB10" s="58"/>
      <c r="GC10" s="58"/>
      <c r="GD10" s="58"/>
      <c r="GE10" s="58"/>
      <c r="GF10" s="58"/>
      <c r="GG10" s="58"/>
      <c r="GH10" s="58"/>
      <c r="GI10" s="58"/>
      <c r="GJ10" s="58"/>
      <c r="GK10" s="58"/>
      <c r="GL10" s="58"/>
      <c r="GM10" s="58"/>
      <c r="GN10" s="58"/>
      <c r="GO10" s="58"/>
      <c r="GP10" s="58"/>
      <c r="GQ10" s="58"/>
      <c r="GR10" s="58"/>
      <c r="GS10" s="58"/>
      <c r="GT10" s="58"/>
      <c r="GU10" s="58"/>
      <c r="GV10" s="58"/>
      <c r="GW10" s="58"/>
      <c r="GX10" s="58"/>
      <c r="GY10" s="58"/>
      <c r="GZ10" s="58"/>
      <c r="HA10" s="58"/>
      <c r="HB10" s="58"/>
      <c r="HC10" s="58"/>
      <c r="HD10" s="58"/>
      <c r="HE10" s="58"/>
      <c r="HF10" s="58"/>
      <c r="HG10" s="58"/>
      <c r="HH10" s="58"/>
      <c r="HI10" s="58"/>
      <c r="HJ10" s="58"/>
      <c r="HK10" s="58"/>
      <c r="HL10" s="58"/>
      <c r="HM10" s="58"/>
      <c r="HN10" s="58"/>
      <c r="HO10" s="58"/>
      <c r="HP10" s="58"/>
      <c r="HQ10" s="58"/>
      <c r="HR10" s="58"/>
      <c r="HS10" s="58"/>
      <c r="HT10" s="58"/>
      <c r="HU10" s="58"/>
      <c r="HV10" s="58"/>
      <c r="HW10" s="58"/>
      <c r="HX10" s="58"/>
      <c r="HY10" s="58"/>
      <c r="HZ10" s="58"/>
      <c r="IA10" s="58"/>
      <c r="IB10" s="58"/>
      <c r="IC10" s="58"/>
      <c r="ID10" s="58"/>
      <c r="IE10" s="58"/>
      <c r="IF10" s="58"/>
      <c r="IG10" s="58"/>
      <c r="IH10" s="58"/>
      <c r="II10" s="58"/>
      <c r="IJ10" s="58"/>
      <c r="IK10" s="58"/>
      <c r="IL10" s="58"/>
      <c r="IM10" s="58"/>
      <c r="IN10" s="58"/>
      <c r="IO10" s="58"/>
      <c r="IP10" s="58"/>
      <c r="IQ10" s="58"/>
      <c r="IR10" s="58"/>
      <c r="IS10" s="58"/>
      <c r="IT10" s="58"/>
      <c r="IU10" s="58"/>
      <c r="IV10" s="58"/>
    </row>
    <row r="11" spans="1:256" ht="20.25">
      <c r="A11" s="59" t="s">
        <v>83</v>
      </c>
      <c r="N11" s="136">
        <v>423393100</v>
      </c>
      <c r="O11" s="2535">
        <f>N11/N10</f>
        <v>19036.000162757307</v>
      </c>
      <c r="Q11" s="4146">
        <v>601192382</v>
      </c>
      <c r="R11" s="4147">
        <f>Q11/N10</f>
        <v>27029.959348889846</v>
      </c>
      <c r="S11" s="4148" t="s">
        <v>1603</v>
      </c>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c r="ER11" s="58"/>
      <c r="ES11" s="58"/>
      <c r="ET11" s="58"/>
      <c r="EU11" s="58"/>
      <c r="EV11" s="58"/>
      <c r="EW11" s="58"/>
      <c r="EX11" s="58"/>
      <c r="EY11" s="58"/>
      <c r="EZ11" s="58"/>
      <c r="FA11" s="58"/>
      <c r="FB11" s="58"/>
      <c r="FC11" s="58"/>
      <c r="FD11" s="58"/>
      <c r="FE11" s="58"/>
      <c r="FF11" s="58"/>
      <c r="FG11" s="58"/>
      <c r="FH11" s="58"/>
      <c r="FI11" s="58"/>
      <c r="FJ11" s="58"/>
      <c r="FK11" s="58"/>
      <c r="FL11" s="58"/>
      <c r="FM11" s="58"/>
      <c r="FN11" s="58"/>
      <c r="FO11" s="58"/>
      <c r="FP11" s="58"/>
      <c r="FQ11" s="58"/>
      <c r="FR11" s="58"/>
      <c r="FS11" s="58"/>
      <c r="FT11" s="58"/>
      <c r="FU11" s="58"/>
      <c r="FV11" s="58"/>
      <c r="FW11" s="58"/>
      <c r="FX11" s="58"/>
      <c r="FY11" s="58"/>
      <c r="FZ11" s="58"/>
      <c r="GA11" s="58"/>
      <c r="GB11" s="58"/>
      <c r="GC11" s="58"/>
      <c r="GD11" s="58"/>
      <c r="GE11" s="58"/>
      <c r="GF11" s="58"/>
      <c r="GG11" s="58"/>
      <c r="GH11" s="58"/>
      <c r="GI11" s="58"/>
      <c r="GJ11" s="58"/>
      <c r="GK11" s="58"/>
      <c r="GL11" s="58"/>
      <c r="GM11" s="58"/>
      <c r="GN11" s="58"/>
      <c r="GO11" s="58"/>
      <c r="GP11" s="58"/>
      <c r="GQ11" s="58"/>
      <c r="GR11" s="58"/>
      <c r="GS11" s="58"/>
      <c r="GT11" s="58"/>
      <c r="GU11" s="58"/>
      <c r="GV11" s="58"/>
      <c r="GW11" s="58"/>
      <c r="GX11" s="58"/>
      <c r="GY11" s="58"/>
      <c r="GZ11" s="58"/>
      <c r="HA11" s="58"/>
      <c r="HB11" s="58"/>
      <c r="HC11" s="58"/>
      <c r="HD11" s="58"/>
      <c r="HE11" s="58"/>
      <c r="HF11" s="58"/>
      <c r="HG11" s="58"/>
      <c r="HH11" s="58"/>
      <c r="HI11" s="58"/>
      <c r="HJ11" s="58"/>
      <c r="HK11" s="58"/>
      <c r="HL11" s="58"/>
      <c r="HM11" s="58"/>
      <c r="HN11" s="58"/>
      <c r="HO11" s="58"/>
      <c r="HP11" s="58"/>
      <c r="HQ11" s="58"/>
      <c r="HR11" s="58"/>
      <c r="HS11" s="58"/>
      <c r="HT11" s="58"/>
      <c r="HU11" s="58"/>
      <c r="HV11" s="58"/>
      <c r="HW11" s="58"/>
      <c r="HX11" s="58"/>
      <c r="HY11" s="58"/>
      <c r="HZ11" s="58"/>
      <c r="IA11" s="58"/>
      <c r="IB11" s="58"/>
      <c r="IC11" s="58"/>
      <c r="ID11" s="58"/>
      <c r="IE11" s="58"/>
      <c r="IF11" s="58"/>
      <c r="IG11" s="58"/>
      <c r="IH11" s="58"/>
      <c r="II11" s="58"/>
      <c r="IJ11" s="58"/>
      <c r="IK11" s="58"/>
      <c r="IL11" s="58"/>
      <c r="IM11" s="58"/>
      <c r="IN11" s="58"/>
      <c r="IO11" s="58"/>
      <c r="IP11" s="58"/>
      <c r="IQ11" s="58"/>
      <c r="IR11" s="58"/>
      <c r="IS11" s="58"/>
      <c r="IT11" s="58"/>
      <c r="IU11" s="58"/>
      <c r="IV11" s="58"/>
    </row>
    <row r="12" spans="1:256" s="50" customFormat="1" ht="29.25" customHeight="1">
      <c r="A12" s="50" t="s">
        <v>112</v>
      </c>
      <c r="B12" s="50" t="s">
        <v>113</v>
      </c>
      <c r="C12" s="50" t="s">
        <v>114</v>
      </c>
      <c r="D12" s="50" t="s">
        <v>115</v>
      </c>
      <c r="E12" s="50" t="s">
        <v>116</v>
      </c>
      <c r="F12" s="50" t="s">
        <v>117</v>
      </c>
      <c r="G12" s="50" t="s">
        <v>118</v>
      </c>
      <c r="H12" s="50" t="s">
        <v>119</v>
      </c>
      <c r="I12" s="50" t="s">
        <v>120</v>
      </c>
      <c r="J12" s="50" t="s">
        <v>121</v>
      </c>
      <c r="K12" s="50" t="s">
        <v>122</v>
      </c>
      <c r="L12" s="50" t="s">
        <v>123</v>
      </c>
      <c r="M12" s="50" t="s">
        <v>124</v>
      </c>
      <c r="N12" s="50" t="s">
        <v>125</v>
      </c>
      <c r="O12" s="50" t="s">
        <v>126</v>
      </c>
      <c r="Q12" s="4149">
        <v>635068428</v>
      </c>
      <c r="R12" s="4147">
        <f>Q12/N10</f>
        <v>28553.046090666165</v>
      </c>
      <c r="S12" s="4150" t="s">
        <v>1604</v>
      </c>
    </row>
    <row r="13" spans="1:256" s="50" customFormat="1" ht="15" customHeight="1">
      <c r="A13" s="49" t="s">
        <v>721</v>
      </c>
      <c r="B13" s="49" t="s">
        <v>127</v>
      </c>
      <c r="C13" s="49">
        <v>2158.7199999999998</v>
      </c>
      <c r="D13" s="49">
        <v>0</v>
      </c>
      <c r="E13" s="49">
        <v>2158.7199999999998</v>
      </c>
      <c r="F13" s="49">
        <v>2122.54</v>
      </c>
      <c r="G13" s="49">
        <v>98.32</v>
      </c>
      <c r="H13" s="49">
        <v>0</v>
      </c>
      <c r="I13" s="49">
        <v>0</v>
      </c>
      <c r="J13" s="49">
        <v>0</v>
      </c>
      <c r="K13" s="49">
        <v>0</v>
      </c>
      <c r="L13" s="49">
        <v>0</v>
      </c>
      <c r="M13" s="49">
        <v>0</v>
      </c>
      <c r="N13" s="49">
        <v>2122.54</v>
      </c>
      <c r="O13" s="49">
        <v>98.32</v>
      </c>
    </row>
    <row r="14" spans="1:256" s="52" customFormat="1" ht="15" customHeight="1">
      <c r="A14" s="51" t="s">
        <v>722</v>
      </c>
      <c r="B14" s="51" t="s">
        <v>128</v>
      </c>
      <c r="C14" s="51">
        <v>1420.75</v>
      </c>
      <c r="D14" s="51">
        <v>0</v>
      </c>
      <c r="E14" s="51">
        <v>1420.75</v>
      </c>
      <c r="F14" s="51">
        <v>1420.75</v>
      </c>
      <c r="G14" s="51">
        <v>100</v>
      </c>
      <c r="H14" s="51">
        <v>0</v>
      </c>
      <c r="I14" s="51">
        <v>0</v>
      </c>
      <c r="J14" s="51">
        <v>0</v>
      </c>
      <c r="K14" s="51">
        <v>0</v>
      </c>
      <c r="L14" s="51">
        <v>0</v>
      </c>
      <c r="M14" s="51">
        <v>0</v>
      </c>
      <c r="N14" s="51">
        <v>1420.75</v>
      </c>
      <c r="O14" s="51">
        <v>100</v>
      </c>
    </row>
    <row r="15" spans="1:256" s="50" customFormat="1" ht="15" customHeight="1">
      <c r="A15" s="49" t="s">
        <v>723</v>
      </c>
      <c r="B15" s="49" t="s">
        <v>129</v>
      </c>
      <c r="C15" s="49">
        <v>0</v>
      </c>
      <c r="D15" s="49">
        <v>0</v>
      </c>
      <c r="E15" s="49">
        <v>0</v>
      </c>
      <c r="F15" s="49">
        <v>0</v>
      </c>
      <c r="G15" s="4262">
        <v>0</v>
      </c>
      <c r="H15" s="49">
        <v>0</v>
      </c>
      <c r="I15" s="49">
        <v>0</v>
      </c>
      <c r="J15" s="49">
        <v>0</v>
      </c>
      <c r="K15" s="49">
        <v>0</v>
      </c>
      <c r="L15" s="7190">
        <v>0</v>
      </c>
      <c r="M15" s="49">
        <v>0</v>
      </c>
      <c r="N15" s="49">
        <v>0</v>
      </c>
      <c r="O15" s="49">
        <v>0</v>
      </c>
    </row>
    <row r="16" spans="1:256" s="52" customFormat="1" ht="15" customHeight="1">
      <c r="A16" s="51" t="s">
        <v>724</v>
      </c>
      <c r="B16" s="51" t="s">
        <v>130</v>
      </c>
      <c r="C16" s="51">
        <v>12562.64</v>
      </c>
      <c r="D16" s="51">
        <v>671.85799999999995</v>
      </c>
      <c r="E16" s="51">
        <v>11890.781999999999</v>
      </c>
      <c r="F16" s="51">
        <v>11953.14</v>
      </c>
      <c r="G16" s="51">
        <v>100.52</v>
      </c>
      <c r="H16" s="51">
        <v>0</v>
      </c>
      <c r="I16" s="51">
        <v>0</v>
      </c>
      <c r="J16" s="51">
        <v>0</v>
      </c>
      <c r="K16" s="51">
        <v>0</v>
      </c>
      <c r="L16" s="51">
        <v>0</v>
      </c>
      <c r="M16" s="51">
        <v>0</v>
      </c>
      <c r="N16" s="51">
        <v>11953.14</v>
      </c>
      <c r="O16" s="51">
        <v>100.52</v>
      </c>
    </row>
    <row r="17" spans="1:256" s="50" customFormat="1" ht="15" customHeight="1">
      <c r="A17" s="49" t="s">
        <v>725</v>
      </c>
      <c r="B17" s="49" t="s">
        <v>131</v>
      </c>
      <c r="C17" s="49">
        <v>2033.84</v>
      </c>
      <c r="D17" s="49">
        <v>2.0710000000000002</v>
      </c>
      <c r="E17" s="49">
        <v>2031.769</v>
      </c>
      <c r="F17" s="49">
        <v>2005.5039999999999</v>
      </c>
      <c r="G17" s="49">
        <v>98.71</v>
      </c>
      <c r="H17" s="49">
        <v>0</v>
      </c>
      <c r="I17" s="49">
        <v>0</v>
      </c>
      <c r="J17" s="49">
        <v>0</v>
      </c>
      <c r="K17" s="49">
        <v>0</v>
      </c>
      <c r="L17" s="49">
        <v>0</v>
      </c>
      <c r="M17" s="49">
        <v>0</v>
      </c>
      <c r="N17" s="49">
        <v>2005.5039999999999</v>
      </c>
      <c r="O17" s="49">
        <v>98.71</v>
      </c>
    </row>
    <row r="18" spans="1:256" s="52" customFormat="1" ht="15" customHeight="1">
      <c r="A18" s="51" t="s">
        <v>726</v>
      </c>
      <c r="B18" s="51" t="s">
        <v>132</v>
      </c>
      <c r="C18" s="51">
        <v>253.77500000000001</v>
      </c>
      <c r="D18" s="51">
        <v>5.0380000000000003</v>
      </c>
      <c r="E18" s="51">
        <v>248.73699999999999</v>
      </c>
      <c r="F18" s="51">
        <v>240.08</v>
      </c>
      <c r="G18" s="51">
        <v>96.52</v>
      </c>
      <c r="H18" s="51">
        <v>0</v>
      </c>
      <c r="I18" s="51">
        <v>0</v>
      </c>
      <c r="J18" s="51">
        <v>0</v>
      </c>
      <c r="K18" s="51">
        <v>0</v>
      </c>
      <c r="L18" s="51">
        <v>0</v>
      </c>
      <c r="M18" s="51">
        <v>0</v>
      </c>
      <c r="N18" s="51">
        <v>240.08</v>
      </c>
      <c r="O18" s="51">
        <v>96.52</v>
      </c>
    </row>
    <row r="19" spans="1:256" s="50" customFormat="1" ht="15" customHeight="1">
      <c r="A19" s="49" t="s">
        <v>727</v>
      </c>
      <c r="B19" s="49" t="s">
        <v>133</v>
      </c>
      <c r="C19" s="49">
        <v>5259.0919999999996</v>
      </c>
      <c r="D19" s="49">
        <v>508.738</v>
      </c>
      <c r="E19" s="49">
        <v>4750.3540000000003</v>
      </c>
      <c r="F19" s="49">
        <v>4763.8900000000003</v>
      </c>
      <c r="G19" s="49">
        <v>100.28</v>
      </c>
      <c r="H19" s="49">
        <v>0.96</v>
      </c>
      <c r="I19" s="49">
        <v>0.02</v>
      </c>
      <c r="J19" s="49">
        <v>0</v>
      </c>
      <c r="K19" s="49">
        <v>0</v>
      </c>
      <c r="L19" s="49">
        <v>0</v>
      </c>
      <c r="M19" s="49">
        <v>0</v>
      </c>
      <c r="N19" s="49">
        <v>4764.8500000000004</v>
      </c>
      <c r="O19" s="49">
        <v>100.31</v>
      </c>
    </row>
    <row r="20" spans="1:256">
      <c r="N20" s="134">
        <f>SUM(N13:N19)</f>
        <v>22506.864000000001</v>
      </c>
      <c r="O20" s="53" t="s">
        <v>223</v>
      </c>
      <c r="R20" s="57" t="s">
        <v>179</v>
      </c>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c r="FW20" s="58"/>
      <c r="FX20" s="58"/>
      <c r="FY20" s="58"/>
      <c r="FZ20" s="58"/>
      <c r="GA20" s="58"/>
      <c r="GB20" s="58"/>
      <c r="GC20" s="58"/>
      <c r="GD20" s="58"/>
      <c r="GE20" s="58"/>
      <c r="GF20" s="58"/>
      <c r="GG20" s="58"/>
      <c r="GH20" s="58"/>
      <c r="GI20" s="58"/>
      <c r="GJ20" s="58"/>
      <c r="GK20" s="58"/>
      <c r="GL20" s="58"/>
      <c r="GM20" s="58"/>
      <c r="GN20" s="58"/>
      <c r="GO20" s="58"/>
      <c r="GP20" s="58"/>
      <c r="GQ20" s="58"/>
      <c r="GR20" s="58"/>
      <c r="GS20" s="58"/>
      <c r="GT20" s="58"/>
      <c r="GU20" s="58"/>
      <c r="GV20" s="58"/>
      <c r="GW20" s="58"/>
      <c r="GX20" s="58"/>
      <c r="GY20" s="58"/>
      <c r="GZ20" s="58"/>
      <c r="HA20" s="58"/>
      <c r="HB20" s="58"/>
      <c r="HC20" s="58"/>
      <c r="HD20" s="58"/>
      <c r="HE20" s="58"/>
      <c r="HF20" s="58"/>
      <c r="HG20" s="58"/>
      <c r="HH20" s="58"/>
      <c r="HI20" s="58"/>
      <c r="HJ20" s="58"/>
      <c r="HK20" s="58"/>
      <c r="HL20" s="58"/>
      <c r="HM20" s="58"/>
      <c r="HN20" s="58"/>
      <c r="HO20" s="58"/>
      <c r="HP20" s="58"/>
      <c r="HQ20" s="58"/>
      <c r="HR20" s="58"/>
      <c r="HS20" s="58"/>
      <c r="HT20" s="58"/>
      <c r="HU20" s="58"/>
      <c r="HV20" s="58"/>
      <c r="HW20" s="58"/>
      <c r="HX20" s="58"/>
      <c r="HY20" s="58"/>
      <c r="HZ20" s="58"/>
      <c r="IA20" s="58"/>
      <c r="IB20" s="58"/>
      <c r="IC20" s="58"/>
      <c r="ID20" s="58"/>
      <c r="IE20" s="58"/>
      <c r="IF20" s="58"/>
      <c r="IG20" s="58"/>
      <c r="IH20" s="58"/>
      <c r="II20" s="58"/>
      <c r="IJ20" s="58"/>
      <c r="IK20" s="58"/>
      <c r="IL20" s="58"/>
      <c r="IM20" s="58"/>
      <c r="IN20" s="58"/>
      <c r="IO20" s="58"/>
      <c r="IP20" s="58"/>
      <c r="IQ20" s="58"/>
      <c r="IR20" s="58"/>
      <c r="IS20" s="58"/>
      <c r="IT20" s="58"/>
      <c r="IU20" s="58"/>
      <c r="IV20" s="58"/>
    </row>
    <row r="21" spans="1:256" ht="20.25">
      <c r="A21" s="59" t="s">
        <v>85</v>
      </c>
      <c r="N21" s="136">
        <v>199801245</v>
      </c>
      <c r="O21" s="135">
        <f>N21/N20</f>
        <v>8877.3471506292481</v>
      </c>
      <c r="Q21" s="4151">
        <v>468095423</v>
      </c>
      <c r="R21" s="4147">
        <f>Q21/N20</f>
        <v>20797.896277331216</v>
      </c>
      <c r="T21" s="259">
        <f>N10+N20</f>
        <v>44748.569000000003</v>
      </c>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c r="FW21" s="58"/>
      <c r="FX21" s="58"/>
      <c r="FY21" s="58"/>
      <c r="FZ21" s="58"/>
      <c r="GA21" s="58"/>
      <c r="GB21" s="58"/>
      <c r="GC21" s="58"/>
      <c r="GD21" s="58"/>
      <c r="GE21" s="58"/>
      <c r="GF21" s="58"/>
      <c r="GG21" s="58"/>
      <c r="GH21" s="58"/>
      <c r="GI21" s="58"/>
      <c r="GJ21" s="58"/>
      <c r="GK21" s="58"/>
      <c r="GL21" s="58"/>
      <c r="GM21" s="58"/>
      <c r="GN21" s="58"/>
      <c r="GO21" s="58"/>
      <c r="GP21" s="58"/>
      <c r="GQ21" s="58"/>
      <c r="GR21" s="58"/>
      <c r="GS21" s="58"/>
      <c r="GT21" s="58"/>
      <c r="GU21" s="58"/>
      <c r="GV21" s="58"/>
      <c r="GW21" s="58"/>
      <c r="GX21" s="58"/>
      <c r="GY21" s="58"/>
      <c r="GZ21" s="58"/>
      <c r="HA21" s="58"/>
      <c r="HB21" s="58"/>
      <c r="HC21" s="58"/>
      <c r="HD21" s="58"/>
      <c r="HE21" s="58"/>
      <c r="HF21" s="58"/>
      <c r="HG21" s="58"/>
      <c r="HH21" s="58"/>
      <c r="HI21" s="58"/>
      <c r="HJ21" s="58"/>
      <c r="HK21" s="58"/>
      <c r="HL21" s="58"/>
      <c r="HM21" s="58"/>
      <c r="HN21" s="58"/>
      <c r="HO21" s="58"/>
      <c r="HP21" s="58"/>
      <c r="HQ21" s="58"/>
      <c r="HR21" s="58"/>
      <c r="HS21" s="58"/>
      <c r="HT21" s="58"/>
      <c r="HU21" s="58"/>
      <c r="HV21" s="58"/>
      <c r="HW21" s="58"/>
      <c r="HX21" s="58"/>
      <c r="HY21" s="58"/>
      <c r="HZ21" s="58"/>
      <c r="IA21" s="58"/>
      <c r="IB21" s="58"/>
      <c r="IC21" s="58"/>
      <c r="ID21" s="58"/>
      <c r="IE21" s="58"/>
      <c r="IF21" s="58"/>
      <c r="IG21" s="58"/>
      <c r="IH21" s="58"/>
      <c r="II21" s="58"/>
      <c r="IJ21" s="58"/>
      <c r="IK21" s="58"/>
      <c r="IL21" s="58"/>
      <c r="IM21" s="58"/>
      <c r="IN21" s="58"/>
      <c r="IO21" s="58"/>
      <c r="IP21" s="58"/>
      <c r="IQ21" s="58"/>
      <c r="IR21" s="58"/>
      <c r="IS21" s="58"/>
      <c r="IT21" s="58"/>
      <c r="IU21" s="58"/>
      <c r="IV21" s="58"/>
    </row>
    <row r="22" spans="1:256" s="50" customFormat="1" ht="29.25" customHeight="1">
      <c r="A22" s="50" t="s">
        <v>112</v>
      </c>
      <c r="B22" s="50" t="s">
        <v>113</v>
      </c>
      <c r="C22" s="50" t="s">
        <v>114</v>
      </c>
      <c r="D22" s="50" t="s">
        <v>115</v>
      </c>
      <c r="E22" s="50" t="s">
        <v>116</v>
      </c>
      <c r="F22" s="50" t="s">
        <v>117</v>
      </c>
      <c r="G22" s="50" t="s">
        <v>118</v>
      </c>
      <c r="H22" s="50" t="s">
        <v>119</v>
      </c>
      <c r="I22" s="50" t="s">
        <v>120</v>
      </c>
      <c r="J22" s="50" t="s">
        <v>121</v>
      </c>
      <c r="K22" s="50" t="s">
        <v>122</v>
      </c>
      <c r="L22" s="50" t="s">
        <v>123</v>
      </c>
      <c r="M22" s="50" t="s">
        <v>124</v>
      </c>
      <c r="N22" s="50" t="s">
        <v>125</v>
      </c>
      <c r="O22" s="50" t="s">
        <v>126</v>
      </c>
    </row>
    <row r="23" spans="1:256" s="50" customFormat="1" ht="15" customHeight="1">
      <c r="A23" s="49" t="s">
        <v>721</v>
      </c>
      <c r="B23" s="49" t="s">
        <v>127</v>
      </c>
      <c r="C23" s="49">
        <v>28227.93</v>
      </c>
      <c r="D23" s="49">
        <v>0</v>
      </c>
      <c r="E23" s="49">
        <v>28227.93</v>
      </c>
      <c r="F23" s="49">
        <v>27582.12</v>
      </c>
      <c r="G23" s="49">
        <v>97.71</v>
      </c>
      <c r="H23" s="49">
        <v>0</v>
      </c>
      <c r="I23" s="49">
        <v>0</v>
      </c>
      <c r="J23" s="49">
        <v>0</v>
      </c>
      <c r="K23" s="49">
        <v>0</v>
      </c>
      <c r="L23" s="49">
        <v>0</v>
      </c>
      <c r="M23" s="49">
        <v>0</v>
      </c>
      <c r="N23" s="49">
        <v>27582.12</v>
      </c>
      <c r="O23" s="49">
        <v>97.71</v>
      </c>
    </row>
    <row r="24" spans="1:256" s="52" customFormat="1" ht="15" customHeight="1">
      <c r="A24" s="51" t="s">
        <v>722</v>
      </c>
      <c r="B24" s="51" t="s">
        <v>128</v>
      </c>
      <c r="C24" s="51">
        <v>23204.240000000002</v>
      </c>
      <c r="D24" s="51">
        <v>0</v>
      </c>
      <c r="E24" s="51">
        <v>23204.240000000002</v>
      </c>
      <c r="F24" s="51">
        <v>23204.240000000002</v>
      </c>
      <c r="G24" s="51">
        <v>100</v>
      </c>
      <c r="H24" s="51">
        <v>0</v>
      </c>
      <c r="I24" s="51">
        <v>0</v>
      </c>
      <c r="J24" s="51">
        <v>0</v>
      </c>
      <c r="K24" s="51">
        <v>0</v>
      </c>
      <c r="L24" s="51">
        <v>0</v>
      </c>
      <c r="M24" s="51">
        <v>0</v>
      </c>
      <c r="N24" s="51">
        <v>23204.240000000002</v>
      </c>
      <c r="O24" s="51">
        <v>100</v>
      </c>
    </row>
    <row r="25" spans="1:256" s="50" customFormat="1" ht="15" customHeight="1">
      <c r="A25" s="49" t="s">
        <v>723</v>
      </c>
      <c r="B25" s="49" t="s">
        <v>129</v>
      </c>
      <c r="C25" s="49">
        <v>22869.02</v>
      </c>
      <c r="D25" s="49">
        <v>39.869999999999997</v>
      </c>
      <c r="E25" s="49">
        <v>22829.15</v>
      </c>
      <c r="F25" s="49">
        <v>22809.14</v>
      </c>
      <c r="G25" s="49">
        <v>99.91</v>
      </c>
      <c r="H25" s="49">
        <v>33.32</v>
      </c>
      <c r="I25" s="49">
        <v>0.15</v>
      </c>
      <c r="J25" s="49">
        <v>14.57</v>
      </c>
      <c r="K25" s="49">
        <v>0.06</v>
      </c>
      <c r="L25" s="49">
        <v>0</v>
      </c>
      <c r="M25" s="49">
        <v>0</v>
      </c>
      <c r="N25" s="49">
        <v>22857.03</v>
      </c>
      <c r="O25" s="49">
        <v>100.12</v>
      </c>
      <c r="Q25" s="50" t="s">
        <v>723</v>
      </c>
      <c r="R25" s="50" t="s">
        <v>129</v>
      </c>
      <c r="S25" s="50">
        <v>22869.02</v>
      </c>
      <c r="T25" s="50">
        <v>39.869999999999997</v>
      </c>
      <c r="U25" s="50">
        <v>22829.15</v>
      </c>
      <c r="V25" s="50">
        <v>22809.14</v>
      </c>
      <c r="W25" s="50">
        <v>99.91</v>
      </c>
      <c r="X25" s="50">
        <v>33.32</v>
      </c>
      <c r="Y25" s="50">
        <v>0.15</v>
      </c>
      <c r="Z25" s="50">
        <v>14.57</v>
      </c>
      <c r="AA25" s="50">
        <v>0.06</v>
      </c>
      <c r="AB25" s="50">
        <v>0</v>
      </c>
      <c r="AC25" s="50">
        <v>0</v>
      </c>
      <c r="AD25" s="50">
        <v>22857.03</v>
      </c>
      <c r="AE25" s="50">
        <v>100.12</v>
      </c>
    </row>
    <row r="26" spans="1:256" s="52" customFormat="1" ht="15" customHeight="1">
      <c r="A26" s="51" t="s">
        <v>724</v>
      </c>
      <c r="B26" s="51" t="s">
        <v>130</v>
      </c>
      <c r="C26" s="51">
        <v>13705.598</v>
      </c>
      <c r="D26" s="51">
        <v>749.83500000000004</v>
      </c>
      <c r="E26" s="51">
        <v>12955.763000000001</v>
      </c>
      <c r="F26" s="51">
        <v>13021.83</v>
      </c>
      <c r="G26" s="51">
        <v>100.51</v>
      </c>
      <c r="H26" s="51">
        <v>0</v>
      </c>
      <c r="I26" s="51">
        <v>0</v>
      </c>
      <c r="J26" s="51">
        <v>9.27</v>
      </c>
      <c r="K26" s="51">
        <v>7.0000000000000007E-2</v>
      </c>
      <c r="L26" s="51">
        <v>0</v>
      </c>
      <c r="M26" s="51">
        <v>0</v>
      </c>
      <c r="N26" s="51">
        <v>13031.1</v>
      </c>
      <c r="O26" s="51">
        <v>100.58</v>
      </c>
    </row>
    <row r="27" spans="1:256" s="50" customFormat="1" ht="15" customHeight="1">
      <c r="A27" s="49" t="s">
        <v>725</v>
      </c>
      <c r="B27" s="49" t="s">
        <v>131</v>
      </c>
      <c r="C27" s="49">
        <v>2428.203</v>
      </c>
      <c r="D27" s="49">
        <v>1.29</v>
      </c>
      <c r="E27" s="49">
        <v>2426.913</v>
      </c>
      <c r="F27" s="49">
        <v>2389.902</v>
      </c>
      <c r="G27" s="49">
        <v>98.47</v>
      </c>
      <c r="H27" s="49">
        <v>0</v>
      </c>
      <c r="I27" s="49">
        <v>0</v>
      </c>
      <c r="J27" s="49">
        <v>0</v>
      </c>
      <c r="K27" s="49">
        <v>0</v>
      </c>
      <c r="L27" s="49">
        <v>0</v>
      </c>
      <c r="M27" s="49">
        <v>0</v>
      </c>
      <c r="N27" s="49">
        <v>2389.902</v>
      </c>
      <c r="O27" s="49">
        <v>98.47</v>
      </c>
    </row>
    <row r="28" spans="1:256" s="52" customFormat="1" ht="15" customHeight="1">
      <c r="A28" s="51" t="s">
        <v>726</v>
      </c>
      <c r="B28" s="51" t="s">
        <v>132</v>
      </c>
      <c r="C28" s="51">
        <v>103.444</v>
      </c>
      <c r="D28" s="51">
        <v>3.77</v>
      </c>
      <c r="E28" s="51">
        <v>99.674000000000007</v>
      </c>
      <c r="F28" s="51">
        <v>95.441999999999993</v>
      </c>
      <c r="G28" s="51">
        <v>95.75</v>
      </c>
      <c r="H28" s="51">
        <v>0</v>
      </c>
      <c r="I28" s="51">
        <v>0</v>
      </c>
      <c r="J28" s="51">
        <v>0</v>
      </c>
      <c r="K28" s="51">
        <v>0</v>
      </c>
      <c r="L28" s="51">
        <v>0</v>
      </c>
      <c r="M28" s="51">
        <v>0</v>
      </c>
      <c r="N28" s="51">
        <v>95.441999999999993</v>
      </c>
      <c r="O28" s="51">
        <v>95.75</v>
      </c>
    </row>
    <row r="29" spans="1:256" s="50" customFormat="1" ht="15" customHeight="1">
      <c r="A29" s="49" t="s">
        <v>727</v>
      </c>
      <c r="B29" s="49" t="s">
        <v>133</v>
      </c>
      <c r="C29" s="49">
        <v>5949.5039999999999</v>
      </c>
      <c r="D29" s="49">
        <v>438.15899999999999</v>
      </c>
      <c r="E29" s="49">
        <v>5511.3450000000003</v>
      </c>
      <c r="F29" s="49">
        <v>5539.38</v>
      </c>
      <c r="G29" s="49">
        <v>100.51</v>
      </c>
      <c r="H29" s="49">
        <v>2.5</v>
      </c>
      <c r="I29" s="49">
        <v>0.05</v>
      </c>
      <c r="J29" s="49">
        <v>3.1</v>
      </c>
      <c r="K29" s="49">
        <v>0.06</v>
      </c>
      <c r="L29" s="49">
        <v>0</v>
      </c>
      <c r="M29" s="49">
        <v>0</v>
      </c>
      <c r="N29" s="49">
        <v>5544.98</v>
      </c>
      <c r="O29" s="49">
        <v>100.61</v>
      </c>
    </row>
    <row r="30" spans="1:256">
      <c r="N30" s="134">
        <f>SUM(N23:N29)</f>
        <v>94704.813999999998</v>
      </c>
      <c r="O30" s="53" t="s">
        <v>223</v>
      </c>
      <c r="R30" s="57" t="s">
        <v>179</v>
      </c>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c r="FW30" s="58"/>
      <c r="FX30" s="58"/>
      <c r="FY30" s="58"/>
      <c r="FZ30" s="58"/>
      <c r="GA30" s="58"/>
      <c r="GB30" s="58"/>
      <c r="GC30" s="58"/>
      <c r="GD30" s="58"/>
      <c r="GE30" s="58"/>
      <c r="GF30" s="58"/>
      <c r="GG30" s="58"/>
      <c r="GH30" s="58"/>
      <c r="GI30" s="58"/>
      <c r="GJ30" s="58"/>
      <c r="GK30" s="58"/>
      <c r="GL30" s="58"/>
      <c r="GM30" s="58"/>
      <c r="GN30" s="58"/>
      <c r="GO30" s="58"/>
      <c r="GP30" s="58"/>
      <c r="GQ30" s="58"/>
      <c r="GR30" s="58"/>
      <c r="GS30" s="58"/>
      <c r="GT30" s="58"/>
      <c r="GU30" s="58"/>
      <c r="GV30" s="58"/>
      <c r="GW30" s="58"/>
      <c r="GX30" s="58"/>
      <c r="GY30" s="58"/>
      <c r="GZ30" s="58"/>
      <c r="HA30" s="58"/>
      <c r="HB30" s="58"/>
      <c r="HC30" s="58"/>
      <c r="HD30" s="58"/>
      <c r="HE30" s="58"/>
      <c r="HF30" s="58"/>
      <c r="HG30" s="58"/>
      <c r="HH30" s="58"/>
      <c r="HI30" s="58"/>
      <c r="HJ30" s="58"/>
      <c r="HK30" s="58"/>
      <c r="HL30" s="58"/>
      <c r="HM30" s="58"/>
      <c r="HN30" s="58"/>
      <c r="HO30" s="58"/>
      <c r="HP30" s="58"/>
      <c r="HQ30" s="58"/>
      <c r="HR30" s="58"/>
      <c r="HS30" s="58"/>
      <c r="HT30" s="58"/>
      <c r="HU30" s="58"/>
      <c r="HV30" s="58"/>
      <c r="HW30" s="58"/>
      <c r="HX30" s="58"/>
      <c r="HY30" s="58"/>
      <c r="HZ30" s="58"/>
      <c r="IA30" s="58"/>
      <c r="IB30" s="58"/>
      <c r="IC30" s="58"/>
      <c r="ID30" s="58"/>
      <c r="IE30" s="58"/>
      <c r="IF30" s="58"/>
      <c r="IG30" s="58"/>
      <c r="IH30" s="58"/>
      <c r="II30" s="58"/>
      <c r="IJ30" s="58"/>
      <c r="IK30" s="58"/>
      <c r="IL30" s="58"/>
      <c r="IM30" s="58"/>
      <c r="IN30" s="58"/>
      <c r="IO30" s="58"/>
      <c r="IP30" s="58"/>
      <c r="IQ30" s="58"/>
      <c r="IR30" s="58"/>
      <c r="IS30" s="58"/>
      <c r="IT30" s="58"/>
      <c r="IU30" s="58"/>
      <c r="IV30" s="58"/>
    </row>
    <row r="31" spans="1:256" ht="20.25">
      <c r="A31" s="59" t="s">
        <v>86</v>
      </c>
      <c r="E31" s="56">
        <f>H25+H15+H5</f>
        <v>33.32</v>
      </c>
      <c r="F31" s="55">
        <f>J5+J15+J25</f>
        <v>14.57</v>
      </c>
      <c r="G31" s="55">
        <f>SUM(E31:F31)</f>
        <v>47.89</v>
      </c>
      <c r="H31" s="55">
        <f>E5+E15+E25</f>
        <v>22829.15</v>
      </c>
      <c r="I31" s="303">
        <f>G31/H31</f>
        <v>2.0977565962815082E-3</v>
      </c>
      <c r="N31" s="136">
        <v>158371409</v>
      </c>
      <c r="O31" s="135">
        <f>N31/N30</f>
        <v>1672.2635556836635</v>
      </c>
      <c r="Q31" s="254">
        <v>589046126</v>
      </c>
      <c r="R31" s="255">
        <f>Q31/N30</f>
        <v>6219.8118672193368</v>
      </c>
      <c r="T31" s="259">
        <f>N40+N50+N60</f>
        <v>0</v>
      </c>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c r="FW31" s="58"/>
      <c r="FX31" s="58"/>
      <c r="FY31" s="58"/>
      <c r="FZ31" s="58"/>
      <c r="GA31" s="58"/>
      <c r="GB31" s="58"/>
      <c r="GC31" s="58"/>
      <c r="GD31" s="58"/>
      <c r="GE31" s="58"/>
      <c r="GF31" s="58"/>
      <c r="GG31" s="58"/>
      <c r="GH31" s="58"/>
      <c r="GI31" s="58"/>
      <c r="GJ31" s="58"/>
      <c r="GK31" s="58"/>
      <c r="GL31" s="58"/>
      <c r="GM31" s="58"/>
      <c r="GN31" s="58"/>
      <c r="GO31" s="58"/>
      <c r="GP31" s="58"/>
      <c r="GQ31" s="58"/>
      <c r="GR31" s="58"/>
      <c r="GS31" s="58"/>
      <c r="GT31" s="58"/>
      <c r="GU31" s="58"/>
      <c r="GV31" s="58"/>
      <c r="GW31" s="58"/>
      <c r="GX31" s="58"/>
      <c r="GY31" s="58"/>
      <c r="GZ31" s="58"/>
      <c r="HA31" s="58"/>
      <c r="HB31" s="58"/>
      <c r="HC31" s="58"/>
      <c r="HD31" s="58"/>
      <c r="HE31" s="58"/>
      <c r="HF31" s="58"/>
      <c r="HG31" s="58"/>
      <c r="HH31" s="58"/>
      <c r="HI31" s="58"/>
      <c r="HJ31" s="58"/>
      <c r="HK31" s="58"/>
      <c r="HL31" s="58"/>
      <c r="HM31" s="58"/>
      <c r="HN31" s="58"/>
      <c r="HO31" s="58"/>
      <c r="HP31" s="58"/>
      <c r="HQ31" s="58"/>
      <c r="HR31" s="58"/>
      <c r="HS31" s="58"/>
      <c r="HT31" s="58"/>
      <c r="HU31" s="58"/>
      <c r="HV31" s="58"/>
      <c r="HW31" s="58"/>
      <c r="HX31" s="58"/>
      <c r="HY31" s="58"/>
      <c r="HZ31" s="58"/>
      <c r="IA31" s="58"/>
      <c r="IB31" s="58"/>
      <c r="IC31" s="58"/>
      <c r="ID31" s="58"/>
      <c r="IE31" s="58"/>
      <c r="IF31" s="58"/>
      <c r="IG31" s="58"/>
      <c r="IH31" s="58"/>
      <c r="II31" s="58"/>
      <c r="IJ31" s="58"/>
      <c r="IK31" s="58"/>
      <c r="IL31" s="58"/>
      <c r="IM31" s="58"/>
      <c r="IN31" s="58"/>
      <c r="IO31" s="58"/>
      <c r="IP31" s="58"/>
      <c r="IQ31" s="58"/>
      <c r="IR31" s="58"/>
      <c r="IS31" s="58"/>
      <c r="IT31" s="58"/>
      <c r="IU31" s="58"/>
      <c r="IV31" s="58"/>
    </row>
    <row r="32" spans="1:256" s="50" customFormat="1" ht="29.25" customHeight="1">
      <c r="A32" s="2073"/>
      <c r="B32" s="2073"/>
      <c r="C32" s="2073"/>
      <c r="D32" s="2073"/>
      <c r="E32" s="2073"/>
      <c r="F32" s="2073"/>
      <c r="G32" s="2073"/>
      <c r="H32" s="2073"/>
      <c r="I32" s="2073"/>
      <c r="J32" s="2073"/>
      <c r="K32" s="2073"/>
      <c r="L32" s="2073"/>
      <c r="M32" s="2073"/>
      <c r="N32" s="2073"/>
      <c r="O32" s="2073"/>
    </row>
    <row r="33" spans="1:256" s="50" customFormat="1" ht="15" customHeight="1">
      <c r="A33" s="2074"/>
      <c r="B33" s="2075"/>
      <c r="C33" s="2076"/>
      <c r="D33" s="2076"/>
      <c r="E33" s="2077"/>
      <c r="F33" s="2076"/>
      <c r="G33" s="2074"/>
      <c r="H33" s="2076"/>
      <c r="I33" s="2074"/>
      <c r="J33" s="2076"/>
      <c r="K33" s="2074"/>
      <c r="L33" s="2076"/>
      <c r="M33" s="2074"/>
      <c r="N33" s="2076"/>
      <c r="O33" s="2074"/>
    </row>
    <row r="34" spans="1:256" s="52" customFormat="1" ht="15" customHeight="1">
      <c r="A34" s="2074"/>
      <c r="B34" s="2075"/>
      <c r="C34" s="2076"/>
      <c r="D34" s="2076"/>
      <c r="E34" s="2077"/>
      <c r="F34" s="2076"/>
      <c r="G34" s="2074"/>
      <c r="H34" s="2076"/>
      <c r="I34" s="2074"/>
      <c r="J34" s="2076"/>
      <c r="K34" s="2074"/>
      <c r="L34" s="2076"/>
      <c r="M34" s="2074"/>
      <c r="N34" s="2076"/>
      <c r="O34" s="2074"/>
    </row>
    <row r="35" spans="1:256" s="50" customFormat="1" ht="15" customHeight="1">
      <c r="A35" s="2074"/>
      <c r="B35" s="2075"/>
      <c r="C35" s="2076"/>
      <c r="D35" s="2076"/>
      <c r="E35" s="2077"/>
      <c r="F35" s="2076"/>
      <c r="G35" s="2074"/>
      <c r="H35" s="2076"/>
      <c r="I35" s="2074"/>
      <c r="J35" s="2076"/>
      <c r="K35" s="2074"/>
      <c r="L35" s="2076"/>
      <c r="M35" s="2074"/>
      <c r="N35" s="2076"/>
      <c r="O35" s="2074"/>
    </row>
    <row r="36" spans="1:256" s="52" customFormat="1" ht="15" customHeight="1">
      <c r="A36" s="2074"/>
      <c r="B36" s="2075"/>
      <c r="C36" s="2076"/>
      <c r="D36" s="2076"/>
      <c r="E36" s="2077"/>
      <c r="F36" s="2076"/>
      <c r="G36" s="2074"/>
      <c r="H36" s="2076"/>
      <c r="I36" s="2074"/>
      <c r="J36" s="2076"/>
      <c r="K36" s="2074"/>
      <c r="L36" s="2076"/>
      <c r="M36" s="2074"/>
      <c r="N36" s="2076"/>
      <c r="O36" s="2074"/>
    </row>
    <row r="37" spans="1:256" s="50" customFormat="1" ht="15" customHeight="1">
      <c r="A37" s="2074"/>
      <c r="B37" s="2075"/>
      <c r="C37" s="2076"/>
      <c r="D37" s="2076"/>
      <c r="E37" s="2077"/>
      <c r="F37" s="2076"/>
      <c r="G37" s="2074"/>
      <c r="H37" s="2076"/>
      <c r="I37" s="2074"/>
      <c r="J37" s="2076"/>
      <c r="K37" s="2074"/>
      <c r="L37" s="2076"/>
      <c r="M37" s="2074"/>
      <c r="N37" s="2076"/>
      <c r="O37" s="2074"/>
    </row>
    <row r="38" spans="1:256" s="52" customFormat="1" ht="15" customHeight="1">
      <c r="A38" s="2074"/>
      <c r="B38" s="2075"/>
      <c r="C38" s="2076"/>
      <c r="D38" s="2076"/>
      <c r="E38" s="2077"/>
      <c r="F38" s="2076"/>
      <c r="G38" s="2074"/>
      <c r="H38" s="2076"/>
      <c r="I38" s="2074"/>
      <c r="J38" s="2076"/>
      <c r="K38" s="2074"/>
      <c r="L38" s="2076"/>
      <c r="M38" s="2074"/>
      <c r="N38" s="2076"/>
      <c r="O38" s="2074"/>
    </row>
    <row r="39" spans="1:256" s="50" customFormat="1" ht="15" customHeight="1">
      <c r="A39" s="2074"/>
      <c r="B39" s="2075"/>
      <c r="C39" s="2076"/>
      <c r="D39" s="2076"/>
      <c r="E39" s="2077"/>
      <c r="F39" s="2076"/>
      <c r="G39" s="2074"/>
      <c r="H39" s="2076"/>
      <c r="I39" s="2074"/>
      <c r="J39" s="2076"/>
      <c r="K39" s="2074"/>
      <c r="L39" s="2076"/>
      <c r="M39" s="2074"/>
      <c r="N39" s="2076"/>
      <c r="O39" s="2074"/>
    </row>
    <row r="40" spans="1:256">
      <c r="A40" s="2078"/>
      <c r="B40" s="2079"/>
      <c r="C40" s="2080"/>
      <c r="D40" s="2080"/>
      <c r="E40" s="2081"/>
      <c r="F40" s="2080"/>
      <c r="G40" s="2078"/>
      <c r="H40" s="2080"/>
      <c r="I40" s="2078"/>
      <c r="J40" s="2080"/>
      <c r="K40" s="2078"/>
      <c r="L40" s="2080"/>
      <c r="M40" s="2078"/>
      <c r="N40" s="2082">
        <f>SUM(N33:N39)</f>
        <v>0</v>
      </c>
      <c r="O40" s="2078" t="s">
        <v>223</v>
      </c>
      <c r="R40" s="57" t="s">
        <v>224</v>
      </c>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c r="EO40" s="58"/>
      <c r="EP40" s="58"/>
      <c r="EQ40" s="58"/>
      <c r="ER40" s="58"/>
      <c r="ES40" s="58"/>
      <c r="ET40" s="58"/>
      <c r="EU40" s="58"/>
      <c r="EV40" s="58"/>
      <c r="EW40" s="58"/>
      <c r="EX40" s="58"/>
      <c r="EY40" s="58"/>
      <c r="EZ40" s="58"/>
      <c r="FA40" s="58"/>
      <c r="FB40" s="58"/>
      <c r="FC40" s="58"/>
      <c r="FD40" s="58"/>
      <c r="FE40" s="58"/>
      <c r="FF40" s="58"/>
      <c r="FG40" s="58"/>
      <c r="FH40" s="58"/>
      <c r="FI40" s="58"/>
      <c r="FJ40" s="58"/>
      <c r="FK40" s="58"/>
      <c r="FL40" s="58"/>
      <c r="FM40" s="58"/>
      <c r="FN40" s="58"/>
      <c r="FO40" s="58"/>
      <c r="FP40" s="58"/>
      <c r="FQ40" s="58"/>
      <c r="FR40" s="58"/>
      <c r="FS40" s="58"/>
      <c r="FT40" s="58"/>
      <c r="FU40" s="58"/>
      <c r="FV40" s="58"/>
      <c r="FW40" s="58"/>
      <c r="FX40" s="58"/>
      <c r="FY40" s="58"/>
      <c r="FZ40" s="58"/>
      <c r="GA40" s="58"/>
      <c r="GB40" s="58"/>
      <c r="GC40" s="58"/>
      <c r="GD40" s="58"/>
      <c r="GE40" s="58"/>
      <c r="GF40" s="58"/>
      <c r="GG40" s="58"/>
      <c r="GH40" s="58"/>
      <c r="GI40" s="58"/>
      <c r="GJ40" s="58"/>
      <c r="GK40" s="58"/>
      <c r="GL40" s="58"/>
      <c r="GM40" s="58"/>
      <c r="GN40" s="58"/>
      <c r="GO40" s="58"/>
      <c r="GP40" s="58"/>
      <c r="GQ40" s="58"/>
      <c r="GR40" s="58"/>
      <c r="GS40" s="58"/>
      <c r="GT40" s="58"/>
      <c r="GU40" s="58"/>
      <c r="GV40" s="58"/>
      <c r="GW40" s="58"/>
      <c r="GX40" s="58"/>
      <c r="GY40" s="58"/>
      <c r="GZ40" s="58"/>
      <c r="HA40" s="58"/>
      <c r="HB40" s="58"/>
      <c r="HC40" s="58"/>
      <c r="HD40" s="58"/>
      <c r="HE40" s="58"/>
      <c r="HF40" s="58"/>
      <c r="HG40" s="58"/>
      <c r="HH40" s="58"/>
      <c r="HI40" s="58"/>
      <c r="HJ40" s="58"/>
      <c r="HK40" s="58"/>
      <c r="HL40" s="58"/>
      <c r="HM40" s="58"/>
      <c r="HN40" s="58"/>
      <c r="HO40" s="58"/>
      <c r="HP40" s="58"/>
      <c r="HQ40" s="58"/>
      <c r="HR40" s="58"/>
      <c r="HS40" s="58"/>
      <c r="HT40" s="58"/>
      <c r="HU40" s="58"/>
      <c r="HV40" s="58"/>
      <c r="HW40" s="58"/>
      <c r="HX40" s="58"/>
      <c r="HY40" s="58"/>
      <c r="HZ40" s="58"/>
      <c r="IA40" s="58"/>
      <c r="IB40" s="58"/>
      <c r="IC40" s="58"/>
      <c r="ID40" s="58"/>
      <c r="IE40" s="58"/>
      <c r="IF40" s="58"/>
      <c r="IG40" s="58"/>
      <c r="IH40" s="58"/>
      <c r="II40" s="58"/>
      <c r="IJ40" s="58"/>
      <c r="IK40" s="58"/>
      <c r="IL40" s="58"/>
      <c r="IM40" s="58"/>
      <c r="IN40" s="58"/>
      <c r="IO40" s="58"/>
      <c r="IP40" s="58"/>
      <c r="IQ40" s="58"/>
      <c r="IR40" s="58"/>
      <c r="IS40" s="58"/>
      <c r="IT40" s="58"/>
      <c r="IU40" s="58"/>
      <c r="IV40" s="58"/>
    </row>
    <row r="41" spans="1:256" ht="20.25">
      <c r="A41" s="59" t="s">
        <v>1690</v>
      </c>
      <c r="B41" s="2079"/>
      <c r="C41" s="2080"/>
      <c r="D41" s="2080"/>
      <c r="E41" s="2081"/>
      <c r="F41" s="2080"/>
      <c r="G41" s="2078"/>
      <c r="H41" s="2080"/>
      <c r="I41" s="2078"/>
      <c r="J41" s="2080"/>
      <c r="K41" s="2078"/>
      <c r="L41" s="2080"/>
      <c r="M41" s="2078"/>
      <c r="N41" s="2083">
        <v>359343836</v>
      </c>
      <c r="O41" s="2084" t="e">
        <f>N41/N40</f>
        <v>#DIV/0!</v>
      </c>
      <c r="Q41" s="254">
        <v>587000000</v>
      </c>
      <c r="R41" s="255" t="e">
        <f>Q41/N40</f>
        <v>#DIV/0!</v>
      </c>
      <c r="T41" s="99" t="e">
        <f>T38/N40*1000</f>
        <v>#DIV/0!</v>
      </c>
      <c r="U41" s="99" t="e">
        <f>U38/N40*1000</f>
        <v>#DIV/0!</v>
      </c>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c r="EO41" s="58"/>
      <c r="EP41" s="58"/>
      <c r="EQ41" s="58"/>
      <c r="ER41" s="58"/>
      <c r="ES41" s="58"/>
      <c r="ET41" s="58"/>
      <c r="EU41" s="58"/>
      <c r="EV41" s="58"/>
      <c r="EW41" s="58"/>
      <c r="EX41" s="58"/>
      <c r="EY41" s="58"/>
      <c r="EZ41" s="58"/>
      <c r="FA41" s="58"/>
      <c r="FB41" s="58"/>
      <c r="FC41" s="58"/>
      <c r="FD41" s="58"/>
      <c r="FE41" s="58"/>
      <c r="FF41" s="58"/>
      <c r="FG41" s="58"/>
      <c r="FH41" s="58"/>
      <c r="FI41" s="58"/>
      <c r="FJ41" s="58"/>
      <c r="FK41" s="58"/>
      <c r="FL41" s="58"/>
      <c r="FM41" s="58"/>
      <c r="FN41" s="58"/>
      <c r="FO41" s="58"/>
      <c r="FP41" s="58"/>
      <c r="FQ41" s="58"/>
      <c r="FR41" s="58"/>
      <c r="FS41" s="58"/>
      <c r="FT41" s="58"/>
      <c r="FU41" s="58"/>
      <c r="FV41" s="58"/>
      <c r="FW41" s="58"/>
      <c r="FX41" s="58"/>
      <c r="FY41" s="58"/>
      <c r="FZ41" s="58"/>
      <c r="GA41" s="58"/>
      <c r="GB41" s="58"/>
      <c r="GC41" s="58"/>
      <c r="GD41" s="58"/>
      <c r="GE41" s="58"/>
      <c r="GF41" s="58"/>
      <c r="GG41" s="58"/>
      <c r="GH41" s="58"/>
      <c r="GI41" s="58"/>
      <c r="GJ41" s="58"/>
      <c r="GK41" s="58"/>
      <c r="GL41" s="58"/>
      <c r="GM41" s="58"/>
      <c r="GN41" s="58"/>
      <c r="GO41" s="58"/>
      <c r="GP41" s="58"/>
      <c r="GQ41" s="58"/>
      <c r="GR41" s="58"/>
      <c r="GS41" s="58"/>
      <c r="GT41" s="58"/>
      <c r="GU41" s="58"/>
      <c r="GV41" s="58"/>
      <c r="GW41" s="58"/>
      <c r="GX41" s="58"/>
      <c r="GY41" s="58"/>
      <c r="GZ41" s="58"/>
      <c r="HA41" s="58"/>
      <c r="HB41" s="58"/>
      <c r="HC41" s="58"/>
      <c r="HD41" s="58"/>
      <c r="HE41" s="58"/>
      <c r="HF41" s="58"/>
      <c r="HG41" s="58"/>
      <c r="HH41" s="58"/>
      <c r="HI41" s="58"/>
      <c r="HJ41" s="58"/>
      <c r="HK41" s="58"/>
      <c r="HL41" s="58"/>
      <c r="HM41" s="58"/>
      <c r="HN41" s="58"/>
      <c r="HO41" s="58"/>
      <c r="HP41" s="58"/>
      <c r="HQ41" s="58"/>
      <c r="HR41" s="58"/>
      <c r="HS41" s="58"/>
      <c r="HT41" s="58"/>
      <c r="HU41" s="58"/>
      <c r="HV41" s="58"/>
      <c r="HW41" s="58"/>
      <c r="HX41" s="58"/>
      <c r="HY41" s="58"/>
      <c r="HZ41" s="58"/>
      <c r="IA41" s="58"/>
      <c r="IB41" s="58"/>
      <c r="IC41" s="58"/>
      <c r="ID41" s="58"/>
      <c r="IE41" s="58"/>
      <c r="IF41" s="58"/>
      <c r="IG41" s="58"/>
      <c r="IH41" s="58"/>
      <c r="II41" s="58"/>
      <c r="IJ41" s="58"/>
      <c r="IK41" s="58"/>
      <c r="IL41" s="58"/>
      <c r="IM41" s="58"/>
      <c r="IN41" s="58"/>
      <c r="IO41" s="58"/>
      <c r="IP41" s="58"/>
      <c r="IQ41" s="58"/>
      <c r="IR41" s="58"/>
      <c r="IS41" s="58"/>
      <c r="IT41" s="58"/>
      <c r="IU41" s="58"/>
      <c r="IV41" s="58"/>
    </row>
    <row r="42" spans="1:256" s="50" customFormat="1" ht="29.25" customHeight="1">
      <c r="A42" s="1249"/>
      <c r="B42" s="1249"/>
      <c r="C42" s="1249"/>
      <c r="D42" s="1249"/>
      <c r="E42" s="1249"/>
      <c r="F42" s="1249"/>
      <c r="G42" s="1249"/>
      <c r="H42" s="1249"/>
      <c r="I42" s="1249"/>
      <c r="J42" s="1249"/>
      <c r="K42" s="1249"/>
      <c r="L42" s="1249"/>
      <c r="M42" s="1249"/>
      <c r="N42" s="1249"/>
      <c r="O42" s="1249"/>
    </row>
    <row r="43" spans="1:256" s="50" customFormat="1" ht="15" customHeight="1">
      <c r="A43" s="1250"/>
      <c r="B43" s="1250"/>
      <c r="C43" s="1250"/>
      <c r="D43" s="1250"/>
      <c r="E43" s="1250"/>
      <c r="F43" s="1250"/>
      <c r="G43" s="1250"/>
      <c r="H43" s="1250"/>
      <c r="I43" s="1250"/>
      <c r="J43" s="1250"/>
      <c r="K43" s="1250"/>
      <c r="L43" s="1250"/>
      <c r="M43" s="1250"/>
      <c r="N43" s="1250"/>
      <c r="O43" s="1250"/>
    </row>
    <row r="44" spans="1:256" s="52" customFormat="1" ht="15" customHeight="1">
      <c r="A44" s="1251"/>
      <c r="B44" s="1251"/>
      <c r="C44" s="1251"/>
      <c r="D44" s="1251"/>
      <c r="E44" s="1251"/>
      <c r="F44" s="1251"/>
      <c r="G44" s="1251"/>
      <c r="H44" s="1251"/>
      <c r="I44" s="1251"/>
      <c r="J44" s="1251"/>
      <c r="K44" s="1251"/>
      <c r="L44" s="1251"/>
      <c r="M44" s="1251"/>
      <c r="N44" s="1251"/>
      <c r="O44" s="1251"/>
    </row>
    <row r="45" spans="1:256" s="50" customFormat="1" ht="15" customHeight="1">
      <c r="A45" s="1250"/>
      <c r="B45" s="1250"/>
      <c r="C45" s="1250"/>
      <c r="D45" s="1250"/>
      <c r="E45" s="1250"/>
      <c r="F45" s="1250"/>
      <c r="G45" s="1250"/>
      <c r="H45" s="1250"/>
      <c r="I45" s="1250"/>
      <c r="J45" s="1250"/>
      <c r="K45" s="1250"/>
      <c r="L45" s="1250"/>
      <c r="M45" s="1250"/>
      <c r="N45" s="1250"/>
      <c r="O45" s="1250"/>
    </row>
    <row r="46" spans="1:256" s="52" customFormat="1" ht="15" customHeight="1">
      <c r="A46" s="1251"/>
      <c r="B46" s="1251"/>
      <c r="C46" s="1251"/>
      <c r="D46" s="1251"/>
      <c r="E46" s="1251"/>
      <c r="F46" s="1251"/>
      <c r="G46" s="1251"/>
      <c r="H46" s="1251"/>
      <c r="I46" s="1251"/>
      <c r="J46" s="1251"/>
      <c r="K46" s="1251"/>
      <c r="L46" s="1251"/>
      <c r="M46" s="1251"/>
      <c r="N46" s="1251"/>
      <c r="O46" s="1251"/>
    </row>
    <row r="47" spans="1:256" s="50" customFormat="1" ht="15" customHeight="1">
      <c r="A47" s="1250"/>
      <c r="B47" s="1250"/>
      <c r="C47" s="1250"/>
      <c r="D47" s="1250"/>
      <c r="E47" s="1250"/>
      <c r="F47" s="1250"/>
      <c r="G47" s="1250"/>
      <c r="H47" s="1250"/>
      <c r="I47" s="1250"/>
      <c r="J47" s="1250"/>
      <c r="K47" s="1250"/>
      <c r="L47" s="1250"/>
      <c r="M47" s="1250"/>
      <c r="N47" s="1250"/>
      <c r="O47" s="1250"/>
    </row>
    <row r="48" spans="1:256" s="52" customFormat="1" ht="15" customHeight="1">
      <c r="A48" s="1251"/>
      <c r="B48" s="1251"/>
      <c r="C48" s="1251"/>
      <c r="D48" s="1251"/>
      <c r="E48" s="1251"/>
      <c r="F48" s="1251"/>
      <c r="G48" s="1251"/>
      <c r="H48" s="1251"/>
      <c r="I48" s="1251"/>
      <c r="J48" s="1251"/>
      <c r="K48" s="1251"/>
      <c r="L48" s="1251"/>
      <c r="M48" s="1251"/>
      <c r="N48" s="1251"/>
      <c r="O48" s="1251"/>
    </row>
    <row r="49" spans="1:256" s="50" customFormat="1" ht="15" customHeight="1">
      <c r="A49" s="1250"/>
      <c r="B49" s="1250"/>
      <c r="C49" s="1250"/>
      <c r="D49" s="1250"/>
      <c r="E49" s="1250"/>
      <c r="F49" s="1250"/>
      <c r="G49" s="1250"/>
      <c r="H49" s="1250"/>
      <c r="I49" s="1250"/>
      <c r="J49" s="1250"/>
      <c r="K49" s="1250"/>
      <c r="L49" s="1250"/>
      <c r="M49" s="1250"/>
      <c r="N49" s="1250"/>
      <c r="O49" s="1250"/>
    </row>
    <row r="50" spans="1:256">
      <c r="N50" s="134">
        <f>SUM(N43:N49)</f>
        <v>0</v>
      </c>
      <c r="O50" s="53" t="s">
        <v>223</v>
      </c>
      <c r="R50" s="57" t="s">
        <v>224</v>
      </c>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c r="ER50" s="58"/>
      <c r="ES50" s="58"/>
      <c r="ET50" s="58"/>
      <c r="EU50" s="58"/>
      <c r="EV50" s="58"/>
      <c r="EW50" s="58"/>
      <c r="EX50" s="58"/>
      <c r="EY50" s="58"/>
      <c r="EZ50" s="58"/>
      <c r="FA50" s="58"/>
      <c r="FB50" s="58"/>
      <c r="FC50" s="58"/>
      <c r="FD50" s="58"/>
      <c r="FE50" s="58"/>
      <c r="FF50" s="58"/>
      <c r="FG50" s="58"/>
      <c r="FH50" s="58"/>
      <c r="FI50" s="58"/>
      <c r="FJ50" s="58"/>
      <c r="FK50" s="58"/>
      <c r="FL50" s="58"/>
      <c r="FM50" s="58"/>
      <c r="FN50" s="58"/>
      <c r="FO50" s="58"/>
      <c r="FP50" s="58"/>
      <c r="FQ50" s="58"/>
      <c r="FR50" s="58"/>
      <c r="FS50" s="58"/>
      <c r="FT50" s="58"/>
      <c r="FU50" s="58"/>
      <c r="FV50" s="58"/>
      <c r="FW50" s="58"/>
      <c r="FX50" s="58"/>
      <c r="FY50" s="58"/>
      <c r="FZ50" s="58"/>
      <c r="GA50" s="58"/>
      <c r="GB50" s="58"/>
      <c r="GC50" s="58"/>
      <c r="GD50" s="58"/>
      <c r="GE50" s="58"/>
      <c r="GF50" s="58"/>
      <c r="GG50" s="58"/>
      <c r="GH50" s="58"/>
      <c r="GI50" s="58"/>
      <c r="GJ50" s="58"/>
      <c r="GK50" s="58"/>
      <c r="GL50" s="58"/>
      <c r="GM50" s="58"/>
      <c r="GN50" s="58"/>
      <c r="GO50" s="58"/>
      <c r="GP50" s="58"/>
      <c r="GQ50" s="58"/>
      <c r="GR50" s="58"/>
      <c r="GS50" s="58"/>
      <c r="GT50" s="58"/>
      <c r="GU50" s="58"/>
      <c r="GV50" s="58"/>
      <c r="GW50" s="58"/>
      <c r="GX50" s="58"/>
      <c r="GY50" s="58"/>
      <c r="GZ50" s="58"/>
      <c r="HA50" s="58"/>
      <c r="HB50" s="58"/>
      <c r="HC50" s="58"/>
      <c r="HD50" s="58"/>
      <c r="HE50" s="58"/>
      <c r="HF50" s="58"/>
      <c r="HG50" s="58"/>
      <c r="HH50" s="58"/>
      <c r="HI50" s="58"/>
      <c r="HJ50" s="58"/>
      <c r="HK50" s="58"/>
      <c r="HL50" s="58"/>
      <c r="HM50" s="58"/>
      <c r="HN50" s="58"/>
      <c r="HO50" s="58"/>
      <c r="HP50" s="58"/>
      <c r="HQ50" s="58"/>
      <c r="HR50" s="58"/>
      <c r="HS50" s="58"/>
      <c r="HT50" s="58"/>
      <c r="HU50" s="58"/>
      <c r="HV50" s="58"/>
      <c r="HW50" s="58"/>
      <c r="HX50" s="58"/>
      <c r="HY50" s="58"/>
      <c r="HZ50" s="58"/>
      <c r="IA50" s="58"/>
      <c r="IB50" s="58"/>
      <c r="IC50" s="58"/>
      <c r="ID50" s="58"/>
      <c r="IE50" s="58"/>
      <c r="IF50" s="58"/>
      <c r="IG50" s="58"/>
      <c r="IH50" s="58"/>
      <c r="II50" s="58"/>
      <c r="IJ50" s="58"/>
      <c r="IK50" s="58"/>
      <c r="IL50" s="58"/>
      <c r="IM50" s="58"/>
      <c r="IN50" s="58"/>
      <c r="IO50" s="58"/>
      <c r="IP50" s="58"/>
      <c r="IQ50" s="58"/>
      <c r="IR50" s="58"/>
      <c r="IS50" s="58"/>
      <c r="IT50" s="58"/>
      <c r="IU50" s="58"/>
      <c r="IV50" s="58"/>
    </row>
    <row r="51" spans="1:256" ht="20.25">
      <c r="A51" s="59" t="s">
        <v>88</v>
      </c>
      <c r="M51" s="59" t="s">
        <v>87</v>
      </c>
      <c r="N51" s="136">
        <v>514814011</v>
      </c>
      <c r="O51" s="135" t="e">
        <f>N51/N50</f>
        <v>#DIV/0!</v>
      </c>
      <c r="Q51" s="254">
        <v>468542559</v>
      </c>
      <c r="R51" s="255" t="e">
        <f>Q51/N50</f>
        <v>#DIV/0!</v>
      </c>
      <c r="S51" s="58"/>
      <c r="T51" s="260">
        <v>4748</v>
      </c>
      <c r="U51" s="264">
        <f>T51-P56</f>
        <v>4748</v>
      </c>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c r="CG51" s="58"/>
      <c r="CH51" s="58"/>
      <c r="CI51" s="58"/>
      <c r="CJ51" s="58"/>
      <c r="CK51" s="58"/>
      <c r="CL51" s="58"/>
      <c r="CM51" s="58"/>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c r="EU51" s="58"/>
      <c r="EV51" s="58"/>
      <c r="EW51" s="58"/>
      <c r="EX51" s="58"/>
      <c r="EY51" s="58"/>
      <c r="EZ51" s="58"/>
      <c r="FA51" s="58"/>
      <c r="FB51" s="58"/>
      <c r="FC51" s="58"/>
      <c r="FD51" s="58"/>
      <c r="FE51" s="58"/>
      <c r="FF51" s="58"/>
      <c r="FG51" s="58"/>
      <c r="FH51" s="58"/>
      <c r="FI51" s="58"/>
      <c r="FJ51" s="58"/>
      <c r="FK51" s="58"/>
      <c r="FL51" s="58"/>
      <c r="FM51" s="58"/>
      <c r="FN51" s="58"/>
      <c r="FO51" s="58"/>
      <c r="FP51" s="58"/>
      <c r="FQ51" s="58"/>
      <c r="FR51" s="58"/>
      <c r="FS51" s="58"/>
      <c r="FT51" s="58"/>
      <c r="FU51" s="58"/>
      <c r="FV51" s="58"/>
      <c r="FW51" s="58"/>
      <c r="FX51" s="58"/>
      <c r="FY51" s="58"/>
      <c r="FZ51" s="58"/>
      <c r="GA51" s="58"/>
      <c r="GB51" s="58"/>
      <c r="GC51" s="58"/>
      <c r="GD51" s="58"/>
      <c r="GE51" s="58"/>
      <c r="GF51" s="58"/>
      <c r="GG51" s="58"/>
      <c r="GH51" s="58"/>
      <c r="GI51" s="58"/>
      <c r="GJ51" s="58"/>
      <c r="GK51" s="58"/>
      <c r="GL51" s="58"/>
      <c r="GM51" s="58"/>
      <c r="GN51" s="58"/>
      <c r="GO51" s="58"/>
      <c r="GP51" s="58"/>
      <c r="GQ51" s="58"/>
      <c r="GR51" s="58"/>
      <c r="GS51" s="58"/>
      <c r="GT51" s="58"/>
      <c r="GU51" s="58"/>
      <c r="GV51" s="58"/>
      <c r="GW51" s="58"/>
      <c r="GX51" s="58"/>
      <c r="GY51" s="58"/>
      <c r="GZ51" s="58"/>
      <c r="HA51" s="58"/>
      <c r="HB51" s="58"/>
      <c r="HC51" s="58"/>
      <c r="HD51" s="58"/>
      <c r="HE51" s="58"/>
      <c r="HF51" s="58"/>
      <c r="HG51" s="58"/>
      <c r="HH51" s="58"/>
      <c r="HI51" s="58"/>
      <c r="HJ51" s="58"/>
      <c r="HK51" s="58"/>
      <c r="HL51" s="58"/>
      <c r="HM51" s="58"/>
      <c r="HN51" s="58"/>
      <c r="HO51" s="58"/>
      <c r="HP51" s="58"/>
      <c r="HQ51" s="58"/>
      <c r="HR51" s="58"/>
      <c r="HS51" s="58"/>
      <c r="HT51" s="58"/>
      <c r="HU51" s="58"/>
      <c r="HV51" s="58"/>
      <c r="HW51" s="58"/>
      <c r="HX51" s="58"/>
      <c r="HY51" s="58"/>
      <c r="HZ51" s="58"/>
      <c r="IA51" s="58"/>
      <c r="IB51" s="58"/>
      <c r="IC51" s="58"/>
      <c r="ID51" s="58"/>
      <c r="IE51" s="58"/>
      <c r="IF51" s="58"/>
      <c r="IG51" s="58"/>
      <c r="IH51" s="58"/>
      <c r="II51" s="58"/>
      <c r="IJ51" s="58"/>
      <c r="IK51" s="58"/>
      <c r="IL51" s="58"/>
      <c r="IM51" s="58"/>
      <c r="IN51" s="58"/>
      <c r="IO51" s="58"/>
      <c r="IP51" s="58"/>
      <c r="IQ51" s="58"/>
      <c r="IR51" s="58"/>
      <c r="IS51" s="58"/>
      <c r="IT51" s="58"/>
      <c r="IU51" s="58"/>
      <c r="IV51" s="58"/>
    </row>
    <row r="52" spans="1:256" s="50" customFormat="1" ht="29.25" customHeight="1"/>
    <row r="53" spans="1:256" s="50" customFormat="1" ht="15" customHeight="1">
      <c r="A53" s="49"/>
      <c r="B53" s="49"/>
      <c r="C53" s="49"/>
      <c r="D53" s="49"/>
      <c r="E53" s="49"/>
      <c r="F53" s="49"/>
      <c r="G53" s="49"/>
      <c r="H53" s="49"/>
      <c r="I53" s="49"/>
      <c r="J53" s="49"/>
      <c r="K53" s="49"/>
      <c r="L53" s="49"/>
      <c r="M53" s="49"/>
      <c r="N53" s="49"/>
      <c r="O53" s="49"/>
    </row>
    <row r="54" spans="1:256" s="52" customFormat="1" ht="15" customHeight="1">
      <c r="A54" s="51"/>
      <c r="B54" s="51"/>
      <c r="C54" s="51"/>
      <c r="D54" s="51"/>
      <c r="E54" s="51"/>
      <c r="F54" s="51"/>
      <c r="G54" s="51"/>
      <c r="H54" s="51"/>
      <c r="I54" s="51"/>
      <c r="J54" s="51"/>
      <c r="K54" s="51"/>
      <c r="L54" s="51"/>
      <c r="M54" s="51"/>
      <c r="N54" s="51"/>
      <c r="O54" s="51"/>
    </row>
    <row r="55" spans="1:256" s="50" customFormat="1" ht="15" customHeight="1">
      <c r="A55" s="49"/>
      <c r="B55" s="49"/>
      <c r="C55" s="49"/>
      <c r="D55" s="49"/>
      <c r="E55" s="49"/>
      <c r="F55" s="49"/>
      <c r="G55" s="49"/>
      <c r="H55" s="49"/>
      <c r="I55" s="49"/>
      <c r="J55" s="49"/>
      <c r="K55" s="49"/>
      <c r="L55" s="49"/>
      <c r="M55" s="49"/>
      <c r="N55" s="49"/>
      <c r="O55" s="49"/>
    </row>
    <row r="56" spans="1:256" s="52" customFormat="1" ht="15" customHeight="1">
      <c r="A56" s="51"/>
      <c r="B56" s="51"/>
      <c r="C56" s="51"/>
      <c r="D56" s="51"/>
      <c r="E56" s="51"/>
      <c r="F56" s="51"/>
      <c r="G56" s="51"/>
      <c r="H56" s="51"/>
      <c r="I56" s="51"/>
      <c r="J56" s="51"/>
      <c r="K56" s="51"/>
      <c r="L56" s="51"/>
      <c r="M56" s="51"/>
      <c r="N56" s="51"/>
      <c r="O56" s="51"/>
    </row>
    <row r="57" spans="1:256" s="50" customFormat="1" ht="15" customHeight="1">
      <c r="A57" s="49"/>
      <c r="B57" s="49"/>
      <c r="C57" s="49"/>
      <c r="D57" s="49"/>
      <c r="E57" s="49"/>
      <c r="F57" s="49"/>
      <c r="G57" s="49"/>
      <c r="H57" s="49"/>
      <c r="I57" s="49"/>
      <c r="J57" s="49"/>
      <c r="K57" s="49"/>
      <c r="L57" s="49"/>
      <c r="M57" s="49"/>
      <c r="N57" s="49"/>
      <c r="O57" s="49"/>
    </row>
    <row r="58" spans="1:256" s="52" customFormat="1" ht="15" customHeight="1">
      <c r="A58" s="51"/>
      <c r="B58" s="51"/>
      <c r="C58" s="51"/>
      <c r="D58" s="51"/>
      <c r="E58" s="51"/>
      <c r="F58" s="51"/>
      <c r="G58" s="51"/>
      <c r="H58" s="51"/>
      <c r="I58" s="51"/>
      <c r="J58" s="51"/>
      <c r="K58" s="51"/>
      <c r="L58" s="51"/>
      <c r="M58" s="51"/>
      <c r="N58" s="51"/>
      <c r="O58" s="51"/>
    </row>
    <row r="59" spans="1:256" s="50" customFormat="1" ht="15" customHeight="1">
      <c r="A59" s="49"/>
      <c r="B59" s="49"/>
      <c r="C59" s="49"/>
      <c r="D59" s="49"/>
      <c r="E59" s="49"/>
      <c r="F59" s="49"/>
      <c r="G59" s="49"/>
      <c r="H59" s="49"/>
      <c r="I59" s="49"/>
      <c r="J59" s="49"/>
      <c r="K59" s="49"/>
      <c r="L59" s="49"/>
      <c r="M59" s="49"/>
      <c r="N59" s="49"/>
      <c r="O59" s="49"/>
    </row>
    <row r="60" spans="1:256">
      <c r="N60" s="134">
        <f>SUM(N53:N59)</f>
        <v>0</v>
      </c>
      <c r="O60" s="53" t="s">
        <v>223</v>
      </c>
      <c r="R60" s="57" t="s">
        <v>224</v>
      </c>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c r="EX60" s="58"/>
      <c r="EY60" s="58"/>
      <c r="EZ60" s="58"/>
      <c r="FA60" s="58"/>
      <c r="FB60" s="58"/>
      <c r="FC60" s="58"/>
      <c r="FD60" s="58"/>
      <c r="FE60" s="58"/>
      <c r="FF60" s="58"/>
      <c r="FG60" s="58"/>
      <c r="FH60" s="58"/>
      <c r="FI60" s="58"/>
      <c r="FJ60" s="58"/>
      <c r="FK60" s="58"/>
      <c r="FL60" s="58"/>
      <c r="FM60" s="58"/>
      <c r="FN60" s="58"/>
      <c r="FO60" s="58"/>
      <c r="FP60" s="58"/>
      <c r="FQ60" s="58"/>
      <c r="FR60" s="58"/>
      <c r="FS60" s="58"/>
      <c r="FT60" s="58"/>
      <c r="FU60" s="58"/>
      <c r="FV60" s="58"/>
      <c r="FW60" s="58"/>
      <c r="FX60" s="58"/>
      <c r="FY60" s="58"/>
      <c r="FZ60" s="58"/>
      <c r="GA60" s="58"/>
      <c r="GB60" s="58"/>
      <c r="GC60" s="58"/>
      <c r="GD60" s="58"/>
      <c r="GE60" s="58"/>
      <c r="GF60" s="58"/>
      <c r="GG60" s="58"/>
      <c r="GH60" s="58"/>
      <c r="GI60" s="58"/>
      <c r="GJ60" s="58"/>
      <c r="GK60" s="58"/>
      <c r="GL60" s="58"/>
      <c r="GM60" s="58"/>
      <c r="GN60" s="58"/>
      <c r="GO60" s="58"/>
      <c r="GP60" s="58"/>
      <c r="GQ60" s="58"/>
      <c r="GR60" s="58"/>
      <c r="GS60" s="58"/>
      <c r="GT60" s="58"/>
      <c r="GU60" s="58"/>
      <c r="GV60" s="58"/>
      <c r="GW60" s="58"/>
      <c r="GX60" s="58"/>
      <c r="GY60" s="58"/>
      <c r="GZ60" s="58"/>
      <c r="HA60" s="58"/>
      <c r="HB60" s="58"/>
      <c r="HC60" s="58"/>
      <c r="HD60" s="58"/>
      <c r="HE60" s="58"/>
      <c r="HF60" s="58"/>
      <c r="HG60" s="58"/>
      <c r="HH60" s="58"/>
      <c r="HI60" s="58"/>
      <c r="HJ60" s="58"/>
      <c r="HK60" s="58"/>
      <c r="HL60" s="58"/>
      <c r="HM60" s="58"/>
      <c r="HN60" s="58"/>
      <c r="HO60" s="58"/>
      <c r="HP60" s="58"/>
      <c r="HQ60" s="58"/>
      <c r="HR60" s="58"/>
      <c r="HS60" s="58"/>
      <c r="HT60" s="58"/>
      <c r="HU60" s="58"/>
      <c r="HV60" s="58"/>
      <c r="HW60" s="58"/>
      <c r="HX60" s="58"/>
      <c r="HY60" s="58"/>
      <c r="HZ60" s="58"/>
      <c r="IA60" s="58"/>
      <c r="IB60" s="58"/>
      <c r="IC60" s="58"/>
      <c r="ID60" s="58"/>
      <c r="IE60" s="58"/>
      <c r="IF60" s="58"/>
      <c r="IG60" s="58"/>
      <c r="IH60" s="58"/>
      <c r="II60" s="58"/>
      <c r="IJ60" s="58"/>
      <c r="IK60" s="58"/>
      <c r="IL60" s="58"/>
      <c r="IM60" s="58"/>
      <c r="IN60" s="58"/>
      <c r="IO60" s="58"/>
      <c r="IP60" s="58"/>
      <c r="IQ60" s="58"/>
      <c r="IR60" s="58"/>
      <c r="IS60" s="58"/>
      <c r="IT60" s="58"/>
      <c r="IU60" s="58"/>
      <c r="IV60" s="58"/>
    </row>
    <row r="61" spans="1:256" ht="20.25">
      <c r="A61" s="59" t="s">
        <v>89</v>
      </c>
      <c r="M61" s="59" t="s">
        <v>88</v>
      </c>
      <c r="N61" s="136">
        <v>239721435</v>
      </c>
      <c r="O61" s="135" t="e">
        <f>N61/N60</f>
        <v>#DIV/0!</v>
      </c>
      <c r="Q61" s="254">
        <v>591152945</v>
      </c>
      <c r="R61" s="255" t="e">
        <f>Q61/N60</f>
        <v>#DIV/0!</v>
      </c>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c r="EU61" s="58"/>
      <c r="EV61" s="58"/>
      <c r="EW61" s="58"/>
      <c r="EX61" s="58"/>
      <c r="EY61" s="58"/>
      <c r="EZ61" s="58"/>
      <c r="FA61" s="58"/>
      <c r="FB61" s="58"/>
      <c r="FC61" s="58"/>
      <c r="FD61" s="58"/>
      <c r="FE61" s="58"/>
      <c r="FF61" s="58"/>
      <c r="FG61" s="58"/>
      <c r="FH61" s="58"/>
      <c r="FI61" s="58"/>
      <c r="FJ61" s="58"/>
      <c r="FK61" s="58"/>
      <c r="FL61" s="58"/>
      <c r="FM61" s="58"/>
      <c r="FN61" s="58"/>
      <c r="FO61" s="58"/>
      <c r="FP61" s="58"/>
      <c r="FQ61" s="58"/>
      <c r="FR61" s="58"/>
      <c r="FS61" s="58"/>
      <c r="FT61" s="58"/>
      <c r="FU61" s="58"/>
      <c r="FV61" s="58"/>
      <c r="FW61" s="58"/>
      <c r="FX61" s="58"/>
      <c r="FY61" s="58"/>
      <c r="FZ61" s="58"/>
      <c r="GA61" s="58"/>
      <c r="GB61" s="58"/>
      <c r="GC61" s="58"/>
      <c r="GD61" s="58"/>
      <c r="GE61" s="58"/>
      <c r="GF61" s="58"/>
      <c r="GG61" s="58"/>
      <c r="GH61" s="58"/>
      <c r="GI61" s="58"/>
      <c r="GJ61" s="58"/>
      <c r="GK61" s="58"/>
      <c r="GL61" s="58"/>
      <c r="GM61" s="58"/>
      <c r="GN61" s="58"/>
      <c r="GO61" s="58"/>
      <c r="GP61" s="58"/>
      <c r="GQ61" s="58"/>
      <c r="GR61" s="58"/>
      <c r="GS61" s="58"/>
      <c r="GT61" s="58"/>
      <c r="GU61" s="58"/>
      <c r="GV61" s="58"/>
      <c r="GW61" s="58"/>
      <c r="GX61" s="58"/>
      <c r="GY61" s="58"/>
      <c r="GZ61" s="58"/>
      <c r="HA61" s="58"/>
      <c r="HB61" s="58"/>
      <c r="HC61" s="58"/>
      <c r="HD61" s="58"/>
      <c r="HE61" s="58"/>
      <c r="HF61" s="58"/>
      <c r="HG61" s="58"/>
      <c r="HH61" s="58"/>
      <c r="HI61" s="58"/>
      <c r="HJ61" s="58"/>
      <c r="HK61" s="58"/>
      <c r="HL61" s="58"/>
      <c r="HM61" s="58"/>
      <c r="HN61" s="58"/>
      <c r="HO61" s="58"/>
      <c r="HP61" s="58"/>
      <c r="HQ61" s="58"/>
      <c r="HR61" s="58"/>
      <c r="HS61" s="58"/>
      <c r="HT61" s="58"/>
      <c r="HU61" s="58"/>
      <c r="HV61" s="58"/>
      <c r="HW61" s="58"/>
      <c r="HX61" s="58"/>
      <c r="HY61" s="58"/>
      <c r="HZ61" s="58"/>
      <c r="IA61" s="58"/>
      <c r="IB61" s="58"/>
      <c r="IC61" s="58"/>
      <c r="ID61" s="58"/>
      <c r="IE61" s="58"/>
      <c r="IF61" s="58"/>
      <c r="IG61" s="58"/>
      <c r="IH61" s="58"/>
      <c r="II61" s="58"/>
      <c r="IJ61" s="58"/>
      <c r="IK61" s="58"/>
      <c r="IL61" s="58"/>
      <c r="IM61" s="58"/>
      <c r="IN61" s="58"/>
      <c r="IO61" s="58"/>
      <c r="IP61" s="58"/>
      <c r="IQ61" s="58"/>
      <c r="IR61" s="58"/>
      <c r="IS61" s="58"/>
      <c r="IT61" s="58"/>
      <c r="IU61" s="58"/>
      <c r="IV61" s="58"/>
    </row>
    <row r="62" spans="1:256" s="50" customFormat="1" ht="29.25" customHeight="1"/>
    <row r="63" spans="1:256" s="50" customFormat="1" ht="15" customHeight="1">
      <c r="A63" s="49"/>
      <c r="B63" s="49"/>
      <c r="C63" s="49"/>
      <c r="D63" s="49"/>
      <c r="E63" s="49"/>
      <c r="F63" s="49"/>
      <c r="G63" s="49"/>
      <c r="H63" s="49"/>
      <c r="I63" s="49"/>
      <c r="J63" s="49"/>
      <c r="K63" s="49"/>
      <c r="L63" s="49"/>
      <c r="M63" s="49"/>
      <c r="N63" s="49"/>
      <c r="O63" s="49"/>
    </row>
    <row r="64" spans="1:256" s="52" customFormat="1" ht="15" customHeight="1">
      <c r="A64" s="51"/>
      <c r="B64" s="51"/>
      <c r="C64" s="51"/>
      <c r="D64" s="51"/>
      <c r="E64" s="51"/>
      <c r="F64" s="51"/>
      <c r="G64" s="51"/>
      <c r="H64" s="51"/>
      <c r="I64" s="51"/>
      <c r="J64" s="51"/>
      <c r="K64" s="51"/>
      <c r="L64" s="51"/>
      <c r="M64" s="51"/>
      <c r="N64" s="51"/>
      <c r="O64" s="51"/>
    </row>
    <row r="65" spans="1:256" s="50" customFormat="1" ht="15" customHeight="1">
      <c r="A65" s="49"/>
      <c r="B65" s="49"/>
      <c r="C65" s="49"/>
      <c r="D65" s="49"/>
      <c r="E65" s="49"/>
      <c r="F65" s="49"/>
      <c r="G65" s="49"/>
      <c r="H65" s="49"/>
      <c r="I65" s="49"/>
      <c r="J65" s="49"/>
      <c r="K65" s="49"/>
      <c r="L65" s="49"/>
      <c r="M65" s="49"/>
      <c r="N65" s="49"/>
      <c r="O65" s="49"/>
    </row>
    <row r="66" spans="1:256" s="52" customFormat="1" ht="15" customHeight="1">
      <c r="A66" s="51"/>
      <c r="B66" s="51"/>
      <c r="C66" s="51"/>
      <c r="D66" s="51"/>
      <c r="E66" s="51"/>
      <c r="F66" s="51"/>
      <c r="G66" s="51"/>
      <c r="H66" s="51"/>
      <c r="I66" s="51"/>
      <c r="J66" s="51"/>
      <c r="K66" s="51"/>
      <c r="L66" s="51"/>
      <c r="M66" s="51"/>
      <c r="N66" s="51"/>
      <c r="O66" s="51"/>
    </row>
    <row r="67" spans="1:256" s="50" customFormat="1" ht="15" customHeight="1">
      <c r="A67" s="49"/>
      <c r="B67" s="49"/>
      <c r="C67" s="49"/>
      <c r="D67" s="49"/>
      <c r="E67" s="49"/>
      <c r="F67" s="49"/>
      <c r="G67" s="49"/>
      <c r="H67" s="49"/>
      <c r="I67" s="49"/>
      <c r="J67" s="49"/>
      <c r="K67" s="49"/>
      <c r="L67" s="49"/>
      <c r="M67" s="49"/>
      <c r="N67" s="49"/>
      <c r="O67" s="49"/>
    </row>
    <row r="68" spans="1:256" s="52" customFormat="1" ht="15" customHeight="1">
      <c r="A68" s="51"/>
      <c r="B68" s="51"/>
      <c r="C68" s="51"/>
      <c r="D68" s="51"/>
      <c r="E68" s="51"/>
      <c r="F68" s="51"/>
      <c r="G68" s="51"/>
      <c r="H68" s="51"/>
      <c r="I68" s="51"/>
      <c r="J68" s="51"/>
      <c r="K68" s="51"/>
      <c r="L68" s="51"/>
      <c r="M68" s="51"/>
      <c r="N68" s="51"/>
      <c r="O68" s="51"/>
    </row>
    <row r="69" spans="1:256" s="50" customFormat="1" ht="15" customHeight="1">
      <c r="A69" s="49"/>
      <c r="B69" s="49"/>
      <c r="C69" s="49"/>
      <c r="D69" s="49"/>
      <c r="E69" s="49"/>
      <c r="F69" s="49"/>
      <c r="G69" s="49"/>
      <c r="H69" s="49"/>
      <c r="I69" s="49"/>
      <c r="J69" s="49"/>
      <c r="K69" s="49"/>
      <c r="L69" s="49"/>
      <c r="M69" s="49"/>
      <c r="N69" s="49"/>
      <c r="O69" s="49"/>
    </row>
    <row r="70" spans="1:256">
      <c r="N70" s="134">
        <f>SUM(N63:N69)</f>
        <v>0</v>
      </c>
      <c r="O70" s="53" t="s">
        <v>223</v>
      </c>
      <c r="R70" s="57" t="s">
        <v>224</v>
      </c>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c r="EU70" s="58"/>
      <c r="EV70" s="58"/>
      <c r="EW70" s="58"/>
      <c r="EX70" s="58"/>
      <c r="EY70" s="58"/>
      <c r="EZ70" s="58"/>
      <c r="FA70" s="58"/>
      <c r="FB70" s="58"/>
      <c r="FC70" s="58"/>
      <c r="FD70" s="58"/>
      <c r="FE70" s="58"/>
      <c r="FF70" s="58"/>
      <c r="FG70" s="58"/>
      <c r="FH70" s="58"/>
      <c r="FI70" s="58"/>
      <c r="FJ70" s="58"/>
      <c r="FK70" s="58"/>
      <c r="FL70" s="58"/>
      <c r="FM70" s="58"/>
      <c r="FN70" s="58"/>
      <c r="FO70" s="58"/>
      <c r="FP70" s="58"/>
      <c r="FQ70" s="58"/>
      <c r="FR70" s="58"/>
      <c r="FS70" s="58"/>
      <c r="FT70" s="58"/>
      <c r="FU70" s="58"/>
      <c r="FV70" s="58"/>
      <c r="FW70" s="58"/>
      <c r="FX70" s="58"/>
      <c r="FY70" s="58"/>
      <c r="FZ70" s="58"/>
      <c r="GA70" s="58"/>
      <c r="GB70" s="58"/>
      <c r="GC70" s="58"/>
      <c r="GD70" s="58"/>
      <c r="GE70" s="58"/>
      <c r="GF70" s="58"/>
      <c r="GG70" s="58"/>
      <c r="GH70" s="58"/>
      <c r="GI70" s="58"/>
      <c r="GJ70" s="58"/>
      <c r="GK70" s="58"/>
      <c r="GL70" s="58"/>
      <c r="GM70" s="58"/>
      <c r="GN70" s="58"/>
      <c r="GO70" s="58"/>
      <c r="GP70" s="58"/>
      <c r="GQ70" s="58"/>
      <c r="GR70" s="58"/>
      <c r="GS70" s="58"/>
      <c r="GT70" s="58"/>
      <c r="GU70" s="58"/>
      <c r="GV70" s="58"/>
      <c r="GW70" s="58"/>
      <c r="GX70" s="58"/>
      <c r="GY70" s="58"/>
      <c r="GZ70" s="58"/>
      <c r="HA70" s="58"/>
      <c r="HB70" s="58"/>
      <c r="HC70" s="58"/>
      <c r="HD70" s="58"/>
      <c r="HE70" s="58"/>
      <c r="HF70" s="58"/>
      <c r="HG70" s="58"/>
      <c r="HH70" s="58"/>
      <c r="HI70" s="58"/>
      <c r="HJ70" s="58"/>
      <c r="HK70" s="58"/>
      <c r="HL70" s="58"/>
      <c r="HM70" s="58"/>
      <c r="HN70" s="58"/>
      <c r="HO70" s="58"/>
      <c r="HP70" s="58"/>
      <c r="HQ70" s="58"/>
      <c r="HR70" s="58"/>
      <c r="HS70" s="58"/>
      <c r="HT70" s="58"/>
      <c r="HU70" s="58"/>
      <c r="HV70" s="58"/>
      <c r="HW70" s="58"/>
      <c r="HX70" s="58"/>
      <c r="HY70" s="58"/>
      <c r="HZ70" s="58"/>
      <c r="IA70" s="58"/>
      <c r="IB70" s="58"/>
      <c r="IC70" s="58"/>
      <c r="ID70" s="58"/>
      <c r="IE70" s="58"/>
      <c r="IF70" s="58"/>
      <c r="IG70" s="58"/>
      <c r="IH70" s="58"/>
      <c r="II70" s="58"/>
      <c r="IJ70" s="58"/>
      <c r="IK70" s="58"/>
      <c r="IL70" s="58"/>
      <c r="IM70" s="58"/>
      <c r="IN70" s="58"/>
      <c r="IO70" s="58"/>
      <c r="IP70" s="58"/>
      <c r="IQ70" s="58"/>
      <c r="IR70" s="58"/>
      <c r="IS70" s="58"/>
      <c r="IT70" s="58"/>
      <c r="IU70" s="58"/>
      <c r="IV70" s="58"/>
    </row>
    <row r="71" spans="1:256" ht="20.25">
      <c r="A71" s="59" t="s">
        <v>90</v>
      </c>
      <c r="M71" s="59" t="s">
        <v>89</v>
      </c>
      <c r="N71" s="136">
        <v>670114542</v>
      </c>
      <c r="O71" s="135" t="e">
        <f>N71/N70</f>
        <v>#DIV/0!</v>
      </c>
      <c r="Q71" s="254">
        <v>563524931</v>
      </c>
      <c r="R71" s="255" t="e">
        <f>Q71/N70</f>
        <v>#DIV/0!</v>
      </c>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c r="EO71" s="58"/>
      <c r="EP71" s="58"/>
      <c r="EQ71" s="58"/>
      <c r="ER71" s="58"/>
      <c r="ES71" s="58"/>
      <c r="ET71" s="58"/>
      <c r="EU71" s="58"/>
      <c r="EV71" s="58"/>
      <c r="EW71" s="58"/>
      <c r="EX71" s="58"/>
      <c r="EY71" s="58"/>
      <c r="EZ71" s="58"/>
      <c r="FA71" s="58"/>
      <c r="FB71" s="58"/>
      <c r="FC71" s="58"/>
      <c r="FD71" s="58"/>
      <c r="FE71" s="58"/>
      <c r="FF71" s="58"/>
      <c r="FG71" s="58"/>
      <c r="FH71" s="58"/>
      <c r="FI71" s="58"/>
      <c r="FJ71" s="58"/>
      <c r="FK71" s="58"/>
      <c r="FL71" s="58"/>
      <c r="FM71" s="58"/>
      <c r="FN71" s="58"/>
      <c r="FO71" s="58"/>
      <c r="FP71" s="58"/>
      <c r="FQ71" s="58"/>
      <c r="FR71" s="58"/>
      <c r="FS71" s="58"/>
      <c r="FT71" s="58"/>
      <c r="FU71" s="58"/>
      <c r="FV71" s="58"/>
      <c r="FW71" s="58"/>
      <c r="FX71" s="58"/>
      <c r="FY71" s="58"/>
      <c r="FZ71" s="58"/>
      <c r="GA71" s="58"/>
      <c r="GB71" s="58"/>
      <c r="GC71" s="58"/>
      <c r="GD71" s="58"/>
      <c r="GE71" s="58"/>
      <c r="GF71" s="58"/>
      <c r="GG71" s="58"/>
      <c r="GH71" s="58"/>
      <c r="GI71" s="58"/>
      <c r="GJ71" s="58"/>
      <c r="GK71" s="58"/>
      <c r="GL71" s="58"/>
      <c r="GM71" s="58"/>
      <c r="GN71" s="58"/>
      <c r="GO71" s="58"/>
      <c r="GP71" s="58"/>
      <c r="GQ71" s="58"/>
      <c r="GR71" s="58"/>
      <c r="GS71" s="58"/>
      <c r="GT71" s="58"/>
      <c r="GU71" s="58"/>
      <c r="GV71" s="58"/>
      <c r="GW71" s="58"/>
      <c r="GX71" s="58"/>
      <c r="GY71" s="58"/>
      <c r="GZ71" s="58"/>
      <c r="HA71" s="58"/>
      <c r="HB71" s="58"/>
      <c r="HC71" s="58"/>
      <c r="HD71" s="58"/>
      <c r="HE71" s="58"/>
      <c r="HF71" s="58"/>
      <c r="HG71" s="58"/>
      <c r="HH71" s="58"/>
      <c r="HI71" s="58"/>
      <c r="HJ71" s="58"/>
      <c r="HK71" s="58"/>
      <c r="HL71" s="58"/>
      <c r="HM71" s="58"/>
      <c r="HN71" s="58"/>
      <c r="HO71" s="58"/>
      <c r="HP71" s="58"/>
      <c r="HQ71" s="58"/>
      <c r="HR71" s="58"/>
      <c r="HS71" s="58"/>
      <c r="HT71" s="58"/>
      <c r="HU71" s="58"/>
      <c r="HV71" s="58"/>
      <c r="HW71" s="58"/>
      <c r="HX71" s="58"/>
      <c r="HY71" s="58"/>
      <c r="HZ71" s="58"/>
      <c r="IA71" s="58"/>
      <c r="IB71" s="58"/>
      <c r="IC71" s="58"/>
      <c r="ID71" s="58"/>
      <c r="IE71" s="58"/>
      <c r="IF71" s="58"/>
      <c r="IG71" s="58"/>
      <c r="IH71" s="58"/>
      <c r="II71" s="58"/>
      <c r="IJ71" s="58"/>
      <c r="IK71" s="58"/>
      <c r="IL71" s="58"/>
      <c r="IM71" s="58"/>
      <c r="IN71" s="58"/>
      <c r="IO71" s="58"/>
      <c r="IP71" s="58"/>
      <c r="IQ71" s="58"/>
      <c r="IR71" s="58"/>
      <c r="IS71" s="58"/>
      <c r="IT71" s="58"/>
      <c r="IU71" s="58"/>
      <c r="IV71" s="58"/>
    </row>
    <row r="72" spans="1:256" s="50" customFormat="1" ht="29.45" customHeight="1"/>
    <row r="73" spans="1:256" s="50" customFormat="1" ht="15" customHeight="1">
      <c r="A73" s="4938"/>
      <c r="B73" s="4938"/>
      <c r="C73" s="4938"/>
      <c r="D73" s="4938"/>
      <c r="E73" s="4938"/>
      <c r="F73" s="4938"/>
      <c r="G73" s="4938"/>
      <c r="H73" s="4938"/>
      <c r="I73" s="4938"/>
      <c r="J73" s="4938"/>
      <c r="K73" s="4938"/>
      <c r="L73" s="4938"/>
      <c r="M73" s="4938"/>
      <c r="N73" s="4938"/>
      <c r="O73" s="4938"/>
    </row>
    <row r="74" spans="1:256" s="52" customFormat="1" ht="15" customHeight="1">
      <c r="A74" s="4939"/>
      <c r="B74" s="4939"/>
      <c r="C74" s="4939"/>
      <c r="D74" s="4939"/>
      <c r="E74" s="4939"/>
      <c r="F74" s="4939"/>
      <c r="G74" s="4939"/>
      <c r="H74" s="4939"/>
      <c r="I74" s="4939"/>
      <c r="J74" s="4939"/>
      <c r="K74" s="4939"/>
      <c r="L74" s="4939"/>
      <c r="M74" s="4939"/>
      <c r="N74" s="4939"/>
      <c r="O74" s="4939"/>
    </row>
    <row r="75" spans="1:256" s="50" customFormat="1" ht="15" customHeight="1">
      <c r="A75" s="4938"/>
      <c r="B75" s="4938"/>
      <c r="C75" s="4938"/>
      <c r="D75" s="4938"/>
      <c r="E75" s="4938"/>
      <c r="F75" s="4938"/>
      <c r="G75" s="4938"/>
      <c r="H75" s="4938"/>
      <c r="I75" s="4938"/>
      <c r="J75" s="4938"/>
      <c r="K75" s="4938"/>
      <c r="L75" s="4938"/>
      <c r="M75" s="4938"/>
      <c r="N75" s="4938"/>
      <c r="O75" s="4938"/>
    </row>
    <row r="76" spans="1:256" s="52" customFormat="1" ht="15" customHeight="1">
      <c r="A76" s="4939"/>
      <c r="B76" s="4939"/>
      <c r="C76" s="4939"/>
      <c r="D76" s="4939"/>
      <c r="E76" s="4939"/>
      <c r="F76" s="4939"/>
      <c r="G76" s="4939"/>
      <c r="H76" s="4939"/>
      <c r="I76" s="4939"/>
      <c r="J76" s="4939"/>
      <c r="K76" s="4939"/>
      <c r="L76" s="4939"/>
      <c r="M76" s="4939"/>
      <c r="N76" s="4939"/>
      <c r="O76" s="4939"/>
    </row>
    <row r="77" spans="1:256" s="50" customFormat="1" ht="15" customHeight="1">
      <c r="A77" s="4938"/>
      <c r="B77" s="4938"/>
      <c r="C77" s="4938"/>
      <c r="D77" s="4938"/>
      <c r="E77" s="4938"/>
      <c r="F77" s="4938"/>
      <c r="G77" s="4938"/>
      <c r="H77" s="4938"/>
      <c r="I77" s="4938"/>
      <c r="J77" s="4938"/>
      <c r="K77" s="4938"/>
      <c r="L77" s="4938"/>
      <c r="M77" s="4938"/>
      <c r="N77" s="4938"/>
      <c r="O77" s="4938"/>
    </row>
    <row r="78" spans="1:256" s="52" customFormat="1" ht="15" customHeight="1">
      <c r="A78" s="4939"/>
      <c r="B78" s="4939"/>
      <c r="C78" s="4939"/>
      <c r="D78" s="4939"/>
      <c r="E78" s="4939"/>
      <c r="F78" s="4939"/>
      <c r="G78" s="4939"/>
      <c r="H78" s="4939"/>
      <c r="I78" s="4939"/>
      <c r="J78" s="4939"/>
      <c r="K78" s="4939"/>
      <c r="L78" s="4939"/>
      <c r="M78" s="4939"/>
      <c r="N78" s="4939"/>
      <c r="O78" s="4939"/>
    </row>
    <row r="79" spans="1:256" s="50" customFormat="1" ht="15" customHeight="1">
      <c r="A79" s="4938"/>
      <c r="B79" s="4938"/>
      <c r="C79" s="4938"/>
      <c r="D79" s="4938"/>
      <c r="E79" s="4938"/>
      <c r="F79" s="4938"/>
      <c r="G79" s="4938"/>
      <c r="H79" s="4938"/>
      <c r="I79" s="4938"/>
      <c r="J79" s="4938"/>
      <c r="K79" s="4938"/>
      <c r="L79" s="4938"/>
      <c r="M79" s="4938"/>
      <c r="N79" s="4938"/>
      <c r="O79" s="4938"/>
    </row>
    <row r="80" spans="1:256">
      <c r="N80" s="134">
        <f>SUM(N73:N79)</f>
        <v>0</v>
      </c>
      <c r="O80" s="53" t="s">
        <v>223</v>
      </c>
      <c r="R80" s="57" t="s">
        <v>179</v>
      </c>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c r="EO80" s="58"/>
      <c r="EP80" s="58"/>
      <c r="EQ80" s="58"/>
      <c r="ER80" s="58"/>
      <c r="ES80" s="58"/>
      <c r="ET80" s="58"/>
      <c r="EU80" s="58"/>
      <c r="EV80" s="58"/>
      <c r="EW80" s="58"/>
      <c r="EX80" s="58"/>
      <c r="EY80" s="58"/>
      <c r="EZ80" s="58"/>
      <c r="FA80" s="58"/>
      <c r="FB80" s="58"/>
      <c r="FC80" s="58"/>
      <c r="FD80" s="58"/>
      <c r="FE80" s="58"/>
      <c r="FF80" s="58"/>
      <c r="FG80" s="58"/>
      <c r="FH80" s="58"/>
      <c r="FI80" s="58"/>
      <c r="FJ80" s="58"/>
      <c r="FK80" s="58"/>
      <c r="FL80" s="58"/>
      <c r="FM80" s="58"/>
      <c r="FN80" s="58"/>
      <c r="FO80" s="58"/>
      <c r="FP80" s="58"/>
      <c r="FQ80" s="58"/>
      <c r="FR80" s="58"/>
      <c r="FS80" s="58"/>
      <c r="FT80" s="58"/>
      <c r="FU80" s="58"/>
      <c r="FV80" s="58"/>
      <c r="FW80" s="58"/>
      <c r="FX80" s="58"/>
      <c r="FY80" s="58"/>
      <c r="FZ80" s="58"/>
      <c r="GA80" s="58"/>
      <c r="GB80" s="58"/>
      <c r="GC80" s="58"/>
      <c r="GD80" s="58"/>
      <c r="GE80" s="58"/>
      <c r="GF80" s="58"/>
      <c r="GG80" s="58"/>
      <c r="GH80" s="58"/>
      <c r="GI80" s="58"/>
      <c r="GJ80" s="58"/>
      <c r="GK80" s="58"/>
      <c r="GL80" s="58"/>
      <c r="GM80" s="58"/>
      <c r="GN80" s="58"/>
      <c r="GO80" s="58"/>
      <c r="GP80" s="58"/>
      <c r="GQ80" s="58"/>
      <c r="GR80" s="58"/>
      <c r="GS80" s="58"/>
      <c r="GT80" s="58"/>
      <c r="GU80" s="58"/>
      <c r="GV80" s="58"/>
      <c r="GW80" s="58"/>
      <c r="GX80" s="58"/>
      <c r="GY80" s="58"/>
      <c r="GZ80" s="58"/>
      <c r="HA80" s="58"/>
      <c r="HB80" s="58"/>
      <c r="HC80" s="58"/>
      <c r="HD80" s="58"/>
      <c r="HE80" s="58"/>
      <c r="HF80" s="58"/>
      <c r="HG80" s="58"/>
      <c r="HH80" s="58"/>
      <c r="HI80" s="58"/>
      <c r="HJ80" s="58"/>
      <c r="HK80" s="58"/>
      <c r="HL80" s="58"/>
      <c r="HM80" s="58"/>
      <c r="HN80" s="58"/>
      <c r="HO80" s="58"/>
      <c r="HP80" s="58"/>
      <c r="HQ80" s="58"/>
      <c r="HR80" s="58"/>
      <c r="HS80" s="58"/>
      <c r="HT80" s="58"/>
      <c r="HU80" s="58"/>
      <c r="HV80" s="58"/>
      <c r="HW80" s="58"/>
      <c r="HX80" s="58"/>
      <c r="HY80" s="58"/>
      <c r="HZ80" s="58"/>
      <c r="IA80" s="58"/>
      <c r="IB80" s="58"/>
      <c r="IC80" s="58"/>
      <c r="ID80" s="58"/>
      <c r="IE80" s="58"/>
      <c r="IF80" s="58"/>
      <c r="IG80" s="58"/>
      <c r="IH80" s="58"/>
      <c r="II80" s="58"/>
      <c r="IJ80" s="58"/>
      <c r="IK80" s="58"/>
      <c r="IL80" s="58"/>
      <c r="IM80" s="58"/>
      <c r="IN80" s="58"/>
      <c r="IO80" s="58"/>
      <c r="IP80" s="58"/>
      <c r="IQ80" s="58"/>
      <c r="IR80" s="58"/>
      <c r="IS80" s="58"/>
      <c r="IT80" s="58"/>
      <c r="IU80" s="58"/>
      <c r="IV80" s="58"/>
    </row>
    <row r="81" spans="1:256" ht="20.25">
      <c r="A81" s="59" t="s">
        <v>91</v>
      </c>
      <c r="M81" s="59" t="s">
        <v>90</v>
      </c>
      <c r="N81" s="136"/>
      <c r="O81" s="135" t="e">
        <f>N81/N80</f>
        <v>#DIV/0!</v>
      </c>
      <c r="Q81" s="254"/>
      <c r="R81" s="255" t="e">
        <f>Q81/N80</f>
        <v>#DIV/0!</v>
      </c>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c r="EO81" s="58"/>
      <c r="EP81" s="58"/>
      <c r="EQ81" s="58"/>
      <c r="ER81" s="58"/>
      <c r="ES81" s="58"/>
      <c r="ET81" s="58"/>
      <c r="EU81" s="58"/>
      <c r="EV81" s="58"/>
      <c r="EW81" s="58"/>
      <c r="EX81" s="58"/>
      <c r="EY81" s="58"/>
      <c r="EZ81" s="58"/>
      <c r="FA81" s="58"/>
      <c r="FB81" s="58"/>
      <c r="FC81" s="58"/>
      <c r="FD81" s="58"/>
      <c r="FE81" s="58"/>
      <c r="FF81" s="58"/>
      <c r="FG81" s="58"/>
      <c r="FH81" s="58"/>
      <c r="FI81" s="58"/>
      <c r="FJ81" s="58"/>
      <c r="FK81" s="58"/>
      <c r="FL81" s="58"/>
      <c r="FM81" s="58"/>
      <c r="FN81" s="58"/>
      <c r="FO81" s="58"/>
      <c r="FP81" s="58"/>
      <c r="FQ81" s="58"/>
      <c r="FR81" s="58"/>
      <c r="FS81" s="58"/>
      <c r="FT81" s="58"/>
      <c r="FU81" s="58"/>
      <c r="FV81" s="58"/>
      <c r="FW81" s="58"/>
      <c r="FX81" s="58"/>
      <c r="FY81" s="58"/>
      <c r="FZ81" s="58"/>
      <c r="GA81" s="58"/>
      <c r="GB81" s="58"/>
      <c r="GC81" s="58"/>
      <c r="GD81" s="58"/>
      <c r="GE81" s="58"/>
      <c r="GF81" s="58"/>
      <c r="GG81" s="58"/>
      <c r="GH81" s="58"/>
      <c r="GI81" s="58"/>
      <c r="GJ81" s="58"/>
      <c r="GK81" s="58"/>
      <c r="GL81" s="58"/>
      <c r="GM81" s="58"/>
      <c r="GN81" s="58"/>
      <c r="GO81" s="58"/>
      <c r="GP81" s="58"/>
      <c r="GQ81" s="58"/>
      <c r="GR81" s="58"/>
      <c r="GS81" s="58"/>
      <c r="GT81" s="58"/>
      <c r="GU81" s="58"/>
      <c r="GV81" s="58"/>
      <c r="GW81" s="58"/>
      <c r="GX81" s="58"/>
      <c r="GY81" s="58"/>
      <c r="GZ81" s="58"/>
      <c r="HA81" s="58"/>
      <c r="HB81" s="58"/>
      <c r="HC81" s="58"/>
      <c r="HD81" s="58"/>
      <c r="HE81" s="58"/>
      <c r="HF81" s="58"/>
      <c r="HG81" s="58"/>
      <c r="HH81" s="58"/>
      <c r="HI81" s="58"/>
      <c r="HJ81" s="58"/>
      <c r="HK81" s="58"/>
      <c r="HL81" s="58"/>
      <c r="HM81" s="58"/>
      <c r="HN81" s="58"/>
      <c r="HO81" s="58"/>
      <c r="HP81" s="58"/>
      <c r="HQ81" s="58"/>
      <c r="HR81" s="58"/>
      <c r="HS81" s="58"/>
      <c r="HT81" s="58"/>
      <c r="HU81" s="58"/>
      <c r="HV81" s="58"/>
      <c r="HW81" s="58"/>
      <c r="HX81" s="58"/>
      <c r="HY81" s="58"/>
      <c r="HZ81" s="58"/>
      <c r="IA81" s="58"/>
      <c r="IB81" s="58"/>
      <c r="IC81" s="58"/>
      <c r="ID81" s="58"/>
      <c r="IE81" s="58"/>
      <c r="IF81" s="58"/>
      <c r="IG81" s="58"/>
      <c r="IH81" s="58"/>
      <c r="II81" s="58"/>
      <c r="IJ81" s="58"/>
      <c r="IK81" s="58"/>
      <c r="IL81" s="58"/>
      <c r="IM81" s="58"/>
      <c r="IN81" s="58"/>
      <c r="IO81" s="58"/>
      <c r="IP81" s="58"/>
      <c r="IQ81" s="58"/>
      <c r="IR81" s="58"/>
      <c r="IS81" s="58"/>
      <c r="IT81" s="58"/>
      <c r="IU81" s="58"/>
      <c r="IV81" s="58"/>
    </row>
    <row r="82" spans="1:256" s="50" customFormat="1" ht="29.25" customHeight="1">
      <c r="A82" s="698"/>
      <c r="B82" s="698"/>
      <c r="C82" s="698"/>
      <c r="D82" s="698"/>
      <c r="E82" s="698"/>
      <c r="F82" s="698"/>
      <c r="G82" s="698"/>
      <c r="H82" s="698"/>
      <c r="I82" s="698"/>
      <c r="J82" s="698"/>
      <c r="K82" s="698"/>
      <c r="L82" s="698"/>
      <c r="M82" s="698"/>
      <c r="N82" s="698"/>
      <c r="O82" s="698"/>
    </row>
    <row r="83" spans="1:256" s="50" customFormat="1" ht="15" customHeight="1">
      <c r="A83" s="699"/>
      <c r="B83" s="699"/>
      <c r="C83" s="699"/>
      <c r="D83" s="699"/>
      <c r="E83" s="699"/>
      <c r="F83" s="699"/>
      <c r="G83" s="699"/>
      <c r="H83" s="699"/>
      <c r="I83" s="699"/>
      <c r="J83" s="699"/>
      <c r="K83" s="699"/>
      <c r="L83" s="699"/>
      <c r="M83" s="699"/>
      <c r="N83" s="699"/>
      <c r="O83" s="699"/>
    </row>
    <row r="84" spans="1:256" s="52" customFormat="1" ht="15" customHeight="1">
      <c r="A84" s="700"/>
      <c r="B84" s="700"/>
      <c r="C84" s="700"/>
      <c r="D84" s="700"/>
      <c r="E84" s="700"/>
      <c r="F84" s="700"/>
      <c r="G84" s="700"/>
      <c r="H84" s="700"/>
      <c r="I84" s="700"/>
      <c r="J84" s="700"/>
      <c r="K84" s="700"/>
      <c r="L84" s="700"/>
      <c r="M84" s="700"/>
      <c r="N84" s="700"/>
      <c r="O84" s="700"/>
    </row>
    <row r="85" spans="1:256" s="50" customFormat="1" ht="15" customHeight="1">
      <c r="A85" s="699"/>
      <c r="B85" s="699"/>
      <c r="C85" s="699"/>
      <c r="D85" s="699"/>
      <c r="E85" s="699"/>
      <c r="F85" s="699"/>
      <c r="G85" s="699"/>
      <c r="H85" s="699"/>
      <c r="I85" s="699"/>
      <c r="J85" s="699"/>
      <c r="K85" s="699"/>
      <c r="L85" s="699"/>
      <c r="M85" s="699"/>
      <c r="N85" s="699"/>
      <c r="O85" s="699"/>
    </row>
    <row r="86" spans="1:256" s="52" customFormat="1" ht="15" customHeight="1">
      <c r="A86" s="700"/>
      <c r="B86" s="700"/>
      <c r="C86" s="700"/>
      <c r="D86" s="700"/>
      <c r="E86" s="700"/>
      <c r="F86" s="700"/>
      <c r="G86" s="700"/>
      <c r="H86" s="700"/>
      <c r="I86" s="700"/>
      <c r="J86" s="700"/>
      <c r="K86" s="700"/>
      <c r="L86" s="700"/>
      <c r="M86" s="700"/>
      <c r="N86" s="700"/>
      <c r="O86" s="700"/>
    </row>
    <row r="87" spans="1:256" s="50" customFormat="1" ht="15" customHeight="1">
      <c r="A87" s="699"/>
      <c r="B87" s="699"/>
      <c r="C87" s="699"/>
      <c r="D87" s="699"/>
      <c r="E87" s="699"/>
      <c r="F87" s="699"/>
      <c r="G87" s="699"/>
      <c r="H87" s="699"/>
      <c r="I87" s="699"/>
      <c r="J87" s="699"/>
      <c r="K87" s="699"/>
      <c r="L87" s="699"/>
      <c r="M87" s="699"/>
      <c r="N87" s="699"/>
      <c r="O87" s="699"/>
    </row>
    <row r="88" spans="1:256" s="52" customFormat="1" ht="15" customHeight="1">
      <c r="A88" s="700"/>
      <c r="B88" s="700"/>
      <c r="C88" s="700"/>
      <c r="D88" s="700"/>
      <c r="E88" s="700"/>
      <c r="F88" s="700"/>
      <c r="G88" s="700"/>
      <c r="H88" s="700"/>
      <c r="I88" s="700"/>
      <c r="J88" s="700"/>
      <c r="K88" s="700"/>
      <c r="L88" s="700"/>
      <c r="M88" s="700"/>
      <c r="N88" s="700"/>
      <c r="O88" s="700"/>
    </row>
    <row r="89" spans="1:256" s="50" customFormat="1" ht="15" customHeight="1">
      <c r="A89" s="699"/>
      <c r="B89" s="699"/>
      <c r="C89" s="699"/>
      <c r="D89" s="699"/>
      <c r="E89" s="699"/>
      <c r="F89" s="699"/>
      <c r="G89" s="699"/>
      <c r="H89" s="699"/>
      <c r="I89" s="699"/>
      <c r="J89" s="699"/>
      <c r="K89" s="699"/>
      <c r="L89" s="699"/>
      <c r="M89" s="699"/>
      <c r="N89" s="699"/>
      <c r="O89" s="699"/>
    </row>
    <row r="90" spans="1:256">
      <c r="N90" s="134">
        <f>SUM(N83:N89)</f>
        <v>0</v>
      </c>
      <c r="O90" s="53" t="s">
        <v>223</v>
      </c>
      <c r="R90" s="57" t="s">
        <v>224</v>
      </c>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c r="EO90" s="58"/>
      <c r="EP90" s="58"/>
      <c r="EQ90" s="58"/>
      <c r="ER90" s="58"/>
      <c r="ES90" s="58"/>
      <c r="ET90" s="58"/>
      <c r="EU90" s="58"/>
      <c r="EV90" s="58"/>
      <c r="EW90" s="58"/>
      <c r="EX90" s="58"/>
      <c r="EY90" s="58"/>
      <c r="EZ90" s="58"/>
      <c r="FA90" s="58"/>
      <c r="FB90" s="58"/>
      <c r="FC90" s="58"/>
      <c r="FD90" s="58"/>
      <c r="FE90" s="58"/>
      <c r="FF90" s="58"/>
      <c r="FG90" s="58"/>
      <c r="FH90" s="58"/>
      <c r="FI90" s="58"/>
      <c r="FJ90" s="58"/>
      <c r="FK90" s="58"/>
      <c r="FL90" s="58"/>
      <c r="FM90" s="58"/>
      <c r="FN90" s="58"/>
      <c r="FO90" s="58"/>
      <c r="FP90" s="58"/>
      <c r="FQ90" s="58"/>
      <c r="FR90" s="58"/>
      <c r="FS90" s="58"/>
      <c r="FT90" s="58"/>
      <c r="FU90" s="58"/>
      <c r="FV90" s="58"/>
      <c r="FW90" s="58"/>
      <c r="FX90" s="58"/>
      <c r="FY90" s="58"/>
      <c r="FZ90" s="58"/>
      <c r="GA90" s="58"/>
      <c r="GB90" s="58"/>
      <c r="GC90" s="58"/>
      <c r="GD90" s="58"/>
      <c r="GE90" s="58"/>
      <c r="GF90" s="58"/>
      <c r="GG90" s="58"/>
      <c r="GH90" s="58"/>
      <c r="GI90" s="58"/>
      <c r="GJ90" s="58"/>
      <c r="GK90" s="58"/>
      <c r="GL90" s="58"/>
      <c r="GM90" s="58"/>
      <c r="GN90" s="58"/>
      <c r="GO90" s="58"/>
      <c r="GP90" s="58"/>
      <c r="GQ90" s="58"/>
      <c r="GR90" s="58"/>
      <c r="GS90" s="58"/>
      <c r="GT90" s="58"/>
      <c r="GU90" s="58"/>
      <c r="GV90" s="58"/>
      <c r="GW90" s="58"/>
      <c r="GX90" s="58"/>
      <c r="GY90" s="58"/>
      <c r="GZ90" s="58"/>
      <c r="HA90" s="58"/>
      <c r="HB90" s="58"/>
      <c r="HC90" s="58"/>
      <c r="HD90" s="58"/>
      <c r="HE90" s="58"/>
      <c r="HF90" s="58"/>
      <c r="HG90" s="58"/>
      <c r="HH90" s="58"/>
      <c r="HI90" s="58"/>
      <c r="HJ90" s="58"/>
      <c r="HK90" s="58"/>
      <c r="HL90" s="58"/>
      <c r="HM90" s="58"/>
      <c r="HN90" s="58"/>
      <c r="HO90" s="58"/>
      <c r="HP90" s="58"/>
      <c r="HQ90" s="58"/>
      <c r="HR90" s="58"/>
      <c r="HS90" s="58"/>
      <c r="HT90" s="58"/>
      <c r="HU90" s="58"/>
      <c r="HV90" s="58"/>
      <c r="HW90" s="58"/>
      <c r="HX90" s="58"/>
      <c r="HY90" s="58"/>
      <c r="HZ90" s="58"/>
      <c r="IA90" s="58"/>
      <c r="IB90" s="58"/>
      <c r="IC90" s="58"/>
      <c r="ID90" s="58"/>
      <c r="IE90" s="58"/>
      <c r="IF90" s="58"/>
      <c r="IG90" s="58"/>
      <c r="IH90" s="58"/>
      <c r="II90" s="58"/>
      <c r="IJ90" s="58"/>
      <c r="IK90" s="58"/>
      <c r="IL90" s="58"/>
      <c r="IM90" s="58"/>
      <c r="IN90" s="58"/>
      <c r="IO90" s="58"/>
      <c r="IP90" s="58"/>
      <c r="IQ90" s="58"/>
      <c r="IR90" s="58"/>
      <c r="IS90" s="58"/>
      <c r="IT90" s="58"/>
      <c r="IU90" s="58"/>
      <c r="IV90" s="58"/>
    </row>
    <row r="91" spans="1:256" ht="20.25">
      <c r="A91" s="59" t="s">
        <v>92</v>
      </c>
      <c r="M91" s="59" t="s">
        <v>91</v>
      </c>
      <c r="N91" s="136"/>
      <c r="O91" s="135" t="e">
        <f>N91/N90</f>
        <v>#DIV/0!</v>
      </c>
      <c r="Q91" s="254"/>
      <c r="R91" s="255" t="e">
        <f>Q91/N90</f>
        <v>#DIV/0!</v>
      </c>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c r="EO91" s="58"/>
      <c r="EP91" s="58"/>
      <c r="EQ91" s="58"/>
      <c r="ER91" s="58"/>
      <c r="ES91" s="58"/>
      <c r="ET91" s="58"/>
      <c r="EU91" s="58"/>
      <c r="EV91" s="58"/>
      <c r="EW91" s="58"/>
      <c r="EX91" s="58"/>
      <c r="EY91" s="58"/>
      <c r="EZ91" s="58"/>
      <c r="FA91" s="58"/>
      <c r="FB91" s="58"/>
      <c r="FC91" s="58"/>
      <c r="FD91" s="58"/>
      <c r="FE91" s="58"/>
      <c r="FF91" s="58"/>
      <c r="FG91" s="58"/>
      <c r="FH91" s="58"/>
      <c r="FI91" s="58"/>
      <c r="FJ91" s="58"/>
      <c r="FK91" s="58"/>
      <c r="FL91" s="58"/>
      <c r="FM91" s="58"/>
      <c r="FN91" s="58"/>
      <c r="FO91" s="58"/>
      <c r="FP91" s="58"/>
      <c r="FQ91" s="58"/>
      <c r="FR91" s="58"/>
      <c r="FS91" s="58"/>
      <c r="FT91" s="58"/>
      <c r="FU91" s="58"/>
      <c r="FV91" s="58"/>
      <c r="FW91" s="58"/>
      <c r="FX91" s="58"/>
      <c r="FY91" s="58"/>
      <c r="FZ91" s="58"/>
      <c r="GA91" s="58"/>
      <c r="GB91" s="58"/>
      <c r="GC91" s="58"/>
      <c r="GD91" s="58"/>
      <c r="GE91" s="58"/>
      <c r="GF91" s="58"/>
      <c r="GG91" s="58"/>
      <c r="GH91" s="58"/>
      <c r="GI91" s="58"/>
      <c r="GJ91" s="58"/>
      <c r="GK91" s="58"/>
      <c r="GL91" s="58"/>
      <c r="GM91" s="58"/>
      <c r="GN91" s="58"/>
      <c r="GO91" s="58"/>
      <c r="GP91" s="58"/>
      <c r="GQ91" s="58"/>
      <c r="GR91" s="58"/>
      <c r="GS91" s="58"/>
      <c r="GT91" s="58"/>
      <c r="GU91" s="58"/>
      <c r="GV91" s="58"/>
      <c r="GW91" s="58"/>
      <c r="GX91" s="58"/>
      <c r="GY91" s="58"/>
      <c r="GZ91" s="58"/>
      <c r="HA91" s="58"/>
      <c r="HB91" s="58"/>
      <c r="HC91" s="58"/>
      <c r="HD91" s="58"/>
      <c r="HE91" s="58"/>
      <c r="HF91" s="58"/>
      <c r="HG91" s="58"/>
      <c r="HH91" s="58"/>
      <c r="HI91" s="58"/>
      <c r="HJ91" s="58"/>
      <c r="HK91" s="58"/>
      <c r="HL91" s="58"/>
      <c r="HM91" s="58"/>
      <c r="HN91" s="58"/>
      <c r="HO91" s="58"/>
      <c r="HP91" s="58"/>
      <c r="HQ91" s="58"/>
      <c r="HR91" s="58"/>
      <c r="HS91" s="58"/>
      <c r="HT91" s="58"/>
      <c r="HU91" s="58"/>
      <c r="HV91" s="58"/>
      <c r="HW91" s="58"/>
      <c r="HX91" s="58"/>
      <c r="HY91" s="58"/>
      <c r="HZ91" s="58"/>
      <c r="IA91" s="58"/>
      <c r="IB91" s="58"/>
      <c r="IC91" s="58"/>
      <c r="ID91" s="58"/>
      <c r="IE91" s="58"/>
      <c r="IF91" s="58"/>
      <c r="IG91" s="58"/>
      <c r="IH91" s="58"/>
      <c r="II91" s="58"/>
      <c r="IJ91" s="58"/>
      <c r="IK91" s="58"/>
      <c r="IL91" s="58"/>
      <c r="IM91" s="58"/>
      <c r="IN91" s="58"/>
      <c r="IO91" s="58"/>
      <c r="IP91" s="58"/>
      <c r="IQ91" s="58"/>
      <c r="IR91" s="58"/>
      <c r="IS91" s="58"/>
      <c r="IT91" s="58"/>
      <c r="IU91" s="58"/>
      <c r="IV91" s="58"/>
    </row>
    <row r="92" spans="1:256" s="50" customFormat="1" ht="29.25" customHeight="1"/>
    <row r="93" spans="1:256" s="50" customFormat="1" ht="15" customHeight="1">
      <c r="A93" s="49"/>
      <c r="B93" s="49"/>
      <c r="C93" s="2293"/>
      <c r="D93" s="49"/>
      <c r="E93" s="2293"/>
      <c r="F93" s="49"/>
      <c r="G93" s="2293"/>
      <c r="H93" s="49"/>
      <c r="I93" s="49"/>
      <c r="J93" s="49"/>
      <c r="K93" s="49"/>
      <c r="L93" s="49"/>
      <c r="M93" s="49"/>
      <c r="N93" s="49"/>
      <c r="O93" s="2293"/>
    </row>
    <row r="94" spans="1:256" s="52" customFormat="1" ht="15" customHeight="1">
      <c r="A94" s="51"/>
      <c r="B94" s="51"/>
      <c r="C94" s="51"/>
      <c r="D94" s="51"/>
      <c r="E94" s="51"/>
      <c r="F94" s="51"/>
      <c r="G94" s="51"/>
      <c r="H94" s="51"/>
      <c r="I94" s="51"/>
      <c r="J94" s="51"/>
      <c r="K94" s="51"/>
      <c r="L94" s="51"/>
      <c r="M94" s="51"/>
      <c r="N94" s="51"/>
      <c r="O94" s="51"/>
    </row>
    <row r="95" spans="1:256" s="50" customFormat="1" ht="15" customHeight="1">
      <c r="A95" s="49"/>
      <c r="B95" s="49"/>
      <c r="C95" s="49"/>
      <c r="D95" s="49"/>
      <c r="E95" s="49"/>
      <c r="F95" s="49"/>
      <c r="G95" s="49"/>
      <c r="H95" s="49"/>
      <c r="I95" s="49"/>
      <c r="J95" s="49"/>
      <c r="K95" s="49"/>
      <c r="L95" s="49"/>
      <c r="M95" s="49"/>
      <c r="N95" s="49"/>
      <c r="O95" s="49"/>
    </row>
    <row r="96" spans="1:256" s="52" customFormat="1" ht="15" customHeight="1">
      <c r="A96" s="51"/>
      <c r="B96" s="51"/>
      <c r="C96" s="51"/>
      <c r="D96" s="51"/>
      <c r="E96" s="51"/>
      <c r="F96" s="51"/>
      <c r="G96" s="51"/>
      <c r="H96" s="51"/>
      <c r="I96" s="51"/>
      <c r="J96" s="51"/>
      <c r="K96" s="51"/>
      <c r="L96" s="51"/>
      <c r="M96" s="51"/>
      <c r="N96" s="51"/>
      <c r="O96" s="51"/>
    </row>
    <row r="97" spans="1:256" s="50" customFormat="1" ht="15" customHeight="1">
      <c r="A97" s="49"/>
      <c r="B97" s="49"/>
      <c r="C97" s="49"/>
      <c r="D97" s="49"/>
      <c r="E97" s="49"/>
      <c r="F97" s="49"/>
      <c r="G97" s="49"/>
      <c r="H97" s="49"/>
      <c r="I97" s="49"/>
      <c r="J97" s="49"/>
      <c r="K97" s="49"/>
      <c r="L97" s="49"/>
      <c r="M97" s="49"/>
      <c r="N97" s="49"/>
      <c r="O97" s="49"/>
    </row>
    <row r="98" spans="1:256" s="52" customFormat="1" ht="15" customHeight="1">
      <c r="A98" s="51"/>
      <c r="B98" s="51"/>
      <c r="C98" s="51"/>
      <c r="D98" s="51"/>
      <c r="E98" s="51"/>
      <c r="F98" s="51"/>
      <c r="G98" s="51"/>
      <c r="H98" s="51"/>
      <c r="I98" s="51"/>
      <c r="J98" s="51"/>
      <c r="K98" s="51"/>
      <c r="L98" s="51"/>
      <c r="M98" s="51"/>
      <c r="N98" s="51"/>
      <c r="O98" s="51"/>
    </row>
    <row r="99" spans="1:256" s="50" customFormat="1" ht="15" customHeight="1">
      <c r="A99" s="49"/>
      <c r="B99" s="49"/>
      <c r="C99" s="49"/>
      <c r="D99" s="49"/>
      <c r="E99" s="49"/>
      <c r="F99" s="49"/>
      <c r="G99" s="49"/>
      <c r="H99" s="49"/>
      <c r="I99" s="49"/>
      <c r="J99" s="49"/>
      <c r="K99" s="49"/>
      <c r="L99" s="49"/>
      <c r="M99" s="49"/>
      <c r="N99" s="49"/>
      <c r="O99" s="49"/>
    </row>
    <row r="100" spans="1:256">
      <c r="N100" s="134">
        <f>SUM(N93:N99)</f>
        <v>0</v>
      </c>
      <c r="O100" s="53" t="s">
        <v>223</v>
      </c>
      <c r="R100" s="57" t="s">
        <v>224</v>
      </c>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c r="EO100" s="58"/>
      <c r="EP100" s="58"/>
      <c r="EQ100" s="58"/>
      <c r="ER100" s="58"/>
      <c r="ES100" s="58"/>
      <c r="ET100" s="58"/>
      <c r="EU100" s="58"/>
      <c r="EV100" s="58"/>
      <c r="EW100" s="58"/>
      <c r="EX100" s="58"/>
      <c r="EY100" s="58"/>
      <c r="EZ100" s="58"/>
      <c r="FA100" s="58"/>
      <c r="FB100" s="58"/>
      <c r="FC100" s="58"/>
      <c r="FD100" s="58"/>
      <c r="FE100" s="58"/>
      <c r="FF100" s="58"/>
      <c r="FG100" s="58"/>
      <c r="FH100" s="58"/>
      <c r="FI100" s="58"/>
      <c r="FJ100" s="58"/>
      <c r="FK100" s="58"/>
      <c r="FL100" s="58"/>
      <c r="FM100" s="58"/>
      <c r="FN100" s="58"/>
      <c r="FO100" s="58"/>
      <c r="FP100" s="58"/>
      <c r="FQ100" s="58"/>
      <c r="FR100" s="58"/>
      <c r="FS100" s="58"/>
      <c r="FT100" s="58"/>
      <c r="FU100" s="58"/>
      <c r="FV100" s="58"/>
      <c r="FW100" s="58"/>
      <c r="FX100" s="58"/>
      <c r="FY100" s="58"/>
      <c r="FZ100" s="58"/>
      <c r="GA100" s="58"/>
      <c r="GB100" s="58"/>
      <c r="GC100" s="58"/>
      <c r="GD100" s="58"/>
      <c r="GE100" s="58"/>
      <c r="GF100" s="58"/>
      <c r="GG100" s="58"/>
      <c r="GH100" s="58"/>
      <c r="GI100" s="58"/>
      <c r="GJ100" s="58"/>
      <c r="GK100" s="58"/>
      <c r="GL100" s="58"/>
      <c r="GM100" s="58"/>
      <c r="GN100" s="58"/>
      <c r="GO100" s="58"/>
      <c r="GP100" s="58"/>
      <c r="GQ100" s="58"/>
      <c r="GR100" s="58"/>
      <c r="GS100" s="58"/>
      <c r="GT100" s="58"/>
      <c r="GU100" s="58"/>
      <c r="GV100" s="58"/>
      <c r="GW100" s="58"/>
      <c r="GX100" s="58"/>
      <c r="GY100" s="58"/>
      <c r="GZ100" s="58"/>
      <c r="HA100" s="58"/>
      <c r="HB100" s="58"/>
      <c r="HC100" s="58"/>
      <c r="HD100" s="58"/>
      <c r="HE100" s="58"/>
      <c r="HF100" s="58"/>
      <c r="HG100" s="58"/>
      <c r="HH100" s="58"/>
      <c r="HI100" s="58"/>
      <c r="HJ100" s="58"/>
      <c r="HK100" s="58"/>
      <c r="HL100" s="58"/>
      <c r="HM100" s="58"/>
      <c r="HN100" s="58"/>
      <c r="HO100" s="58"/>
      <c r="HP100" s="58"/>
      <c r="HQ100" s="58"/>
      <c r="HR100" s="58"/>
      <c r="HS100" s="58"/>
      <c r="HT100" s="58"/>
      <c r="HU100" s="58"/>
      <c r="HV100" s="58"/>
      <c r="HW100" s="58"/>
      <c r="HX100" s="58"/>
      <c r="HY100" s="58"/>
      <c r="HZ100" s="58"/>
      <c r="IA100" s="58"/>
      <c r="IB100" s="58"/>
      <c r="IC100" s="58"/>
      <c r="ID100" s="58"/>
      <c r="IE100" s="58"/>
      <c r="IF100" s="58"/>
      <c r="IG100" s="58"/>
      <c r="IH100" s="58"/>
      <c r="II100" s="58"/>
      <c r="IJ100" s="58"/>
      <c r="IK100" s="58"/>
      <c r="IL100" s="58"/>
      <c r="IM100" s="58"/>
      <c r="IN100" s="58"/>
      <c r="IO100" s="58"/>
      <c r="IP100" s="58"/>
      <c r="IQ100" s="58"/>
      <c r="IR100" s="58"/>
      <c r="IS100" s="58"/>
      <c r="IT100" s="58"/>
      <c r="IU100" s="58"/>
      <c r="IV100" s="58"/>
    </row>
    <row r="101" spans="1:256" ht="20.25">
      <c r="A101" s="59" t="s">
        <v>93</v>
      </c>
      <c r="M101" s="59" t="s">
        <v>92</v>
      </c>
      <c r="N101" s="136"/>
      <c r="O101" s="135" t="e">
        <f>N101/N100</f>
        <v>#DIV/0!</v>
      </c>
      <c r="Q101" s="254"/>
      <c r="R101" s="255" t="e">
        <f>Q101/N100</f>
        <v>#DIV/0!</v>
      </c>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c r="EO101" s="58"/>
      <c r="EP101" s="58"/>
      <c r="EQ101" s="58"/>
      <c r="ER101" s="58"/>
      <c r="ES101" s="58"/>
      <c r="ET101" s="58"/>
      <c r="EU101" s="58"/>
      <c r="EV101" s="58"/>
      <c r="EW101" s="58"/>
      <c r="EX101" s="58"/>
      <c r="EY101" s="58"/>
      <c r="EZ101" s="58"/>
      <c r="FA101" s="58"/>
      <c r="FB101" s="58"/>
      <c r="FC101" s="58"/>
      <c r="FD101" s="58"/>
      <c r="FE101" s="58"/>
      <c r="FF101" s="58"/>
      <c r="FG101" s="58"/>
      <c r="FH101" s="58"/>
      <c r="FI101" s="58"/>
      <c r="FJ101" s="58"/>
      <c r="FK101" s="58"/>
      <c r="FL101" s="58"/>
      <c r="FM101" s="58"/>
      <c r="FN101" s="58"/>
      <c r="FO101" s="58"/>
      <c r="FP101" s="58"/>
      <c r="FQ101" s="58"/>
      <c r="FR101" s="58"/>
      <c r="FS101" s="58"/>
      <c r="FT101" s="58"/>
      <c r="FU101" s="58"/>
      <c r="FV101" s="58"/>
      <c r="FW101" s="58"/>
      <c r="FX101" s="58"/>
      <c r="FY101" s="58"/>
      <c r="FZ101" s="58"/>
      <c r="GA101" s="58"/>
      <c r="GB101" s="58"/>
      <c r="GC101" s="58"/>
      <c r="GD101" s="58"/>
      <c r="GE101" s="58"/>
      <c r="GF101" s="58"/>
      <c r="GG101" s="58"/>
      <c r="GH101" s="58"/>
      <c r="GI101" s="58"/>
      <c r="GJ101" s="58"/>
      <c r="GK101" s="58"/>
      <c r="GL101" s="58"/>
      <c r="GM101" s="58"/>
      <c r="GN101" s="58"/>
      <c r="GO101" s="58"/>
      <c r="GP101" s="58"/>
      <c r="GQ101" s="58"/>
      <c r="GR101" s="58"/>
      <c r="GS101" s="58"/>
      <c r="GT101" s="58"/>
      <c r="GU101" s="58"/>
      <c r="GV101" s="58"/>
      <c r="GW101" s="58"/>
      <c r="GX101" s="58"/>
      <c r="GY101" s="58"/>
      <c r="GZ101" s="58"/>
      <c r="HA101" s="58"/>
      <c r="HB101" s="58"/>
      <c r="HC101" s="58"/>
      <c r="HD101" s="58"/>
      <c r="HE101" s="58"/>
      <c r="HF101" s="58"/>
      <c r="HG101" s="58"/>
      <c r="HH101" s="58"/>
      <c r="HI101" s="58"/>
      <c r="HJ101" s="58"/>
      <c r="HK101" s="58"/>
      <c r="HL101" s="58"/>
      <c r="HM101" s="58"/>
      <c r="HN101" s="58"/>
      <c r="HO101" s="58"/>
      <c r="HP101" s="58"/>
      <c r="HQ101" s="58"/>
      <c r="HR101" s="58"/>
      <c r="HS101" s="58"/>
      <c r="HT101" s="58"/>
      <c r="HU101" s="58"/>
      <c r="HV101" s="58"/>
      <c r="HW101" s="58"/>
      <c r="HX101" s="58"/>
      <c r="HY101" s="58"/>
      <c r="HZ101" s="58"/>
      <c r="IA101" s="58"/>
      <c r="IB101" s="58"/>
      <c r="IC101" s="58"/>
      <c r="ID101" s="58"/>
      <c r="IE101" s="58"/>
      <c r="IF101" s="58"/>
      <c r="IG101" s="58"/>
      <c r="IH101" s="58"/>
      <c r="II101" s="58"/>
      <c r="IJ101" s="58"/>
      <c r="IK101" s="58"/>
      <c r="IL101" s="58"/>
      <c r="IM101" s="58"/>
      <c r="IN101" s="58"/>
      <c r="IO101" s="58"/>
      <c r="IP101" s="58"/>
      <c r="IQ101" s="58"/>
      <c r="IR101" s="58"/>
      <c r="IS101" s="58"/>
      <c r="IT101" s="58"/>
      <c r="IU101" s="58"/>
      <c r="IV101" s="58"/>
    </row>
    <row r="102" spans="1:256" s="50" customFormat="1" ht="29.25" customHeight="1">
      <c r="A102" s="50" t="s">
        <v>112</v>
      </c>
      <c r="B102" s="50" t="s">
        <v>113</v>
      </c>
      <c r="C102" s="50" t="s">
        <v>114</v>
      </c>
      <c r="D102" s="50" t="s">
        <v>115</v>
      </c>
      <c r="E102" s="50" t="s">
        <v>116</v>
      </c>
      <c r="F102" s="50" t="s">
        <v>117</v>
      </c>
      <c r="G102" s="50" t="s">
        <v>118</v>
      </c>
      <c r="H102" s="50" t="s">
        <v>119</v>
      </c>
      <c r="I102" s="50" t="s">
        <v>120</v>
      </c>
      <c r="J102" s="50" t="s">
        <v>121</v>
      </c>
      <c r="K102" s="50" t="s">
        <v>122</v>
      </c>
      <c r="L102" s="50" t="s">
        <v>123</v>
      </c>
      <c r="M102" s="50" t="s">
        <v>124</v>
      </c>
      <c r="N102" s="50" t="s">
        <v>125</v>
      </c>
      <c r="O102" s="50" t="s">
        <v>126</v>
      </c>
    </row>
    <row r="103" spans="1:256" s="50" customFormat="1" ht="15" customHeight="1">
      <c r="A103" s="49"/>
      <c r="B103" s="49"/>
      <c r="C103" s="49"/>
      <c r="D103" s="49"/>
      <c r="E103" s="49"/>
      <c r="F103" s="49"/>
      <c r="G103" s="49"/>
      <c r="H103" s="49"/>
      <c r="I103" s="49"/>
      <c r="J103" s="49"/>
      <c r="K103" s="49"/>
      <c r="L103" s="49"/>
      <c r="M103" s="49"/>
      <c r="N103" s="49"/>
      <c r="O103" s="49"/>
    </row>
    <row r="104" spans="1:256" s="52" customFormat="1" ht="15" customHeight="1">
      <c r="A104" s="51"/>
      <c r="B104" s="51"/>
      <c r="C104" s="51"/>
      <c r="D104" s="51"/>
      <c r="E104" s="51"/>
      <c r="F104" s="51"/>
      <c r="G104" s="51"/>
      <c r="H104" s="51"/>
      <c r="I104" s="51"/>
      <c r="J104" s="51"/>
      <c r="K104" s="51"/>
      <c r="L104" s="51"/>
      <c r="M104" s="51"/>
      <c r="N104" s="51"/>
      <c r="O104" s="51"/>
    </row>
    <row r="105" spans="1:256" s="50" customFormat="1" ht="15" customHeight="1">
      <c r="A105" s="49"/>
      <c r="B105" s="49"/>
      <c r="C105" s="49"/>
      <c r="D105" s="49"/>
      <c r="E105" s="49"/>
      <c r="F105" s="49"/>
      <c r="G105" s="49"/>
      <c r="H105" s="49"/>
      <c r="I105" s="49"/>
      <c r="J105" s="49"/>
      <c r="K105" s="49"/>
      <c r="L105" s="49"/>
      <c r="M105" s="49"/>
      <c r="N105" s="49"/>
      <c r="O105" s="49"/>
    </row>
    <row r="106" spans="1:256" s="52" customFormat="1" ht="15" customHeight="1">
      <c r="A106" s="51"/>
      <c r="B106" s="51"/>
      <c r="C106" s="51"/>
      <c r="D106" s="51"/>
      <c r="E106" s="51"/>
      <c r="F106" s="51"/>
      <c r="G106" s="51"/>
      <c r="H106" s="51"/>
      <c r="I106" s="51"/>
      <c r="J106" s="51"/>
      <c r="K106" s="51"/>
      <c r="L106" s="51"/>
      <c r="M106" s="51"/>
      <c r="N106" s="51"/>
      <c r="O106" s="51"/>
    </row>
    <row r="107" spans="1:256" s="50" customFormat="1" ht="15" customHeight="1">
      <c r="A107" s="49"/>
      <c r="B107" s="49"/>
      <c r="C107" s="49"/>
      <c r="D107" s="49"/>
      <c r="E107" s="49"/>
      <c r="F107" s="49"/>
      <c r="G107" s="49"/>
      <c r="H107" s="49"/>
      <c r="I107" s="49"/>
      <c r="J107" s="49"/>
      <c r="K107" s="49"/>
      <c r="L107" s="49"/>
      <c r="M107" s="49"/>
      <c r="N107" s="49"/>
      <c r="O107" s="49"/>
    </row>
    <row r="108" spans="1:256" s="52" customFormat="1" ht="15" customHeight="1">
      <c r="A108" s="51"/>
      <c r="B108" s="51"/>
      <c r="C108" s="51"/>
      <c r="D108" s="51"/>
      <c r="E108" s="51"/>
      <c r="F108" s="51"/>
      <c r="G108" s="51"/>
      <c r="H108" s="51"/>
      <c r="I108" s="51"/>
      <c r="J108" s="51"/>
      <c r="K108" s="51"/>
      <c r="L108" s="51"/>
      <c r="M108" s="51"/>
      <c r="N108" s="51"/>
      <c r="O108" s="51"/>
    </row>
    <row r="109" spans="1:256" s="50" customFormat="1" ht="15" customHeight="1">
      <c r="A109" s="49"/>
      <c r="B109" s="49"/>
      <c r="C109" s="49"/>
      <c r="D109" s="49"/>
      <c r="E109" s="49"/>
      <c r="F109" s="49"/>
      <c r="G109" s="49"/>
      <c r="H109" s="49"/>
      <c r="I109" s="49"/>
      <c r="J109" s="49"/>
      <c r="K109" s="49"/>
      <c r="L109" s="49"/>
      <c r="M109" s="49"/>
      <c r="N109" s="49"/>
      <c r="O109" s="49"/>
    </row>
    <row r="110" spans="1:256">
      <c r="N110" s="134">
        <f>SUM(N103:N109)</f>
        <v>0</v>
      </c>
      <c r="O110" s="53" t="s">
        <v>223</v>
      </c>
      <c r="R110" s="57" t="s">
        <v>224</v>
      </c>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c r="EO110" s="58"/>
      <c r="EP110" s="58"/>
      <c r="EQ110" s="58"/>
      <c r="ER110" s="58"/>
      <c r="ES110" s="58"/>
      <c r="ET110" s="58"/>
      <c r="EU110" s="58"/>
      <c r="EV110" s="58"/>
      <c r="EW110" s="58"/>
      <c r="EX110" s="58"/>
      <c r="EY110" s="58"/>
      <c r="EZ110" s="58"/>
      <c r="FA110" s="58"/>
      <c r="FB110" s="58"/>
      <c r="FC110" s="58"/>
      <c r="FD110" s="58"/>
      <c r="FE110" s="58"/>
      <c r="FF110" s="58"/>
      <c r="FG110" s="58"/>
      <c r="FH110" s="58"/>
      <c r="FI110" s="58"/>
      <c r="FJ110" s="58"/>
      <c r="FK110" s="58"/>
      <c r="FL110" s="58"/>
      <c r="FM110" s="58"/>
      <c r="FN110" s="58"/>
      <c r="FO110" s="58"/>
      <c r="FP110" s="58"/>
      <c r="FQ110" s="58"/>
      <c r="FR110" s="58"/>
      <c r="FS110" s="58"/>
      <c r="FT110" s="58"/>
      <c r="FU110" s="58"/>
      <c r="FV110" s="58"/>
      <c r="FW110" s="58"/>
      <c r="FX110" s="58"/>
      <c r="FY110" s="58"/>
      <c r="FZ110" s="58"/>
      <c r="GA110" s="58"/>
      <c r="GB110" s="58"/>
      <c r="GC110" s="58"/>
      <c r="GD110" s="58"/>
      <c r="GE110" s="58"/>
      <c r="GF110" s="58"/>
      <c r="GG110" s="58"/>
      <c r="GH110" s="58"/>
      <c r="GI110" s="58"/>
      <c r="GJ110" s="58"/>
      <c r="GK110" s="58"/>
      <c r="GL110" s="58"/>
      <c r="GM110" s="58"/>
      <c r="GN110" s="58"/>
      <c r="GO110" s="58"/>
      <c r="GP110" s="58"/>
      <c r="GQ110" s="58"/>
      <c r="GR110" s="58"/>
      <c r="GS110" s="58"/>
      <c r="GT110" s="58"/>
      <c r="GU110" s="58"/>
      <c r="GV110" s="58"/>
      <c r="GW110" s="58"/>
      <c r="GX110" s="58"/>
      <c r="GY110" s="58"/>
      <c r="GZ110" s="58"/>
      <c r="HA110" s="58"/>
      <c r="HB110" s="58"/>
      <c r="HC110" s="58"/>
      <c r="HD110" s="58"/>
      <c r="HE110" s="58"/>
      <c r="HF110" s="58"/>
      <c r="HG110" s="58"/>
      <c r="HH110" s="58"/>
      <c r="HI110" s="58"/>
      <c r="HJ110" s="58"/>
      <c r="HK110" s="58"/>
      <c r="HL110" s="58"/>
      <c r="HM110" s="58"/>
      <c r="HN110" s="58"/>
      <c r="HO110" s="58"/>
      <c r="HP110" s="58"/>
      <c r="HQ110" s="58"/>
      <c r="HR110" s="58"/>
      <c r="HS110" s="58"/>
      <c r="HT110" s="58"/>
      <c r="HU110" s="58"/>
      <c r="HV110" s="58"/>
      <c r="HW110" s="58"/>
      <c r="HX110" s="58"/>
      <c r="HY110" s="58"/>
      <c r="HZ110" s="58"/>
      <c r="IA110" s="58"/>
      <c r="IB110" s="58"/>
      <c r="IC110" s="58"/>
      <c r="ID110" s="58"/>
      <c r="IE110" s="58"/>
      <c r="IF110" s="58"/>
      <c r="IG110" s="58"/>
      <c r="IH110" s="58"/>
      <c r="II110" s="58"/>
      <c r="IJ110" s="58"/>
      <c r="IK110" s="58"/>
      <c r="IL110" s="58"/>
      <c r="IM110" s="58"/>
      <c r="IN110" s="58"/>
      <c r="IO110" s="58"/>
      <c r="IP110" s="58"/>
      <c r="IQ110" s="58"/>
      <c r="IR110" s="58"/>
      <c r="IS110" s="58"/>
      <c r="IT110" s="58"/>
      <c r="IU110" s="58"/>
      <c r="IV110" s="58"/>
    </row>
    <row r="111" spans="1:256" ht="20.25">
      <c r="A111" s="59" t="s">
        <v>94</v>
      </c>
      <c r="M111" s="59" t="s">
        <v>93</v>
      </c>
      <c r="N111" s="136"/>
      <c r="O111" s="135" t="e">
        <f>N111/N110</f>
        <v>#DIV/0!</v>
      </c>
      <c r="Q111" s="254"/>
      <c r="R111" s="255" t="e">
        <f>Q111/N110</f>
        <v>#DIV/0!</v>
      </c>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c r="EO111" s="58"/>
      <c r="EP111" s="58"/>
      <c r="EQ111" s="58"/>
      <c r="ER111" s="58"/>
      <c r="ES111" s="58"/>
      <c r="ET111" s="58"/>
      <c r="EU111" s="58"/>
      <c r="EV111" s="58"/>
      <c r="EW111" s="58"/>
      <c r="EX111" s="58"/>
      <c r="EY111" s="58"/>
      <c r="EZ111" s="58"/>
      <c r="FA111" s="58"/>
      <c r="FB111" s="58"/>
      <c r="FC111" s="58"/>
      <c r="FD111" s="58"/>
      <c r="FE111" s="58"/>
      <c r="FF111" s="58"/>
      <c r="FG111" s="58"/>
      <c r="FH111" s="58"/>
      <c r="FI111" s="58"/>
      <c r="FJ111" s="58"/>
      <c r="FK111" s="58"/>
      <c r="FL111" s="58"/>
      <c r="FM111" s="58"/>
      <c r="FN111" s="58"/>
      <c r="FO111" s="58"/>
      <c r="FP111" s="58"/>
      <c r="FQ111" s="58"/>
      <c r="FR111" s="58"/>
      <c r="FS111" s="58"/>
      <c r="FT111" s="58"/>
      <c r="FU111" s="58"/>
      <c r="FV111" s="58"/>
      <c r="FW111" s="58"/>
      <c r="FX111" s="58"/>
      <c r="FY111" s="58"/>
      <c r="FZ111" s="58"/>
      <c r="GA111" s="58"/>
      <c r="GB111" s="58"/>
      <c r="GC111" s="58"/>
      <c r="GD111" s="58"/>
      <c r="GE111" s="58"/>
      <c r="GF111" s="58"/>
      <c r="GG111" s="58"/>
      <c r="GH111" s="58"/>
      <c r="GI111" s="58"/>
      <c r="GJ111" s="58"/>
      <c r="GK111" s="58"/>
      <c r="GL111" s="58"/>
      <c r="GM111" s="58"/>
      <c r="GN111" s="58"/>
      <c r="GO111" s="58"/>
      <c r="GP111" s="58"/>
      <c r="GQ111" s="58"/>
      <c r="GR111" s="58"/>
      <c r="GS111" s="58"/>
      <c r="GT111" s="58"/>
      <c r="GU111" s="58"/>
      <c r="GV111" s="58"/>
      <c r="GW111" s="58"/>
      <c r="GX111" s="58"/>
      <c r="GY111" s="58"/>
      <c r="GZ111" s="58"/>
      <c r="HA111" s="58"/>
      <c r="HB111" s="58"/>
      <c r="HC111" s="58"/>
      <c r="HD111" s="58"/>
      <c r="HE111" s="58"/>
      <c r="HF111" s="58"/>
      <c r="HG111" s="58"/>
      <c r="HH111" s="58"/>
      <c r="HI111" s="58"/>
      <c r="HJ111" s="58"/>
      <c r="HK111" s="58"/>
      <c r="HL111" s="58"/>
      <c r="HM111" s="58"/>
      <c r="HN111" s="58"/>
      <c r="HO111" s="58"/>
      <c r="HP111" s="58"/>
      <c r="HQ111" s="58"/>
      <c r="HR111" s="58"/>
      <c r="HS111" s="58"/>
      <c r="HT111" s="58"/>
      <c r="HU111" s="58"/>
      <c r="HV111" s="58"/>
      <c r="HW111" s="58"/>
      <c r="HX111" s="58"/>
      <c r="HY111" s="58"/>
      <c r="HZ111" s="58"/>
      <c r="IA111" s="58"/>
      <c r="IB111" s="58"/>
      <c r="IC111" s="58"/>
      <c r="ID111" s="58"/>
      <c r="IE111" s="58"/>
      <c r="IF111" s="58"/>
      <c r="IG111" s="58"/>
      <c r="IH111" s="58"/>
      <c r="II111" s="58"/>
      <c r="IJ111" s="58"/>
      <c r="IK111" s="58"/>
      <c r="IL111" s="58"/>
      <c r="IM111" s="58"/>
      <c r="IN111" s="58"/>
      <c r="IO111" s="58"/>
      <c r="IP111" s="58"/>
      <c r="IQ111" s="58"/>
      <c r="IR111" s="58"/>
      <c r="IS111" s="58"/>
      <c r="IT111" s="58"/>
      <c r="IU111" s="58"/>
      <c r="IV111" s="58"/>
    </row>
    <row r="112" spans="1:256" s="48" customFormat="1" ht="29.25" customHeight="1">
      <c r="A112" s="48" t="s">
        <v>112</v>
      </c>
      <c r="B112" s="48" t="s">
        <v>113</v>
      </c>
      <c r="C112" s="48" t="s">
        <v>114</v>
      </c>
      <c r="D112" s="48" t="s">
        <v>115</v>
      </c>
      <c r="E112" s="48" t="s">
        <v>116</v>
      </c>
      <c r="F112" s="48" t="s">
        <v>117</v>
      </c>
      <c r="G112" s="48" t="s">
        <v>118</v>
      </c>
      <c r="H112" s="48" t="s">
        <v>119</v>
      </c>
      <c r="I112" s="48" t="s">
        <v>120</v>
      </c>
      <c r="J112" s="48" t="s">
        <v>121</v>
      </c>
      <c r="K112" s="48" t="s">
        <v>122</v>
      </c>
      <c r="L112" s="48" t="s">
        <v>123</v>
      </c>
      <c r="M112" s="48" t="s">
        <v>124</v>
      </c>
      <c r="N112" s="48" t="s">
        <v>125</v>
      </c>
      <c r="O112" s="48" t="s">
        <v>126</v>
      </c>
    </row>
    <row r="113" spans="1:18" s="50" customFormat="1" ht="15" customHeight="1">
      <c r="A113" s="49"/>
      <c r="B113" s="49"/>
      <c r="C113" s="49"/>
      <c r="D113" s="49"/>
      <c r="E113" s="49"/>
      <c r="F113" s="49"/>
      <c r="G113" s="267"/>
      <c r="H113" s="49"/>
      <c r="I113" s="49"/>
      <c r="J113" s="49"/>
      <c r="K113" s="49"/>
      <c r="L113" s="49"/>
      <c r="M113" s="49"/>
      <c r="N113" s="49"/>
      <c r="O113" s="49"/>
    </row>
    <row r="114" spans="1:18" s="52" customFormat="1" ht="15" customHeight="1">
      <c r="A114" s="51"/>
      <c r="B114" s="51"/>
      <c r="C114" s="49"/>
      <c r="D114" s="49"/>
      <c r="E114" s="49"/>
      <c r="F114" s="49"/>
      <c r="G114" s="267"/>
      <c r="H114" s="49"/>
      <c r="I114" s="49"/>
      <c r="J114" s="49"/>
      <c r="K114" s="49"/>
      <c r="L114" s="49"/>
      <c r="M114" s="49"/>
      <c r="N114" s="49"/>
      <c r="O114" s="49"/>
    </row>
    <row r="115" spans="1:18" s="50" customFormat="1" ht="15" customHeight="1">
      <c r="A115" s="49"/>
      <c r="B115" s="49"/>
      <c r="C115" s="49"/>
      <c r="D115" s="49"/>
      <c r="E115" s="49"/>
      <c r="F115" s="49"/>
      <c r="G115" s="267"/>
      <c r="H115" s="49"/>
      <c r="I115" s="49"/>
      <c r="J115" s="49"/>
      <c r="K115" s="49"/>
      <c r="L115" s="49"/>
      <c r="M115" s="49"/>
      <c r="N115" s="49"/>
      <c r="O115" s="49"/>
    </row>
    <row r="116" spans="1:18" s="52" customFormat="1" ht="15" customHeight="1">
      <c r="A116" s="51"/>
      <c r="B116" s="51"/>
      <c r="C116" s="49"/>
      <c r="D116" s="49"/>
      <c r="E116" s="49"/>
      <c r="F116" s="49"/>
      <c r="G116" s="267"/>
      <c r="H116" s="49"/>
      <c r="I116" s="49"/>
      <c r="J116" s="49"/>
      <c r="K116" s="49"/>
      <c r="L116" s="49"/>
      <c r="M116" s="49"/>
      <c r="N116" s="49"/>
      <c r="O116" s="49"/>
    </row>
    <row r="117" spans="1:18" s="50" customFormat="1" ht="15" customHeight="1">
      <c r="A117" s="49"/>
      <c r="B117" s="49"/>
      <c r="C117" s="49"/>
      <c r="D117" s="49"/>
      <c r="E117" s="49"/>
      <c r="F117" s="49"/>
      <c r="G117" s="267"/>
      <c r="H117" s="49"/>
      <c r="I117" s="49"/>
      <c r="J117" s="49"/>
      <c r="K117" s="49"/>
      <c r="L117" s="49"/>
      <c r="M117" s="49"/>
      <c r="N117" s="49"/>
      <c r="O117" s="49"/>
    </row>
    <row r="118" spans="1:18" s="52" customFormat="1" ht="15" customHeight="1">
      <c r="A118" s="51"/>
      <c r="B118" s="51"/>
      <c r="C118" s="49"/>
      <c r="D118" s="49"/>
      <c r="E118" s="49"/>
      <c r="F118" s="49"/>
      <c r="G118" s="267"/>
      <c r="H118" s="49"/>
      <c r="I118" s="49"/>
      <c r="J118" s="49"/>
      <c r="K118" s="49"/>
      <c r="L118" s="49"/>
      <c r="M118" s="49"/>
      <c r="N118" s="49"/>
      <c r="O118" s="49"/>
    </row>
    <row r="119" spans="1:18" s="50" customFormat="1" ht="15" customHeight="1">
      <c r="A119" s="49"/>
      <c r="B119" s="49"/>
      <c r="C119" s="49"/>
      <c r="D119" s="49"/>
      <c r="E119" s="49"/>
      <c r="F119" s="49"/>
      <c r="G119" s="267"/>
      <c r="H119" s="49"/>
      <c r="I119" s="49"/>
      <c r="J119" s="49"/>
      <c r="K119" s="49"/>
      <c r="L119" s="49"/>
      <c r="M119" s="49"/>
      <c r="N119" s="49"/>
      <c r="O119" s="49"/>
    </row>
    <row r="120" spans="1:18" s="52" customFormat="1">
      <c r="A120" s="51"/>
      <c r="B120" s="51"/>
      <c r="C120" s="51"/>
      <c r="D120" s="51"/>
      <c r="E120" s="51"/>
      <c r="F120" s="51"/>
      <c r="G120" s="51"/>
      <c r="H120" s="51"/>
      <c r="I120" s="51"/>
      <c r="J120" s="51"/>
      <c r="K120" s="51"/>
      <c r="L120" s="51"/>
      <c r="M120" s="51"/>
      <c r="N120" s="134">
        <f>SUM(N113:N119)</f>
        <v>0</v>
      </c>
      <c r="O120" s="53" t="s">
        <v>223</v>
      </c>
      <c r="P120" s="57"/>
      <c r="Q120" s="57"/>
      <c r="R120" s="57" t="s">
        <v>224</v>
      </c>
    </row>
    <row r="121" spans="1:18" s="50" customFormat="1" ht="20.25">
      <c r="A121" s="49"/>
      <c r="B121" s="49"/>
      <c r="C121" s="49"/>
      <c r="D121" s="49"/>
      <c r="E121" s="49"/>
      <c r="F121" s="49"/>
      <c r="G121" s="49"/>
      <c r="H121" s="49"/>
      <c r="I121" s="49"/>
      <c r="J121" s="49"/>
      <c r="K121" s="49"/>
      <c r="L121" s="49"/>
      <c r="M121" s="59" t="s">
        <v>94</v>
      </c>
      <c r="N121" s="136"/>
      <c r="O121" s="135" t="e">
        <f>N121/N120</f>
        <v>#DIV/0!</v>
      </c>
      <c r="P121" s="57"/>
      <c r="Q121" s="254"/>
      <c r="R121" s="255" t="e">
        <f>Q121/N120</f>
        <v>#DIV/0!</v>
      </c>
    </row>
    <row r="122" spans="1:18" s="58" customFormat="1" ht="20.25">
      <c r="A122" s="59" t="s">
        <v>19</v>
      </c>
      <c r="B122" s="54"/>
      <c r="C122" s="55"/>
      <c r="D122" s="55"/>
      <c r="E122" s="56"/>
      <c r="F122" s="55"/>
      <c r="G122" s="53"/>
      <c r="H122" s="55"/>
      <c r="I122" s="53"/>
      <c r="J122" s="55"/>
      <c r="K122" s="53"/>
      <c r="L122" s="55"/>
      <c r="M122" s="53"/>
      <c r="N122" s="55"/>
      <c r="O122" s="53"/>
      <c r="P122" s="57"/>
      <c r="Q122" s="57"/>
      <c r="R122" s="57"/>
    </row>
    <row r="123" spans="1:18" s="48" customFormat="1" ht="29.25" customHeight="1">
      <c r="A123" s="48" t="s">
        <v>112</v>
      </c>
      <c r="B123" s="48" t="s">
        <v>113</v>
      </c>
      <c r="C123" s="48" t="s">
        <v>114</v>
      </c>
      <c r="D123" s="48" t="s">
        <v>115</v>
      </c>
      <c r="E123" s="48" t="s">
        <v>116</v>
      </c>
      <c r="F123" s="48" t="s">
        <v>117</v>
      </c>
      <c r="G123" s="48" t="s">
        <v>118</v>
      </c>
      <c r="H123" s="48" t="s">
        <v>119</v>
      </c>
      <c r="I123" s="48" t="s">
        <v>120</v>
      </c>
      <c r="J123" s="48" t="s">
        <v>121</v>
      </c>
      <c r="K123" s="48" t="s">
        <v>122</v>
      </c>
      <c r="L123" s="48" t="s">
        <v>123</v>
      </c>
      <c r="M123" s="48" t="s">
        <v>124</v>
      </c>
      <c r="N123" s="48" t="s">
        <v>125</v>
      </c>
      <c r="O123" s="48" t="s">
        <v>126</v>
      </c>
    </row>
    <row r="124" spans="1:18" s="50" customFormat="1" ht="15" customHeight="1" thickBot="1">
      <c r="A124" s="49"/>
      <c r="B124" s="49"/>
      <c r="C124" s="49"/>
      <c r="D124" s="49"/>
      <c r="E124" s="49"/>
      <c r="F124" s="49"/>
      <c r="G124" s="49"/>
      <c r="H124" s="49"/>
      <c r="I124" s="49"/>
      <c r="J124" s="49"/>
      <c r="K124" s="49"/>
      <c r="L124" s="49"/>
      <c r="M124" s="49"/>
      <c r="N124" s="49"/>
      <c r="O124" s="49"/>
    </row>
    <row r="125" spans="1:18" s="52" customFormat="1" ht="15" customHeight="1" thickBot="1">
      <c r="A125" s="51"/>
      <c r="B125" s="51"/>
      <c r="C125" s="51"/>
      <c r="D125" s="51"/>
      <c r="E125" s="51"/>
      <c r="F125" s="51"/>
      <c r="G125" s="51"/>
      <c r="H125" s="51"/>
      <c r="I125" s="51"/>
      <c r="J125" s="51"/>
      <c r="K125" s="51"/>
      <c r="L125" s="51"/>
      <c r="M125" s="51"/>
      <c r="N125" s="51"/>
      <c r="O125" s="51"/>
      <c r="Q125" s="252"/>
      <c r="R125" s="252"/>
    </row>
    <row r="126" spans="1:18" s="50" customFormat="1" ht="15" customHeight="1" thickBot="1">
      <c r="A126" s="49"/>
      <c r="B126" s="49"/>
      <c r="C126" s="49"/>
      <c r="D126" s="49"/>
      <c r="E126" s="49"/>
      <c r="F126" s="49"/>
      <c r="G126" s="49"/>
      <c r="H126" s="49"/>
      <c r="I126" s="49"/>
      <c r="J126" s="49"/>
      <c r="K126" s="49"/>
      <c r="L126" s="49"/>
      <c r="M126" s="49"/>
      <c r="N126" s="49"/>
      <c r="O126" s="49"/>
      <c r="Q126" s="252"/>
      <c r="R126" s="252"/>
    </row>
    <row r="127" spans="1:18" s="52" customFormat="1" ht="15" customHeight="1">
      <c r="A127" s="51"/>
      <c r="B127" s="51"/>
      <c r="C127" s="51"/>
      <c r="D127" s="51"/>
      <c r="E127" s="51"/>
      <c r="F127" s="51"/>
      <c r="G127" s="51"/>
      <c r="H127" s="51"/>
      <c r="I127" s="51"/>
      <c r="J127" s="51"/>
      <c r="K127" s="51"/>
      <c r="L127" s="51"/>
      <c r="M127" s="51"/>
      <c r="N127" s="51"/>
      <c r="O127" s="51"/>
    </row>
    <row r="128" spans="1:18" s="50" customFormat="1" ht="15" customHeight="1">
      <c r="A128" s="49"/>
      <c r="B128" s="49"/>
      <c r="C128" s="7" t="s">
        <v>207</v>
      </c>
      <c r="D128" s="106" t="s">
        <v>241</v>
      </c>
      <c r="E128" s="112" t="s">
        <v>208</v>
      </c>
      <c r="F128" s="110" t="s">
        <v>207</v>
      </c>
      <c r="G128" s="13" t="s">
        <v>703</v>
      </c>
      <c r="H128" s="8" t="s">
        <v>704</v>
      </c>
      <c r="I128" s="49"/>
      <c r="J128" s="49"/>
      <c r="K128" s="49"/>
      <c r="L128" s="49"/>
      <c r="M128" s="49"/>
      <c r="N128" s="49"/>
      <c r="O128" s="49"/>
    </row>
    <row r="129" spans="1:256" s="52" customFormat="1" ht="15" customHeight="1">
      <c r="A129" s="51"/>
      <c r="B129" s="51"/>
      <c r="C129" s="102" t="s">
        <v>4</v>
      </c>
      <c r="D129" s="108" t="s">
        <v>242</v>
      </c>
      <c r="E129" s="461">
        <v>493782</v>
      </c>
      <c r="F129" s="111" t="s">
        <v>4</v>
      </c>
      <c r="G129" s="467">
        <v>1617000</v>
      </c>
      <c r="H129" s="22">
        <v>2715801</v>
      </c>
      <c r="I129" s="51"/>
      <c r="J129" s="51"/>
      <c r="K129" s="51"/>
      <c r="L129" s="51"/>
      <c r="M129" s="51"/>
      <c r="N129" s="51"/>
      <c r="O129" s="51"/>
    </row>
    <row r="130" spans="1:256" s="50" customFormat="1" ht="15" customHeight="1">
      <c r="A130" s="49"/>
      <c r="B130" s="49"/>
      <c r="C130" s="49"/>
      <c r="D130" s="49"/>
      <c r="E130" s="49"/>
      <c r="F130" s="49"/>
      <c r="G130" s="49"/>
      <c r="H130" s="49"/>
      <c r="I130" s="49"/>
      <c r="J130" s="49"/>
      <c r="K130" s="49"/>
      <c r="L130" s="49"/>
      <c r="M130" s="49"/>
      <c r="N130" s="49"/>
      <c r="O130" s="49"/>
    </row>
    <row r="131" spans="1:256">
      <c r="M131" s="53">
        <f>N131*6800</f>
        <v>0</v>
      </c>
      <c r="N131" s="55">
        <f>SUM(N124:N130)</f>
        <v>0</v>
      </c>
      <c r="O131" s="53">
        <v>4748</v>
      </c>
      <c r="Q131" s="57">
        <f>O131-O132</f>
        <v>2078</v>
      </c>
      <c r="S131" s="57" t="s">
        <v>199</v>
      </c>
      <c r="T131" s="57" t="s">
        <v>200</v>
      </c>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c r="EO131" s="58"/>
      <c r="EP131" s="58"/>
      <c r="EQ131" s="58"/>
      <c r="ER131" s="58"/>
      <c r="ES131" s="58"/>
      <c r="ET131" s="58"/>
      <c r="EU131" s="58"/>
      <c r="EV131" s="58"/>
      <c r="EW131" s="58"/>
      <c r="EX131" s="58"/>
      <c r="EY131" s="58"/>
      <c r="EZ131" s="58"/>
      <c r="FA131" s="58"/>
      <c r="FB131" s="58"/>
      <c r="FC131" s="58"/>
      <c r="FD131" s="58"/>
      <c r="FE131" s="58"/>
      <c r="FF131" s="58"/>
      <c r="FG131" s="58"/>
      <c r="FH131" s="58"/>
      <c r="FI131" s="58"/>
      <c r="FJ131" s="58"/>
      <c r="FK131" s="58"/>
      <c r="FL131" s="58"/>
      <c r="FM131" s="58"/>
      <c r="FN131" s="58"/>
      <c r="FO131" s="58"/>
      <c r="FP131" s="58"/>
      <c r="FQ131" s="58"/>
      <c r="FR131" s="58"/>
      <c r="FS131" s="58"/>
      <c r="FT131" s="58"/>
      <c r="FU131" s="58"/>
      <c r="FV131" s="58"/>
      <c r="FW131" s="58"/>
      <c r="FX131" s="58"/>
      <c r="FY131" s="58"/>
      <c r="FZ131" s="58"/>
      <c r="GA131" s="58"/>
      <c r="GB131" s="58"/>
      <c r="GC131" s="58"/>
      <c r="GD131" s="58"/>
      <c r="GE131" s="58"/>
      <c r="GF131" s="58"/>
      <c r="GG131" s="58"/>
      <c r="GH131" s="58"/>
      <c r="GI131" s="58"/>
      <c r="GJ131" s="58"/>
      <c r="GK131" s="58"/>
      <c r="GL131" s="58"/>
      <c r="GM131" s="58"/>
      <c r="GN131" s="58"/>
      <c r="GO131" s="58"/>
      <c r="GP131" s="58"/>
      <c r="GQ131" s="58"/>
      <c r="GR131" s="58"/>
      <c r="GS131" s="58"/>
      <c r="GT131" s="58"/>
      <c r="GU131" s="58"/>
      <c r="GV131" s="58"/>
      <c r="GW131" s="58"/>
      <c r="GX131" s="58"/>
      <c r="GY131" s="58"/>
      <c r="GZ131" s="58"/>
      <c r="HA131" s="58"/>
      <c r="HB131" s="58"/>
      <c r="HC131" s="58"/>
      <c r="HD131" s="58"/>
      <c r="HE131" s="58"/>
      <c r="HF131" s="58"/>
      <c r="HG131" s="58"/>
      <c r="HH131" s="58"/>
      <c r="HI131" s="58"/>
      <c r="HJ131" s="58"/>
      <c r="HK131" s="58"/>
      <c r="HL131" s="58"/>
      <c r="HM131" s="58"/>
      <c r="HN131" s="58"/>
      <c r="HO131" s="58"/>
      <c r="HP131" s="58"/>
      <c r="HQ131" s="58"/>
      <c r="HR131" s="58"/>
      <c r="HS131" s="58"/>
      <c r="HT131" s="58"/>
      <c r="HU131" s="58"/>
      <c r="HV131" s="58"/>
      <c r="HW131" s="58"/>
      <c r="HX131" s="58"/>
      <c r="HY131" s="58"/>
      <c r="HZ131" s="58"/>
      <c r="IA131" s="58"/>
      <c r="IB131" s="58"/>
      <c r="IC131" s="58"/>
      <c r="ID131" s="58"/>
      <c r="IE131" s="58"/>
      <c r="IF131" s="58"/>
      <c r="IG131" s="58"/>
      <c r="IH131" s="58"/>
      <c r="II131" s="58"/>
      <c r="IJ131" s="58"/>
      <c r="IK131" s="58"/>
      <c r="IL131" s="58"/>
      <c r="IM131" s="58"/>
      <c r="IN131" s="58"/>
      <c r="IO131" s="58"/>
      <c r="IP131" s="58"/>
      <c r="IQ131" s="58"/>
      <c r="IR131" s="58"/>
      <c r="IS131" s="58"/>
      <c r="IT131" s="58"/>
      <c r="IU131" s="58"/>
      <c r="IV131" s="58"/>
    </row>
    <row r="132" spans="1:256" ht="20.25">
      <c r="A132" s="59" t="s">
        <v>20</v>
      </c>
      <c r="F132" s="114"/>
      <c r="G132" s="115"/>
      <c r="L132" s="55" t="e">
        <f>M132/(N131+N40)</f>
        <v>#DIV/0!</v>
      </c>
      <c r="M132" s="256">
        <f>M131+Q41</f>
        <v>587000000</v>
      </c>
      <c r="N132" s="114">
        <v>106</v>
      </c>
      <c r="O132" s="53">
        <v>2670</v>
      </c>
      <c r="Q132" s="253">
        <f>Q131*N131</f>
        <v>0</v>
      </c>
      <c r="S132" s="57">
        <v>106</v>
      </c>
      <c r="T132" s="57">
        <v>926</v>
      </c>
      <c r="U132" s="253">
        <f>(62-62.53)*S132*N131</f>
        <v>0</v>
      </c>
      <c r="V132" s="253">
        <f>(17-17.36)*T132*N131</f>
        <v>0</v>
      </c>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c r="ER132" s="58"/>
      <c r="ES132" s="58"/>
      <c r="ET132" s="58"/>
      <c r="EU132" s="58"/>
      <c r="EV132" s="58"/>
      <c r="EW132" s="58"/>
      <c r="EX132" s="58"/>
      <c r="EY132" s="58"/>
      <c r="EZ132" s="58"/>
      <c r="FA132" s="58"/>
      <c r="FB132" s="58"/>
      <c r="FC132" s="58"/>
      <c r="FD132" s="58"/>
      <c r="FE132" s="58"/>
      <c r="FF132" s="58"/>
      <c r="FG132" s="58"/>
      <c r="FH132" s="58"/>
      <c r="FI132" s="58"/>
      <c r="FJ132" s="58"/>
      <c r="FK132" s="58"/>
      <c r="FL132" s="58"/>
      <c r="FM132" s="58"/>
      <c r="FN132" s="58"/>
      <c r="FO132" s="58"/>
      <c r="FP132" s="58"/>
      <c r="FQ132" s="58"/>
      <c r="FR132" s="58"/>
      <c r="FS132" s="58"/>
      <c r="FT132" s="58"/>
      <c r="FU132" s="58"/>
      <c r="FV132" s="58"/>
      <c r="FW132" s="58"/>
      <c r="FX132" s="58"/>
      <c r="FY132" s="58"/>
      <c r="FZ132" s="58"/>
      <c r="GA132" s="58"/>
      <c r="GB132" s="58"/>
      <c r="GC132" s="58"/>
      <c r="GD132" s="58"/>
      <c r="GE132" s="58"/>
      <c r="GF132" s="58"/>
      <c r="GG132" s="58"/>
      <c r="GH132" s="58"/>
      <c r="GI132" s="58"/>
      <c r="GJ132" s="58"/>
      <c r="GK132" s="58"/>
      <c r="GL132" s="58"/>
      <c r="GM132" s="58"/>
      <c r="GN132" s="58"/>
      <c r="GO132" s="58"/>
      <c r="GP132" s="58"/>
      <c r="GQ132" s="58"/>
      <c r="GR132" s="58"/>
      <c r="GS132" s="58"/>
      <c r="GT132" s="58"/>
      <c r="GU132" s="58"/>
      <c r="GV132" s="58"/>
      <c r="GW132" s="58"/>
      <c r="GX132" s="58"/>
      <c r="GY132" s="58"/>
      <c r="GZ132" s="58"/>
      <c r="HA132" s="58"/>
      <c r="HB132" s="58"/>
      <c r="HC132" s="58"/>
      <c r="HD132" s="58"/>
      <c r="HE132" s="58"/>
      <c r="HF132" s="58"/>
      <c r="HG132" s="58"/>
      <c r="HH132" s="58"/>
      <c r="HI132" s="58"/>
      <c r="HJ132" s="58"/>
      <c r="HK132" s="58"/>
      <c r="HL132" s="58"/>
      <c r="HM132" s="58"/>
      <c r="HN132" s="58"/>
      <c r="HO132" s="58"/>
      <c r="HP132" s="58"/>
      <c r="HQ132" s="58"/>
      <c r="HR132" s="58"/>
      <c r="HS132" s="58"/>
      <c r="HT132" s="58"/>
      <c r="HU132" s="58"/>
      <c r="HV132" s="58"/>
      <c r="HW132" s="58"/>
      <c r="HX132" s="58"/>
      <c r="HY132" s="58"/>
      <c r="HZ132" s="58"/>
      <c r="IA132" s="58"/>
      <c r="IB132" s="58"/>
      <c r="IC132" s="58"/>
      <c r="ID132" s="58"/>
      <c r="IE132" s="58"/>
      <c r="IF132" s="58"/>
      <c r="IG132" s="58"/>
      <c r="IH132" s="58"/>
      <c r="II132" s="58"/>
      <c r="IJ132" s="58"/>
      <c r="IK132" s="58"/>
      <c r="IL132" s="58"/>
      <c r="IM132" s="58"/>
      <c r="IN132" s="58"/>
      <c r="IO132" s="58"/>
      <c r="IP132" s="58"/>
      <c r="IQ132" s="58"/>
      <c r="IR132" s="58"/>
      <c r="IS132" s="58"/>
      <c r="IT132" s="58"/>
      <c r="IU132" s="58"/>
      <c r="IV132" s="58"/>
    </row>
    <row r="133" spans="1:256" s="48" customFormat="1" ht="29.25" customHeight="1">
      <c r="A133" s="48" t="s">
        <v>112</v>
      </c>
      <c r="B133" s="48" t="s">
        <v>113</v>
      </c>
      <c r="C133" s="48" t="s">
        <v>114</v>
      </c>
      <c r="D133" s="48" t="s">
        <v>115</v>
      </c>
      <c r="E133" s="48" t="s">
        <v>116</v>
      </c>
      <c r="F133" s="48" t="s">
        <v>117</v>
      </c>
      <c r="G133" s="48" t="s">
        <v>118</v>
      </c>
      <c r="H133" s="48" t="s">
        <v>119</v>
      </c>
      <c r="I133" s="48" t="s">
        <v>120</v>
      </c>
      <c r="J133" s="48" t="s">
        <v>121</v>
      </c>
      <c r="K133" s="48" t="s">
        <v>122</v>
      </c>
      <c r="L133" s="48" t="s">
        <v>123</v>
      </c>
      <c r="M133" s="48" t="s">
        <v>124</v>
      </c>
      <c r="N133" s="48" t="s">
        <v>125</v>
      </c>
      <c r="O133" s="48" t="s">
        <v>126</v>
      </c>
    </row>
    <row r="134" spans="1:256" s="50" customFormat="1" ht="15" customHeight="1">
      <c r="A134" s="49"/>
      <c r="B134" s="49"/>
      <c r="C134" s="49"/>
      <c r="D134" s="49"/>
      <c r="E134" s="49"/>
      <c r="F134" s="49"/>
      <c r="G134" s="49"/>
      <c r="H134" s="49"/>
      <c r="I134" s="49"/>
      <c r="J134" s="49"/>
      <c r="K134" s="49"/>
      <c r="L134" s="49"/>
      <c r="M134" s="49"/>
      <c r="N134" s="49"/>
      <c r="O134" s="49"/>
    </row>
    <row r="135" spans="1:256" s="52" customFormat="1" ht="15" customHeight="1">
      <c r="A135" s="51"/>
      <c r="B135" s="51"/>
      <c r="C135" s="51"/>
      <c r="D135" s="51"/>
      <c r="E135" s="51"/>
      <c r="F135" s="51"/>
      <c r="G135" s="51"/>
      <c r="H135" s="51"/>
      <c r="I135" s="51"/>
      <c r="J135" s="51"/>
      <c r="K135" s="51"/>
      <c r="L135" s="51"/>
      <c r="M135" s="51"/>
      <c r="N135" s="51"/>
      <c r="O135" s="51"/>
    </row>
    <row r="136" spans="1:256" s="50" customFormat="1" ht="15" customHeight="1">
      <c r="A136" s="49"/>
      <c r="B136" s="49"/>
      <c r="C136" s="49"/>
      <c r="D136" s="49"/>
      <c r="E136" s="49"/>
      <c r="F136" s="49"/>
      <c r="G136" s="49"/>
      <c r="H136" s="49"/>
      <c r="I136" s="49"/>
      <c r="J136" s="49"/>
      <c r="K136" s="49"/>
      <c r="L136" s="49"/>
      <c r="M136" s="49"/>
      <c r="N136" s="49"/>
      <c r="O136" s="49"/>
    </row>
    <row r="137" spans="1:256" s="52" customFormat="1" ht="15" customHeight="1">
      <c r="A137" s="51"/>
      <c r="B137" s="51"/>
      <c r="C137" s="51"/>
      <c r="D137" s="51"/>
      <c r="E137" s="51"/>
      <c r="F137" s="51"/>
      <c r="G137" s="51"/>
      <c r="H137" s="51"/>
      <c r="I137" s="51"/>
      <c r="J137" s="51"/>
      <c r="K137" s="51"/>
      <c r="L137" s="51"/>
      <c r="M137" s="51"/>
      <c r="N137" s="51"/>
      <c r="O137" s="51"/>
    </row>
    <row r="138" spans="1:256" s="50" customFormat="1" ht="15" customHeight="1">
      <c r="A138" s="49"/>
      <c r="B138" s="49"/>
      <c r="C138" s="49"/>
      <c r="D138" s="49"/>
      <c r="E138" s="49"/>
      <c r="F138" s="49"/>
      <c r="G138" s="49"/>
      <c r="H138" s="49"/>
      <c r="I138" s="49"/>
      <c r="J138" s="49"/>
      <c r="K138" s="49"/>
      <c r="L138" s="49"/>
      <c r="M138" s="49"/>
      <c r="N138" s="49"/>
      <c r="O138" s="49"/>
    </row>
    <row r="139" spans="1:256" s="52" customFormat="1" ht="15" customHeight="1">
      <c r="A139" s="51"/>
      <c r="B139" s="51"/>
      <c r="C139" s="51"/>
      <c r="D139" s="51"/>
      <c r="E139" s="51"/>
      <c r="F139" s="51"/>
      <c r="G139" s="51"/>
      <c r="H139" s="51"/>
      <c r="I139" s="51"/>
      <c r="J139" s="51"/>
      <c r="K139" s="51"/>
      <c r="L139" s="51"/>
      <c r="M139" s="51"/>
      <c r="N139" s="51"/>
      <c r="O139" s="51"/>
    </row>
    <row r="140" spans="1:256" s="50" customFormat="1" ht="15" customHeight="1">
      <c r="A140" s="49"/>
      <c r="B140" s="49"/>
      <c r="C140" s="49"/>
      <c r="D140" s="49"/>
      <c r="E140" s="49"/>
      <c r="F140" s="49"/>
      <c r="G140" s="49"/>
      <c r="H140" s="49"/>
      <c r="I140" s="49"/>
      <c r="J140" s="49"/>
      <c r="K140" s="49"/>
      <c r="L140" s="49"/>
      <c r="M140" s="49"/>
      <c r="N140" s="49"/>
      <c r="O140" s="49"/>
    </row>
    <row r="141" spans="1:256">
      <c r="E141" s="55"/>
      <c r="G141" s="55"/>
      <c r="I141" s="55"/>
      <c r="K141" s="55"/>
      <c r="M141" s="55"/>
      <c r="N141" s="134">
        <f>SUM(N134:N140)</f>
        <v>0</v>
      </c>
      <c r="O141" s="53" t="s">
        <v>223</v>
      </c>
      <c r="R141" s="57" t="s">
        <v>224</v>
      </c>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c r="EO141" s="58"/>
      <c r="EP141" s="58"/>
      <c r="EQ141" s="58"/>
      <c r="ER141" s="58"/>
      <c r="ES141" s="58"/>
      <c r="ET141" s="58"/>
      <c r="EU141" s="58"/>
      <c r="EV141" s="58"/>
      <c r="EW141" s="58"/>
      <c r="EX141" s="58"/>
      <c r="EY141" s="58"/>
      <c r="EZ141" s="58"/>
      <c r="FA141" s="58"/>
      <c r="FB141" s="58"/>
      <c r="FC141" s="58"/>
      <c r="FD141" s="58"/>
      <c r="FE141" s="58"/>
      <c r="FF141" s="58"/>
      <c r="FG141" s="58"/>
      <c r="FH141" s="58"/>
      <c r="FI141" s="58"/>
      <c r="FJ141" s="58"/>
      <c r="FK141" s="58"/>
      <c r="FL141" s="58"/>
      <c r="FM141" s="58"/>
      <c r="FN141" s="58"/>
      <c r="FO141" s="58"/>
      <c r="FP141" s="58"/>
      <c r="FQ141" s="58"/>
      <c r="FR141" s="58"/>
      <c r="FS141" s="58"/>
      <c r="FT141" s="58"/>
      <c r="FU141" s="58"/>
      <c r="FV141" s="58"/>
      <c r="FW141" s="58"/>
      <c r="FX141" s="58"/>
      <c r="FY141" s="58"/>
      <c r="FZ141" s="58"/>
      <c r="GA141" s="58"/>
      <c r="GB141" s="58"/>
      <c r="GC141" s="58"/>
      <c r="GD141" s="58"/>
      <c r="GE141" s="58"/>
      <c r="GF141" s="58"/>
      <c r="GG141" s="58"/>
      <c r="GH141" s="58"/>
      <c r="GI141" s="58"/>
      <c r="GJ141" s="58"/>
      <c r="GK141" s="58"/>
      <c r="GL141" s="58"/>
      <c r="GM141" s="58"/>
      <c r="GN141" s="58"/>
      <c r="GO141" s="58"/>
      <c r="GP141" s="58"/>
      <c r="GQ141" s="58"/>
      <c r="GR141" s="58"/>
      <c r="GS141" s="58"/>
      <c r="GT141" s="58"/>
      <c r="GU141" s="58"/>
      <c r="GV141" s="58"/>
      <c r="GW141" s="58"/>
      <c r="GX141" s="58"/>
      <c r="GY141" s="58"/>
      <c r="GZ141" s="58"/>
      <c r="HA141" s="58"/>
      <c r="HB141" s="58"/>
      <c r="HC141" s="58"/>
      <c r="HD141" s="58"/>
      <c r="HE141" s="58"/>
      <c r="HF141" s="58"/>
      <c r="HG141" s="58"/>
      <c r="HH141" s="58"/>
      <c r="HI141" s="58"/>
      <c r="HJ141" s="58"/>
      <c r="HK141" s="58"/>
      <c r="HL141" s="58"/>
      <c r="HM141" s="58"/>
      <c r="HN141" s="58"/>
      <c r="HO141" s="58"/>
      <c r="HP141" s="58"/>
      <c r="HQ141" s="58"/>
      <c r="HR141" s="58"/>
      <c r="HS141" s="58"/>
      <c r="HT141" s="58"/>
      <c r="HU141" s="58"/>
      <c r="HV141" s="58"/>
      <c r="HW141" s="58"/>
      <c r="HX141" s="58"/>
      <c r="HY141" s="58"/>
      <c r="HZ141" s="58"/>
      <c r="IA141" s="58"/>
      <c r="IB141" s="58"/>
      <c r="IC141" s="58"/>
      <c r="ID141" s="58"/>
      <c r="IE141" s="58"/>
      <c r="IF141" s="58"/>
      <c r="IG141" s="58"/>
      <c r="IH141" s="58"/>
      <c r="II141" s="58"/>
      <c r="IJ141" s="58"/>
      <c r="IK141" s="58"/>
      <c r="IL141" s="58"/>
      <c r="IM141" s="58"/>
      <c r="IN141" s="58"/>
      <c r="IO141" s="58"/>
      <c r="IP141" s="58"/>
      <c r="IQ141" s="58"/>
      <c r="IR141" s="58"/>
      <c r="IS141" s="58"/>
      <c r="IT141" s="58"/>
      <c r="IU141" s="58"/>
      <c r="IV141" s="58"/>
    </row>
    <row r="142" spans="1:256" ht="20.25">
      <c r="A142" s="59" t="s">
        <v>100</v>
      </c>
      <c r="F142" s="56">
        <f>SUM(F134+F135+F137+F140)</f>
        <v>0</v>
      </c>
      <c r="G142" s="116" t="e">
        <f>F63+F64+F65+F66+F69+F74+F75+F76+F77+#REF!</f>
        <v>#REF!</v>
      </c>
      <c r="H142" s="56" t="e">
        <f>SUM(F142:G142)</f>
        <v>#REF!</v>
      </c>
      <c r="I142" s="56"/>
      <c r="J142" s="56"/>
      <c r="N142" s="136">
        <f>N11+N21+N31+N41+N51+N61</f>
        <v>1895445036</v>
      </c>
      <c r="O142" s="136" t="e">
        <f>N142/N141</f>
        <v>#DIV/0!</v>
      </c>
      <c r="Q142" s="136">
        <f>Q11+Q21+Q31+Q41+Q51+Q61</f>
        <v>3305029435</v>
      </c>
      <c r="R142" s="255" t="e">
        <f>Q142/N141</f>
        <v>#DIV/0!</v>
      </c>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c r="EO142" s="58"/>
      <c r="EP142" s="58"/>
      <c r="EQ142" s="58"/>
      <c r="ER142" s="58"/>
      <c r="ES142" s="58"/>
      <c r="ET142" s="58"/>
      <c r="EU142" s="58"/>
      <c r="EV142" s="58"/>
      <c r="EW142" s="58"/>
      <c r="EX142" s="58"/>
      <c r="EY142" s="58"/>
      <c r="EZ142" s="58"/>
      <c r="FA142" s="58"/>
      <c r="FB142" s="58"/>
      <c r="FC142" s="58"/>
      <c r="FD142" s="58"/>
      <c r="FE142" s="58"/>
      <c r="FF142" s="58"/>
      <c r="FG142" s="58"/>
      <c r="FH142" s="58"/>
      <c r="FI142" s="58"/>
      <c r="FJ142" s="58"/>
      <c r="FK142" s="58"/>
      <c r="FL142" s="58"/>
      <c r="FM142" s="58"/>
      <c r="FN142" s="58"/>
      <c r="FO142" s="58"/>
      <c r="FP142" s="58"/>
      <c r="FQ142" s="58"/>
      <c r="FR142" s="58"/>
      <c r="FS142" s="58"/>
      <c r="FT142" s="58"/>
      <c r="FU142" s="58"/>
      <c r="FV142" s="58"/>
      <c r="FW142" s="58"/>
      <c r="FX142" s="58"/>
      <c r="FY142" s="58"/>
      <c r="FZ142" s="58"/>
      <c r="GA142" s="58"/>
      <c r="GB142" s="58"/>
      <c r="GC142" s="58"/>
      <c r="GD142" s="58"/>
      <c r="GE142" s="58"/>
      <c r="GF142" s="58"/>
      <c r="GG142" s="58"/>
      <c r="GH142" s="58"/>
      <c r="GI142" s="58"/>
      <c r="GJ142" s="58"/>
      <c r="GK142" s="58"/>
      <c r="GL142" s="58"/>
      <c r="GM142" s="58"/>
      <c r="GN142" s="58"/>
      <c r="GO142" s="58"/>
      <c r="GP142" s="58"/>
      <c r="GQ142" s="58"/>
      <c r="GR142" s="58"/>
      <c r="GS142" s="58"/>
      <c r="GT142" s="58"/>
      <c r="GU142" s="58"/>
      <c r="GV142" s="58"/>
      <c r="GW142" s="58"/>
      <c r="GX142" s="58"/>
      <c r="GY142" s="58"/>
      <c r="GZ142" s="58"/>
      <c r="HA142" s="58"/>
      <c r="HB142" s="58"/>
      <c r="HC142" s="58"/>
      <c r="HD142" s="58"/>
      <c r="HE142" s="58"/>
      <c r="HF142" s="58"/>
      <c r="HG142" s="58"/>
      <c r="HH142" s="58"/>
      <c r="HI142" s="58"/>
      <c r="HJ142" s="58"/>
      <c r="HK142" s="58"/>
      <c r="HL142" s="58"/>
      <c r="HM142" s="58"/>
      <c r="HN142" s="58"/>
      <c r="HO142" s="58"/>
      <c r="HP142" s="58"/>
      <c r="HQ142" s="58"/>
      <c r="HR142" s="58"/>
      <c r="HS142" s="58"/>
      <c r="HT142" s="58"/>
      <c r="HU142" s="58"/>
      <c r="HV142" s="58"/>
      <c r="HW142" s="58"/>
      <c r="HX142" s="58"/>
      <c r="HY142" s="58"/>
      <c r="HZ142" s="58"/>
      <c r="IA142" s="58"/>
      <c r="IB142" s="58"/>
      <c r="IC142" s="58"/>
      <c r="ID142" s="58"/>
      <c r="IE142" s="58"/>
      <c r="IF142" s="58"/>
      <c r="IG142" s="58"/>
      <c r="IH142" s="58"/>
      <c r="II142" s="58"/>
      <c r="IJ142" s="58"/>
      <c r="IK142" s="58"/>
      <c r="IL142" s="58"/>
      <c r="IM142" s="58"/>
      <c r="IN142" s="58"/>
      <c r="IO142" s="58"/>
      <c r="IP142" s="58"/>
      <c r="IQ142" s="58"/>
      <c r="IR142" s="58"/>
      <c r="IS142" s="58"/>
      <c r="IT142" s="58"/>
      <c r="IU142" s="58"/>
      <c r="IV142" s="58"/>
    </row>
    <row r="143" spans="1:256" s="48" customFormat="1" ht="29.25" customHeight="1">
      <c r="M143" s="48">
        <v>790</v>
      </c>
      <c r="N143" s="48">
        <f>N140-N130</f>
        <v>0</v>
      </c>
      <c r="O143" s="262" t="e">
        <f>Q134-O142</f>
        <v>#DIV/0!</v>
      </c>
      <c r="P143" s="262" t="e">
        <f>O143*N141</f>
        <v>#DIV/0!</v>
      </c>
      <c r="Q143" s="263" t="e">
        <f>Q135-R142</f>
        <v>#DIV/0!</v>
      </c>
      <c r="R143" s="262" t="e">
        <f>Q143*N141</f>
        <v>#DIV/0!</v>
      </c>
    </row>
    <row r="144" spans="1:256" s="50" customFormat="1" ht="15" customHeight="1">
      <c r="A144" s="49"/>
      <c r="B144" s="49"/>
      <c r="C144" s="49"/>
      <c r="D144" s="49"/>
      <c r="E144" s="49"/>
      <c r="F144" s="49"/>
      <c r="G144" s="49"/>
      <c r="H144" s="49"/>
      <c r="I144" s="49"/>
      <c r="J144" s="49"/>
      <c r="K144" s="49"/>
      <c r="L144" s="49"/>
      <c r="M144" s="49"/>
      <c r="N144" s="49"/>
      <c r="O144" s="49"/>
    </row>
    <row r="145" spans="1:17" s="52" customFormat="1" ht="15" customHeight="1">
      <c r="A145" s="51"/>
      <c r="B145" s="51"/>
      <c r="C145" s="51"/>
      <c r="D145" s="51"/>
      <c r="E145" s="51"/>
      <c r="F145" s="51"/>
      <c r="G145" s="51"/>
      <c r="H145" s="51"/>
      <c r="I145" s="51"/>
      <c r="J145" s="51"/>
      <c r="K145" s="51"/>
      <c r="L145" s="51"/>
      <c r="M145" s="51"/>
      <c r="N145" s="51"/>
      <c r="O145" s="51"/>
    </row>
    <row r="146" spans="1:17" s="50" customFormat="1" ht="15" customHeight="1">
      <c r="A146" s="49"/>
      <c r="B146" s="49"/>
      <c r="C146" s="49"/>
      <c r="D146" s="49"/>
      <c r="E146" s="49"/>
      <c r="F146" s="49"/>
      <c r="G146" s="49"/>
      <c r="H146" s="49"/>
      <c r="I146" s="49"/>
      <c r="J146" s="49"/>
      <c r="K146" s="49"/>
      <c r="L146" s="49"/>
      <c r="M146" s="49"/>
      <c r="N146" s="49">
        <v>60.55</v>
      </c>
      <c r="O146" s="49"/>
    </row>
    <row r="147" spans="1:17" s="52" customFormat="1" ht="15" customHeight="1">
      <c r="A147" s="51"/>
      <c r="B147" s="51"/>
      <c r="C147" s="51"/>
      <c r="D147" s="51"/>
      <c r="E147" s="51"/>
      <c r="F147" s="51"/>
      <c r="G147" s="51"/>
      <c r="H147" s="51"/>
      <c r="I147" s="51"/>
      <c r="J147" s="51"/>
      <c r="K147" s="51"/>
      <c r="L147" s="51"/>
      <c r="M147" s="51"/>
      <c r="N147" s="51">
        <v>60</v>
      </c>
      <c r="O147" s="51"/>
    </row>
    <row r="148" spans="1:17" s="50" customFormat="1" ht="15" customHeight="1">
      <c r="A148" s="49"/>
      <c r="B148" s="49"/>
      <c r="C148" s="49"/>
      <c r="D148" s="49"/>
      <c r="E148" s="49"/>
      <c r="F148" s="49"/>
      <c r="G148" s="49"/>
      <c r="H148" s="49"/>
      <c r="I148" s="49"/>
      <c r="J148" s="49"/>
      <c r="K148" s="49"/>
      <c r="L148" s="49"/>
      <c r="M148" s="49"/>
      <c r="N148" s="265">
        <f>1*115*N141</f>
        <v>0</v>
      </c>
      <c r="O148" s="49"/>
    </row>
    <row r="149" spans="1:17" s="52" customFormat="1" ht="15" customHeight="1">
      <c r="A149" s="51"/>
      <c r="B149" s="51"/>
      <c r="C149" s="51"/>
      <c r="D149" s="51"/>
      <c r="E149" s="51"/>
      <c r="F149" s="51"/>
      <c r="G149" s="51"/>
      <c r="H149" s="51"/>
      <c r="I149" s="51"/>
      <c r="J149" s="51"/>
      <c r="K149" s="51"/>
      <c r="L149" s="51"/>
      <c r="M149" s="51"/>
      <c r="N149" s="51"/>
      <c r="O149" s="51"/>
    </row>
    <row r="150" spans="1:17" s="50" customFormat="1" ht="15" customHeight="1">
      <c r="A150" s="49"/>
      <c r="B150" s="49"/>
      <c r="C150" s="49"/>
      <c r="D150" s="49"/>
      <c r="E150" s="49"/>
      <c r="F150" s="49"/>
      <c r="G150" s="49"/>
      <c r="H150" s="49"/>
      <c r="I150" s="49"/>
      <c r="J150" s="49"/>
      <c r="K150" s="49"/>
      <c r="L150" s="49"/>
      <c r="M150" s="49"/>
      <c r="N150" s="49"/>
      <c r="O150" s="49"/>
    </row>
    <row r="151" spans="1:17" s="58" customFormat="1">
      <c r="A151" s="53"/>
      <c r="B151" s="54"/>
      <c r="C151" s="55"/>
      <c r="D151" s="55"/>
      <c r="E151" s="56"/>
      <c r="F151" s="55"/>
      <c r="G151" s="53"/>
      <c r="H151" s="55"/>
      <c r="I151" s="53"/>
      <c r="J151" s="55"/>
      <c r="K151" s="55"/>
      <c r="L151" s="55"/>
      <c r="M151" s="53"/>
      <c r="N151" s="55">
        <f>SUM(N144:N150)</f>
        <v>120.55</v>
      </c>
      <c r="O151" s="53"/>
    </row>
    <row r="152" spans="1:17" s="58" customFormat="1" ht="20.25">
      <c r="A152" s="59" t="s">
        <v>174</v>
      </c>
      <c r="B152" s="54"/>
      <c r="C152" s="55"/>
      <c r="D152" s="55"/>
      <c r="E152" s="56"/>
      <c r="F152" s="56"/>
      <c r="G152" s="116"/>
      <c r="H152" s="56"/>
      <c r="I152" s="56"/>
      <c r="J152" s="56"/>
      <c r="K152" s="53"/>
      <c r="L152" s="55"/>
      <c r="M152" s="53"/>
      <c r="N152" s="55">
        <f>N141+N70</f>
        <v>0</v>
      </c>
      <c r="O152" s="53"/>
      <c r="Q152" s="264">
        <f>Q142+Q71</f>
        <v>3868554366</v>
      </c>
    </row>
    <row r="153" spans="1:17" s="48" customFormat="1" ht="29.25" customHeight="1">
      <c r="N153" s="55">
        <f>N142+N71</f>
        <v>2565559578</v>
      </c>
      <c r="O153" s="48" t="e">
        <f>N153/N152</f>
        <v>#DIV/0!</v>
      </c>
      <c r="Q153" s="261" t="e">
        <f>Q152/N152</f>
        <v>#DIV/0!</v>
      </c>
    </row>
    <row r="154" spans="1:17" s="50" customFormat="1" ht="15" customHeight="1">
      <c r="A154" s="49"/>
      <c r="B154" s="49"/>
      <c r="C154" s="49"/>
      <c r="D154" s="49"/>
      <c r="E154" s="49"/>
      <c r="F154" s="49"/>
      <c r="G154" s="49"/>
      <c r="H154" s="49"/>
      <c r="I154" s="49"/>
      <c r="J154" s="49"/>
      <c r="K154" s="49"/>
      <c r="L154" s="49"/>
      <c r="M154" s="49"/>
      <c r="N154" s="49"/>
      <c r="O154" s="49"/>
    </row>
    <row r="155" spans="1:17" s="52" customFormat="1" ht="15" customHeight="1">
      <c r="A155" s="51"/>
      <c r="B155" s="51"/>
      <c r="C155" s="49"/>
      <c r="D155" s="49"/>
      <c r="E155" s="49"/>
      <c r="F155" s="49"/>
      <c r="G155" s="49"/>
      <c r="H155" s="49"/>
      <c r="I155" s="49"/>
      <c r="J155" s="49"/>
      <c r="K155" s="49"/>
      <c r="L155" s="49"/>
      <c r="M155" s="49"/>
      <c r="N155" s="49"/>
      <c r="O155" s="49"/>
    </row>
    <row r="156" spans="1:17" s="50" customFormat="1" ht="15" customHeight="1">
      <c r="A156" s="49"/>
      <c r="B156" s="49"/>
      <c r="C156" s="49"/>
      <c r="D156" s="49"/>
      <c r="E156" s="49"/>
      <c r="F156" s="49"/>
      <c r="G156" s="49"/>
      <c r="H156" s="49"/>
      <c r="I156" s="49"/>
      <c r="J156" s="49"/>
      <c r="K156" s="49"/>
      <c r="L156" s="49"/>
      <c r="M156" s="49"/>
      <c r="N156" s="49"/>
      <c r="O156" s="49"/>
    </row>
    <row r="157" spans="1:17" s="52" customFormat="1" ht="15" customHeight="1">
      <c r="A157" s="51"/>
      <c r="B157" s="51"/>
      <c r="C157" s="49"/>
      <c r="D157" s="49"/>
      <c r="E157" s="49"/>
      <c r="F157" s="49"/>
      <c r="G157" s="49"/>
      <c r="H157" s="49"/>
      <c r="I157" s="49"/>
      <c r="J157" s="49"/>
      <c r="K157" s="49"/>
      <c r="L157" s="49"/>
      <c r="M157" s="49"/>
      <c r="N157" s="49"/>
      <c r="O157" s="49"/>
    </row>
    <row r="158" spans="1:17" s="50" customFormat="1" ht="15" customHeight="1">
      <c r="A158" s="49"/>
      <c r="B158" s="49"/>
      <c r="C158" s="49"/>
      <c r="D158" s="49"/>
      <c r="E158" s="49"/>
      <c r="F158" s="49"/>
      <c r="G158" s="49"/>
      <c r="H158" s="49"/>
      <c r="I158" s="49"/>
      <c r="J158" s="49"/>
      <c r="K158" s="49"/>
      <c r="L158" s="49"/>
      <c r="M158" s="49"/>
      <c r="N158" s="49"/>
      <c r="O158" s="49"/>
    </row>
    <row r="159" spans="1:17" s="52" customFormat="1" ht="15" customHeight="1">
      <c r="A159" s="51"/>
      <c r="B159" s="51"/>
      <c r="C159" s="49"/>
      <c r="D159" s="49"/>
      <c r="E159" s="49"/>
      <c r="F159" s="49"/>
      <c r="G159" s="49"/>
      <c r="H159" s="49"/>
      <c r="I159" s="49"/>
      <c r="J159" s="49"/>
      <c r="K159" s="49"/>
      <c r="L159" s="49"/>
      <c r="M159" s="49"/>
      <c r="N159" s="49"/>
      <c r="O159" s="49"/>
    </row>
    <row r="160" spans="1:17" s="50" customFormat="1" ht="15" customHeight="1">
      <c r="A160" s="49"/>
      <c r="B160" s="49"/>
      <c r="C160" s="49"/>
      <c r="D160" s="49"/>
      <c r="E160" s="49"/>
      <c r="F160" s="49"/>
      <c r="G160" s="49"/>
      <c r="H160" s="49"/>
      <c r="I160" s="49"/>
      <c r="J160" s="49"/>
      <c r="K160" s="49"/>
      <c r="L160" s="49"/>
      <c r="M160" s="49"/>
      <c r="N160" s="49"/>
      <c r="O160" s="49"/>
    </row>
    <row r="161" spans="1:256">
      <c r="K161" s="55"/>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c r="EO161" s="58"/>
      <c r="EP161" s="58"/>
      <c r="EQ161" s="58"/>
      <c r="ER161" s="58"/>
      <c r="ES161" s="58"/>
      <c r="ET161" s="58"/>
      <c r="EU161" s="58"/>
      <c r="EV161" s="58"/>
      <c r="EW161" s="58"/>
      <c r="EX161" s="58"/>
      <c r="EY161" s="58"/>
      <c r="EZ161" s="58"/>
      <c r="FA161" s="58"/>
      <c r="FB161" s="58"/>
      <c r="FC161" s="58"/>
      <c r="FD161" s="58"/>
      <c r="FE161" s="58"/>
      <c r="FF161" s="58"/>
      <c r="FG161" s="58"/>
      <c r="FH161" s="58"/>
      <c r="FI161" s="58"/>
      <c r="FJ161" s="58"/>
      <c r="FK161" s="58"/>
      <c r="FL161" s="58"/>
      <c r="FM161" s="58"/>
      <c r="FN161" s="58"/>
      <c r="FO161" s="58"/>
      <c r="FP161" s="58"/>
      <c r="FQ161" s="58"/>
      <c r="FR161" s="58"/>
      <c r="FS161" s="58"/>
      <c r="FT161" s="58"/>
      <c r="FU161" s="58"/>
      <c r="FV161" s="58"/>
      <c r="FW161" s="58"/>
      <c r="FX161" s="58"/>
      <c r="FY161" s="58"/>
      <c r="FZ161" s="58"/>
      <c r="GA161" s="58"/>
      <c r="GB161" s="58"/>
      <c r="GC161" s="58"/>
      <c r="GD161" s="58"/>
      <c r="GE161" s="58"/>
      <c r="GF161" s="58"/>
      <c r="GG161" s="58"/>
      <c r="GH161" s="58"/>
      <c r="GI161" s="58"/>
      <c r="GJ161" s="58"/>
      <c r="GK161" s="58"/>
      <c r="GL161" s="58"/>
      <c r="GM161" s="58"/>
      <c r="GN161" s="58"/>
      <c r="GO161" s="58"/>
      <c r="GP161" s="58"/>
      <c r="GQ161" s="58"/>
      <c r="GR161" s="58"/>
      <c r="GS161" s="58"/>
      <c r="GT161" s="58"/>
      <c r="GU161" s="58"/>
      <c r="GV161" s="58"/>
      <c r="GW161" s="58"/>
      <c r="GX161" s="58"/>
      <c r="GY161" s="58"/>
      <c r="GZ161" s="58"/>
      <c r="HA161" s="58"/>
      <c r="HB161" s="58"/>
      <c r="HC161" s="58"/>
      <c r="HD161" s="58"/>
      <c r="HE161" s="58"/>
      <c r="HF161" s="58"/>
      <c r="HG161" s="58"/>
      <c r="HH161" s="58"/>
      <c r="HI161" s="58"/>
      <c r="HJ161" s="58"/>
      <c r="HK161" s="58"/>
      <c r="HL161" s="58"/>
      <c r="HM161" s="58"/>
      <c r="HN161" s="58"/>
      <c r="HO161" s="58"/>
      <c r="HP161" s="58"/>
      <c r="HQ161" s="58"/>
      <c r="HR161" s="58"/>
      <c r="HS161" s="58"/>
      <c r="HT161" s="58"/>
      <c r="HU161" s="58"/>
      <c r="HV161" s="58"/>
      <c r="HW161" s="58"/>
      <c r="HX161" s="58"/>
      <c r="HY161" s="58"/>
      <c r="HZ161" s="58"/>
      <c r="IA161" s="58"/>
      <c r="IB161" s="58"/>
      <c r="IC161" s="58"/>
      <c r="ID161" s="58"/>
      <c r="IE161" s="58"/>
      <c r="IF161" s="58"/>
      <c r="IG161" s="58"/>
      <c r="IH161" s="58"/>
      <c r="II161" s="58"/>
      <c r="IJ161" s="58"/>
      <c r="IK161" s="58"/>
      <c r="IL161" s="58"/>
      <c r="IM161" s="58"/>
      <c r="IN161" s="58"/>
      <c r="IO161" s="58"/>
      <c r="IP161" s="58"/>
      <c r="IQ161" s="58"/>
      <c r="IR161" s="58"/>
      <c r="IS161" s="58"/>
      <c r="IT161" s="58"/>
      <c r="IU161" s="58"/>
      <c r="IV161" s="58"/>
    </row>
    <row r="162" spans="1:256" ht="20.25">
      <c r="A162" s="59" t="s">
        <v>101</v>
      </c>
      <c r="K162" s="114"/>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c r="EO162" s="58"/>
      <c r="EP162" s="58"/>
      <c r="EQ162" s="58"/>
      <c r="ER162" s="58"/>
      <c r="ES162" s="58"/>
      <c r="ET162" s="58"/>
      <c r="EU162" s="58"/>
      <c r="EV162" s="58"/>
      <c r="EW162" s="58"/>
      <c r="EX162" s="58"/>
      <c r="EY162" s="58"/>
      <c r="EZ162" s="58"/>
      <c r="FA162" s="58"/>
      <c r="FB162" s="58"/>
      <c r="FC162" s="58"/>
      <c r="FD162" s="58"/>
      <c r="FE162" s="58"/>
      <c r="FF162" s="58"/>
      <c r="FG162" s="58"/>
      <c r="FH162" s="58"/>
      <c r="FI162" s="58"/>
      <c r="FJ162" s="58"/>
      <c r="FK162" s="58"/>
      <c r="FL162" s="58"/>
      <c r="FM162" s="58"/>
      <c r="FN162" s="58"/>
      <c r="FO162" s="58"/>
      <c r="FP162" s="58"/>
      <c r="FQ162" s="58"/>
      <c r="FR162" s="58"/>
      <c r="FS162" s="58"/>
      <c r="FT162" s="58"/>
      <c r="FU162" s="58"/>
      <c r="FV162" s="58"/>
      <c r="FW162" s="58"/>
      <c r="FX162" s="58"/>
      <c r="FY162" s="58"/>
      <c r="FZ162" s="58"/>
      <c r="GA162" s="58"/>
      <c r="GB162" s="58"/>
      <c r="GC162" s="58"/>
      <c r="GD162" s="58"/>
      <c r="GE162" s="58"/>
      <c r="GF162" s="58"/>
      <c r="GG162" s="58"/>
      <c r="GH162" s="58"/>
      <c r="GI162" s="58"/>
      <c r="GJ162" s="58"/>
      <c r="GK162" s="58"/>
      <c r="GL162" s="58"/>
      <c r="GM162" s="58"/>
      <c r="GN162" s="58"/>
      <c r="GO162" s="58"/>
      <c r="GP162" s="58"/>
      <c r="GQ162" s="58"/>
      <c r="GR162" s="58"/>
      <c r="GS162" s="58"/>
      <c r="GT162" s="58"/>
      <c r="GU162" s="58"/>
      <c r="GV162" s="58"/>
      <c r="GW162" s="58"/>
      <c r="GX162" s="58"/>
      <c r="GY162" s="58"/>
      <c r="GZ162" s="58"/>
      <c r="HA162" s="58"/>
      <c r="HB162" s="58"/>
      <c r="HC162" s="58"/>
      <c r="HD162" s="58"/>
      <c r="HE162" s="58"/>
      <c r="HF162" s="58"/>
      <c r="HG162" s="58"/>
      <c r="HH162" s="58"/>
      <c r="HI162" s="58"/>
      <c r="HJ162" s="58"/>
      <c r="HK162" s="58"/>
      <c r="HL162" s="58"/>
      <c r="HM162" s="58"/>
      <c r="HN162" s="58"/>
      <c r="HO162" s="58"/>
      <c r="HP162" s="58"/>
      <c r="HQ162" s="58"/>
      <c r="HR162" s="58"/>
      <c r="HS162" s="58"/>
      <c r="HT162" s="58"/>
      <c r="HU162" s="58"/>
      <c r="HV162" s="58"/>
      <c r="HW162" s="58"/>
      <c r="HX162" s="58"/>
      <c r="HY162" s="58"/>
      <c r="HZ162" s="58"/>
      <c r="IA162" s="58"/>
      <c r="IB162" s="58"/>
      <c r="IC162" s="58"/>
      <c r="ID162" s="58"/>
      <c r="IE162" s="58"/>
      <c r="IF162" s="58"/>
      <c r="IG162" s="58"/>
      <c r="IH162" s="58"/>
      <c r="II162" s="58"/>
      <c r="IJ162" s="58"/>
      <c r="IK162" s="58"/>
      <c r="IL162" s="58"/>
      <c r="IM162" s="58"/>
      <c r="IN162" s="58"/>
      <c r="IO162" s="58"/>
      <c r="IP162" s="58"/>
      <c r="IQ162" s="58"/>
      <c r="IR162" s="58"/>
      <c r="IS162" s="58"/>
      <c r="IT162" s="58"/>
      <c r="IU162" s="58"/>
      <c r="IV162" s="58"/>
    </row>
    <row r="163" spans="1:256" s="48" customFormat="1" ht="11.25">
      <c r="A163" s="269" t="s">
        <v>112</v>
      </c>
      <c r="B163" s="269" t="s">
        <v>113</v>
      </c>
      <c r="C163" s="269" t="s">
        <v>114</v>
      </c>
      <c r="D163" s="269" t="s">
        <v>115</v>
      </c>
      <c r="E163" s="269" t="s">
        <v>116</v>
      </c>
      <c r="F163" s="269" t="s">
        <v>117</v>
      </c>
      <c r="G163" s="269" t="s">
        <v>118</v>
      </c>
      <c r="H163" s="269" t="s">
        <v>119</v>
      </c>
      <c r="I163" s="269" t="s">
        <v>120</v>
      </c>
      <c r="J163" s="269" t="s">
        <v>121</v>
      </c>
      <c r="K163" s="269" t="s">
        <v>122</v>
      </c>
      <c r="L163" s="269" t="s">
        <v>123</v>
      </c>
      <c r="M163" s="269" t="s">
        <v>124</v>
      </c>
      <c r="N163" s="269" t="s">
        <v>125</v>
      </c>
      <c r="O163" s="269" t="s">
        <v>126</v>
      </c>
    </row>
    <row r="164" spans="1:256" s="50" customFormat="1" ht="15" customHeight="1">
      <c r="A164" s="49"/>
      <c r="B164" s="49"/>
      <c r="C164" s="49"/>
      <c r="D164" s="49"/>
      <c r="E164" s="49"/>
      <c r="F164" s="49"/>
      <c r="G164" s="49"/>
      <c r="H164" s="49"/>
      <c r="I164" s="49"/>
      <c r="J164" s="49"/>
      <c r="K164" s="49"/>
      <c r="L164" s="49"/>
      <c r="M164" s="49"/>
      <c r="N164" s="49"/>
      <c r="O164" s="49"/>
    </row>
    <row r="165" spans="1:256" s="52" customFormat="1" ht="15" customHeight="1">
      <c r="A165" s="51"/>
      <c r="B165" s="51"/>
      <c r="C165" s="51"/>
      <c r="D165" s="51"/>
      <c r="E165" s="51"/>
      <c r="F165" s="51"/>
      <c r="G165" s="51"/>
      <c r="H165" s="51"/>
      <c r="I165" s="51"/>
      <c r="J165" s="51"/>
      <c r="K165" s="51"/>
      <c r="L165" s="51"/>
      <c r="M165" s="51"/>
      <c r="N165" s="51"/>
      <c r="O165" s="51"/>
    </row>
    <row r="166" spans="1:256" s="50" customFormat="1" ht="15" customHeight="1">
      <c r="A166" s="49"/>
      <c r="B166" s="49"/>
      <c r="C166" s="49"/>
      <c r="D166" s="49"/>
      <c r="E166" s="49"/>
      <c r="F166" s="49"/>
      <c r="G166" s="49"/>
      <c r="H166" s="49"/>
      <c r="I166" s="49"/>
      <c r="J166" s="49"/>
      <c r="K166" s="49"/>
      <c r="L166" s="49"/>
      <c r="M166" s="49"/>
      <c r="N166" s="49"/>
      <c r="O166" s="49"/>
    </row>
    <row r="167" spans="1:256" s="52" customFormat="1" ht="15" customHeight="1">
      <c r="A167" s="51"/>
      <c r="B167" s="51"/>
      <c r="C167" s="51"/>
      <c r="D167" s="51"/>
      <c r="E167" s="51"/>
      <c r="F167" s="51"/>
      <c r="G167" s="51"/>
      <c r="H167" s="51"/>
      <c r="I167" s="51"/>
      <c r="J167" s="51"/>
      <c r="K167" s="51"/>
      <c r="L167" s="51"/>
      <c r="M167" s="51"/>
      <c r="N167" s="51"/>
      <c r="O167" s="51"/>
    </row>
    <row r="168" spans="1:256" s="50" customFormat="1" ht="15" customHeight="1">
      <c r="A168" s="49"/>
      <c r="B168" s="49"/>
      <c r="C168" s="49"/>
      <c r="D168" s="49"/>
      <c r="E168" s="49"/>
      <c r="F168" s="49"/>
      <c r="G168" s="49"/>
      <c r="H168" s="49"/>
      <c r="I168" s="49"/>
      <c r="J168" s="49"/>
      <c r="K168" s="49"/>
      <c r="L168" s="49"/>
      <c r="M168" s="49"/>
      <c r="N168" s="49"/>
      <c r="O168" s="49"/>
      <c r="Q168" s="258"/>
    </row>
    <row r="169" spans="1:256" s="52" customFormat="1" ht="15" customHeight="1">
      <c r="A169" s="51"/>
      <c r="B169" s="51"/>
      <c r="C169" s="51"/>
      <c r="D169" s="51"/>
      <c r="E169" s="51"/>
      <c r="F169" s="51"/>
      <c r="G169" s="51"/>
      <c r="H169" s="51"/>
      <c r="I169" s="51"/>
      <c r="J169" s="51"/>
      <c r="K169" s="51"/>
      <c r="L169" s="51"/>
      <c r="M169" s="51"/>
      <c r="N169" s="51"/>
      <c r="O169" s="51"/>
      <c r="Q169"/>
    </row>
    <row r="170" spans="1:256" s="50" customFormat="1" ht="15" customHeight="1" thickBot="1">
      <c r="A170" s="49"/>
      <c r="B170" s="49"/>
      <c r="C170" s="49"/>
      <c r="D170" s="49"/>
      <c r="E170" s="49"/>
      <c r="F170" s="49"/>
      <c r="G170" s="49"/>
      <c r="H170" s="49"/>
      <c r="I170" s="49"/>
      <c r="J170" s="49"/>
      <c r="K170" s="49"/>
      <c r="L170" s="49"/>
      <c r="M170" s="49"/>
      <c r="N170" s="49"/>
      <c r="O170" s="49"/>
      <c r="Q170" s="258"/>
    </row>
    <row r="171" spans="1:256" ht="15" customHeight="1" thickBot="1">
      <c r="A171" s="270"/>
      <c r="B171" s="270"/>
      <c r="C171" s="270"/>
      <c r="D171" s="270"/>
      <c r="E171" s="270"/>
      <c r="F171" s="270"/>
      <c r="G171" s="270"/>
      <c r="H171" s="270"/>
      <c r="I171" s="270"/>
      <c r="J171" s="270"/>
      <c r="K171" s="270"/>
      <c r="L171" s="270"/>
      <c r="M171" s="270"/>
      <c r="N171" s="270">
        <f>SUM(N164:N170)</f>
        <v>0</v>
      </c>
      <c r="O171" s="270"/>
      <c r="Q171" s="277"/>
      <c r="R171" s="278"/>
      <c r="S171" s="279"/>
      <c r="T171" s="253"/>
    </row>
    <row r="172" spans="1:256" ht="15" customHeight="1" thickBot="1">
      <c r="A172" s="7922" t="s">
        <v>976</v>
      </c>
      <c r="B172" s="7922"/>
      <c r="C172" s="7922"/>
      <c r="D172" s="699"/>
      <c r="E172" s="699"/>
      <c r="F172" s="699"/>
      <c r="G172" s="699"/>
      <c r="H172" s="699"/>
      <c r="I172" s="699"/>
      <c r="J172" s="699"/>
      <c r="K172" s="699"/>
      <c r="L172" s="699"/>
      <c r="M172" s="699"/>
      <c r="N172" s="699"/>
      <c r="O172" s="699"/>
      <c r="Q172" s="277"/>
      <c r="R172" s="278"/>
      <c r="S172" s="279"/>
      <c r="T172" s="253"/>
    </row>
    <row r="173" spans="1:256" ht="15" customHeight="1" thickBot="1">
      <c r="A173" s="50" t="s">
        <v>112</v>
      </c>
      <c r="B173" s="699" t="s">
        <v>113</v>
      </c>
      <c r="C173" s="699" t="s">
        <v>114</v>
      </c>
      <c r="D173" s="699" t="s">
        <v>115</v>
      </c>
      <c r="E173" s="699" t="s">
        <v>116</v>
      </c>
      <c r="F173" s="699" t="s">
        <v>117</v>
      </c>
      <c r="G173" s="699" t="s">
        <v>118</v>
      </c>
      <c r="H173" s="699" t="s">
        <v>119</v>
      </c>
      <c r="I173" s="699" t="s">
        <v>120</v>
      </c>
      <c r="J173" s="699" t="s">
        <v>121</v>
      </c>
      <c r="K173" s="699" t="s">
        <v>122</v>
      </c>
      <c r="L173" s="699" t="s">
        <v>123</v>
      </c>
      <c r="M173" s="699" t="s">
        <v>124</v>
      </c>
      <c r="N173" s="699" t="s">
        <v>125</v>
      </c>
      <c r="O173" s="699" t="s">
        <v>126</v>
      </c>
      <c r="Q173" s="277"/>
      <c r="R173" s="278"/>
      <c r="S173" s="279"/>
      <c r="T173" s="253"/>
    </row>
    <row r="174" spans="1:256" ht="15" customHeight="1" thickBot="1">
      <c r="A174" s="49" t="s">
        <v>721</v>
      </c>
      <c r="B174" s="699" t="s">
        <v>127</v>
      </c>
      <c r="C174" s="699">
        <v>337898.63699999999</v>
      </c>
      <c r="D174" s="699">
        <v>28.39</v>
      </c>
      <c r="E174" s="699">
        <v>337870.24699999997</v>
      </c>
      <c r="F174" s="699">
        <v>331013.49099999998</v>
      </c>
      <c r="G174" s="699">
        <v>97.97</v>
      </c>
      <c r="H174" s="699">
        <v>0</v>
      </c>
      <c r="I174" s="699">
        <v>0</v>
      </c>
      <c r="J174" s="699">
        <v>8.3800000000000008</v>
      </c>
      <c r="K174" s="699">
        <v>0</v>
      </c>
      <c r="L174" s="699">
        <v>0</v>
      </c>
      <c r="M174" s="699">
        <v>0</v>
      </c>
      <c r="N174" s="699">
        <v>331021.87099999998</v>
      </c>
      <c r="O174" s="699">
        <v>97.97</v>
      </c>
      <c r="Q174" s="277"/>
      <c r="R174" s="278"/>
      <c r="S174" s="279"/>
      <c r="T174" s="253"/>
    </row>
    <row r="175" spans="1:256" ht="15" customHeight="1" thickBot="1">
      <c r="A175" s="51" t="s">
        <v>722</v>
      </c>
      <c r="B175" s="699" t="s">
        <v>128</v>
      </c>
      <c r="C175" s="699">
        <v>314510.47100000002</v>
      </c>
      <c r="D175" s="699">
        <v>105.83</v>
      </c>
      <c r="E175" s="699">
        <v>314404.641</v>
      </c>
      <c r="F175" s="699">
        <v>314352.38900000002</v>
      </c>
      <c r="G175" s="699">
        <v>99.98</v>
      </c>
      <c r="H175" s="699">
        <v>0</v>
      </c>
      <c r="I175" s="699">
        <v>0</v>
      </c>
      <c r="J175" s="699">
        <v>12.39</v>
      </c>
      <c r="K175" s="699">
        <v>0</v>
      </c>
      <c r="L175" s="699">
        <v>0</v>
      </c>
      <c r="M175" s="699">
        <v>0</v>
      </c>
      <c r="N175" s="699">
        <v>314364.77899999998</v>
      </c>
      <c r="O175" s="699">
        <v>99.99</v>
      </c>
      <c r="Q175" s="277"/>
      <c r="R175" s="278"/>
      <c r="S175" s="279"/>
      <c r="T175" s="253"/>
    </row>
    <row r="176" spans="1:256" ht="15" customHeight="1" thickBot="1">
      <c r="A176" s="49" t="s">
        <v>723</v>
      </c>
      <c r="B176" s="699" t="s">
        <v>129</v>
      </c>
      <c r="C176" s="699">
        <v>308809.02899999998</v>
      </c>
      <c r="D176" s="699">
        <v>276.95999999999998</v>
      </c>
      <c r="E176" s="699">
        <v>308532.06900000002</v>
      </c>
      <c r="F176" s="699">
        <v>309091.09000000003</v>
      </c>
      <c r="G176" s="699">
        <v>100.18</v>
      </c>
      <c r="H176" s="699">
        <v>304.32</v>
      </c>
      <c r="I176" s="699">
        <v>0.1</v>
      </c>
      <c r="J176" s="699">
        <v>3.17</v>
      </c>
      <c r="K176" s="699">
        <v>0</v>
      </c>
      <c r="L176" s="699">
        <v>0</v>
      </c>
      <c r="M176" s="699">
        <v>0</v>
      </c>
      <c r="N176" s="699">
        <v>309398.58</v>
      </c>
      <c r="O176" s="699">
        <v>100.28</v>
      </c>
      <c r="Q176" s="277"/>
      <c r="R176" s="278"/>
      <c r="S176" s="279"/>
      <c r="T176" s="253"/>
    </row>
    <row r="177" spans="1:256" ht="15" customHeight="1" thickBot="1">
      <c r="A177" s="51" t="s">
        <v>724</v>
      </c>
      <c r="B177" s="699" t="s">
        <v>130</v>
      </c>
      <c r="C177" s="699">
        <v>149039.40299999999</v>
      </c>
      <c r="D177" s="699">
        <v>6204.3670000000002</v>
      </c>
      <c r="E177" s="699">
        <v>142835.03599999999</v>
      </c>
      <c r="F177" s="699">
        <v>143597.557</v>
      </c>
      <c r="G177" s="699">
        <v>100.53</v>
      </c>
      <c r="H177" s="699">
        <v>75.739999999999995</v>
      </c>
      <c r="I177" s="699">
        <v>0.05</v>
      </c>
      <c r="J177" s="699">
        <v>16.908000000000001</v>
      </c>
      <c r="K177" s="699">
        <v>0.01</v>
      </c>
      <c r="L177" s="699">
        <v>0</v>
      </c>
      <c r="M177" s="699">
        <v>0</v>
      </c>
      <c r="N177" s="699">
        <v>143690.20499999999</v>
      </c>
      <c r="O177" s="699">
        <v>100.6</v>
      </c>
      <c r="Q177" s="277"/>
      <c r="R177" s="278"/>
      <c r="S177" s="279"/>
      <c r="T177" s="253"/>
    </row>
    <row r="178" spans="1:256" ht="15" customHeight="1" thickBot="1">
      <c r="A178" s="49" t="s">
        <v>725</v>
      </c>
      <c r="B178" s="699" t="s">
        <v>131</v>
      </c>
      <c r="C178" s="699">
        <v>23889.978999999999</v>
      </c>
      <c r="D178" s="699">
        <v>18.18</v>
      </c>
      <c r="E178" s="699">
        <v>23871.798999999999</v>
      </c>
      <c r="F178" s="699">
        <v>23463.137999999999</v>
      </c>
      <c r="G178" s="699">
        <v>98.29</v>
      </c>
      <c r="H178" s="699">
        <v>36.770000000000003</v>
      </c>
      <c r="I178" s="699">
        <v>0.15</v>
      </c>
      <c r="J178" s="699">
        <v>0</v>
      </c>
      <c r="K178" s="699">
        <v>0</v>
      </c>
      <c r="L178" s="699">
        <v>0</v>
      </c>
      <c r="M178" s="699">
        <v>0</v>
      </c>
      <c r="N178" s="699">
        <v>23499.907999999999</v>
      </c>
      <c r="O178" s="699">
        <v>98.44</v>
      </c>
      <c r="Q178" s="277"/>
      <c r="R178" s="278"/>
      <c r="S178" s="279"/>
      <c r="T178" s="253"/>
    </row>
    <row r="179" spans="1:256" ht="15" customHeight="1" thickBot="1">
      <c r="A179" s="51" t="s">
        <v>726</v>
      </c>
      <c r="B179" s="699" t="s">
        <v>132</v>
      </c>
      <c r="C179" s="699">
        <v>4176.049</v>
      </c>
      <c r="D179" s="699">
        <v>108.733</v>
      </c>
      <c r="E179" s="699">
        <v>4067.3159999999998</v>
      </c>
      <c r="F179" s="699">
        <v>3960.2020000000002</v>
      </c>
      <c r="G179" s="699">
        <v>97.37</v>
      </c>
      <c r="H179" s="699">
        <v>0</v>
      </c>
      <c r="I179" s="699">
        <v>0</v>
      </c>
      <c r="J179" s="699">
        <v>0</v>
      </c>
      <c r="K179" s="699">
        <v>0</v>
      </c>
      <c r="L179" s="699">
        <v>0</v>
      </c>
      <c r="M179" s="699">
        <v>0</v>
      </c>
      <c r="N179" s="699">
        <v>3960.2020000000002</v>
      </c>
      <c r="O179" s="699">
        <v>97.37</v>
      </c>
      <c r="Q179" s="277"/>
      <c r="R179" s="278"/>
      <c r="S179" s="279"/>
      <c r="T179" s="253"/>
    </row>
    <row r="180" spans="1:256" ht="15" customHeight="1" thickBot="1">
      <c r="A180" s="49" t="s">
        <v>727</v>
      </c>
      <c r="B180" s="699" t="s">
        <v>133</v>
      </c>
      <c r="C180" s="699">
        <v>59740.862999999998</v>
      </c>
      <c r="D180" s="699">
        <v>5354.6149999999998</v>
      </c>
      <c r="E180" s="699">
        <v>54386.248</v>
      </c>
      <c r="F180" s="699">
        <v>54573.96</v>
      </c>
      <c r="G180" s="699">
        <v>100.35</v>
      </c>
      <c r="H180" s="699">
        <v>55.77</v>
      </c>
      <c r="I180" s="699">
        <v>0.1</v>
      </c>
      <c r="J180" s="699">
        <v>17.98</v>
      </c>
      <c r="K180" s="699">
        <v>0.03</v>
      </c>
      <c r="L180" s="699">
        <v>0</v>
      </c>
      <c r="M180" s="699">
        <v>0</v>
      </c>
      <c r="N180" s="699">
        <v>54647.71</v>
      </c>
      <c r="O180" s="699">
        <v>100.48</v>
      </c>
      <c r="Q180" s="277"/>
      <c r="R180" s="278"/>
      <c r="S180" s="279"/>
      <c r="T180" s="253"/>
    </row>
    <row r="181" spans="1:256" ht="15" customHeight="1" thickBot="1">
      <c r="A181" s="699"/>
      <c r="B181" s="699"/>
      <c r="C181" s="699"/>
      <c r="D181" s="699"/>
      <c r="E181" s="699"/>
      <c r="F181" s="55">
        <f>SUM(F174:F180)</f>
        <v>1180051.827</v>
      </c>
      <c r="G181" s="699"/>
      <c r="H181" s="55">
        <f>SUM(H174:H180)</f>
        <v>472.59999999999997</v>
      </c>
      <c r="I181" s="699"/>
      <c r="J181" s="55">
        <f>SUM(J174:J180)</f>
        <v>58.828000000000003</v>
      </c>
      <c r="K181" s="699"/>
      <c r="L181" s="699"/>
      <c r="M181" s="699"/>
      <c r="N181" s="55">
        <f>SUM(N174:N180)</f>
        <v>1180583.2550000001</v>
      </c>
      <c r="O181" s="699"/>
      <c r="Q181" s="277"/>
      <c r="R181" s="278"/>
      <c r="S181" s="279"/>
      <c r="T181" s="253"/>
    </row>
    <row r="182" spans="1:256" ht="15" customHeight="1" thickBot="1">
      <c r="A182" s="699"/>
      <c r="B182" s="699"/>
      <c r="C182" s="699"/>
      <c r="D182" s="699"/>
      <c r="E182" s="699"/>
      <c r="F182" s="699"/>
      <c r="G182" s="699"/>
      <c r="H182" s="699"/>
      <c r="I182" s="699"/>
      <c r="J182" s="699"/>
      <c r="K182" s="699"/>
      <c r="L182" s="699"/>
      <c r="M182" s="699"/>
      <c r="N182" s="699"/>
      <c r="O182" s="699"/>
      <c r="Q182" s="277"/>
      <c r="R182" s="278"/>
      <c r="S182" s="279"/>
      <c r="T182" s="253"/>
    </row>
    <row r="183" spans="1:256" ht="15" customHeight="1" thickBot="1">
      <c r="A183" s="699"/>
      <c r="B183" s="699"/>
      <c r="C183" s="699"/>
      <c r="D183" s="699"/>
      <c r="E183" s="699"/>
      <c r="F183" s="699"/>
      <c r="G183" s="699"/>
      <c r="H183" s="699"/>
      <c r="I183" s="699"/>
      <c r="J183" s="699"/>
      <c r="K183" s="699"/>
      <c r="L183" s="699"/>
      <c r="M183" s="699"/>
      <c r="N183" s="699"/>
      <c r="O183" s="699"/>
      <c r="Q183" s="277"/>
      <c r="R183" s="278"/>
      <c r="S183" s="279"/>
      <c r="T183" s="253"/>
    </row>
    <row r="184" spans="1:256" ht="15" customHeight="1" thickBot="1">
      <c r="A184" s="699"/>
      <c r="B184" s="699"/>
      <c r="C184" s="699"/>
      <c r="D184" s="699"/>
      <c r="E184" s="699"/>
      <c r="F184" s="699"/>
      <c r="G184" s="699"/>
      <c r="H184" s="699"/>
      <c r="I184" s="699"/>
      <c r="J184" s="699"/>
      <c r="K184" s="699"/>
      <c r="L184" s="699"/>
      <c r="M184" s="699"/>
      <c r="N184" s="699"/>
      <c r="O184" s="699"/>
      <c r="Q184" s="277"/>
      <c r="R184" s="278"/>
      <c r="S184" s="279"/>
      <c r="T184" s="253"/>
    </row>
    <row r="185" spans="1:256" ht="15" customHeight="1" thickBot="1">
      <c r="A185" s="699"/>
      <c r="B185" s="699"/>
      <c r="C185" s="699"/>
      <c r="D185" s="699"/>
      <c r="E185" s="699"/>
      <c r="F185" s="699"/>
      <c r="G185" s="699"/>
      <c r="H185" s="699"/>
      <c r="I185" s="699"/>
      <c r="J185" s="699"/>
      <c r="K185" s="699"/>
      <c r="L185" s="699"/>
      <c r="M185" s="699"/>
      <c r="N185" s="699"/>
      <c r="O185" s="699"/>
      <c r="Q185" s="277"/>
      <c r="R185" s="278"/>
      <c r="S185" s="279"/>
      <c r="T185" s="253"/>
    </row>
    <row r="186" spans="1:256" ht="15" customHeight="1" thickBot="1">
      <c r="A186" s="7922" t="s">
        <v>1016</v>
      </c>
      <c r="B186" s="7922"/>
      <c r="C186" s="7922"/>
      <c r="P186" s="58"/>
      <c r="Q186" s="277"/>
      <c r="R186" s="278"/>
      <c r="S186" s="280"/>
      <c r="T186" s="281"/>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c r="EO186" s="58"/>
      <c r="EP186" s="58"/>
      <c r="EQ186" s="58"/>
      <c r="ER186" s="58"/>
      <c r="ES186" s="58"/>
      <c r="ET186" s="58"/>
      <c r="EU186" s="58"/>
      <c r="EV186" s="58"/>
      <c r="EW186" s="58"/>
      <c r="EX186" s="58"/>
      <c r="EY186" s="58"/>
      <c r="EZ186" s="58"/>
      <c r="FA186" s="58"/>
      <c r="FB186" s="58"/>
      <c r="FC186" s="58"/>
      <c r="FD186" s="58"/>
      <c r="FE186" s="58"/>
      <c r="FF186" s="58"/>
      <c r="FG186" s="58"/>
      <c r="FH186" s="58"/>
      <c r="FI186" s="58"/>
      <c r="FJ186" s="58"/>
      <c r="FK186" s="58"/>
      <c r="FL186" s="58"/>
      <c r="FM186" s="58"/>
      <c r="FN186" s="58"/>
      <c r="FO186" s="58"/>
      <c r="FP186" s="58"/>
      <c r="FQ186" s="58"/>
      <c r="FR186" s="58"/>
      <c r="FS186" s="58"/>
      <c r="FT186" s="58"/>
      <c r="FU186" s="58"/>
      <c r="FV186" s="58"/>
      <c r="FW186" s="58"/>
      <c r="FX186" s="58"/>
      <c r="FY186" s="58"/>
      <c r="FZ186" s="58"/>
      <c r="GA186" s="58"/>
      <c r="GB186" s="58"/>
      <c r="GC186" s="58"/>
      <c r="GD186" s="58"/>
      <c r="GE186" s="58"/>
      <c r="GF186" s="58"/>
      <c r="GG186" s="58"/>
      <c r="GH186" s="58"/>
      <c r="GI186" s="58"/>
      <c r="GJ186" s="58"/>
      <c r="GK186" s="58"/>
      <c r="GL186" s="58"/>
      <c r="GM186" s="58"/>
      <c r="GN186" s="58"/>
      <c r="GO186" s="58"/>
      <c r="GP186" s="58"/>
      <c r="GQ186" s="58"/>
      <c r="GR186" s="58"/>
      <c r="GS186" s="58"/>
      <c r="GT186" s="58"/>
      <c r="GU186" s="58"/>
      <c r="GV186" s="58"/>
      <c r="GW186" s="58"/>
      <c r="GX186" s="58"/>
      <c r="GY186" s="58"/>
      <c r="GZ186" s="58"/>
      <c r="HA186" s="58"/>
      <c r="HB186" s="58"/>
      <c r="HC186" s="58"/>
      <c r="HD186" s="58"/>
      <c r="HE186" s="58"/>
      <c r="HF186" s="58"/>
      <c r="HG186" s="58"/>
      <c r="HH186" s="58"/>
      <c r="HI186" s="58"/>
      <c r="HJ186" s="58"/>
      <c r="HK186" s="58"/>
      <c r="HL186" s="58"/>
      <c r="HM186" s="58"/>
      <c r="HN186" s="58"/>
      <c r="HO186" s="58"/>
      <c r="HP186" s="58"/>
      <c r="HQ186" s="58"/>
      <c r="HR186" s="58"/>
      <c r="HS186" s="58"/>
      <c r="HT186" s="58"/>
      <c r="HU186" s="58"/>
      <c r="HV186" s="58"/>
      <c r="HW186" s="58"/>
      <c r="HX186" s="58"/>
      <c r="HY186" s="58"/>
      <c r="HZ186" s="58"/>
      <c r="IA186" s="58"/>
      <c r="IB186" s="58"/>
      <c r="IC186" s="58"/>
      <c r="ID186" s="58"/>
      <c r="IE186" s="58"/>
      <c r="IF186" s="58"/>
      <c r="IG186" s="58"/>
      <c r="IH186" s="58"/>
      <c r="II186" s="58"/>
      <c r="IJ186" s="58"/>
      <c r="IK186" s="58"/>
      <c r="IL186" s="58"/>
      <c r="IM186" s="58"/>
      <c r="IN186" s="58"/>
      <c r="IO186" s="58"/>
      <c r="IP186" s="58"/>
      <c r="IQ186" s="58"/>
      <c r="IR186" s="58"/>
      <c r="IS186" s="58"/>
      <c r="IT186" s="58"/>
      <c r="IU186" s="58"/>
      <c r="IV186" s="58"/>
    </row>
    <row r="187" spans="1:256" s="50" customFormat="1" ht="15" customHeight="1">
      <c r="A187" s="50" t="s">
        <v>112</v>
      </c>
      <c r="B187" s="50" t="s">
        <v>113</v>
      </c>
      <c r="C187" s="50" t="s">
        <v>114</v>
      </c>
      <c r="D187" s="50" t="s">
        <v>115</v>
      </c>
      <c r="E187" s="50" t="s">
        <v>116</v>
      </c>
      <c r="F187" s="50" t="s">
        <v>117</v>
      </c>
      <c r="G187" s="50" t="s">
        <v>118</v>
      </c>
      <c r="H187" s="50" t="s">
        <v>119</v>
      </c>
      <c r="I187" s="50" t="s">
        <v>120</v>
      </c>
      <c r="J187" s="50" t="s">
        <v>121</v>
      </c>
      <c r="K187" s="50" t="s">
        <v>122</v>
      </c>
      <c r="L187" s="50" t="s">
        <v>123</v>
      </c>
      <c r="M187" s="50" t="s">
        <v>124</v>
      </c>
      <c r="N187" s="50" t="s">
        <v>125</v>
      </c>
      <c r="O187" s="50" t="s">
        <v>126</v>
      </c>
    </row>
    <row r="188" spans="1:256" s="50" customFormat="1" ht="15" customHeight="1">
      <c r="A188" s="49" t="s">
        <v>721</v>
      </c>
      <c r="B188" s="49" t="s">
        <v>127</v>
      </c>
      <c r="C188" s="49">
        <v>335477.22100000002</v>
      </c>
      <c r="D188" s="49">
        <v>0</v>
      </c>
      <c r="E188" s="49">
        <v>335477.22100000002</v>
      </c>
      <c r="F188" s="49">
        <v>328691.58299999998</v>
      </c>
      <c r="G188" s="49">
        <v>97.977317810200887</v>
      </c>
      <c r="H188" s="49">
        <v>0</v>
      </c>
      <c r="I188" s="49">
        <v>0</v>
      </c>
      <c r="J188" s="49">
        <v>32.369999999999997</v>
      </c>
      <c r="K188" s="49">
        <v>0.01</v>
      </c>
      <c r="L188" s="49">
        <v>0</v>
      </c>
      <c r="M188" s="49">
        <v>0</v>
      </c>
      <c r="N188" s="49">
        <v>328723.95299999998</v>
      </c>
      <c r="O188" s="49">
        <v>195.97</v>
      </c>
    </row>
    <row r="189" spans="1:256" s="52" customFormat="1" ht="15" customHeight="1">
      <c r="A189" s="51" t="s">
        <v>722</v>
      </c>
      <c r="B189" s="51" t="s">
        <v>128</v>
      </c>
      <c r="C189" s="51">
        <v>316848.39300000004</v>
      </c>
      <c r="D189" s="51">
        <v>166.45</v>
      </c>
      <c r="E189" s="51">
        <v>316681.94299999997</v>
      </c>
      <c r="F189" s="51">
        <v>316592.50300000003</v>
      </c>
      <c r="G189" s="51">
        <v>99.971757151938419</v>
      </c>
      <c r="H189" s="51">
        <v>24.9</v>
      </c>
      <c r="I189" s="51">
        <v>0.02</v>
      </c>
      <c r="J189" s="51">
        <v>7.03</v>
      </c>
      <c r="K189" s="51">
        <v>0</v>
      </c>
      <c r="L189" s="51">
        <v>0</v>
      </c>
      <c r="M189" s="51">
        <v>0</v>
      </c>
      <c r="N189" s="51">
        <v>316624.43300000002</v>
      </c>
      <c r="O189" s="51">
        <v>199.96</v>
      </c>
    </row>
    <row r="190" spans="1:256" s="50" customFormat="1" ht="15" customHeight="1">
      <c r="A190" s="49" t="s">
        <v>723</v>
      </c>
      <c r="B190" s="49" t="s">
        <v>129</v>
      </c>
      <c r="C190" s="49">
        <v>313986.38299999997</v>
      </c>
      <c r="D190" s="49">
        <v>271.44</v>
      </c>
      <c r="E190" s="49">
        <v>313714.94299999997</v>
      </c>
      <c r="F190" s="49">
        <v>313187.71999999997</v>
      </c>
      <c r="G190" s="49">
        <v>99.831942018777227</v>
      </c>
      <c r="H190" s="49">
        <v>273.66000000000003</v>
      </c>
      <c r="I190" s="49">
        <v>0.17</v>
      </c>
      <c r="J190" s="49">
        <v>45.980000000000004</v>
      </c>
      <c r="K190" s="49">
        <v>0.03</v>
      </c>
      <c r="L190" s="49">
        <v>0</v>
      </c>
      <c r="M190" s="49">
        <v>0</v>
      </c>
      <c r="N190" s="49">
        <v>313507.36</v>
      </c>
      <c r="O190" s="49">
        <v>199.86</v>
      </c>
    </row>
    <row r="191" spans="1:256" s="52" customFormat="1" ht="15" customHeight="1">
      <c r="A191" s="51" t="s">
        <v>724</v>
      </c>
      <c r="B191" s="51" t="s">
        <v>130</v>
      </c>
      <c r="C191" s="51">
        <v>131085.85399999999</v>
      </c>
      <c r="D191" s="51">
        <v>5668.7190000000001</v>
      </c>
      <c r="E191" s="51">
        <v>125417.13499999999</v>
      </c>
      <c r="F191" s="51">
        <v>125824.109</v>
      </c>
      <c r="G191" s="51">
        <v>100.32449632978779</v>
      </c>
      <c r="H191" s="51">
        <v>87.259999999999991</v>
      </c>
      <c r="I191" s="51">
        <v>0.13</v>
      </c>
      <c r="J191" s="51">
        <v>38.65</v>
      </c>
      <c r="K191" s="51">
        <v>6.0000000000000005E-2</v>
      </c>
      <c r="L191" s="51">
        <v>0</v>
      </c>
      <c r="M191" s="51">
        <v>0</v>
      </c>
      <c r="N191" s="51">
        <v>125950.019</v>
      </c>
      <c r="O191" s="51">
        <v>200.86</v>
      </c>
    </row>
    <row r="192" spans="1:256" s="50" customFormat="1" ht="15" customHeight="1">
      <c r="A192" s="49" t="s">
        <v>725</v>
      </c>
      <c r="B192" s="49" t="s">
        <v>131</v>
      </c>
      <c r="C192" s="49">
        <v>18895.874</v>
      </c>
      <c r="D192" s="49">
        <v>11.1</v>
      </c>
      <c r="E192" s="49">
        <v>18884.773999999998</v>
      </c>
      <c r="F192" s="49">
        <v>18459.987000000001</v>
      </c>
      <c r="G192" s="49">
        <v>97.750637630082323</v>
      </c>
      <c r="H192" s="49">
        <v>31.994</v>
      </c>
      <c r="I192" s="49">
        <v>0.31000000000000005</v>
      </c>
      <c r="J192" s="49">
        <v>0</v>
      </c>
      <c r="K192" s="49">
        <v>0</v>
      </c>
      <c r="L192" s="49">
        <v>0</v>
      </c>
      <c r="M192" s="49">
        <v>0</v>
      </c>
      <c r="N192" s="49">
        <v>18491.981</v>
      </c>
      <c r="O192" s="49">
        <v>195.82</v>
      </c>
    </row>
    <row r="193" spans="1:15" s="52" customFormat="1" ht="15" customHeight="1">
      <c r="A193" s="51" t="s">
        <v>726</v>
      </c>
      <c r="B193" s="51" t="s">
        <v>132</v>
      </c>
      <c r="C193" s="51">
        <v>3480.0060000000003</v>
      </c>
      <c r="D193" s="51">
        <v>64.960999999999999</v>
      </c>
      <c r="E193" s="51">
        <v>3415.0450000000001</v>
      </c>
      <c r="F193" s="51">
        <v>3258.5159999999996</v>
      </c>
      <c r="G193" s="51">
        <v>95.416487923292365</v>
      </c>
      <c r="H193" s="51">
        <v>0</v>
      </c>
      <c r="I193" s="51">
        <v>0</v>
      </c>
      <c r="J193" s="51">
        <v>0</v>
      </c>
      <c r="K193" s="51">
        <v>0</v>
      </c>
      <c r="L193" s="51">
        <v>0</v>
      </c>
      <c r="M193" s="51">
        <v>0</v>
      </c>
      <c r="N193" s="51">
        <v>3258.5159999999996</v>
      </c>
      <c r="O193" s="51">
        <v>191.28</v>
      </c>
    </row>
    <row r="194" spans="1:15" s="50" customFormat="1" ht="15" customHeight="1">
      <c r="A194" s="49" t="s">
        <v>727</v>
      </c>
      <c r="B194" s="49" t="s">
        <v>133</v>
      </c>
      <c r="C194" s="49">
        <v>48822.96</v>
      </c>
      <c r="D194" s="49">
        <v>3657.3250000000003</v>
      </c>
      <c r="E194" s="49">
        <v>45165.635000000002</v>
      </c>
      <c r="F194" s="49">
        <v>45086.7</v>
      </c>
      <c r="G194" s="49">
        <v>99.825232170432216</v>
      </c>
      <c r="H194" s="49">
        <v>69.06</v>
      </c>
      <c r="I194" s="49">
        <v>0.31</v>
      </c>
      <c r="J194" s="49">
        <v>25.91</v>
      </c>
      <c r="K194" s="49">
        <v>0.12</v>
      </c>
      <c r="L194" s="49">
        <v>0</v>
      </c>
      <c r="M194" s="49">
        <v>0</v>
      </c>
      <c r="N194" s="49">
        <v>45181.67</v>
      </c>
      <c r="O194" s="49">
        <v>199.98000000000002</v>
      </c>
    </row>
    <row r="195" spans="1:15">
      <c r="F195" s="55">
        <f>SUM(F188:F194)</f>
        <v>1151101.118</v>
      </c>
      <c r="H195" s="55">
        <f>SUM(H188:H194)</f>
        <v>486.87399999999997</v>
      </c>
      <c r="J195" s="55">
        <f>SUM(J188:J194)</f>
        <v>149.94</v>
      </c>
      <c r="N195" s="55">
        <f>SUM(N188:N194)</f>
        <v>1151737.9319999998</v>
      </c>
    </row>
  </sheetData>
  <mergeCells count="2">
    <mergeCell ref="A186:C186"/>
    <mergeCell ref="A172:C172"/>
  </mergeCells>
  <phoneticPr fontId="2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84"/>
  <sheetViews>
    <sheetView zoomScale="90" zoomScaleNormal="90" workbookViewId="0">
      <pane xSplit="3" ySplit="2" topLeftCell="H3" activePane="bottomRight" state="frozen"/>
      <selection pane="topRight" activeCell="D1" sqref="D1"/>
      <selection pane="bottomLeft" activeCell="A3" sqref="A3"/>
      <selection pane="bottomRight" activeCell="S18" sqref="S18"/>
    </sheetView>
  </sheetViews>
  <sheetFormatPr defaultRowHeight="13.5"/>
  <cols>
    <col min="1" max="1" width="13" customWidth="1"/>
    <col min="2" max="2" width="12.88671875" style="286" customWidth="1"/>
    <col min="3" max="3" width="7.33203125" hidden="1" customWidth="1"/>
    <col min="4" max="6" width="7.44140625" style="286" hidden="1" customWidth="1"/>
    <col min="7" max="7" width="8.88671875" style="286" hidden="1" customWidth="1"/>
    <col min="8" max="8" width="7.77734375" customWidth="1"/>
    <col min="9" max="10" width="8.88671875" style="286" customWidth="1"/>
    <col min="11" max="11" width="7" style="69" customWidth="1"/>
    <col min="12" max="16" width="6.88671875" style="69" customWidth="1"/>
    <col min="17" max="17" width="6.88671875" style="673" customWidth="1"/>
    <col min="18" max="23" width="6.88671875" style="69" customWidth="1"/>
    <col min="24" max="24" width="8.77734375" customWidth="1"/>
    <col min="31" max="31" width="5.21875" bestFit="1" customWidth="1"/>
    <col min="32" max="32" width="7.5546875" bestFit="1" customWidth="1"/>
    <col min="33" max="33" width="5.21875" bestFit="1" customWidth="1"/>
    <col min="38" max="38" width="8.6640625" customWidth="1"/>
    <col min="56" max="56" width="11.33203125" bestFit="1" customWidth="1"/>
    <col min="57" max="57" width="10.77734375" customWidth="1"/>
    <col min="58" max="59" width="11.33203125" bestFit="1" customWidth="1"/>
    <col min="60" max="60" width="15" customWidth="1"/>
    <col min="61" max="61" width="9" bestFit="1" customWidth="1"/>
    <col min="62" max="62" width="11.33203125" bestFit="1" customWidth="1"/>
  </cols>
  <sheetData>
    <row r="1" spans="1:63" ht="21" thickBot="1">
      <c r="A1" s="6695" t="s">
        <v>2264</v>
      </c>
      <c r="B1" s="6695"/>
      <c r="C1" s="6695"/>
      <c r="D1" s="6695"/>
      <c r="E1" s="6695"/>
      <c r="F1" s="6695"/>
      <c r="G1" s="6695"/>
      <c r="H1" s="6695"/>
      <c r="I1" s="6695"/>
      <c r="J1" s="6695"/>
      <c r="K1" s="6695"/>
      <c r="L1" s="6695"/>
      <c r="M1" s="6695"/>
      <c r="N1" s="6695"/>
      <c r="O1" s="6695"/>
      <c r="P1" s="6695"/>
      <c r="Q1" s="6695"/>
      <c r="R1" s="6695"/>
      <c r="S1" s="6695"/>
      <c r="T1" s="6695"/>
      <c r="U1" s="6695"/>
      <c r="V1" s="6695"/>
      <c r="W1" s="6695"/>
      <c r="AA1" s="286"/>
      <c r="AB1" s="286"/>
      <c r="AC1" s="286"/>
    </row>
    <row r="2" spans="1:63" ht="33">
      <c r="A2" s="7925" t="s">
        <v>548</v>
      </c>
      <c r="B2" s="7925"/>
      <c r="C2" s="615" t="s">
        <v>1014</v>
      </c>
      <c r="D2" s="1648" t="s">
        <v>1013</v>
      </c>
      <c r="E2" s="1648" t="s">
        <v>1012</v>
      </c>
      <c r="F2" s="2838" t="s">
        <v>1359</v>
      </c>
      <c r="G2" s="3768" t="s">
        <v>1305</v>
      </c>
      <c r="H2" s="616" t="s">
        <v>1955</v>
      </c>
      <c r="I2" s="3768" t="s">
        <v>2149</v>
      </c>
      <c r="J2" s="3768" t="s">
        <v>2151</v>
      </c>
      <c r="K2" s="3768" t="s">
        <v>18</v>
      </c>
      <c r="L2" s="7615" t="s">
        <v>5</v>
      </c>
      <c r="M2" s="3771" t="s">
        <v>6</v>
      </c>
      <c r="N2" s="7106" t="s">
        <v>7</v>
      </c>
      <c r="O2" s="3768" t="s">
        <v>8</v>
      </c>
      <c r="P2" s="4798" t="s">
        <v>9</v>
      </c>
      <c r="Q2" s="2235" t="s">
        <v>2150</v>
      </c>
      <c r="R2" s="3768" t="s">
        <v>10</v>
      </c>
      <c r="S2" s="3768" t="s">
        <v>11</v>
      </c>
      <c r="T2" s="3768" t="s">
        <v>12</v>
      </c>
      <c r="U2" s="4798" t="s">
        <v>13</v>
      </c>
      <c r="V2" s="5543" t="s">
        <v>14</v>
      </c>
      <c r="W2" s="2519" t="s">
        <v>15</v>
      </c>
      <c r="X2" s="1423" t="s">
        <v>1956</v>
      </c>
      <c r="BH2" t="s">
        <v>1967</v>
      </c>
      <c r="BI2" t="s">
        <v>1968</v>
      </c>
    </row>
    <row r="3" spans="1:63" s="286" customFormat="1" ht="22.5" customHeight="1">
      <c r="A3" s="7924" t="s">
        <v>1116</v>
      </c>
      <c r="B3" s="7924"/>
      <c r="C3" s="2848">
        <f>종합!E22/12</f>
        <v>204.33333333333334</v>
      </c>
      <c r="D3" s="1649">
        <f>종합!F22/12</f>
        <v>96.064166666666651</v>
      </c>
      <c r="E3" s="1649">
        <f>종합!G22/12</f>
        <v>50.409166666666664</v>
      </c>
      <c r="F3" s="1649">
        <f>종합!H22/12</f>
        <v>42.083166666666671</v>
      </c>
      <c r="G3" s="3769">
        <f>종합!I22/12</f>
        <v>48.073333333333345</v>
      </c>
      <c r="H3" s="510">
        <f>AVERAGE(E3:G3)</f>
        <v>46.855222222222231</v>
      </c>
      <c r="I3" s="3769">
        <v>28.49666666666667</v>
      </c>
      <c r="J3" s="3769">
        <v>21.746666666666666</v>
      </c>
      <c r="K3" s="3770">
        <f>종합!M22</f>
        <v>15.01</v>
      </c>
      <c r="L3" s="7616">
        <f>종합!N22</f>
        <v>0.96</v>
      </c>
      <c r="M3" s="3772">
        <f>종합!O22</f>
        <v>14.87</v>
      </c>
      <c r="N3" s="4797">
        <f>종합!P22</f>
        <v>0</v>
      </c>
      <c r="O3" s="3770">
        <f>종합!Q22</f>
        <v>0</v>
      </c>
      <c r="P3" s="4053">
        <f>종합!R22</f>
        <v>0</v>
      </c>
      <c r="Q3" s="2236">
        <f>AVERAGE(K3:P3)</f>
        <v>5.14</v>
      </c>
      <c r="R3" s="3770">
        <f>종합!S22</f>
        <v>0</v>
      </c>
      <c r="S3" s="3770">
        <f>종합!T22</f>
        <v>0</v>
      </c>
      <c r="T3" s="3770">
        <f>종합!U22</f>
        <v>0</v>
      </c>
      <c r="U3" s="4053">
        <f>종합!V22</f>
        <v>0</v>
      </c>
      <c r="V3" s="5544">
        <f>종합!W22</f>
        <v>0</v>
      </c>
      <c r="W3" s="2056">
        <f>종합!X22</f>
        <v>0</v>
      </c>
      <c r="X3" s="1424">
        <f>종합!L22</f>
        <v>21.167166666666667</v>
      </c>
      <c r="BD3" s="286">
        <v>19.001744698885588</v>
      </c>
      <c r="BG3" s="673" t="s">
        <v>1586</v>
      </c>
      <c r="BH3" s="673">
        <v>21434.394999999997</v>
      </c>
      <c r="BI3" s="673">
        <v>329927.99199999997</v>
      </c>
      <c r="BJ3" s="286">
        <v>351766.38199999998</v>
      </c>
      <c r="BK3" s="286">
        <f>BJ3/12</f>
        <v>29313.865166666666</v>
      </c>
    </row>
    <row r="4" spans="1:63" s="286" customFormat="1" ht="22.5" customHeight="1">
      <c r="A4" s="7923" t="s">
        <v>1097</v>
      </c>
      <c r="B4" s="7923"/>
      <c r="C4" s="1647">
        <f>(종합!E51+종합!E58)/12</f>
        <v>128</v>
      </c>
      <c r="D4" s="1647">
        <f>(종합!F51+종합!F58)/12</f>
        <v>430.05891666666668</v>
      </c>
      <c r="E4" s="1647">
        <f>(종합!G51+종합!G58)/12</f>
        <v>205.41499999999999</v>
      </c>
      <c r="F4" s="1647">
        <f>(종합!H51+종합!H58)/12</f>
        <v>134.05775</v>
      </c>
      <c r="G4" s="3769">
        <f>(종합!I51+종합!I58)/12</f>
        <v>112.474</v>
      </c>
      <c r="H4" s="510">
        <f t="shared" ref="H4:H22" si="0">AVERAGE(E4:G4)</f>
        <v>150.64891666666668</v>
      </c>
      <c r="I4" s="3769">
        <v>79.964833333333331</v>
      </c>
      <c r="J4" s="3769">
        <v>77.182000000000002</v>
      </c>
      <c r="K4" s="3770">
        <f>종합!M51+종합!M58</f>
        <v>22.184000000000001</v>
      </c>
      <c r="L4" s="7616">
        <f>종합!N51+종합!N58</f>
        <v>19.324999999999999</v>
      </c>
      <c r="M4" s="3772">
        <f>종합!O51+종합!O58</f>
        <v>199.33200000000002</v>
      </c>
      <c r="N4" s="4797">
        <f>종합!P51+종합!P58</f>
        <v>0</v>
      </c>
      <c r="O4" s="3770">
        <f>종합!Q51+종합!Q58</f>
        <v>0</v>
      </c>
      <c r="P4" s="4053">
        <f>종합!R51+종합!R58</f>
        <v>0</v>
      </c>
      <c r="Q4" s="2236">
        <f t="shared" ref="Q4:Q22" si="1">AVERAGE(K4:P4)</f>
        <v>40.140166666666666</v>
      </c>
      <c r="R4" s="3770">
        <f>종합!S51+종합!S58</f>
        <v>0</v>
      </c>
      <c r="S4" s="3770">
        <f>종합!T51+종합!T58</f>
        <v>0</v>
      </c>
      <c r="T4" s="3770">
        <f>종합!U51+종합!U58</f>
        <v>0</v>
      </c>
      <c r="U4" s="4053">
        <f>종합!V51+종합!V58</f>
        <v>0</v>
      </c>
      <c r="V4" s="5544">
        <f>종합!W51+종합!W58</f>
        <v>0</v>
      </c>
      <c r="W4" s="2236">
        <f>종합!X51+종합!X58</f>
        <v>0</v>
      </c>
      <c r="X4" s="2520">
        <f>종합!L51+종합!L58</f>
        <v>65.396652499999988</v>
      </c>
      <c r="BD4" s="286">
        <v>18.256128382076991</v>
      </c>
      <c r="BG4" s="673" t="s">
        <v>1587</v>
      </c>
      <c r="BH4" s="673">
        <v>17000.244999999999</v>
      </c>
      <c r="BI4" s="673">
        <v>307718.61499999999</v>
      </c>
      <c r="BJ4" s="286">
        <v>346353.45400000003</v>
      </c>
      <c r="BK4" s="286">
        <f>BJ4/12</f>
        <v>28862.787833333336</v>
      </c>
    </row>
    <row r="5" spans="1:63" s="286" customFormat="1" ht="22.5" customHeight="1">
      <c r="A5" s="7928" t="s">
        <v>1095</v>
      </c>
      <c r="B5" s="7929"/>
      <c r="C5" s="2849"/>
      <c r="D5" s="2849"/>
      <c r="E5" s="2849"/>
      <c r="F5" s="2850"/>
      <c r="G5" s="3769">
        <v>73</v>
      </c>
      <c r="H5" s="510">
        <f t="shared" si="0"/>
        <v>73</v>
      </c>
      <c r="I5" s="3769">
        <v>10.451666666666666</v>
      </c>
      <c r="J5" s="3769">
        <v>33.13283333333333</v>
      </c>
      <c r="K5" s="3770">
        <f>종합!M71</f>
        <v>8.52</v>
      </c>
      <c r="L5" s="7616">
        <f>종합!N71</f>
        <v>16.46</v>
      </c>
      <c r="M5" s="3772">
        <f>종합!O71</f>
        <v>53.67</v>
      </c>
      <c r="N5" s="4797">
        <f>종합!P71</f>
        <v>0</v>
      </c>
      <c r="O5" s="3770">
        <f>종합!Q71</f>
        <v>0</v>
      </c>
      <c r="P5" s="4053">
        <f>종합!R71</f>
        <v>0</v>
      </c>
      <c r="Q5" s="2236">
        <f t="shared" si="1"/>
        <v>13.108333333333334</v>
      </c>
      <c r="R5" s="3770">
        <f>종합!S71</f>
        <v>0</v>
      </c>
      <c r="S5" s="3770">
        <f>종합!T71</f>
        <v>0</v>
      </c>
      <c r="T5" s="3770">
        <f>종합!U71</f>
        <v>0</v>
      </c>
      <c r="U5" s="4053">
        <f>종합!V71</f>
        <v>0</v>
      </c>
      <c r="V5" s="5544">
        <f>종합!W71</f>
        <v>0</v>
      </c>
      <c r="W5" s="2056">
        <f>종합!X71</f>
        <v>0</v>
      </c>
      <c r="X5" s="1917">
        <f>종합!L71</f>
        <v>23.120875000000002</v>
      </c>
      <c r="BD5" s="286">
        <v>3.3374206712577461</v>
      </c>
      <c r="BG5" s="673" t="s">
        <v>699</v>
      </c>
      <c r="BH5" s="673">
        <v>15407.464999999998</v>
      </c>
      <c r="BI5" s="673">
        <v>319796.21900000004</v>
      </c>
      <c r="BJ5" s="286">
        <v>362116.027</v>
      </c>
      <c r="BK5" s="286">
        <f>BJ5/12</f>
        <v>30176.335583333333</v>
      </c>
    </row>
    <row r="6" spans="1:63" s="286" customFormat="1" ht="22.5" customHeight="1">
      <c r="A6" s="7928" t="s">
        <v>1096</v>
      </c>
      <c r="B6" s="7929"/>
      <c r="C6" s="2849"/>
      <c r="D6" s="2849"/>
      <c r="E6" s="2849"/>
      <c r="F6" s="2850"/>
      <c r="G6" s="3769">
        <f>종합!I65/12</f>
        <v>68.370666666666665</v>
      </c>
      <c r="H6" s="510">
        <f t="shared" si="0"/>
        <v>68.370666666666665</v>
      </c>
      <c r="I6" s="3769">
        <v>39.151666666666664</v>
      </c>
      <c r="J6" s="3769">
        <v>71.418999999999997</v>
      </c>
      <c r="K6" s="3770">
        <f>종합!M65</f>
        <v>79.320000000000007</v>
      </c>
      <c r="L6" s="7616">
        <f>종합!N65</f>
        <v>33.019999999999996</v>
      </c>
      <c r="M6" s="3772">
        <f>종합!O65</f>
        <v>42.930000000000007</v>
      </c>
      <c r="N6" s="4797">
        <f>종합!P65</f>
        <v>0</v>
      </c>
      <c r="O6" s="3770">
        <f>종합!Q65</f>
        <v>0</v>
      </c>
      <c r="P6" s="4053">
        <f>종합!R65</f>
        <v>0</v>
      </c>
      <c r="Q6" s="2236">
        <f t="shared" si="1"/>
        <v>25.878333333333334</v>
      </c>
      <c r="R6" s="3770">
        <f>종합!S65</f>
        <v>0</v>
      </c>
      <c r="S6" s="3770">
        <f>종합!T65</f>
        <v>0</v>
      </c>
      <c r="T6" s="3770">
        <f>종합!U65</f>
        <v>0</v>
      </c>
      <c r="U6" s="4053">
        <f>종합!V65</f>
        <v>0</v>
      </c>
      <c r="V6" s="5544">
        <f>종합!W65</f>
        <v>0</v>
      </c>
      <c r="W6" s="2056">
        <f>종합!X65</f>
        <v>0</v>
      </c>
      <c r="X6" s="1917">
        <f>종합!L65</f>
        <v>38.704499999999996</v>
      </c>
      <c r="BD6" s="286">
        <v>5.4775131817827143</v>
      </c>
      <c r="BG6" s="673" t="s">
        <v>1008</v>
      </c>
      <c r="BH6" s="673">
        <v>14678.220000000001</v>
      </c>
      <c r="BI6" s="673">
        <v>321542.93400000001</v>
      </c>
      <c r="BJ6" s="286">
        <v>355817.74099999998</v>
      </c>
      <c r="BK6" s="286">
        <f>BJ6/12</f>
        <v>29651.478416666665</v>
      </c>
    </row>
    <row r="7" spans="1:63" s="286" customFormat="1" ht="22.5" customHeight="1" thickBot="1">
      <c r="A7" s="7923" t="s">
        <v>1098</v>
      </c>
      <c r="B7" s="7923"/>
      <c r="C7" s="1647">
        <f>SUM(C4:C6)</f>
        <v>128</v>
      </c>
      <c r="D7" s="1647">
        <f>SUM(D4:D6)</f>
        <v>430.05891666666668</v>
      </c>
      <c r="E7" s="1647">
        <f>SUM(E4:E6)</f>
        <v>205.41499999999999</v>
      </c>
      <c r="F7" s="1647">
        <f>SUM(F4:F6)</f>
        <v>134.05775</v>
      </c>
      <c r="G7" s="3770">
        <f>(종합!I51+종합!I58+종합!I65+종합!I71)/12</f>
        <v>232.87758333333332</v>
      </c>
      <c r="H7" s="510">
        <f t="shared" si="0"/>
        <v>190.78344444444443</v>
      </c>
      <c r="I7" s="3770">
        <v>129.56816666666666</v>
      </c>
      <c r="J7" s="3770">
        <v>181.73383333333334</v>
      </c>
      <c r="K7" s="3770">
        <f>SUM(K4:K6)</f>
        <v>110.024</v>
      </c>
      <c r="L7" s="7616">
        <f t="shared" ref="L7:W7" si="2">SUM(L4:L6)</f>
        <v>68.804999999999993</v>
      </c>
      <c r="M7" s="3772">
        <f t="shared" si="2"/>
        <v>295.93200000000002</v>
      </c>
      <c r="N7" s="4797">
        <f t="shared" si="2"/>
        <v>0</v>
      </c>
      <c r="O7" s="3770">
        <f>SUM(O4:O6)</f>
        <v>0</v>
      </c>
      <c r="P7" s="4053">
        <f t="shared" si="2"/>
        <v>0</v>
      </c>
      <c r="Q7" s="2236">
        <f t="shared" si="2"/>
        <v>79.126833333333337</v>
      </c>
      <c r="R7" s="3770">
        <f t="shared" si="2"/>
        <v>0</v>
      </c>
      <c r="S7" s="3770">
        <f t="shared" si="2"/>
        <v>0</v>
      </c>
      <c r="T7" s="3770">
        <f t="shared" si="2"/>
        <v>0</v>
      </c>
      <c r="U7" s="4053">
        <f>SUM(U4:U6)</f>
        <v>0</v>
      </c>
      <c r="V7" s="5544">
        <f>SUM(V4:V6)</f>
        <v>0</v>
      </c>
      <c r="W7" s="2056">
        <f t="shared" si="2"/>
        <v>0</v>
      </c>
      <c r="X7" s="1917">
        <f>X4+X5+X6</f>
        <v>127.22202749999998</v>
      </c>
      <c r="BD7" s="286">
        <v>11.546987385240101</v>
      </c>
      <c r="BG7" s="673" t="s">
        <v>1883</v>
      </c>
      <c r="BH7" s="673">
        <v>11982.960000000001</v>
      </c>
      <c r="BI7" s="673">
        <v>322768.60499999998</v>
      </c>
      <c r="BJ7" s="673"/>
      <c r="BK7" s="673">
        <f>BI7/10</f>
        <v>32276.860499999999</v>
      </c>
    </row>
    <row r="8" spans="1:63" s="286" customFormat="1" ht="22.5" customHeight="1" thickBot="1">
      <c r="A8" s="7923" t="s">
        <v>551</v>
      </c>
      <c r="B8" s="7923"/>
      <c r="C8" s="4053">
        <f>종합!E77/12</f>
        <v>682.85416666666663</v>
      </c>
      <c r="D8" s="4053">
        <f>종합!F77/12</f>
        <v>788.26833333333332</v>
      </c>
      <c r="E8" s="4053">
        <f>종합!G77/12</f>
        <v>654.91999999999996</v>
      </c>
      <c r="F8" s="4053">
        <f>종합!H77/12</f>
        <v>599.01583333333326</v>
      </c>
      <c r="G8" s="3770">
        <f>종합!I77/12</f>
        <v>581.51374999999996</v>
      </c>
      <c r="H8" s="510">
        <f t="shared" si="0"/>
        <v>611.81652777777765</v>
      </c>
      <c r="I8" s="3770">
        <v>566.81666666666672</v>
      </c>
      <c r="J8" s="3770">
        <v>451.13166666666672</v>
      </c>
      <c r="K8" s="3770">
        <f>종합!M77</f>
        <v>68.300000000000011</v>
      </c>
      <c r="L8" s="7616">
        <f>종합!N77</f>
        <v>69.61</v>
      </c>
      <c r="M8" s="3772">
        <f>종합!O77</f>
        <v>437.96000000000004</v>
      </c>
      <c r="N8" s="4797">
        <f>종합!P77</f>
        <v>0</v>
      </c>
      <c r="O8" s="3770">
        <f>종합!Q77</f>
        <v>0</v>
      </c>
      <c r="P8" s="4053">
        <f>종합!R77</f>
        <v>0</v>
      </c>
      <c r="Q8" s="2236">
        <f t="shared" si="1"/>
        <v>95.978333333333353</v>
      </c>
      <c r="R8" s="3770">
        <f>종합!S77</f>
        <v>0</v>
      </c>
      <c r="S8" s="3770">
        <f>종합!T77</f>
        <v>0</v>
      </c>
      <c r="T8" s="3770">
        <f>종합!U77</f>
        <v>0</v>
      </c>
      <c r="U8" s="4053">
        <f>종합!V77</f>
        <v>0</v>
      </c>
      <c r="V8" s="4797">
        <f>종합!W77</f>
        <v>0</v>
      </c>
      <c r="W8" s="2055">
        <f>종합!X77</f>
        <v>0</v>
      </c>
      <c r="X8" s="4143">
        <f>종합!L77</f>
        <v>546.56917999999996</v>
      </c>
      <c r="BD8" s="3421" t="s">
        <v>1084</v>
      </c>
      <c r="BE8" s="3422" t="s">
        <v>1083</v>
      </c>
      <c r="BF8" s="3422" t="s">
        <v>1079</v>
      </c>
      <c r="BG8" s="3423" t="s">
        <v>1080</v>
      </c>
      <c r="BH8" s="4541" t="s">
        <v>1681</v>
      </c>
    </row>
    <row r="9" spans="1:63" s="286" customFormat="1" ht="22.5" customHeight="1" thickTop="1">
      <c r="A9" s="7932" t="s">
        <v>734</v>
      </c>
      <c r="B9" s="7932"/>
      <c r="C9" s="510">
        <f>(고장!G43+고장!G81)/12</f>
        <v>41.318055555555553</v>
      </c>
      <c r="D9" s="510">
        <f>(고장!H43+고장!H81)/12</f>
        <v>38.69444444444445</v>
      </c>
      <c r="E9" s="510">
        <f>(고장!I43+고장!I81)/12</f>
        <v>25.170833333333334</v>
      </c>
      <c r="F9" s="510">
        <f>(고장!J43+고장!J81)/12</f>
        <v>14.806944444444445</v>
      </c>
      <c r="G9" s="3769">
        <f>(고장!K43+고장!K81)/12</f>
        <v>12.60138888888889</v>
      </c>
      <c r="H9" s="510">
        <f t="shared" si="0"/>
        <v>17.526388888888892</v>
      </c>
      <c r="I9" s="3769">
        <v>9.0111111111111111</v>
      </c>
      <c r="J9" s="3769">
        <v>15.208333333333336</v>
      </c>
      <c r="K9" s="3770">
        <f>고장!O43+고장!O81</f>
        <v>1.1666666666666667</v>
      </c>
      <c r="L9" s="7616">
        <f>고장!P43+고장!P81</f>
        <v>0.58333333333333337</v>
      </c>
      <c r="M9" s="3772">
        <f>고장!Q43+고장!Q81</f>
        <v>11.4</v>
      </c>
      <c r="N9" s="4797">
        <f>고장!R43+고장!R81</f>
        <v>0</v>
      </c>
      <c r="O9" s="3770">
        <f>고장!S43+고장!S81</f>
        <v>0</v>
      </c>
      <c r="P9" s="4053">
        <f>고장!T43+고장!T81</f>
        <v>0</v>
      </c>
      <c r="Q9" s="2236">
        <f t="shared" si="1"/>
        <v>2.1916666666666669</v>
      </c>
      <c r="R9" s="3770">
        <f>고장!U43+고장!U81</f>
        <v>0</v>
      </c>
      <c r="S9" s="3770">
        <f>고장!V43+고장!V81</f>
        <v>0</v>
      </c>
      <c r="T9" s="3770">
        <f>고장!W43+고장!W81</f>
        <v>0</v>
      </c>
      <c r="U9" s="4053">
        <f>고장!X43+고장!X81</f>
        <v>0</v>
      </c>
      <c r="V9" s="5544">
        <f>고장!Y43+고장!Y81</f>
        <v>0</v>
      </c>
      <c r="W9" s="2056">
        <f>고장!Z43+고장!Z81</f>
        <v>0</v>
      </c>
      <c r="X9" s="6699">
        <f>고장!N16</f>
        <v>8.2249999999999996</v>
      </c>
      <c r="BD9" s="3419" t="s">
        <v>255</v>
      </c>
      <c r="BE9" s="4055">
        <f>BH3/12</f>
        <v>1786.1995833333331</v>
      </c>
      <c r="BF9" s="4056">
        <f>BK3</f>
        <v>29313.865166666666</v>
      </c>
      <c r="BG9" s="4539">
        <f>BE9/BF9*1000</f>
        <v>60.933608487919685</v>
      </c>
      <c r="BH9" s="286" t="s">
        <v>1696</v>
      </c>
    </row>
    <row r="10" spans="1:63" s="286" customFormat="1" ht="22.5" customHeight="1">
      <c r="A10" s="7932" t="s">
        <v>66</v>
      </c>
      <c r="B10" s="7932"/>
      <c r="C10" s="510">
        <f>(고장!G53+고장!G91)/12</f>
        <v>25.916666666666668</v>
      </c>
      <c r="D10" s="510">
        <f>(고장!H53+고장!H91)/12</f>
        <v>22.833333333333332</v>
      </c>
      <c r="E10" s="510">
        <f>(고장!I53+고장!I91)/12</f>
        <v>13.166666666666666</v>
      </c>
      <c r="F10" s="510">
        <f>(고장!J53+고장!J91)/12</f>
        <v>9.25</v>
      </c>
      <c r="G10" s="3769">
        <f>(고장!K53+고장!K91)/12</f>
        <v>5.916666666666667</v>
      </c>
      <c r="H10" s="510">
        <f t="shared" si="0"/>
        <v>9.4444444444444446</v>
      </c>
      <c r="I10" s="3769">
        <v>5.666666666666667</v>
      </c>
      <c r="J10" s="3769">
        <v>6.333333333333333</v>
      </c>
      <c r="K10" s="3770">
        <f>고장!O53+고장!O91</f>
        <v>1</v>
      </c>
      <c r="L10" s="7616">
        <f>고장!P53+고장!P91</f>
        <v>1</v>
      </c>
      <c r="M10" s="3772">
        <f>고장!Q53+고장!Q91</f>
        <v>11</v>
      </c>
      <c r="N10" s="4797">
        <f>고장!R53+고장!R91</f>
        <v>0</v>
      </c>
      <c r="O10" s="3770">
        <f>고장!S53+고장!S91</f>
        <v>0</v>
      </c>
      <c r="P10" s="4053">
        <f>고장!T53+고장!T91</f>
        <v>0</v>
      </c>
      <c r="Q10" s="2236">
        <f t="shared" si="1"/>
        <v>2.1666666666666665</v>
      </c>
      <c r="R10" s="3770">
        <f>고장!U53+고장!U91</f>
        <v>0</v>
      </c>
      <c r="S10" s="5545">
        <f>고장!V53+고장!V91</f>
        <v>0</v>
      </c>
      <c r="T10" s="5545">
        <f>고장!W53+고장!W91</f>
        <v>0</v>
      </c>
      <c r="U10" s="7104">
        <f>고장!X53+고장!X91</f>
        <v>0</v>
      </c>
      <c r="V10" s="4949">
        <f>고장!Y53+고장!Y91</f>
        <v>0</v>
      </c>
      <c r="W10" s="4949">
        <f>고장!Z53+고장!Z91</f>
        <v>0</v>
      </c>
      <c r="X10" s="1424">
        <f>고장!N26</f>
        <v>5.0166666666666675</v>
      </c>
      <c r="BD10" s="3418" t="s">
        <v>697</v>
      </c>
      <c r="BE10" s="4055">
        <f>BH4/12</f>
        <v>1416.6870833333332</v>
      </c>
      <c r="BF10" s="4056">
        <f>BK4</f>
        <v>28862.787833333336</v>
      </c>
      <c r="BG10" s="3438">
        <f>BE10/BF10*1000</f>
        <v>49.083515130760027</v>
      </c>
    </row>
    <row r="11" spans="1:63" s="286" customFormat="1" ht="22.5" customHeight="1">
      <c r="A11" s="7926" t="s">
        <v>1069</v>
      </c>
      <c r="B11" s="7927"/>
      <c r="C11" s="1647">
        <f>172/12</f>
        <v>14.333333333333334</v>
      </c>
      <c r="D11" s="1647">
        <f>종합!AP202/12</f>
        <v>4.75</v>
      </c>
      <c r="E11" s="1647">
        <f>종합!AQ202/12</f>
        <v>2.9166666666666665</v>
      </c>
      <c r="F11" s="1647">
        <f>종합!AR202/12</f>
        <v>2.5</v>
      </c>
      <c r="G11" s="3769">
        <f>종합!AS202/12</f>
        <v>4.416666666666667</v>
      </c>
      <c r="H11" s="510">
        <f t="shared" si="0"/>
        <v>3.2777777777777772</v>
      </c>
      <c r="I11" s="6420">
        <v>1.8333333333333333</v>
      </c>
      <c r="J11" s="6420">
        <v>2.3333333333333335</v>
      </c>
      <c r="K11" s="3770">
        <f>종합!AU202</f>
        <v>0</v>
      </c>
      <c r="L11" s="7616">
        <f>종합!AV202</f>
        <v>1</v>
      </c>
      <c r="M11" s="3772">
        <f>종합!AW202</f>
        <v>1</v>
      </c>
      <c r="N11" s="4797">
        <f>종합!AX202</f>
        <v>0</v>
      </c>
      <c r="O11" s="3770">
        <f>종합!AY202</f>
        <v>0</v>
      </c>
      <c r="P11" s="3770">
        <f>종합!AZ202</f>
        <v>0</v>
      </c>
      <c r="Q11" s="2236">
        <f t="shared" si="1"/>
        <v>0.33333333333333331</v>
      </c>
      <c r="R11" s="3770">
        <f>종합!BA202</f>
        <v>0</v>
      </c>
      <c r="S11" s="3770">
        <f>종합!BB202</f>
        <v>0</v>
      </c>
      <c r="T11" s="3770">
        <f>종합!BC202</f>
        <v>0</v>
      </c>
      <c r="U11" s="3770">
        <f>종합!BD202</f>
        <v>0</v>
      </c>
      <c r="V11" s="3770">
        <f>종합!BE202</f>
        <v>0</v>
      </c>
      <c r="W11" s="3770">
        <f>종합!BF202</f>
        <v>0</v>
      </c>
      <c r="X11" s="7105">
        <v>20</v>
      </c>
      <c r="BD11" s="3414" t="s">
        <v>1155</v>
      </c>
      <c r="BE11" s="3420">
        <f>15407.465/12</f>
        <v>1283.9554166666667</v>
      </c>
      <c r="BF11" s="4056">
        <f>BK5</f>
        <v>30176.335583333333</v>
      </c>
      <c r="BG11" s="3438">
        <f>BE11/BF11*1000</f>
        <v>42.54842053704516</v>
      </c>
      <c r="BH11" s="286" t="s">
        <v>1497</v>
      </c>
    </row>
    <row r="12" spans="1:63" s="286" customFormat="1" ht="22.5" customHeight="1" thickBot="1">
      <c r="A12" s="7932" t="s">
        <v>552</v>
      </c>
      <c r="B12" s="7932"/>
      <c r="C12" s="510"/>
      <c r="D12" s="510">
        <f>종합!AP203/12</f>
        <v>80.583333333333329</v>
      </c>
      <c r="E12" s="510">
        <f>종합!AQ203/12</f>
        <v>20.166666666666668</v>
      </c>
      <c r="F12" s="510">
        <f>종합!AR203/12</f>
        <v>18.574749999999998</v>
      </c>
      <c r="G12" s="3769">
        <f>종합!AS203/12</f>
        <v>50.498333333333335</v>
      </c>
      <c r="H12" s="510">
        <f t="shared" si="0"/>
        <v>29.746583333333334</v>
      </c>
      <c r="I12" s="6421">
        <v>18.976333333333333</v>
      </c>
      <c r="J12" s="6421">
        <v>11.558833333333334</v>
      </c>
      <c r="K12" s="3770">
        <f>종합!AU203</f>
        <v>0</v>
      </c>
      <c r="L12" s="7616">
        <f>종합!AV203</f>
        <v>1.66</v>
      </c>
      <c r="M12" s="7107">
        <f>종합!AW203</f>
        <v>71.199999999999989</v>
      </c>
      <c r="N12" s="4797">
        <f>종합!AX203</f>
        <v>0</v>
      </c>
      <c r="O12" s="3770">
        <f>종합!AY203</f>
        <v>0</v>
      </c>
      <c r="P12" s="3770">
        <f>종합!AZ203</f>
        <v>0</v>
      </c>
      <c r="Q12" s="2236">
        <f t="shared" si="1"/>
        <v>12.143333333333331</v>
      </c>
      <c r="R12" s="3770">
        <f>종합!BA203</f>
        <v>0</v>
      </c>
      <c r="S12" s="3770">
        <f>종합!BB203</f>
        <v>0</v>
      </c>
      <c r="T12" s="3770">
        <f>종합!BC203</f>
        <v>0</v>
      </c>
      <c r="U12" s="3770">
        <f>종합!BD203</f>
        <v>0</v>
      </c>
      <c r="V12" s="3770">
        <f>종합!BE203</f>
        <v>0</v>
      </c>
      <c r="W12" s="3770">
        <f>종합!BF203</f>
        <v>0</v>
      </c>
      <c r="X12" s="7105">
        <f>183.2*0.9/12</f>
        <v>13.74</v>
      </c>
      <c r="AE12" s="286" t="s">
        <v>254</v>
      </c>
      <c r="AF12" s="286" t="s">
        <v>553</v>
      </c>
      <c r="AG12" s="286" t="s">
        <v>255</v>
      </c>
      <c r="BD12" s="5096" t="s">
        <v>1496</v>
      </c>
      <c r="BE12" s="6249">
        <f>14665.7/12</f>
        <v>1222.1416666666667</v>
      </c>
      <c r="BF12" s="6250">
        <f>BK6</f>
        <v>29651.478416666665</v>
      </c>
      <c r="BG12" s="4951">
        <f>BE12/BF12*1000</f>
        <v>41.216888058428772</v>
      </c>
      <c r="BH12" s="286" t="s">
        <v>1497</v>
      </c>
    </row>
    <row r="13" spans="1:63" s="286" customFormat="1" ht="22.5" customHeight="1">
      <c r="A13" s="7930" t="s">
        <v>1077</v>
      </c>
      <c r="B13" s="7931"/>
      <c r="C13" s="509">
        <f>종합!E45</f>
        <v>17.835320144059445</v>
      </c>
      <c r="D13" s="509">
        <f>종합!F45</f>
        <v>17.724799471759283</v>
      </c>
      <c r="E13" s="509">
        <f>종합!G45</f>
        <v>14.073726339329292</v>
      </c>
      <c r="F13" s="509">
        <f>종합!H45</f>
        <v>12.407393824934267</v>
      </c>
      <c r="G13" s="1650">
        <f>종합!I45</f>
        <v>12.368388174950876</v>
      </c>
      <c r="H13" s="510">
        <f t="shared" si="0"/>
        <v>12.949836113071479</v>
      </c>
      <c r="I13" s="1650">
        <v>11.153294880542903</v>
      </c>
      <c r="J13" s="6709">
        <v>10.405929742899234</v>
      </c>
      <c r="K13" s="6697">
        <f>종합!M45</f>
        <v>10.774990238582314</v>
      </c>
      <c r="L13" s="6697">
        <f>종합!N45</f>
        <v>13.519475615726289</v>
      </c>
      <c r="M13" s="3827">
        <f>종합!O45</f>
        <v>11.702109335026519</v>
      </c>
      <c r="N13" s="3827" t="e">
        <f>종합!P45</f>
        <v>#DIV/0!</v>
      </c>
      <c r="O13" s="3827" t="e">
        <f>종합!Q45</f>
        <v>#DIV/0!</v>
      </c>
      <c r="P13" s="6697" t="e">
        <f>종합!R45</f>
        <v>#DIV/0!</v>
      </c>
      <c r="Q13" s="2236" t="e">
        <f t="shared" si="1"/>
        <v>#DIV/0!</v>
      </c>
      <c r="R13" s="3827" t="e">
        <f>종합!S45</f>
        <v>#DIV/0!</v>
      </c>
      <c r="S13" s="3827" t="e">
        <f>종합!T45</f>
        <v>#DIV/0!</v>
      </c>
      <c r="T13" s="3827" t="e">
        <f>종합!U45</f>
        <v>#DIV/0!</v>
      </c>
      <c r="U13" s="3827" t="e">
        <f>종합!V45</f>
        <v>#DIV/0!</v>
      </c>
      <c r="V13" s="6697" t="e">
        <f>종합!W45</f>
        <v>#DIV/0!</v>
      </c>
      <c r="W13" s="6698" t="e">
        <f>종합!X45</f>
        <v>#DIV/0!</v>
      </c>
      <c r="X13" s="4054">
        <f>종합!K45</f>
        <v>10.005895876016195</v>
      </c>
      <c r="BD13" s="3414" t="s">
        <v>1883</v>
      </c>
      <c r="BE13" s="6253">
        <f>11982.96/12</f>
        <v>998.57999999999993</v>
      </c>
      <c r="BF13" s="6253">
        <f>BK7</f>
        <v>32276.860499999999</v>
      </c>
      <c r="BG13" s="5020">
        <v>37.125543855171422</v>
      </c>
      <c r="BH13" s="286" t="s">
        <v>1498</v>
      </c>
      <c r="BJ13" s="673" t="s">
        <v>1680</v>
      </c>
    </row>
    <row r="14" spans="1:63" s="286" customFormat="1" ht="22.5" customHeight="1">
      <c r="A14" s="7930" t="s">
        <v>1078</v>
      </c>
      <c r="B14" s="7931"/>
      <c r="C14" s="1562">
        <v>66.931939976537919</v>
      </c>
      <c r="D14" s="1562">
        <v>55.416395646358282</v>
      </c>
      <c r="E14" s="1562">
        <v>45.165855340365681</v>
      </c>
      <c r="F14" s="1562">
        <v>38.550182701523994</v>
      </c>
      <c r="G14" s="1562">
        <v>37.259772272007091</v>
      </c>
      <c r="H14" s="510">
        <f t="shared" si="0"/>
        <v>40.32527010463226</v>
      </c>
      <c r="I14" s="1562">
        <v>38.572962643821121</v>
      </c>
      <c r="J14" s="3708">
        <v>35.381540612003768</v>
      </c>
      <c r="K14" s="1562">
        <v>9.9131725560285275</v>
      </c>
      <c r="L14" s="1562">
        <v>9.0656325532346553</v>
      </c>
      <c r="M14" s="2013">
        <v>40.377280392572942</v>
      </c>
      <c r="N14" s="2013"/>
      <c r="O14" s="2013"/>
      <c r="P14" s="2231"/>
      <c r="Q14" s="2236">
        <f t="shared" si="1"/>
        <v>19.785361833945377</v>
      </c>
      <c r="R14" s="2013"/>
      <c r="S14" s="2013"/>
      <c r="T14" s="2013"/>
      <c r="U14" s="2013"/>
      <c r="V14" s="2643" t="e">
        <f>종합!W40</f>
        <v>#DIV/0!</v>
      </c>
      <c r="W14" s="2513"/>
      <c r="X14" s="6455"/>
      <c r="BD14" s="3419" t="s">
        <v>1081</v>
      </c>
      <c r="BE14" s="7103">
        <v>175.10400000000001</v>
      </c>
      <c r="BF14" s="6251">
        <v>17663.77</v>
      </c>
      <c r="BG14" s="6252">
        <f>BK34/BF14*1000</f>
        <v>10.111318251992639</v>
      </c>
      <c r="BH14" s="286">
        <v>28522.650999999765</v>
      </c>
      <c r="BJ14" s="673">
        <v>26574.859999999964</v>
      </c>
      <c r="BK14" s="286">
        <v>28600.431</v>
      </c>
    </row>
    <row r="15" spans="1:63" ht="22.5" customHeight="1">
      <c r="A15" s="7936" t="s">
        <v>549</v>
      </c>
      <c r="B15" s="7937"/>
      <c r="C15" s="508">
        <f>종합!E40</f>
        <v>20.282416117193858</v>
      </c>
      <c r="D15" s="508">
        <f>종합!F40</f>
        <v>18.464997227375001</v>
      </c>
      <c r="E15" s="508">
        <f>종합!G40</f>
        <v>19.12</v>
      </c>
      <c r="F15" s="2840"/>
      <c r="G15" s="1650">
        <f>종합!I40</f>
        <v>19.001744698885588</v>
      </c>
      <c r="H15" s="510">
        <f t="shared" si="0"/>
        <v>19.060872349442796</v>
      </c>
      <c r="I15" s="1650">
        <v>16.708993046535877</v>
      </c>
      <c r="J15" s="6710" t="e">
        <v>#DIV/0!</v>
      </c>
      <c r="K15" s="509">
        <f>종합!M40</f>
        <v>0</v>
      </c>
      <c r="L15" s="509">
        <f>종합!N40</f>
        <v>0</v>
      </c>
      <c r="M15" s="2013">
        <f>종합!O40</f>
        <v>15.181211596498022</v>
      </c>
      <c r="N15" s="2013" t="e">
        <f>종합!P40</f>
        <v>#DIV/0!</v>
      </c>
      <c r="O15" s="2013" t="e">
        <f>종합!Q40</f>
        <v>#DIV/0!</v>
      </c>
      <c r="P15" s="2231" t="e">
        <f>종합!R40</f>
        <v>#DIV/0!</v>
      </c>
      <c r="Q15" s="2236" t="e">
        <f t="shared" si="1"/>
        <v>#DIV/0!</v>
      </c>
      <c r="R15" s="2013" t="e">
        <f>종합!S40</f>
        <v>#DIV/0!</v>
      </c>
      <c r="S15" s="2013" t="e">
        <f>종합!T40</f>
        <v>#DIV/0!</v>
      </c>
      <c r="T15" s="2013" t="e">
        <f>종합!U40</f>
        <v>#DIV/0!</v>
      </c>
      <c r="U15" s="2013" t="e">
        <f>종합!V40</f>
        <v>#DIV/0!</v>
      </c>
      <c r="V15" s="5074"/>
      <c r="W15" s="3708" t="e">
        <f>종합!X40</f>
        <v>#DIV/0!</v>
      </c>
      <c r="X15" s="1659">
        <f>종합!K40</f>
        <v>15.619575516794493</v>
      </c>
      <c r="BD15" s="3414" t="s">
        <v>1082</v>
      </c>
      <c r="BE15" s="7370">
        <v>155.32499999999999</v>
      </c>
      <c r="BF15" s="3433">
        <v>17133.387999999999</v>
      </c>
      <c r="BG15" s="3438">
        <f t="shared" ref="BG15:BG24" si="3">BE15/BF15*1000</f>
        <v>9.0656325532346553</v>
      </c>
      <c r="BJ15" s="673">
        <v>27808.23400000015</v>
      </c>
      <c r="BK15">
        <v>29633.292000000001</v>
      </c>
    </row>
    <row r="16" spans="1:63" ht="22.5" customHeight="1">
      <c r="A16" s="7938" t="s">
        <v>550</v>
      </c>
      <c r="B16" s="7939"/>
      <c r="C16" s="509">
        <f>종합!E41</f>
        <v>27.953627734723693</v>
      </c>
      <c r="D16" s="509">
        <f>종합!F41</f>
        <v>26.702169609769701</v>
      </c>
      <c r="E16" s="509">
        <f>종합!G41</f>
        <v>21.666749896835039</v>
      </c>
      <c r="F16" s="2643"/>
      <c r="G16" s="1650">
        <f>종합!I41</f>
        <v>18.256128382076991</v>
      </c>
      <c r="H16" s="510">
        <f t="shared" si="0"/>
        <v>19.961439139456015</v>
      </c>
      <c r="I16" s="1650">
        <v>17.7176952699396</v>
      </c>
      <c r="J16" s="6710" t="e">
        <v>#DIV/0!</v>
      </c>
      <c r="K16" s="509">
        <f>종합!M41</f>
        <v>0</v>
      </c>
      <c r="L16" s="509">
        <f>종합!N41</f>
        <v>0</v>
      </c>
      <c r="M16" s="2013">
        <f>종합!O41</f>
        <v>14.897975109977843</v>
      </c>
      <c r="N16" s="2013" t="e">
        <f>종합!P41</f>
        <v>#DIV/0!</v>
      </c>
      <c r="O16" s="2013" t="e">
        <f>종합!Q41</f>
        <v>#DIV/0!</v>
      </c>
      <c r="P16" s="2231" t="e">
        <f>종합!R41</f>
        <v>#DIV/0!</v>
      </c>
      <c r="Q16" s="2236" t="e">
        <f t="shared" si="1"/>
        <v>#DIV/0!</v>
      </c>
      <c r="R16" s="2013" t="e">
        <f>종합!S41</f>
        <v>#DIV/0!</v>
      </c>
      <c r="S16" s="2013" t="e">
        <f>종합!T41</f>
        <v>#DIV/0!</v>
      </c>
      <c r="T16" s="2013" t="e">
        <f>종합!U41</f>
        <v>#DIV/0!</v>
      </c>
      <c r="U16" s="2013" t="e">
        <f>종합!V41</f>
        <v>#DIV/0!</v>
      </c>
      <c r="V16" s="2643" t="e">
        <f>종합!W41</f>
        <v>#DIV/0!</v>
      </c>
      <c r="W16" s="2513" t="e">
        <f>종합!X41</f>
        <v>#DIV/0!</v>
      </c>
      <c r="X16" s="1659">
        <f>종합!K41</f>
        <v>16.294859359844811</v>
      </c>
      <c r="BD16" s="3414" t="s">
        <v>6</v>
      </c>
      <c r="BE16" s="3428">
        <v>1232.82</v>
      </c>
      <c r="BF16" s="3433">
        <v>30532.517</v>
      </c>
      <c r="BG16" s="3438">
        <f t="shared" si="3"/>
        <v>40.377280392572942</v>
      </c>
      <c r="BI16">
        <f>BI19*BJ17</f>
        <v>521.08299999999997</v>
      </c>
      <c r="BJ16">
        <f>BI19*BI17</f>
        <v>0</v>
      </c>
    </row>
    <row r="17" spans="1:62" ht="22.5" customHeight="1">
      <c r="A17" s="7940" t="s">
        <v>29</v>
      </c>
      <c r="B17" s="3835" t="s">
        <v>518</v>
      </c>
      <c r="C17" s="510">
        <f>종합!E19/12</f>
        <v>164.49</v>
      </c>
      <c r="D17" s="510">
        <f>종합!F19/12</f>
        <v>68.384999999999977</v>
      </c>
      <c r="E17" s="510">
        <f>종합!G19/12</f>
        <v>26.666666666666668</v>
      </c>
      <c r="F17" s="2839"/>
      <c r="G17" s="510">
        <f>종합!I19/12</f>
        <v>30.270000000000007</v>
      </c>
      <c r="H17" s="510">
        <f t="shared" si="0"/>
        <v>28.468333333333337</v>
      </c>
      <c r="I17" s="510">
        <v>22.666666666666668</v>
      </c>
      <c r="J17" s="6696">
        <v>11.588333333333333</v>
      </c>
      <c r="K17" s="614">
        <f>종합!M19</f>
        <v>0</v>
      </c>
      <c r="L17" s="614">
        <f>종합!N19</f>
        <v>0</v>
      </c>
      <c r="M17" s="2055">
        <f>종합!O19</f>
        <v>0</v>
      </c>
      <c r="N17" s="2055">
        <f>종합!P19</f>
        <v>0</v>
      </c>
      <c r="O17" s="2055">
        <f>종합!Q19</f>
        <v>0</v>
      </c>
      <c r="P17" s="2230">
        <f>종합!R19</f>
        <v>0</v>
      </c>
      <c r="Q17" s="2236">
        <f t="shared" si="1"/>
        <v>0</v>
      </c>
      <c r="R17" s="2055">
        <f>종합!S19</f>
        <v>0</v>
      </c>
      <c r="S17" s="2055">
        <f>종합!T19</f>
        <v>0</v>
      </c>
      <c r="T17" s="2055">
        <f>종합!U19</f>
        <v>0</v>
      </c>
      <c r="U17" s="2055">
        <f>종합!V19</f>
        <v>0</v>
      </c>
      <c r="V17" s="2772">
        <f>종합!W19</f>
        <v>0</v>
      </c>
      <c r="W17" s="2056">
        <f>종합!X19</f>
        <v>0</v>
      </c>
      <c r="X17" s="1424">
        <f>종합!L19</f>
        <v>15</v>
      </c>
      <c r="BD17" s="3414" t="s">
        <v>7</v>
      </c>
      <c r="BE17" s="3428"/>
      <c r="BF17" s="3433"/>
      <c r="BG17" s="3438" t="e">
        <f t="shared" si="3"/>
        <v>#DIV/0!</v>
      </c>
      <c r="BI17">
        <f>BF19/BI18</f>
        <v>0</v>
      </c>
      <c r="BJ17">
        <f>1-BI17</f>
        <v>1</v>
      </c>
    </row>
    <row r="18" spans="1:62" ht="22.5" customHeight="1">
      <c r="A18" s="7941"/>
      <c r="B18" s="3835" t="s">
        <v>519</v>
      </c>
      <c r="C18" s="510"/>
      <c r="D18" s="510">
        <f>(종합!F48+종합!F54)/12</f>
        <v>154.16666666666666</v>
      </c>
      <c r="E18" s="510">
        <f>(종합!G48+종합!G54)/12</f>
        <v>66.992499999999993</v>
      </c>
      <c r="F18" s="510">
        <f>(종합!H48+종합!H54)/12</f>
        <v>68.932666666666663</v>
      </c>
      <c r="G18" s="510">
        <f>(종합!I48+종합!I54)/12</f>
        <v>52.072749999999992</v>
      </c>
      <c r="H18" s="510">
        <f>(종합!J48+종합!J54)/12</f>
        <v>25.593333333333334</v>
      </c>
      <c r="I18" s="510">
        <v>63.126666666666672</v>
      </c>
      <c r="J18" s="6696" t="e">
        <v>#REF!</v>
      </c>
      <c r="K18" s="614">
        <f>종합!M48+종합!M54</f>
        <v>0</v>
      </c>
      <c r="L18" s="614">
        <f>종합!N48+종합!N54</f>
        <v>0</v>
      </c>
      <c r="M18" s="614">
        <f>종합!O48+종합!O54</f>
        <v>151.41000000000003</v>
      </c>
      <c r="N18" s="614">
        <f>종합!P48+종합!P54</f>
        <v>0</v>
      </c>
      <c r="O18" s="614">
        <f>종합!Q48+종합!Q54</f>
        <v>0</v>
      </c>
      <c r="P18" s="614">
        <f>종합!R48+종합!R54</f>
        <v>0</v>
      </c>
      <c r="Q18" s="2236">
        <f t="shared" si="1"/>
        <v>25.235000000000003</v>
      </c>
      <c r="R18" s="614">
        <f>종합!T48+종합!T54</f>
        <v>0</v>
      </c>
      <c r="S18" s="614">
        <f>종합!U48+종합!U54</f>
        <v>0</v>
      </c>
      <c r="T18" s="614">
        <f>종합!V48+종합!V54</f>
        <v>0</v>
      </c>
      <c r="U18" s="614">
        <f>종합!W48+종합!W54</f>
        <v>0</v>
      </c>
      <c r="V18" s="614">
        <f>종합!X48+종합!X54</f>
        <v>0</v>
      </c>
      <c r="W18" s="614">
        <f>종합!Y48+종합!Y54</f>
        <v>151.71</v>
      </c>
      <c r="X18" s="1424">
        <f>종합!L48+종합!L54</f>
        <v>26.213999999999999</v>
      </c>
      <c r="BD18" s="3414" t="s">
        <v>8</v>
      </c>
      <c r="BE18" s="3428"/>
      <c r="BF18" s="3433"/>
      <c r="BG18" s="3438" t="e">
        <f t="shared" si="3"/>
        <v>#DIV/0!</v>
      </c>
      <c r="BH18" t="s">
        <v>1126</v>
      </c>
      <c r="BI18" s="2197">
        <f>AVERAGE(BF14:BF18)</f>
        <v>21776.558333333331</v>
      </c>
    </row>
    <row r="19" spans="1:62" ht="22.5" customHeight="1">
      <c r="A19" s="7934" t="s">
        <v>597</v>
      </c>
      <c r="B19" s="3835" t="s">
        <v>595</v>
      </c>
      <c r="C19" s="510">
        <f>종합!E49/12</f>
        <v>81.083333333333329</v>
      </c>
      <c r="D19" s="510">
        <f>종합!F49/12</f>
        <v>43.916666666666664</v>
      </c>
      <c r="E19" s="510">
        <f>종합!G49/12</f>
        <v>12.083333333333334</v>
      </c>
      <c r="F19" s="510">
        <f>종합!H49/12</f>
        <v>4.38</v>
      </c>
      <c r="G19" s="510">
        <f>종합!I49/12</f>
        <v>1.8108333333333333</v>
      </c>
      <c r="H19" s="510">
        <f t="shared" si="0"/>
        <v>6.0913888888888899</v>
      </c>
      <c r="I19" s="510">
        <v>6.6749999999999998</v>
      </c>
      <c r="J19" s="6696" t="e">
        <v>#REF!</v>
      </c>
      <c r="K19" s="614">
        <f>종합!M49</f>
        <v>2.7</v>
      </c>
      <c r="L19" s="614">
        <f>종합!N49</f>
        <v>1.9</v>
      </c>
      <c r="M19" s="614">
        <f>종합!O49</f>
        <v>1.83</v>
      </c>
      <c r="N19" s="614">
        <f>종합!P49</f>
        <v>0</v>
      </c>
      <c r="O19" s="614">
        <f>종합!Q49</f>
        <v>0</v>
      </c>
      <c r="P19" s="614">
        <f>종합!R49</f>
        <v>0</v>
      </c>
      <c r="Q19" s="2236">
        <f t="shared" si="1"/>
        <v>1.0716666666666665</v>
      </c>
      <c r="R19" s="614">
        <f>종합!T49</f>
        <v>0</v>
      </c>
      <c r="S19" s="614">
        <f>종합!U49</f>
        <v>0</v>
      </c>
      <c r="T19" s="614">
        <f>종합!V49</f>
        <v>0</v>
      </c>
      <c r="U19" s="614">
        <f>종합!W49</f>
        <v>0</v>
      </c>
      <c r="V19" s="614">
        <f>종합!X49</f>
        <v>0</v>
      </c>
      <c r="W19" s="614">
        <f>종합!Y49</f>
        <v>6.43</v>
      </c>
      <c r="X19" s="1424">
        <f>종합!L49</f>
        <v>2.6724999999999999</v>
      </c>
      <c r="BD19" s="3414" t="s">
        <v>9</v>
      </c>
      <c r="BE19" s="3428"/>
      <c r="BF19" s="3433"/>
      <c r="BG19" s="3438" t="e">
        <f t="shared" si="3"/>
        <v>#DIV/0!</v>
      </c>
      <c r="BH19" t="s">
        <v>1127</v>
      </c>
      <c r="BI19" s="743">
        <f>AVERAGE(BE14:BE18)</f>
        <v>521.08299999999997</v>
      </c>
      <c r="BJ19" s="2198">
        <f>BI19/BI18</f>
        <v>2.3928620492907705E-2</v>
      </c>
    </row>
    <row r="20" spans="1:62" ht="22.5" customHeight="1" thickBot="1">
      <c r="A20" s="7935"/>
      <c r="B20" s="3835" t="s">
        <v>596</v>
      </c>
      <c r="C20" s="510">
        <f>종합!E75</f>
        <v>0</v>
      </c>
      <c r="D20" s="510">
        <f>종합!F75</f>
        <v>832</v>
      </c>
      <c r="E20" s="510">
        <f>종합!G75</f>
        <v>422.05</v>
      </c>
      <c r="F20" s="510">
        <f>종합!H75</f>
        <v>492.53</v>
      </c>
      <c r="G20" s="510">
        <f>종합!I75</f>
        <v>542.02199999999993</v>
      </c>
      <c r="H20" s="510">
        <f t="shared" si="0"/>
        <v>485.53399999999993</v>
      </c>
      <c r="I20" s="510">
        <v>39.173333333333339</v>
      </c>
      <c r="J20" s="6696">
        <v>40.046666666666674</v>
      </c>
      <c r="K20" s="614">
        <f>종합!M75</f>
        <v>41.34</v>
      </c>
      <c r="L20" s="614">
        <f>종합!N75</f>
        <v>45.2</v>
      </c>
      <c r="M20" s="614">
        <f>종합!O75</f>
        <v>38.090000000000003</v>
      </c>
      <c r="N20" s="614">
        <f>종합!P75</f>
        <v>0</v>
      </c>
      <c r="O20" s="614">
        <f>종합!Q75</f>
        <v>0</v>
      </c>
      <c r="P20" s="614">
        <f>종합!R75</f>
        <v>0</v>
      </c>
      <c r="Q20" s="2236">
        <f t="shared" si="1"/>
        <v>20.771666666666668</v>
      </c>
      <c r="R20" s="614">
        <f>종합!T75</f>
        <v>0</v>
      </c>
      <c r="S20" s="614">
        <f>종합!U75</f>
        <v>0</v>
      </c>
      <c r="T20" s="614">
        <f>종합!V75</f>
        <v>0</v>
      </c>
      <c r="U20" s="614">
        <f>종합!W75</f>
        <v>0</v>
      </c>
      <c r="V20" s="614">
        <f>종합!X75</f>
        <v>0</v>
      </c>
      <c r="W20" s="614">
        <f>종합!Y75</f>
        <v>124.63000000000001</v>
      </c>
      <c r="X20" s="1424">
        <f>종합!L75</f>
        <v>40.087499999999999</v>
      </c>
      <c r="BD20" s="4683" t="s">
        <v>1872</v>
      </c>
      <c r="BE20" s="3429">
        <f>SUM(BE14:BE19)/6</f>
        <v>260.54149999999998</v>
      </c>
      <c r="BF20" s="3434">
        <f>SUM(BF14:BF19)/6</f>
        <v>10888.279166666665</v>
      </c>
      <c r="BG20" s="4540">
        <f>BE20/BF20*1000</f>
        <v>23.928620492907704</v>
      </c>
      <c r="BH20" s="2199" t="s">
        <v>1128</v>
      </c>
      <c r="BI20" s="2200">
        <f>BE19+BI21</f>
        <v>521.08299999999997</v>
      </c>
      <c r="BJ20" s="2205">
        <f>BI20/BI18*1000</f>
        <v>23.928620492907704</v>
      </c>
    </row>
    <row r="21" spans="1:62" ht="22.5" customHeight="1">
      <c r="A21" s="7934" t="s">
        <v>488</v>
      </c>
      <c r="B21" s="3835" t="s">
        <v>595</v>
      </c>
      <c r="C21" s="510">
        <f>종합!E50/12</f>
        <v>56.651666666666671</v>
      </c>
      <c r="D21" s="510">
        <f>종합!F50/12</f>
        <v>34.47058333333333</v>
      </c>
      <c r="E21" s="510">
        <f>종합!G50/12</f>
        <v>6.45</v>
      </c>
      <c r="F21" s="510">
        <f>종합!H50/12</f>
        <v>10.678416666666669</v>
      </c>
      <c r="G21" s="510">
        <f>종합!I50/12</f>
        <v>7.7751666666666663</v>
      </c>
      <c r="H21" s="510">
        <f t="shared" si="0"/>
        <v>8.3011944444444463</v>
      </c>
      <c r="I21" s="510">
        <v>11.7735</v>
      </c>
      <c r="J21" s="6696" t="e">
        <v>#REF!</v>
      </c>
      <c r="K21" s="614">
        <f>종합!M50</f>
        <v>13.234</v>
      </c>
      <c r="L21" s="614">
        <f>종합!N50</f>
        <v>9.9049999999999994</v>
      </c>
      <c r="M21" s="614">
        <f>종합!O50</f>
        <v>6.6619999999999999</v>
      </c>
      <c r="N21" s="614">
        <f>종합!P50</f>
        <v>0</v>
      </c>
      <c r="O21" s="614">
        <f>종합!Q50</f>
        <v>0</v>
      </c>
      <c r="P21" s="614">
        <f>종합!R50</f>
        <v>0</v>
      </c>
      <c r="Q21" s="2236">
        <f t="shared" si="1"/>
        <v>4.9668333333333328</v>
      </c>
      <c r="R21" s="614">
        <f>종합!T50</f>
        <v>0</v>
      </c>
      <c r="S21" s="614">
        <f>종합!U50</f>
        <v>0</v>
      </c>
      <c r="T21" s="614">
        <f>종합!V50</f>
        <v>0</v>
      </c>
      <c r="U21" s="614">
        <f>종합!W50</f>
        <v>0</v>
      </c>
      <c r="V21" s="614">
        <f>종합!X50</f>
        <v>0</v>
      </c>
      <c r="W21" s="614">
        <f>종합!Y50</f>
        <v>29.800999999999998</v>
      </c>
      <c r="X21" s="1424">
        <f>종합!L50</f>
        <v>10.334999999999999</v>
      </c>
      <c r="BD21" s="3419" t="s">
        <v>10</v>
      </c>
      <c r="BE21" s="3430"/>
      <c r="BF21" s="3435"/>
      <c r="BG21" s="4951" t="e">
        <f t="shared" si="3"/>
        <v>#DIV/0!</v>
      </c>
      <c r="BH21" s="2197">
        <f>BI18-BF19</f>
        <v>21776.558333333331</v>
      </c>
      <c r="BI21">
        <f>BH21*BJ19</f>
        <v>521.08299999999997</v>
      </c>
    </row>
    <row r="22" spans="1:62" ht="22.5" customHeight="1">
      <c r="A22" s="7935"/>
      <c r="B22" s="3835" t="s">
        <v>596</v>
      </c>
      <c r="C22" s="510">
        <f>스크!X12/12</f>
        <v>38.225416666666668</v>
      </c>
      <c r="D22" s="510">
        <f>스크!X13/12</f>
        <v>34.907083333333333</v>
      </c>
      <c r="E22" s="510">
        <f>스크!X14/12</f>
        <v>19.597916666666666</v>
      </c>
      <c r="F22" s="2839"/>
      <c r="G22" s="510">
        <f>스크!X16/12</f>
        <v>22.681666666666661</v>
      </c>
      <c r="H22" s="510">
        <f t="shared" si="0"/>
        <v>21.139791666666664</v>
      </c>
      <c r="I22" s="510">
        <v>29.266666666666666</v>
      </c>
      <c r="J22" s="6696">
        <v>29.306666666666668</v>
      </c>
      <c r="K22" s="614">
        <f>스크!X19</f>
        <v>38.6</v>
      </c>
      <c r="L22" s="614">
        <f>스크!X20</f>
        <v>46.86</v>
      </c>
      <c r="M22" s="2055">
        <f>스크!X21</f>
        <v>59.05</v>
      </c>
      <c r="N22" s="2055">
        <f>스크!X23</f>
        <v>0</v>
      </c>
      <c r="O22" s="2055">
        <f>스크!X24</f>
        <v>0</v>
      </c>
      <c r="P22" s="2230">
        <f>스크!X25</f>
        <v>0</v>
      </c>
      <c r="Q22" s="2236">
        <f t="shared" si="1"/>
        <v>24.084999999999997</v>
      </c>
      <c r="R22" s="2055">
        <f>스크!X28</f>
        <v>0</v>
      </c>
      <c r="S22" s="2055">
        <f>스크!X29</f>
        <v>0</v>
      </c>
      <c r="T22" s="2055">
        <f>스크!X30</f>
        <v>0</v>
      </c>
      <c r="U22" s="2055">
        <f>스크!X32</f>
        <v>0</v>
      </c>
      <c r="V22" s="2772">
        <f>스크!X33</f>
        <v>0</v>
      </c>
      <c r="W22" s="2056">
        <f>스크!X34</f>
        <v>0</v>
      </c>
      <c r="X22" s="1424">
        <f>종합!L76</f>
        <v>22.736999999999998</v>
      </c>
      <c r="BB22" s="286"/>
      <c r="BD22" s="3414" t="s">
        <v>11</v>
      </c>
      <c r="BE22" s="3431"/>
      <c r="BF22" s="3436"/>
      <c r="BG22" s="4951" t="e">
        <f t="shared" si="3"/>
        <v>#DIV/0!</v>
      </c>
    </row>
    <row r="23" spans="1:62">
      <c r="BD23" s="3414" t="s">
        <v>12</v>
      </c>
      <c r="BE23" s="3428"/>
      <c r="BF23" s="3433"/>
      <c r="BG23" s="3438" t="e">
        <f t="shared" si="3"/>
        <v>#DIV/0!</v>
      </c>
    </row>
    <row r="24" spans="1:62">
      <c r="A24" t="s">
        <v>603</v>
      </c>
      <c r="B24" t="s">
        <v>731</v>
      </c>
      <c r="C24" s="69">
        <v>38</v>
      </c>
      <c r="D24" s="673"/>
      <c r="E24" s="673"/>
      <c r="F24" s="673"/>
      <c r="G24" s="673">
        <v>38</v>
      </c>
      <c r="H24" s="673">
        <v>38</v>
      </c>
      <c r="I24" s="673"/>
      <c r="J24" s="673"/>
      <c r="K24" s="673">
        <v>38</v>
      </c>
      <c r="L24" s="673">
        <v>38</v>
      </c>
      <c r="M24" s="673">
        <v>38</v>
      </c>
      <c r="N24" s="673">
        <v>38</v>
      </c>
      <c r="O24" s="673">
        <v>38</v>
      </c>
      <c r="P24" s="673">
        <v>38</v>
      </c>
      <c r="R24" s="673">
        <v>38</v>
      </c>
      <c r="S24" s="673">
        <v>38</v>
      </c>
      <c r="T24" s="673">
        <v>38</v>
      </c>
      <c r="U24" s="673">
        <v>38</v>
      </c>
      <c r="V24" s="673">
        <v>38</v>
      </c>
      <c r="W24" s="673">
        <v>38</v>
      </c>
      <c r="X24" s="2206">
        <f>AVERAGE(년간!F13:J13)</f>
        <v>25255.226000000002</v>
      </c>
      <c r="Y24" s="2208">
        <f>X24-년간!K13</f>
        <v>25255.226000000002</v>
      </c>
      <c r="BD24" s="3414" t="s">
        <v>13</v>
      </c>
      <c r="BE24" s="3428"/>
      <c r="BF24" s="3433"/>
      <c r="BG24" s="3438" t="e">
        <f t="shared" si="3"/>
        <v>#DIV/0!</v>
      </c>
    </row>
    <row r="25" spans="1:62">
      <c r="A25" t="s">
        <v>732</v>
      </c>
      <c r="B25" s="286" t="s">
        <v>731</v>
      </c>
      <c r="C25" s="673">
        <v>83</v>
      </c>
      <c r="D25" s="673"/>
      <c r="E25" s="673"/>
      <c r="F25" s="673"/>
      <c r="G25" s="673">
        <v>83</v>
      </c>
      <c r="H25" s="673">
        <v>83</v>
      </c>
      <c r="I25" s="673"/>
      <c r="J25" s="673"/>
      <c r="K25" s="673">
        <v>83</v>
      </c>
      <c r="L25" s="673">
        <v>83</v>
      </c>
      <c r="M25" s="673">
        <v>83</v>
      </c>
      <c r="N25" s="673">
        <v>83</v>
      </c>
      <c r="O25" s="673">
        <v>83</v>
      </c>
      <c r="P25" s="673">
        <v>83</v>
      </c>
      <c r="Q25" s="673" t="s">
        <v>1132</v>
      </c>
      <c r="R25" s="673">
        <v>83</v>
      </c>
      <c r="S25" s="673">
        <v>83</v>
      </c>
      <c r="T25" s="673">
        <v>83</v>
      </c>
      <c r="U25" s="673">
        <v>83</v>
      </c>
      <c r="V25" s="673">
        <v>83</v>
      </c>
      <c r="W25" s="673">
        <v>83</v>
      </c>
      <c r="X25" s="2207">
        <f>AVERAGE(K7:O7)</f>
        <v>94.952200000000005</v>
      </c>
      <c r="Y25" s="2207">
        <f>Y26+P7</f>
        <v>94.952200000000005</v>
      </c>
      <c r="BD25" s="3414" t="s">
        <v>14</v>
      </c>
      <c r="BE25" s="3431"/>
      <c r="BF25" s="3436"/>
      <c r="BG25" s="3415"/>
    </row>
    <row r="26" spans="1:62" ht="14.25" thickBot="1">
      <c r="A26" t="s">
        <v>733</v>
      </c>
      <c r="B26" s="286" t="s">
        <v>731</v>
      </c>
      <c r="C26" s="69">
        <v>83</v>
      </c>
      <c r="D26" s="673"/>
      <c r="E26" s="673"/>
      <c r="F26" s="673"/>
      <c r="G26" s="820">
        <v>644.33333333333337</v>
      </c>
      <c r="H26" s="820" t="e">
        <f>CPL!N12+CRM!N12+CGL!N12+'#1CCL'!#REF!+'#2CCL'!#REF!</f>
        <v>#REF!</v>
      </c>
      <c r="I26" s="820"/>
      <c r="J26" s="820"/>
      <c r="K26" s="820">
        <v>644.33333333333337</v>
      </c>
      <c r="L26" s="820">
        <v>644.33333333333337</v>
      </c>
      <c r="M26" s="820">
        <v>644.33333333333337</v>
      </c>
      <c r="N26" s="820">
        <v>644.33333333333337</v>
      </c>
      <c r="O26" s="820">
        <v>644.33333333333337</v>
      </c>
      <c r="P26" s="820">
        <v>644.33333333333337</v>
      </c>
      <c r="Q26" s="820"/>
      <c r="R26" s="820">
        <v>644.33333333333337</v>
      </c>
      <c r="S26" s="820">
        <v>644.33333333333337</v>
      </c>
      <c r="T26" s="820">
        <v>644.33333333333337</v>
      </c>
      <c r="U26" s="820">
        <v>644.33333333333337</v>
      </c>
      <c r="V26" s="820">
        <v>644.33333333333337</v>
      </c>
      <c r="W26" s="820">
        <v>644.33333333333337</v>
      </c>
      <c r="X26">
        <f>X25/X24</f>
        <v>3.7597050210518802E-3</v>
      </c>
      <c r="Y26">
        <f>Y24*X26</f>
        <v>94.952200000000005</v>
      </c>
      <c r="BD26" s="3424" t="s">
        <v>15</v>
      </c>
      <c r="BE26" s="3432"/>
      <c r="BF26" s="3437"/>
      <c r="BG26" s="3439"/>
    </row>
    <row r="27" spans="1:62" ht="14.25" thickBot="1">
      <c r="A27" t="s">
        <v>604</v>
      </c>
      <c r="B27" s="286" t="s">
        <v>731</v>
      </c>
      <c r="C27" s="69">
        <v>698</v>
      </c>
      <c r="D27" s="673"/>
      <c r="E27" s="673"/>
      <c r="F27" s="673"/>
      <c r="G27" s="673">
        <v>698</v>
      </c>
      <c r="H27" s="69">
        <v>698</v>
      </c>
      <c r="I27" s="673"/>
      <c r="J27" s="673"/>
      <c r="K27" s="69">
        <v>698</v>
      </c>
      <c r="L27" s="69">
        <v>698</v>
      </c>
      <c r="M27" s="69">
        <v>698</v>
      </c>
      <c r="N27" s="69">
        <v>698</v>
      </c>
      <c r="O27" s="69">
        <v>698</v>
      </c>
      <c r="P27" s="69">
        <v>698</v>
      </c>
      <c r="Q27" s="673" t="s">
        <v>1133</v>
      </c>
      <c r="R27" s="69">
        <v>698</v>
      </c>
      <c r="S27" s="69">
        <v>698</v>
      </c>
      <c r="T27" s="69">
        <v>698</v>
      </c>
      <c r="U27" s="69">
        <v>698</v>
      </c>
      <c r="V27" s="69">
        <v>698</v>
      </c>
      <c r="W27" s="69">
        <v>698</v>
      </c>
      <c r="X27" s="2207">
        <f>AVERAGE(K8:O8)</f>
        <v>115.17400000000002</v>
      </c>
      <c r="Y27" s="2207">
        <f>Y28+P8</f>
        <v>115.17400000000002</v>
      </c>
      <c r="BD27" s="3425" t="s">
        <v>1306</v>
      </c>
      <c r="BE27" s="3426">
        <f>SUM(BE14:BE19,BE21:BE26)</f>
        <v>1563.2489999999998</v>
      </c>
      <c r="BF27" s="3426">
        <f>SUM(BF14:BF19,BF21:BF26)</f>
        <v>65329.674999999996</v>
      </c>
      <c r="BG27" s="3427">
        <f>BE27/BF27*1000</f>
        <v>23.928620492907701</v>
      </c>
      <c r="BH27">
        <f>BE27/10</f>
        <v>156.32489999999999</v>
      </c>
      <c r="BI27">
        <f>BF27/10</f>
        <v>6532.9674999999997</v>
      </c>
    </row>
    <row r="28" spans="1:62" ht="16.5">
      <c r="X28">
        <f>X27/X24</f>
        <v>4.5604026667589517E-3</v>
      </c>
      <c r="Y28">
        <f>Y24*X28</f>
        <v>115.17400000000002</v>
      </c>
      <c r="BE28" s="5187" t="s">
        <v>1854</v>
      </c>
      <c r="BF28" s="5186">
        <f>AVERAGE(BF14:BF19,BF21:BF26)</f>
        <v>21776.558333333331</v>
      </c>
      <c r="BG28" s="2266"/>
    </row>
    <row r="29" spans="1:62">
      <c r="B29" s="286" t="s">
        <v>625</v>
      </c>
      <c r="C29" s="662">
        <v>98.51</v>
      </c>
      <c r="D29" s="662"/>
      <c r="E29" s="662"/>
      <c r="F29" s="662"/>
      <c r="G29" s="673"/>
      <c r="H29" s="662">
        <v>98.53</v>
      </c>
      <c r="I29" s="673"/>
      <c r="J29" s="673"/>
      <c r="K29" s="625">
        <v>99.400616048384023</v>
      </c>
      <c r="L29" s="625">
        <v>99.258689398871198</v>
      </c>
      <c r="M29" s="625">
        <v>99.31164195132834</v>
      </c>
      <c r="N29" s="625">
        <v>99.354389845418495</v>
      </c>
      <c r="O29" s="625">
        <v>99.466806425193852</v>
      </c>
      <c r="BD29" s="6419" t="s">
        <v>1957</v>
      </c>
      <c r="BF29" s="2232">
        <f>(13000+108800+222360)/12</f>
        <v>28680</v>
      </c>
      <c r="BG29" s="3438">
        <f>BJ34/BF29*1000</f>
        <v>35.467979980241751</v>
      </c>
    </row>
    <row r="30" spans="1:62">
      <c r="BD30" t="s">
        <v>1965</v>
      </c>
      <c r="BE30">
        <v>12422.95</v>
      </c>
      <c r="BF30">
        <v>362087.06099999999</v>
      </c>
      <c r="BG30">
        <v>34.309290052206535</v>
      </c>
    </row>
    <row r="31" spans="1:62">
      <c r="BE31">
        <f>BE30/12</f>
        <v>1035.2458333333334</v>
      </c>
      <c r="BF31">
        <f>BF30/12</f>
        <v>30173.921749999998</v>
      </c>
    </row>
    <row r="32" spans="1:62">
      <c r="BD32" t="s">
        <v>1972</v>
      </c>
    </row>
    <row r="33" spans="22:75">
      <c r="BD33" s="6459">
        <v>2016</v>
      </c>
      <c r="BE33" s="6459">
        <v>2017</v>
      </c>
      <c r="BF33" s="6459">
        <v>2018</v>
      </c>
      <c r="BG33" s="6459">
        <v>2019</v>
      </c>
      <c r="BH33" s="6459">
        <v>2020</v>
      </c>
      <c r="BI33" s="6459">
        <v>2021</v>
      </c>
      <c r="BJ33" s="6459">
        <v>2021</v>
      </c>
      <c r="BK33" s="6459" t="s">
        <v>1969</v>
      </c>
      <c r="BL33" s="6459" t="s">
        <v>1970</v>
      </c>
      <c r="BM33" s="6459" t="s">
        <v>6</v>
      </c>
      <c r="BN33" s="6459" t="s">
        <v>7</v>
      </c>
      <c r="BO33" s="6459" t="s">
        <v>8</v>
      </c>
      <c r="BP33" s="6459" t="s">
        <v>9</v>
      </c>
      <c r="BQ33" s="6459" t="s">
        <v>10</v>
      </c>
      <c r="BR33" s="6459" t="s">
        <v>11</v>
      </c>
      <c r="BS33" s="6459" t="s">
        <v>12</v>
      </c>
      <c r="BT33" s="6459" t="s">
        <v>13</v>
      </c>
      <c r="BU33" s="6459" t="s">
        <v>14</v>
      </c>
      <c r="BV33" s="6459" t="s">
        <v>15</v>
      </c>
      <c r="BW33" s="6459" t="s">
        <v>1971</v>
      </c>
    </row>
    <row r="34" spans="22:75">
      <c r="V34" s="739"/>
      <c r="W34" s="741"/>
      <c r="BD34" s="4967">
        <f>(CPL!H11+CPL!H12+CPL!H13+CRM!H12+CRM!H13+CRM!H15+CGL!H11+CGL!H12+CGL!H15+'#1CCL'!H13+'#1CCL'!H14+'#1CCL'!H15+'#1CCL'!H20+'#1CCL'!H19+'#2CCL'!H13+'#2CCL'!H14+'#2CCL'!H15+'#2CCL'!H18+'#2CCL'!H19+'#2CCL'!H20)/12</f>
        <v>1624.4687500000002</v>
      </c>
      <c r="BE34" s="4967">
        <f>(CPL!I11+CPL!I12+CPL!I13+CRM!I12+CRM!I13+CRM!I15+CGL!I11+CGL!I12+CGL!I15+'#1CCL'!I13+'#1CCL'!I14+'#1CCL'!I15+'#1CCL'!I20+'#1CCL'!I19+'#2CCL'!I13+'#2CCL'!I14+'#2CCL'!I15+'#2CCL'!I18+'#2CCL'!I19+'#2CCL'!I20)/12</f>
        <v>1303.6125</v>
      </c>
      <c r="BF34" s="4967">
        <f>(CPL!J11+CPL!J12+CPL!J13+CRM!J12+CRM!J13+CRM!J15+CGL!J11+CGL!J12+CGL!J15+'#1CCL'!J13+'#1CCL'!J14+'#1CCL'!J15+'#1CCL'!J20+'#1CCL'!J19+'#2CCL'!J13+'#2CCL'!J14+'#2CCL'!J15+'#2CCL'!J18+'#2CCL'!J19+'#2CCL'!J20)/12</f>
        <v>1163.3032499999997</v>
      </c>
      <c r="BG34" s="4967">
        <f>(CPL!K11+CPL!K12+CPL!K13+CRM!K12+CRM!K13+CRM!K15+CGL!K11+CGL!K12+CGL!K15+'#1CCL'!K13+'#1CCL'!K14+'#1CCL'!K15+'#1CCL'!K20+'#1CCL'!K19+'#2CCL'!K13+'#2CCL'!K14+'#2CCL'!K15+'#2CCL'!K18+'#2CCL'!K19+'#2CCL'!K20)/12</f>
        <v>1104.8073333333334</v>
      </c>
      <c r="BH34" s="4967">
        <f>(CPL!L11+CPL!L12+CPL!L13+CRM!L12+CRM!L13+CRM!L15+CGL!L11+CGL!L12+CGL!L15)/10+('#1CCL'!L13+'#1CCL'!L14+'#1CCL'!L15+'#1CCL'!L20+'#1CCL'!L19+'#2CCL'!L13+'#2CCL'!L14+'#2CCL'!L15+'#2CCL'!L18+'#2CCL'!L19+'#2CCL'!L20)/12</f>
        <v>1109.8736999999999</v>
      </c>
      <c r="BI34" s="4967">
        <f>(CPL!M11+CPL!M12+CPL!M13+CRM!M12+CRM!M13+CRM!M15+CGL!M11+CGL!M12+CGL!M15)/10+('#1CCL'!M13+'#1CCL'!M14+'#1CCL'!M15+'#1CCL'!M20+'#1CCL'!M19+'#2CCL'!M13+'#2CCL'!M14+'#2CCL'!M15+'#2CCL'!M18+'#2CCL'!M19+'#2CCL'!M20)/12</f>
        <v>1017.2216658333332</v>
      </c>
      <c r="BJ34" s="4967">
        <f>CPL!N11+CPL!N12+CPL!N13+CRM!N12+CRM!N13+CRM!N15+CGL!N11+CGL!N12+CGL!N15+'#1CCL'!N13+'#1CCL'!N14+'#1CCL'!N15+'#1CCL'!N20+'#1CCL'!N19+'#2CCL'!N13+'#2CCL'!N14+'#2CCL'!N15+'#2CCL'!N18+'#2CCL'!N19+'#2CCL'!N20</f>
        <v>1017.2216658333334</v>
      </c>
      <c r="BK34" s="6456">
        <f>(CPL!O11+CPL!O12+CPL!O13+CRM!O12+CRM!O13+CRM!O15+CGL!O11+CGL!O12+CGL!O15+'#1CCL'!O13+'#1CCL'!O14+'#1CCL'!O15+'#1CCL'!O20+'#1CCL'!O19+'#2CCL'!O13+'#2CCL'!O14+'#2CCL'!O15+'#2CCL'!O18+'#2CCL'!O19+'#2CCL'!O20)</f>
        <v>178.60400000000004</v>
      </c>
      <c r="BL34" s="6456">
        <f>(CPL!P11+CPL!P12+CPL!P13+CRM!P12+CRM!P13+CRM!P15+CGL!P11+CGL!P12+CGL!P15+'#1CCL'!P13+'#1CCL'!P14+'#1CCL'!P15+'#1CCL'!P20+'#1CCL'!P19+'#2CCL'!P13+'#2CCL'!P14+'#2CCL'!P15+'#2CCL'!P18+'#2CCL'!P19+'#2CCL'!P20)</f>
        <v>227.00200000000001</v>
      </c>
      <c r="BM34" s="6456">
        <f>(CPL!Q11+CPL!Q12+CPL!Q13+CRM!Q12+CRM!Q13+CRM!Q15+CGL!Q11+CGL!Q12+CGL!Q15+'#1CCL'!Q13+'#1CCL'!Q14+'#1CCL'!Q15+'#1CCL'!Q20+'#1CCL'!Q19+'#2CCL'!Q13+'#2CCL'!Q14+'#2CCL'!Q15+'#2CCL'!Q18+'#2CCL'!Q19+'#2CCL'!Q20)</f>
        <v>1094.0600000000002</v>
      </c>
      <c r="BN34" s="6456">
        <f>(CPL!R11+CPL!R12+CPL!R13+CRM!R12+CRM!R13+CRM!R15+CGL!R11+CGL!R12+CGL!R15+'#1CCL'!R13+'#1CCL'!R14+'#1CCL'!R15+'#1CCL'!R20+'#1CCL'!R19+'#2CCL'!R13+'#2CCL'!R14+'#2CCL'!R15+'#2CCL'!R18+'#2CCL'!R19+'#2CCL'!R20)</f>
        <v>0</v>
      </c>
      <c r="BO34" s="6456">
        <f>(CPL!S11+CPL!S12+CPL!S13+CRM!S12+CRM!S13+CRM!S15+CGL!S11+CGL!S12+CGL!S15+'#1CCL'!S13+'#1CCL'!S14+'#1CCL'!S15+'#1CCL'!S20+'#1CCL'!S19+'#2CCL'!S13+'#2CCL'!S14+'#2CCL'!S15+'#2CCL'!S18+'#2CCL'!S19+'#2CCL'!S20)</f>
        <v>0</v>
      </c>
      <c r="BP34" s="6456">
        <f>(CPL!T11+CPL!T12+CPL!T13+CRM!T12+CRM!T13+CRM!T15+CGL!T11+CGL!T12+CGL!T15+'#1CCL'!T13+'#1CCL'!T14+'#1CCL'!T15+'#1CCL'!T20+'#1CCL'!T19+'#2CCL'!T13+'#2CCL'!T14+'#2CCL'!T15+'#2CCL'!T18+'#2CCL'!T19+'#2CCL'!T20)</f>
        <v>0</v>
      </c>
      <c r="BQ34" s="6456">
        <f>(CPL!U11+CPL!U12+CPL!U13+CRM!U12+CRM!U13+CRM!U15+CGL!U11+CGL!U12+CGL!U15+'#1CCL'!U13+'#1CCL'!U14+'#1CCL'!U15+'#1CCL'!U20+'#1CCL'!U19+'#2CCL'!U13+'#2CCL'!U14+'#2CCL'!U15+'#2CCL'!U18+'#2CCL'!U19+'#2CCL'!U20)</f>
        <v>0</v>
      </c>
      <c r="BR34" s="6456">
        <f>(CPL!V11+CPL!V12+CPL!V13+CRM!V12+CRM!V13+CRM!V15+CGL!V11+CGL!V12+CGL!V15+'#1CCL'!V13+'#1CCL'!V14+'#1CCL'!V15+'#1CCL'!V20+'#1CCL'!V19+'#2CCL'!V13+'#2CCL'!V14+'#2CCL'!V15+'#2CCL'!V18+'#2CCL'!V19+'#2CCL'!V20)</f>
        <v>0</v>
      </c>
      <c r="BS34" s="6456">
        <f>(CPL!W11+CPL!W12+CPL!W13+CRM!W12+CRM!W13+CRM!W15+CGL!W11+CGL!W12+CGL!W15+'#1CCL'!W13+'#1CCL'!W14+'#1CCL'!W15+'#1CCL'!W20+'#1CCL'!W19+'#2CCL'!W13+'#2CCL'!W14+'#2CCL'!W15+'#2CCL'!W18+'#2CCL'!W19+'#2CCL'!W20)</f>
        <v>0</v>
      </c>
      <c r="BT34" s="6456">
        <f>(CPL!X11+CPL!X12+CPL!X13+CRM!X12+CRM!X13+CRM!X15+CGL!X11+CGL!X12+CGL!X15+'#1CCL'!X13+'#1CCL'!X14+'#1CCL'!X15+'#1CCL'!X20+'#1CCL'!X19+'#2CCL'!X13+'#2CCL'!X14+'#2CCL'!X15+'#2CCL'!X18+'#2CCL'!X19+'#2CCL'!X20)</f>
        <v>0</v>
      </c>
      <c r="BU34" s="6456">
        <f>(CPL!Y11+CPL!Y12+CPL!Y13+CRM!Y12+CRM!Y13+CRM!Y15+CGL!Y11+CGL!Y12+CGL!Y15+'#1CCL'!Y13+'#1CCL'!Y14+'#1CCL'!Y15+'#1CCL'!Y20+'#1CCL'!Y19+'#2CCL'!Y13+'#2CCL'!Y14+'#2CCL'!Y15+'#2CCL'!Y18+'#2CCL'!Y19+'#2CCL'!Y20)</f>
        <v>0</v>
      </c>
      <c r="BV34" s="6456">
        <f>(CPL!Z11+CPL!Z12+CPL!Z13+CRM!Z12+CRM!Z13+CRM!Z15+CGL!Z11+CGL!Z12+CGL!Z15+'#1CCL'!Z13+'#1CCL'!Z14+'#1CCL'!Z15+'#1CCL'!Z20+'#1CCL'!Z19+'#2CCL'!Z13+'#2CCL'!Z14+'#2CCL'!Z15+'#2CCL'!Z18+'#2CCL'!Z19+'#2CCL'!Z20)</f>
        <v>0</v>
      </c>
      <c r="BW34" s="6456">
        <f>(CPL!AA11+CPL!AA12+CPL!AA13+CRM!AA12+CRM!AA13+CRM!AA15+CGL!AA11+CGL!AA12+CGL!AA15+'#1CCL'!AA13+'#1CCL'!AA14+'#1CCL'!AA15+'#1CCL'!AA20+'#1CCL'!AA19+'#2CCL'!AA13+'#2CCL'!AA14+'#2CCL'!AA15+'#2CCL'!AA18+'#2CCL'!AA19+'#2CCL'!AA20)</f>
        <v>1499.6659999999999</v>
      </c>
    </row>
    <row r="35" spans="22:75">
      <c r="BD35" s="6458">
        <v>29313.865166666666</v>
      </c>
      <c r="BE35" s="6458">
        <v>28862.787833333336</v>
      </c>
      <c r="BF35" s="6458">
        <v>30176.335583333333</v>
      </c>
      <c r="BG35" s="6458">
        <v>29651.478416666665</v>
      </c>
      <c r="BH35" s="6458">
        <v>30173.921749999998</v>
      </c>
      <c r="BI35" s="6458"/>
      <c r="BJ35" s="6458">
        <f>(13000+108800+222360)/12</f>
        <v>28680</v>
      </c>
      <c r="BK35" s="6458"/>
      <c r="BL35" s="6458"/>
      <c r="BM35" s="6458"/>
      <c r="BN35" s="6458"/>
      <c r="BO35" s="6458"/>
      <c r="BP35" s="6458"/>
      <c r="BQ35" s="6458"/>
      <c r="BR35" s="6458"/>
      <c r="BS35" s="6458"/>
      <c r="BT35" s="6458"/>
      <c r="BU35" s="6458"/>
      <c r="BV35" s="6458"/>
      <c r="BW35" s="6458"/>
    </row>
    <row r="36" spans="22:75">
      <c r="BD36" s="6457">
        <f>BD34/BD35*1000</f>
        <v>55.416395646358282</v>
      </c>
      <c r="BE36" s="6457">
        <f>BE34/BE35*1000</f>
        <v>45.165855340365681</v>
      </c>
      <c r="BF36" s="6457">
        <f>BF34/BF35*1000</f>
        <v>38.550182701523994</v>
      </c>
      <c r="BG36" s="6457">
        <f>BG34/BG35*1000</f>
        <v>37.259772272007091</v>
      </c>
      <c r="BH36" s="6457">
        <f>BH34/BH35*1000</f>
        <v>36.782547167571941</v>
      </c>
      <c r="BI36" s="6457"/>
      <c r="BJ36" s="7407">
        <f>BJ34/BJ35*1000</f>
        <v>35.467979980241751</v>
      </c>
      <c r="BK36" s="6457" t="e">
        <f>BK34/BK35*1000</f>
        <v>#DIV/0!</v>
      </c>
      <c r="BL36" s="6457" t="e">
        <f t="shared" ref="BL36:BW36" si="4">BL34/BL35*1000</f>
        <v>#DIV/0!</v>
      </c>
      <c r="BM36" s="6457" t="e">
        <f t="shared" si="4"/>
        <v>#DIV/0!</v>
      </c>
      <c r="BN36" s="6457" t="e">
        <f t="shared" si="4"/>
        <v>#DIV/0!</v>
      </c>
      <c r="BO36" s="6457" t="e">
        <f t="shared" si="4"/>
        <v>#DIV/0!</v>
      </c>
      <c r="BP36" s="6457" t="e">
        <f t="shared" si="4"/>
        <v>#DIV/0!</v>
      </c>
      <c r="BQ36" s="6457" t="e">
        <f t="shared" si="4"/>
        <v>#DIV/0!</v>
      </c>
      <c r="BR36" s="6457" t="e">
        <f t="shared" si="4"/>
        <v>#DIV/0!</v>
      </c>
      <c r="BS36" s="6457" t="e">
        <f t="shared" si="4"/>
        <v>#DIV/0!</v>
      </c>
      <c r="BT36" s="6457" t="e">
        <f t="shared" si="4"/>
        <v>#DIV/0!</v>
      </c>
      <c r="BU36" s="6457" t="e">
        <f t="shared" si="4"/>
        <v>#DIV/0!</v>
      </c>
      <c r="BV36" s="6457" t="e">
        <f t="shared" si="4"/>
        <v>#DIV/0!</v>
      </c>
      <c r="BW36" s="6457" t="e">
        <f t="shared" si="4"/>
        <v>#DIV/0!</v>
      </c>
    </row>
    <row r="39" spans="22:75">
      <c r="BE39" s="743">
        <f>AVERAGE(BE34:BG34)</f>
        <v>1190.5743611111111</v>
      </c>
    </row>
    <row r="40" spans="22:75">
      <c r="BE40" s="743">
        <f>AVERAGE(BE35:BG35)</f>
        <v>29563.533944444443</v>
      </c>
    </row>
    <row r="41" spans="22:75">
      <c r="BE41" s="3413">
        <f>BE39/BE40*1000</f>
        <v>40.271719996277476</v>
      </c>
    </row>
    <row r="43" spans="22:75">
      <c r="BE43">
        <f>BE39/BE40*1000</f>
        <v>40.271719996277476</v>
      </c>
    </row>
    <row r="54" spans="11:23" s="286" customFormat="1">
      <c r="K54" s="673"/>
      <c r="L54" s="673"/>
      <c r="M54" s="673"/>
      <c r="N54" s="673"/>
      <c r="O54" s="673"/>
      <c r="P54" s="673"/>
      <c r="Q54" s="673"/>
      <c r="R54" s="673"/>
      <c r="S54" s="673"/>
      <c r="T54" s="673"/>
      <c r="U54" s="673"/>
      <c r="V54" s="673"/>
      <c r="W54" s="673"/>
    </row>
    <row r="55" spans="11:23" s="286" customFormat="1">
      <c r="K55" s="673"/>
      <c r="L55" s="673"/>
      <c r="M55" s="673"/>
      <c r="N55" s="673"/>
      <c r="O55" s="673"/>
      <c r="P55" s="673"/>
      <c r="Q55" s="673"/>
      <c r="R55" s="673"/>
      <c r="S55" s="673"/>
      <c r="T55" s="673"/>
      <c r="U55" s="673"/>
      <c r="V55" s="673"/>
      <c r="W55" s="673"/>
    </row>
    <row r="56" spans="11:23" s="286" customFormat="1">
      <c r="K56" s="673"/>
      <c r="L56" s="673"/>
      <c r="M56" s="673"/>
      <c r="N56" s="673"/>
      <c r="O56" s="673"/>
      <c r="P56" s="673"/>
      <c r="Q56" s="673"/>
      <c r="R56" s="673"/>
      <c r="S56" s="673"/>
      <c r="T56" s="673"/>
      <c r="U56" s="673"/>
      <c r="V56" s="673"/>
      <c r="W56" s="673"/>
    </row>
    <row r="57" spans="11:23" s="286" customFormat="1">
      <c r="K57" s="673"/>
      <c r="L57" s="673"/>
      <c r="M57" s="673"/>
      <c r="N57" s="673"/>
      <c r="O57" s="673"/>
      <c r="P57" s="673"/>
      <c r="Q57" s="673"/>
      <c r="R57" s="673"/>
      <c r="S57" s="673"/>
      <c r="T57" s="673"/>
      <c r="U57" s="673"/>
      <c r="V57" s="673"/>
      <c r="W57" s="673"/>
    </row>
    <row r="58" spans="11:23" s="286" customFormat="1">
      <c r="K58" s="673"/>
      <c r="L58" s="673"/>
      <c r="M58" s="673"/>
      <c r="N58" s="673"/>
      <c r="O58" s="673"/>
      <c r="P58" s="673"/>
      <c r="Q58" s="673"/>
      <c r="R58" s="673"/>
      <c r="S58" s="673"/>
      <c r="T58" s="673"/>
      <c r="U58" s="673"/>
      <c r="V58" s="673"/>
      <c r="W58" s="673"/>
    </row>
    <row r="59" spans="11:23" s="286" customFormat="1">
      <c r="K59" s="673"/>
      <c r="L59" s="673"/>
      <c r="M59" s="673"/>
      <c r="N59" s="673"/>
      <c r="O59" s="673"/>
      <c r="P59" s="673"/>
      <c r="Q59" s="673"/>
      <c r="R59" s="673"/>
      <c r="S59" s="673"/>
      <c r="T59" s="673"/>
      <c r="U59" s="673"/>
      <c r="V59" s="673"/>
      <c r="W59" s="673"/>
    </row>
    <row r="60" spans="11:23" s="286" customFormat="1">
      <c r="K60" s="673"/>
      <c r="L60" s="673"/>
      <c r="M60" s="673"/>
      <c r="N60" s="673"/>
      <c r="O60" s="673"/>
      <c r="P60" s="673"/>
      <c r="Q60" s="673"/>
      <c r="R60" s="673"/>
      <c r="S60" s="673"/>
      <c r="T60" s="673"/>
      <c r="U60" s="673"/>
      <c r="V60" s="673"/>
      <c r="W60" s="673"/>
    </row>
    <row r="61" spans="11:23" s="286" customFormat="1">
      <c r="K61" s="673"/>
      <c r="L61" s="673"/>
      <c r="M61" s="673"/>
      <c r="N61" s="673"/>
      <c r="O61" s="673"/>
      <c r="P61" s="673"/>
      <c r="Q61" s="673"/>
      <c r="R61" s="673"/>
      <c r="S61" s="673"/>
      <c r="T61" s="673"/>
      <c r="U61" s="673"/>
      <c r="V61" s="673"/>
      <c r="W61" s="673"/>
    </row>
    <row r="62" spans="11:23" s="286" customFormat="1">
      <c r="K62" s="673"/>
      <c r="L62" s="673"/>
      <c r="M62" s="673"/>
      <c r="N62" s="673"/>
      <c r="O62" s="673"/>
      <c r="P62" s="673"/>
      <c r="Q62" s="673"/>
      <c r="R62" s="673"/>
      <c r="S62" s="673"/>
      <c r="T62" s="673"/>
      <c r="U62" s="673"/>
      <c r="V62" s="673"/>
      <c r="W62" s="673"/>
    </row>
    <row r="63" spans="11:23" s="286" customFormat="1">
      <c r="K63" s="673"/>
      <c r="L63" s="673"/>
      <c r="M63" s="673"/>
      <c r="N63" s="673"/>
      <c r="O63" s="673"/>
      <c r="P63" s="673"/>
      <c r="Q63" s="673"/>
      <c r="R63" s="673"/>
      <c r="S63" s="673"/>
      <c r="T63" s="673"/>
      <c r="U63" s="673"/>
      <c r="V63" s="673"/>
      <c r="W63" s="673"/>
    </row>
    <row r="64" spans="11:23" s="286" customFormat="1">
      <c r="K64" s="673"/>
      <c r="L64" s="673"/>
      <c r="M64" s="673"/>
      <c r="N64" s="673"/>
      <c r="O64" s="673"/>
      <c r="P64" s="673"/>
      <c r="Q64" s="673"/>
      <c r="R64" s="673"/>
      <c r="S64" s="673"/>
      <c r="T64" s="673"/>
      <c r="U64" s="673"/>
      <c r="V64" s="673"/>
      <c r="W64" s="673"/>
    </row>
    <row r="65" spans="1:23" s="286" customFormat="1">
      <c r="K65" s="673"/>
      <c r="L65" s="673"/>
      <c r="M65" s="673"/>
      <c r="N65" s="673"/>
      <c r="O65" s="673"/>
      <c r="P65" s="673"/>
      <c r="Q65" s="673"/>
      <c r="R65" s="673"/>
      <c r="S65" s="673"/>
      <c r="T65" s="673"/>
      <c r="U65" s="673"/>
      <c r="V65" s="673"/>
      <c r="W65" s="673"/>
    </row>
    <row r="66" spans="1:23" s="286" customFormat="1">
      <c r="A66" s="6711"/>
      <c r="B66" s="6711"/>
      <c r="C66" s="6711"/>
      <c r="D66" s="6711"/>
      <c r="E66" s="6711"/>
      <c r="F66" s="6711"/>
      <c r="G66" s="6711"/>
      <c r="H66" s="6711"/>
      <c r="I66" s="6711"/>
      <c r="J66" s="6711"/>
      <c r="K66" s="673"/>
      <c r="L66" s="673"/>
      <c r="M66" s="673"/>
      <c r="N66" s="673"/>
      <c r="O66" s="673"/>
      <c r="P66" s="673"/>
      <c r="Q66" s="673"/>
      <c r="R66" s="673"/>
      <c r="S66" s="673"/>
      <c r="T66" s="673"/>
      <c r="U66" s="673"/>
      <c r="V66" s="673"/>
      <c r="W66" s="673"/>
    </row>
    <row r="67" spans="1:23" s="286" customFormat="1">
      <c r="A67" s="6711"/>
      <c r="B67" s="6711"/>
      <c r="C67" s="6711"/>
      <c r="D67" s="6711"/>
      <c r="E67" s="6711"/>
      <c r="F67" s="6711"/>
      <c r="G67" s="6711"/>
      <c r="H67" s="6711"/>
      <c r="I67" s="6711"/>
      <c r="J67" s="6711"/>
      <c r="K67" s="673"/>
      <c r="L67" s="673"/>
      <c r="M67" s="673"/>
      <c r="N67" s="673"/>
      <c r="O67" s="673"/>
      <c r="P67" s="673"/>
      <c r="Q67" s="673"/>
      <c r="R67" s="673"/>
      <c r="S67" s="673"/>
      <c r="T67" s="673"/>
      <c r="U67" s="673"/>
      <c r="V67" s="673"/>
      <c r="W67" s="673"/>
    </row>
    <row r="68" spans="1:23" s="286" customFormat="1">
      <c r="A68" s="6711"/>
      <c r="B68" s="6711"/>
      <c r="C68" s="6711"/>
      <c r="D68" s="6711"/>
      <c r="E68" s="6711"/>
      <c r="F68" s="6711"/>
      <c r="G68" s="6711"/>
      <c r="H68" s="6711"/>
      <c r="I68" s="6711"/>
      <c r="J68" s="6711"/>
      <c r="K68" s="673"/>
      <c r="L68" s="673"/>
      <c r="M68" s="673"/>
      <c r="N68" s="673"/>
      <c r="O68" s="673"/>
      <c r="P68" s="673"/>
      <c r="Q68" s="673"/>
      <c r="R68" s="673"/>
      <c r="S68" s="673"/>
      <c r="T68" s="673"/>
      <c r="U68" s="673"/>
      <c r="V68" s="673"/>
      <c r="W68" s="673"/>
    </row>
    <row r="69" spans="1:23" s="286" customFormat="1">
      <c r="A69" s="6711"/>
      <c r="B69" s="6711"/>
      <c r="C69" s="6711"/>
      <c r="D69" s="6711"/>
      <c r="E69" s="6711"/>
      <c r="F69" s="6711"/>
      <c r="G69" s="6711"/>
      <c r="H69" s="6711"/>
      <c r="I69" s="6711"/>
      <c r="J69" s="6711"/>
      <c r="K69" s="673"/>
      <c r="L69" s="673"/>
      <c r="M69" s="673"/>
      <c r="N69" s="673"/>
      <c r="O69" s="673"/>
      <c r="P69" s="673"/>
      <c r="Q69" s="673"/>
      <c r="R69" s="673"/>
      <c r="S69" s="673"/>
      <c r="T69" s="673"/>
      <c r="U69" s="673"/>
      <c r="V69" s="673"/>
      <c r="W69" s="673"/>
    </row>
    <row r="70" spans="1:23">
      <c r="A70" s="6711"/>
      <c r="B70" s="6711"/>
      <c r="C70" s="6711"/>
      <c r="D70" s="6711"/>
      <c r="E70" s="6711"/>
      <c r="F70" s="6711"/>
      <c r="G70" s="6711"/>
      <c r="H70" s="6711"/>
      <c r="I70" s="6711"/>
      <c r="J70" s="6711"/>
    </row>
    <row r="71" spans="1:23" ht="17.25">
      <c r="A71" s="6711"/>
      <c r="B71" s="6712"/>
      <c r="C71" s="681"/>
      <c r="D71" s="681"/>
      <c r="E71" s="681"/>
      <c r="F71" s="681"/>
      <c r="G71" s="681"/>
      <c r="H71" s="681"/>
      <c r="I71" s="681"/>
      <c r="J71" s="681"/>
      <c r="K71" s="680"/>
    </row>
    <row r="72" spans="1:23" ht="17.25">
      <c r="A72" s="6711"/>
      <c r="B72" s="6713"/>
      <c r="C72" s="6714"/>
      <c r="D72" s="6714"/>
      <c r="E72" s="6714"/>
      <c r="F72" s="6714"/>
      <c r="G72" s="6714"/>
      <c r="H72" s="6714"/>
      <c r="I72" s="6714"/>
      <c r="J72" s="6714"/>
      <c r="K72" s="686"/>
    </row>
    <row r="73" spans="1:23" ht="14.25">
      <c r="A73" s="6711"/>
      <c r="B73" s="681"/>
      <c r="C73" s="6714"/>
      <c r="D73" s="6714"/>
      <c r="E73" s="6714"/>
      <c r="F73" s="6714"/>
      <c r="G73" s="6714"/>
      <c r="H73" s="6714"/>
      <c r="I73" s="6714"/>
      <c r="J73" s="6714"/>
      <c r="K73" s="686"/>
    </row>
    <row r="74" spans="1:23" ht="14.25">
      <c r="A74" s="6711"/>
      <c r="B74" s="681"/>
      <c r="C74" s="6714"/>
      <c r="D74" s="6714"/>
      <c r="E74" s="6714"/>
      <c r="F74" s="6714"/>
      <c r="G74" s="6714"/>
      <c r="H74" s="6714"/>
      <c r="I74" s="6714"/>
      <c r="J74" s="6714"/>
      <c r="K74" s="686"/>
    </row>
    <row r="75" spans="1:23" ht="14.25">
      <c r="A75" s="6711"/>
      <c r="B75" s="681"/>
      <c r="C75" s="6714"/>
      <c r="D75" s="6714"/>
      <c r="E75" s="6714"/>
      <c r="F75" s="6714"/>
      <c r="G75" s="6715"/>
      <c r="H75" s="6714"/>
      <c r="I75" s="6715"/>
      <c r="J75" s="6715"/>
      <c r="K75" s="7933"/>
    </row>
    <row r="76" spans="1:23" ht="14.25">
      <c r="A76" s="6711"/>
      <c r="B76" s="681"/>
      <c r="C76" s="6714"/>
      <c r="D76" s="6714"/>
      <c r="E76" s="6714"/>
      <c r="F76" s="6714"/>
      <c r="G76" s="6715"/>
      <c r="H76" s="6714"/>
      <c r="I76" s="6715"/>
      <c r="J76" s="6715"/>
      <c r="K76" s="7933"/>
    </row>
    <row r="77" spans="1:23">
      <c r="A77" s="6711"/>
      <c r="B77" s="6711"/>
      <c r="C77" s="6711"/>
      <c r="D77" s="6711"/>
      <c r="E77" s="6711"/>
      <c r="F77" s="6711"/>
      <c r="G77" s="6711"/>
      <c r="H77" s="6711"/>
      <c r="I77" s="6711"/>
      <c r="J77" s="6711"/>
    </row>
    <row r="78" spans="1:23" ht="14.25">
      <c r="A78" s="6711"/>
      <c r="B78" s="6711"/>
      <c r="C78" s="6711"/>
      <c r="D78" s="6711"/>
      <c r="E78" s="6711"/>
      <c r="F78" s="6711"/>
      <c r="G78" s="6711"/>
      <c r="H78" s="681"/>
      <c r="I78" s="6711"/>
      <c r="J78" s="6711"/>
    </row>
    <row r="79" spans="1:23" ht="14.25">
      <c r="A79" s="6711"/>
      <c r="B79" s="6711"/>
      <c r="C79" s="6711"/>
      <c r="D79" s="6711"/>
      <c r="E79" s="6711"/>
      <c r="F79" s="6711"/>
      <c r="G79" s="6711"/>
      <c r="H79" s="6714"/>
      <c r="I79" s="6711"/>
      <c r="J79" s="6711"/>
    </row>
    <row r="80" spans="1:23" ht="15" customHeight="1">
      <c r="A80" s="6711"/>
      <c r="B80" s="6711"/>
      <c r="C80" s="6711"/>
      <c r="D80" s="6711"/>
      <c r="E80" s="6711"/>
      <c r="F80" s="6711"/>
      <c r="G80" s="6711"/>
      <c r="H80" s="6714"/>
      <c r="I80" s="6711"/>
      <c r="J80" s="6711"/>
    </row>
    <row r="81" spans="1:10" ht="14.25">
      <c r="A81" s="6711"/>
      <c r="B81" s="6711"/>
      <c r="C81" s="6711"/>
      <c r="D81" s="6711"/>
      <c r="E81" s="6711"/>
      <c r="F81" s="6711"/>
      <c r="G81" s="6711"/>
      <c r="H81" s="6714"/>
      <c r="I81" s="6711"/>
      <c r="J81" s="6711"/>
    </row>
    <row r="82" spans="1:10" ht="14.25">
      <c r="A82" s="6711"/>
      <c r="B82" s="6711"/>
      <c r="C82" s="6711"/>
      <c r="D82" s="6711"/>
      <c r="E82" s="6711"/>
      <c r="F82" s="6711"/>
      <c r="G82" s="6711"/>
      <c r="H82" s="6714"/>
      <c r="I82" s="6711"/>
      <c r="J82" s="6711"/>
    </row>
    <row r="83" spans="1:10" ht="14.25">
      <c r="A83" s="6711"/>
      <c r="B83" s="6711"/>
      <c r="C83" s="6711"/>
      <c r="D83" s="6711"/>
      <c r="E83" s="6711"/>
      <c r="F83" s="6711"/>
      <c r="G83" s="6711"/>
      <c r="H83" s="6714"/>
      <c r="I83" s="6711"/>
      <c r="J83" s="6711"/>
    </row>
    <row r="84" spans="1:10" ht="16.5">
      <c r="A84" s="6711"/>
      <c r="B84" s="6694"/>
      <c r="C84" s="6694"/>
      <c r="D84" s="6694"/>
      <c r="E84" s="6694"/>
      <c r="F84" s="6694"/>
      <c r="G84" s="6711"/>
      <c r="H84" s="6694"/>
      <c r="I84" s="6711"/>
      <c r="J84" s="6711"/>
    </row>
  </sheetData>
  <mergeCells count="19">
    <mergeCell ref="A14:B14"/>
    <mergeCell ref="K75:K76"/>
    <mergeCell ref="A19:A20"/>
    <mergeCell ref="A21:A22"/>
    <mergeCell ref="A15:B15"/>
    <mergeCell ref="A16:B16"/>
    <mergeCell ref="A17:A18"/>
    <mergeCell ref="A13:B13"/>
    <mergeCell ref="A12:B12"/>
    <mergeCell ref="A10:B10"/>
    <mergeCell ref="A9:B9"/>
    <mergeCell ref="A8:B8"/>
    <mergeCell ref="A4:B4"/>
    <mergeCell ref="A3:B3"/>
    <mergeCell ref="A2:B2"/>
    <mergeCell ref="A11:B11"/>
    <mergeCell ref="A5:B5"/>
    <mergeCell ref="A6:B6"/>
    <mergeCell ref="A7:B7"/>
  </mergeCells>
  <phoneticPr fontId="23" type="noConversion"/>
  <pageMargins left="0" right="0" top="0.74803149606299213" bottom="0.74803149606299213" header="0.31496062992125984" footer="0.31496062992125984"/>
  <pageSetup paperSize="9" scale="95"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9"/>
  <sheetViews>
    <sheetView workbookViewId="0">
      <selection activeCell="E18" sqref="E18"/>
    </sheetView>
  </sheetViews>
  <sheetFormatPr defaultColWidth="8.88671875" defaultRowHeight="16.5"/>
  <cols>
    <col min="1" max="1" width="9.5546875" style="298" customWidth="1"/>
    <col min="2" max="3" width="11.21875" style="298" bestFit="1" customWidth="1"/>
    <col min="4" max="4" width="15.21875" style="298" bestFit="1" customWidth="1"/>
    <col min="5" max="5" width="11.21875" style="298" customWidth="1"/>
    <col min="6" max="6" width="9.88671875" style="298" customWidth="1"/>
    <col min="7" max="7" width="12.77734375" style="298" customWidth="1"/>
    <col min="8" max="8" width="8.88671875" style="298"/>
    <col min="9" max="9" width="11.21875" style="298" bestFit="1" customWidth="1"/>
    <col min="10" max="10" width="11.88671875" style="298" bestFit="1" customWidth="1"/>
    <col min="11" max="11" width="17" style="298" customWidth="1"/>
    <col min="12" max="12" width="11.21875" style="298" customWidth="1"/>
    <col min="13" max="14" width="10.109375" style="298" customWidth="1"/>
    <col min="15" max="16384" width="8.88671875" style="298"/>
  </cols>
  <sheetData>
    <row r="1" spans="1:16" ht="20.25">
      <c r="A1" s="705" t="s">
        <v>972</v>
      </c>
      <c r="H1" s="705" t="s">
        <v>973</v>
      </c>
    </row>
    <row r="2" spans="1:16" ht="17.25">
      <c r="A2" s="706" t="s">
        <v>675</v>
      </c>
      <c r="B2" s="706" t="s">
        <v>676</v>
      </c>
      <c r="C2" s="706" t="s">
        <v>677</v>
      </c>
      <c r="D2" s="706" t="s">
        <v>678</v>
      </c>
      <c r="E2" s="706" t="s">
        <v>679</v>
      </c>
      <c r="F2" s="706" t="s">
        <v>680</v>
      </c>
      <c r="G2" s="706" t="s">
        <v>681</v>
      </c>
      <c r="H2" s="706" t="s">
        <v>675</v>
      </c>
      <c r="I2" s="706" t="s">
        <v>676</v>
      </c>
      <c r="J2" s="706" t="s">
        <v>677</v>
      </c>
      <c r="K2" s="706" t="s">
        <v>495</v>
      </c>
      <c r="L2" s="706" t="s">
        <v>538</v>
      </c>
      <c r="M2" s="706" t="s">
        <v>40</v>
      </c>
      <c r="N2" s="706" t="s">
        <v>681</v>
      </c>
    </row>
    <row r="3" spans="1:16" ht="17.25">
      <c r="A3" s="1410" t="s">
        <v>682</v>
      </c>
      <c r="B3" s="1411">
        <v>1</v>
      </c>
      <c r="C3" s="1412">
        <f>SUM(D3:G3)</f>
        <v>97.809789779725861</v>
      </c>
      <c r="D3" s="1412">
        <f>E11</f>
        <v>25</v>
      </c>
      <c r="E3" s="1413">
        <f>E19</f>
        <v>22.809789779725858</v>
      </c>
      <c r="F3" s="1413">
        <f>E27</f>
        <v>25</v>
      </c>
      <c r="G3" s="1412">
        <f>E35</f>
        <v>25</v>
      </c>
      <c r="H3" s="707" t="s">
        <v>95</v>
      </c>
      <c r="I3" s="708">
        <v>5</v>
      </c>
      <c r="J3" s="709" t="e">
        <f>SUM(K3:N3)</f>
        <v>#DIV/0!</v>
      </c>
      <c r="K3" s="709" t="e">
        <f>L11</f>
        <v>#DIV/0!</v>
      </c>
      <c r="L3" s="710">
        <f>L19</f>
        <v>1.7524061056803062</v>
      </c>
      <c r="M3" s="710" t="e">
        <f>L27</f>
        <v>#DIV/0!</v>
      </c>
      <c r="N3" s="709">
        <f>L35</f>
        <v>-0.19544337726155941</v>
      </c>
    </row>
    <row r="4" spans="1:16" ht="17.25">
      <c r="A4" s="707" t="s">
        <v>683</v>
      </c>
      <c r="B4" s="708">
        <v>2</v>
      </c>
      <c r="C4" s="709" t="e">
        <f>SUM(D4:G4)</f>
        <v>#VALUE!</v>
      </c>
      <c r="D4" s="709">
        <f>E12</f>
        <v>25</v>
      </c>
      <c r="E4" s="710">
        <f>E20</f>
        <v>23.177770716623431</v>
      </c>
      <c r="F4" s="710">
        <f>E28</f>
        <v>25</v>
      </c>
      <c r="G4" s="709" t="e">
        <f>E36</f>
        <v>#VALUE!</v>
      </c>
      <c r="H4" s="707" t="s">
        <v>182</v>
      </c>
      <c r="I4" s="708">
        <v>3</v>
      </c>
      <c r="J4" s="709" t="e">
        <f>SUM(K4:N4)</f>
        <v>#DIV/0!</v>
      </c>
      <c r="K4" s="709" t="e">
        <f>L12</f>
        <v>#DIV/0!</v>
      </c>
      <c r="L4" s="710">
        <f>L20</f>
        <v>4.8217282823281264</v>
      </c>
      <c r="M4" s="710" t="e">
        <f>L28</f>
        <v>#DIV/0!</v>
      </c>
      <c r="N4" s="709">
        <f>L36</f>
        <v>6.7393361192146992</v>
      </c>
    </row>
    <row r="5" spans="1:16" ht="17.25">
      <c r="A5" s="1407" t="s">
        <v>29</v>
      </c>
      <c r="B5" s="1408">
        <v>5</v>
      </c>
      <c r="C5" s="1409">
        <f>SUM(D5:G5)</f>
        <v>91.03554214941299</v>
      </c>
      <c r="D5" s="1409">
        <f>E13</f>
        <v>21.40433072048533</v>
      </c>
      <c r="E5" s="1406">
        <f>E21</f>
        <v>19.63121142892766</v>
      </c>
      <c r="F5" s="1406">
        <f>E29</f>
        <v>25</v>
      </c>
      <c r="G5" s="1409">
        <f>E37</f>
        <v>25</v>
      </c>
      <c r="H5" s="1407" t="s">
        <v>29</v>
      </c>
      <c r="I5" s="1408">
        <v>2</v>
      </c>
      <c r="J5" s="1409" t="e">
        <f>SUM(K5:N5)</f>
        <v>#DIV/0!</v>
      </c>
      <c r="K5" s="1409" t="e">
        <f>L13</f>
        <v>#DIV/0!</v>
      </c>
      <c r="L5" s="1406">
        <f>L21</f>
        <v>-0.84125806284840088</v>
      </c>
      <c r="M5" s="1406" t="e">
        <f>L29</f>
        <v>#DIV/0!</v>
      </c>
      <c r="N5" s="1409">
        <f>L37</f>
        <v>6.3128357891377194</v>
      </c>
    </row>
    <row r="6" spans="1:16" ht="17.25">
      <c r="A6" s="707" t="s">
        <v>438</v>
      </c>
      <c r="B6" s="708">
        <v>4</v>
      </c>
      <c r="C6" s="709">
        <f>SUM(D6:G6)</f>
        <v>88.369867199183318</v>
      </c>
      <c r="D6" s="709">
        <f>E14</f>
        <v>18.235453461913533</v>
      </c>
      <c r="E6" s="710">
        <f>E22</f>
        <v>20.134413737269778</v>
      </c>
      <c r="F6" s="710">
        <f>E30</f>
        <v>25</v>
      </c>
      <c r="G6" s="709">
        <f>E38</f>
        <v>25</v>
      </c>
      <c r="H6" s="1410" t="s">
        <v>438</v>
      </c>
      <c r="I6" s="1411">
        <v>1</v>
      </c>
      <c r="J6" s="1412" t="e">
        <f>SUM(K6:N6)</f>
        <v>#DIV/0!</v>
      </c>
      <c r="K6" s="1412" t="e">
        <f>L14</f>
        <v>#DIV/0!</v>
      </c>
      <c r="L6" s="1413">
        <f>L22</f>
        <v>3.2073137142131394</v>
      </c>
      <c r="M6" s="1413" t="e">
        <f>L30</f>
        <v>#DIV/0!</v>
      </c>
      <c r="N6" s="1412">
        <f>L38</f>
        <v>16.720779220779221</v>
      </c>
    </row>
    <row r="7" spans="1:16" ht="17.25">
      <c r="A7" s="707" t="s">
        <v>439</v>
      </c>
      <c r="B7" s="708">
        <v>3</v>
      </c>
      <c r="C7" s="709">
        <f>SUM(D7:G7)</f>
        <v>-21.306388974202889</v>
      </c>
      <c r="D7" s="709">
        <f>E15</f>
        <v>21.278293135435991</v>
      </c>
      <c r="E7" s="710">
        <f>E23</f>
        <v>14.007470507618306</v>
      </c>
      <c r="F7" s="710">
        <f>E31</f>
        <v>-81.592152617257184</v>
      </c>
      <c r="G7" s="709">
        <f>E39</f>
        <v>25</v>
      </c>
      <c r="H7" s="707" t="s">
        <v>439</v>
      </c>
      <c r="I7" s="708">
        <v>4</v>
      </c>
      <c r="J7" s="709" t="e">
        <f>SUM(K7:N7)</f>
        <v>#DIV/0!</v>
      </c>
      <c r="K7" s="709" t="e">
        <f>L15</f>
        <v>#DIV/0!</v>
      </c>
      <c r="L7" s="710">
        <f>L23</f>
        <v>-5.7002480200043646</v>
      </c>
      <c r="M7" s="710" t="e">
        <f>L31</f>
        <v>#DIV/0!</v>
      </c>
      <c r="N7" s="709">
        <f>L39</f>
        <v>6.2762890094979653</v>
      </c>
    </row>
    <row r="9" spans="1:16" ht="20.25">
      <c r="A9" s="705" t="s">
        <v>684</v>
      </c>
      <c r="H9" s="705" t="s">
        <v>967</v>
      </c>
    </row>
    <row r="10" spans="1:16" ht="34.5">
      <c r="A10" s="706" t="s">
        <v>518</v>
      </c>
      <c r="B10" s="711" t="s">
        <v>695</v>
      </c>
      <c r="C10" s="711" t="s">
        <v>965</v>
      </c>
      <c r="D10" s="706" t="s">
        <v>966</v>
      </c>
      <c r="E10" s="706" t="s">
        <v>685</v>
      </c>
      <c r="F10" s="7944" t="s">
        <v>247</v>
      </c>
      <c r="G10" s="7945"/>
      <c r="H10" s="706" t="s">
        <v>518</v>
      </c>
      <c r="I10" s="711" t="s">
        <v>695</v>
      </c>
      <c r="J10" s="711" t="s">
        <v>965</v>
      </c>
      <c r="K10" s="706" t="s">
        <v>971</v>
      </c>
      <c r="L10" s="706" t="s">
        <v>685</v>
      </c>
      <c r="M10" s="7944" t="s">
        <v>247</v>
      </c>
      <c r="N10" s="7945"/>
    </row>
    <row r="11" spans="1:16" ht="17.25" customHeight="1">
      <c r="A11" s="707" t="s">
        <v>95</v>
      </c>
      <c r="B11" s="708">
        <f>년간!C20/12</f>
        <v>2.0741666666666663</v>
      </c>
      <c r="C11" s="708">
        <f>년간!V20/11</f>
        <v>0</v>
      </c>
      <c r="D11" s="708">
        <f>B11-C11</f>
        <v>2.0741666666666663</v>
      </c>
      <c r="E11" s="709">
        <f>D11/B11*25</f>
        <v>25</v>
      </c>
      <c r="F11" s="7942" t="s">
        <v>968</v>
      </c>
      <c r="G11" s="7943"/>
      <c r="H11" s="707" t="s">
        <v>95</v>
      </c>
      <c r="I11" s="710">
        <f>종합!G5</f>
        <v>97.977320000000006</v>
      </c>
      <c r="J11" s="710">
        <f>종합!AO5</f>
        <v>0</v>
      </c>
      <c r="K11" s="710">
        <f>J11-I11</f>
        <v>-97.977320000000006</v>
      </c>
      <c r="L11" s="709" t="e">
        <f>K11/J11*25*100</f>
        <v>#DIV/0!</v>
      </c>
      <c r="M11" s="7942" t="s">
        <v>974</v>
      </c>
      <c r="N11" s="7943"/>
      <c r="P11" s="298">
        <f>K11*25</f>
        <v>-2449.433</v>
      </c>
    </row>
    <row r="12" spans="1:16" ht="17.25">
      <c r="A12" s="707" t="s">
        <v>28</v>
      </c>
      <c r="B12" s="708">
        <f>년간!C21/12</f>
        <v>2.4525000000000001</v>
      </c>
      <c r="C12" s="708">
        <f>년간!V21/11</f>
        <v>0</v>
      </c>
      <c r="D12" s="708">
        <f>B12-C12</f>
        <v>2.4525000000000001</v>
      </c>
      <c r="E12" s="709">
        <f>D12/B12*25</f>
        <v>25</v>
      </c>
      <c r="F12" s="7942"/>
      <c r="G12" s="7943"/>
      <c r="H12" s="707" t="s">
        <v>28</v>
      </c>
      <c r="I12" s="710">
        <f>종합!G6</f>
        <v>99.935723738135536</v>
      </c>
      <c r="J12" s="710">
        <f>종합!AO6</f>
        <v>0</v>
      </c>
      <c r="K12" s="710">
        <f>J12-I12</f>
        <v>-99.935723738135536</v>
      </c>
      <c r="L12" s="709" t="e">
        <f>K12/J12*25*100</f>
        <v>#DIV/0!</v>
      </c>
      <c r="M12" s="7942"/>
      <c r="N12" s="7943"/>
      <c r="P12" s="298">
        <f>K12*25</f>
        <v>-2498.3930934533882</v>
      </c>
    </row>
    <row r="13" spans="1:16" ht="17.25">
      <c r="A13" s="707" t="s">
        <v>29</v>
      </c>
      <c r="B13" s="708">
        <f>년간!C22/12</f>
        <v>30.270000000000007</v>
      </c>
      <c r="C13" s="708">
        <f>년간!V22/11</f>
        <v>4.3536363636363635</v>
      </c>
      <c r="D13" s="708">
        <f>B13-C13</f>
        <v>25.916363636363641</v>
      </c>
      <c r="E13" s="709">
        <f>D13/B13*25</f>
        <v>21.40433072048533</v>
      </c>
      <c r="F13" s="7942"/>
      <c r="G13" s="7943"/>
      <c r="H13" s="707" t="s">
        <v>29</v>
      </c>
      <c r="I13" s="710">
        <f>종합!G7</f>
        <v>99.457557004637763</v>
      </c>
      <c r="J13" s="710">
        <f>종합!AO7</f>
        <v>0</v>
      </c>
      <c r="K13" s="710">
        <f>J13-I13</f>
        <v>-99.457557004637763</v>
      </c>
      <c r="L13" s="709" t="e">
        <f>K13/J13*25*100</f>
        <v>#DIV/0!</v>
      </c>
      <c r="M13" s="7942"/>
      <c r="N13" s="7943"/>
      <c r="P13" s="298">
        <f>K13*25</f>
        <v>-2486.4389251159441</v>
      </c>
    </row>
    <row r="14" spans="1:16" ht="17.25">
      <c r="A14" s="707" t="s">
        <v>438</v>
      </c>
      <c r="B14" s="708">
        <f>년간!C23/12</f>
        <v>6.9916666666666671</v>
      </c>
      <c r="C14" s="708">
        <f>년간!V23/11</f>
        <v>1.8918181818181816</v>
      </c>
      <c r="D14" s="708">
        <f>B14-C14</f>
        <v>5.0998484848484855</v>
      </c>
      <c r="E14" s="709">
        <f>D14/B14*25</f>
        <v>18.235453461913533</v>
      </c>
      <c r="F14" s="7942"/>
      <c r="G14" s="7943"/>
      <c r="H14" s="707" t="s">
        <v>438</v>
      </c>
      <c r="I14" s="710">
        <f>종합!G8</f>
        <v>100.29005853372483</v>
      </c>
      <c r="J14" s="710">
        <f>종합!AO8</f>
        <v>0</v>
      </c>
      <c r="K14" s="710">
        <f>J14-I14</f>
        <v>-100.29005853372483</v>
      </c>
      <c r="L14" s="709" t="e">
        <f>K14/J14*25*100</f>
        <v>#DIV/0!</v>
      </c>
      <c r="M14" s="7942"/>
      <c r="N14" s="7943"/>
      <c r="P14" s="298">
        <f>K14*25</f>
        <v>-2507.2514633431206</v>
      </c>
    </row>
    <row r="15" spans="1:16" ht="17.25">
      <c r="A15" s="707" t="s">
        <v>439</v>
      </c>
      <c r="B15" s="708">
        <f>년간!C24/12</f>
        <v>6.125</v>
      </c>
      <c r="C15" s="708">
        <f>년간!V24/11</f>
        <v>0.91181818181818175</v>
      </c>
      <c r="D15" s="708">
        <f>B15-C15</f>
        <v>5.2131818181818179</v>
      </c>
      <c r="E15" s="709">
        <f>D15/B15*25</f>
        <v>21.278293135435991</v>
      </c>
      <c r="F15" s="7942"/>
      <c r="G15" s="7943"/>
      <c r="H15" s="707" t="s">
        <v>439</v>
      </c>
      <c r="I15" s="710">
        <f>종합!G9</f>
        <v>99.314647934202128</v>
      </c>
      <c r="J15" s="710">
        <f>종합!AO9</f>
        <v>0</v>
      </c>
      <c r="K15" s="710">
        <f>J15-I15</f>
        <v>-99.314647934202128</v>
      </c>
      <c r="L15" s="709" t="e">
        <f>K15/J15*25*100</f>
        <v>#DIV/0!</v>
      </c>
      <c r="M15" s="7942"/>
      <c r="N15" s="7943"/>
      <c r="P15" s="298">
        <f>K15*25</f>
        <v>-2482.8661983550533</v>
      </c>
    </row>
    <row r="17" spans="1:14" ht="20.25">
      <c r="A17" s="705" t="s">
        <v>686</v>
      </c>
      <c r="H17" s="705" t="s">
        <v>686</v>
      </c>
    </row>
    <row r="18" spans="1:14" ht="34.5">
      <c r="A18" s="706" t="s">
        <v>518</v>
      </c>
      <c r="B18" s="711" t="s">
        <v>695</v>
      </c>
      <c r="C18" s="711" t="s">
        <v>965</v>
      </c>
      <c r="D18" s="706" t="s">
        <v>966</v>
      </c>
      <c r="E18" s="706" t="s">
        <v>685</v>
      </c>
      <c r="F18" s="7944" t="s">
        <v>247</v>
      </c>
      <c r="G18" s="7945"/>
      <c r="H18" s="706" t="s">
        <v>518</v>
      </c>
      <c r="I18" s="711" t="s">
        <v>695</v>
      </c>
      <c r="J18" s="711" t="s">
        <v>965</v>
      </c>
      <c r="K18" s="706" t="s">
        <v>970</v>
      </c>
      <c r="L18" s="706" t="s">
        <v>685</v>
      </c>
      <c r="M18" s="7944" t="s">
        <v>247</v>
      </c>
      <c r="N18" s="7945"/>
    </row>
    <row r="19" spans="1:14" ht="17.25" customHeight="1">
      <c r="A19" s="707" t="s">
        <v>95</v>
      </c>
      <c r="B19" s="708">
        <f>스크!B18+스크!C18</f>
        <v>471.55083333333334</v>
      </c>
      <c r="C19" s="708">
        <f>(스크!B37+스크!C37)/11</f>
        <v>41.311818181818175</v>
      </c>
      <c r="D19" s="708">
        <f>B19-C19</f>
        <v>430.23901515151516</v>
      </c>
      <c r="E19" s="709">
        <f>D19/B19*25</f>
        <v>22.809789779725858</v>
      </c>
      <c r="F19" s="7942" t="s">
        <v>968</v>
      </c>
      <c r="G19" s="7943"/>
      <c r="H19" s="707" t="s">
        <v>95</v>
      </c>
      <c r="I19" s="708">
        <v>523.71500000000003</v>
      </c>
      <c r="J19" s="708">
        <v>487.00454545454556</v>
      </c>
      <c r="K19" s="708">
        <f>I19-J19</f>
        <v>36.710454545454468</v>
      </c>
      <c r="L19" s="709">
        <f>K19/I19*25</f>
        <v>1.7524061056803062</v>
      </c>
      <c r="M19" s="7942" t="s">
        <v>968</v>
      </c>
      <c r="N19" s="7943"/>
    </row>
    <row r="20" spans="1:14" ht="17.25">
      <c r="A20" s="707" t="s">
        <v>28</v>
      </c>
      <c r="B20" s="708">
        <f>스크!H18+스크!I18</f>
        <v>444.12383333333338</v>
      </c>
      <c r="C20" s="708">
        <f>(스크!H37+스크!I37)/11</f>
        <v>32.371818181818185</v>
      </c>
      <c r="D20" s="708">
        <f>B20-C20</f>
        <v>411.7520151515152</v>
      </c>
      <c r="E20" s="709">
        <f>D20/B20*25</f>
        <v>23.177770716623431</v>
      </c>
      <c r="F20" s="7942"/>
      <c r="G20" s="7943"/>
      <c r="H20" s="707" t="s">
        <v>28</v>
      </c>
      <c r="I20" s="708">
        <v>565.48</v>
      </c>
      <c r="J20" s="708">
        <v>456.41636363636366</v>
      </c>
      <c r="K20" s="708">
        <f>I20-J20</f>
        <v>109.06363636363636</v>
      </c>
      <c r="L20" s="709">
        <f>K20/I20*25</f>
        <v>4.8217282823281264</v>
      </c>
      <c r="M20" s="7942"/>
      <c r="N20" s="7943"/>
    </row>
    <row r="21" spans="1:14" ht="17.25">
      <c r="A21" s="707" t="s">
        <v>687</v>
      </c>
      <c r="B21" s="708">
        <f>스크!L18+스크!M18</f>
        <v>108.15458333333332</v>
      </c>
      <c r="C21" s="708">
        <f>(스크!L37+스크!M37)/11</f>
        <v>23.226363636363637</v>
      </c>
      <c r="D21" s="708">
        <f>B21-C21</f>
        <v>84.928219696969677</v>
      </c>
      <c r="E21" s="709">
        <f>D21/B21*25</f>
        <v>19.63121142892766</v>
      </c>
      <c r="F21" s="7942"/>
      <c r="G21" s="7943"/>
      <c r="H21" s="707" t="s">
        <v>29</v>
      </c>
      <c r="I21" s="708">
        <v>124.55416666666667</v>
      </c>
      <c r="J21" s="708">
        <v>128.74545454545455</v>
      </c>
      <c r="K21" s="708">
        <f>I21-J21</f>
        <v>-4.1912878787878753</v>
      </c>
      <c r="L21" s="709">
        <f>K21/I21*25</f>
        <v>-0.84125806284840088</v>
      </c>
      <c r="M21" s="7942"/>
      <c r="N21" s="7943"/>
    </row>
    <row r="22" spans="1:14" ht="17.25">
      <c r="A22" s="707" t="s">
        <v>688</v>
      </c>
      <c r="B22" s="708">
        <f>스크!P18+스크!R18+스크!S18</f>
        <v>87.446250000000006</v>
      </c>
      <c r="C22" s="708">
        <f>(스크!P37+스크!R37+스크!S37)/11</f>
        <v>17.019090909090906</v>
      </c>
      <c r="D22" s="708">
        <f>B22-C22</f>
        <v>70.4271590909091</v>
      </c>
      <c r="E22" s="709">
        <f>D22/B22*25</f>
        <v>20.134413737269778</v>
      </c>
      <c r="F22" s="7942"/>
      <c r="G22" s="7943"/>
      <c r="H22" s="707" t="s">
        <v>688</v>
      </c>
      <c r="I22" s="708">
        <v>106.16833333333334</v>
      </c>
      <c r="J22" s="708">
        <v>92.547727272727258</v>
      </c>
      <c r="K22" s="708">
        <f>I22-J22</f>
        <v>13.620606060606079</v>
      </c>
      <c r="L22" s="709">
        <f>K22/I22*25</f>
        <v>3.2073137142131394</v>
      </c>
      <c r="M22" s="7942"/>
      <c r="N22" s="7943"/>
    </row>
    <row r="23" spans="1:14" ht="17.25">
      <c r="A23" s="707" t="s">
        <v>689</v>
      </c>
      <c r="B23" s="708">
        <f>스크!V18+스크!X18+스크!Y18</f>
        <v>56.383333333333326</v>
      </c>
      <c r="C23" s="708">
        <f>(스크!V37+스크!X37+스크!Y37)/11</f>
        <v>24.791818181818179</v>
      </c>
      <c r="D23" s="708">
        <f>B23-C23</f>
        <v>31.591515151515146</v>
      </c>
      <c r="E23" s="709">
        <f>D23/B23*25</f>
        <v>14.007470507618306</v>
      </c>
      <c r="F23" s="7942"/>
      <c r="G23" s="7943"/>
      <c r="H23" s="707" t="s">
        <v>689</v>
      </c>
      <c r="I23" s="708">
        <v>59.577916666666667</v>
      </c>
      <c r="J23" s="708">
        <v>73.162272727272736</v>
      </c>
      <c r="K23" s="708">
        <f>I23-J23</f>
        <v>-13.584356060606069</v>
      </c>
      <c r="L23" s="709">
        <f>K23/I23*25</f>
        <v>-5.7002480200043646</v>
      </c>
      <c r="M23" s="7942"/>
      <c r="N23" s="7943"/>
    </row>
    <row r="25" spans="1:14" ht="20.25">
      <c r="A25" s="705" t="s">
        <v>690</v>
      </c>
      <c r="H25" s="705" t="s">
        <v>969</v>
      </c>
    </row>
    <row r="26" spans="1:14" ht="34.5">
      <c r="A26" s="706" t="s">
        <v>691</v>
      </c>
      <c r="B26" s="711" t="s">
        <v>695</v>
      </c>
      <c r="C26" s="711" t="s">
        <v>965</v>
      </c>
      <c r="D26" s="706" t="s">
        <v>966</v>
      </c>
      <c r="E26" s="706" t="s">
        <v>692</v>
      </c>
      <c r="F26" s="7944" t="s">
        <v>693</v>
      </c>
      <c r="G26" s="7945"/>
      <c r="H26" s="706" t="s">
        <v>518</v>
      </c>
      <c r="I26" s="711" t="s">
        <v>695</v>
      </c>
      <c r="J26" s="711" t="s">
        <v>965</v>
      </c>
      <c r="K26" s="706" t="s">
        <v>971</v>
      </c>
      <c r="L26" s="706" t="s">
        <v>685</v>
      </c>
      <c r="M26" s="7944" t="s">
        <v>624</v>
      </c>
      <c r="N26" s="7945"/>
    </row>
    <row r="27" spans="1:14" ht="17.25" customHeight="1">
      <c r="A27" s="707" t="s">
        <v>95</v>
      </c>
      <c r="B27" s="708">
        <v>0.998</v>
      </c>
      <c r="C27" s="708">
        <f>종합!BF227/11</f>
        <v>0</v>
      </c>
      <c r="D27" s="708">
        <f>B27-C27</f>
        <v>0.998</v>
      </c>
      <c r="E27" s="709">
        <f>D27/B27*25</f>
        <v>25</v>
      </c>
      <c r="F27" s="7942" t="s">
        <v>968</v>
      </c>
      <c r="G27" s="7943"/>
      <c r="H27" s="707" t="s">
        <v>95</v>
      </c>
      <c r="I27" s="710">
        <f>종합!G24</f>
        <v>58.04</v>
      </c>
      <c r="J27" s="710">
        <f>종합!AO24</f>
        <v>0</v>
      </c>
      <c r="K27" s="708">
        <f>J27-I27</f>
        <v>-58.04</v>
      </c>
      <c r="L27" s="709" t="e">
        <f>K27/J27*25</f>
        <v>#DIV/0!</v>
      </c>
      <c r="M27" s="7942" t="s">
        <v>974</v>
      </c>
      <c r="N27" s="7943"/>
    </row>
    <row r="28" spans="1:14" ht="17.25">
      <c r="A28" s="707" t="s">
        <v>28</v>
      </c>
      <c r="B28" s="708">
        <v>4.1900000000000004</v>
      </c>
      <c r="C28" s="708">
        <f>종합!BF228/11</f>
        <v>0</v>
      </c>
      <c r="D28" s="708">
        <f>B28-C28</f>
        <v>4.1900000000000004</v>
      </c>
      <c r="E28" s="709">
        <f>D28/B28*25</f>
        <v>25</v>
      </c>
      <c r="F28" s="7942"/>
      <c r="G28" s="7943"/>
      <c r="H28" s="707" t="s">
        <v>28</v>
      </c>
      <c r="I28" s="710">
        <f>종합!G25</f>
        <v>44.71</v>
      </c>
      <c r="J28" s="710">
        <f>종합!AO25</f>
        <v>0</v>
      </c>
      <c r="K28" s="708">
        <f>J28-I28</f>
        <v>-44.71</v>
      </c>
      <c r="L28" s="709" t="e">
        <f>K28/J28*25</f>
        <v>#DIV/0!</v>
      </c>
      <c r="M28" s="7942"/>
      <c r="N28" s="7943"/>
    </row>
    <row r="29" spans="1:14" ht="17.25">
      <c r="A29" s="707" t="s">
        <v>29</v>
      </c>
      <c r="B29" s="708">
        <v>3.5939999999999999</v>
      </c>
      <c r="C29" s="708">
        <f>종합!BF229/11</f>
        <v>0</v>
      </c>
      <c r="D29" s="708">
        <f>B29-C29</f>
        <v>3.5939999999999999</v>
      </c>
      <c r="E29" s="709">
        <f>D29/B29*25</f>
        <v>25</v>
      </c>
      <c r="F29" s="7942"/>
      <c r="G29" s="7943"/>
      <c r="H29" s="707" t="s">
        <v>29</v>
      </c>
      <c r="I29" s="710">
        <f>종합!G26</f>
        <v>39.29</v>
      </c>
      <c r="J29" s="710">
        <f>종합!AO26</f>
        <v>0</v>
      </c>
      <c r="K29" s="708">
        <f>J29-I29</f>
        <v>-39.29</v>
      </c>
      <c r="L29" s="709" t="e">
        <f>K29/J29*25</f>
        <v>#DIV/0!</v>
      </c>
      <c r="M29" s="7942"/>
      <c r="N29" s="7943"/>
    </row>
    <row r="30" spans="1:14" ht="17.25">
      <c r="A30" s="707" t="s">
        <v>438</v>
      </c>
      <c r="B30" s="708">
        <v>2.331</v>
      </c>
      <c r="C30" s="708">
        <f>종합!BF230/11</f>
        <v>0</v>
      </c>
      <c r="D30" s="708">
        <f>B30-C30</f>
        <v>2.331</v>
      </c>
      <c r="E30" s="709">
        <f>D30/B30*25</f>
        <v>25</v>
      </c>
      <c r="F30" s="7942"/>
      <c r="G30" s="7943"/>
      <c r="H30" s="707" t="s">
        <v>438</v>
      </c>
      <c r="I30" s="710">
        <f>종합!G27</f>
        <v>22.3</v>
      </c>
      <c r="J30" s="710">
        <f>종합!AO27</f>
        <v>0</v>
      </c>
      <c r="K30" s="708">
        <f>J30-I30</f>
        <v>-22.3</v>
      </c>
      <c r="L30" s="709" t="e">
        <f>K30/J30*25</f>
        <v>#DIV/0!</v>
      </c>
      <c r="M30" s="7942"/>
      <c r="N30" s="7943"/>
    </row>
    <row r="31" spans="1:14" ht="17.25">
      <c r="A31" s="707" t="s">
        <v>439</v>
      </c>
      <c r="B31" s="708">
        <v>1.5535000000000001</v>
      </c>
      <c r="C31" s="708">
        <f>종합!BF231/11</f>
        <v>6.6236363636363622</v>
      </c>
      <c r="D31" s="708">
        <f>B31-C31</f>
        <v>-5.0701363636363617</v>
      </c>
      <c r="E31" s="709">
        <f>D31/B31*25</f>
        <v>-81.592152617257184</v>
      </c>
      <c r="F31" s="7942"/>
      <c r="G31" s="7943"/>
      <c r="H31" s="707" t="s">
        <v>439</v>
      </c>
      <c r="I31" s="710">
        <f>종합!G28</f>
        <v>9.3511203248380532</v>
      </c>
      <c r="J31" s="710">
        <f>종합!AO28</f>
        <v>0</v>
      </c>
      <c r="K31" s="708">
        <f>J31-I31</f>
        <v>-9.3511203248380532</v>
      </c>
      <c r="L31" s="709" t="e">
        <f>K31/J31*25</f>
        <v>#DIV/0!</v>
      </c>
      <c r="M31" s="7942"/>
      <c r="N31" s="7943"/>
    </row>
    <row r="33" spans="1:14" ht="20.25">
      <c r="A33" s="705" t="s">
        <v>694</v>
      </c>
      <c r="H33" s="705" t="s">
        <v>694</v>
      </c>
    </row>
    <row r="34" spans="1:14" ht="34.5">
      <c r="A34" s="706" t="s">
        <v>518</v>
      </c>
      <c r="B34" s="711" t="s">
        <v>695</v>
      </c>
      <c r="C34" s="711" t="s">
        <v>965</v>
      </c>
      <c r="D34" s="706" t="s">
        <v>966</v>
      </c>
      <c r="E34" s="706" t="s">
        <v>685</v>
      </c>
      <c r="F34" s="7944" t="s">
        <v>247</v>
      </c>
      <c r="G34" s="7945"/>
      <c r="H34" s="706" t="s">
        <v>518</v>
      </c>
      <c r="I34" s="711" t="s">
        <v>695</v>
      </c>
      <c r="J34" s="711" t="s">
        <v>965</v>
      </c>
      <c r="K34" s="706" t="s">
        <v>966</v>
      </c>
      <c r="L34" s="706" t="s">
        <v>685</v>
      </c>
      <c r="M34" s="7944" t="s">
        <v>247</v>
      </c>
      <c r="N34" s="7945"/>
    </row>
    <row r="35" spans="1:14" ht="17.25" customHeight="1">
      <c r="A35" s="707" t="s">
        <v>95</v>
      </c>
      <c r="B35" s="708">
        <f>(CPL!K21*60)/12</f>
        <v>122.66666666666667</v>
      </c>
      <c r="C35" s="708">
        <f>(CPL!AR21*60)/11</f>
        <v>0</v>
      </c>
      <c r="D35" s="708">
        <f>B35-C35</f>
        <v>122.66666666666667</v>
      </c>
      <c r="E35" s="709">
        <f>D35/B35*25</f>
        <v>25</v>
      </c>
      <c r="F35" s="7942" t="s">
        <v>968</v>
      </c>
      <c r="G35" s="7943"/>
      <c r="H35" s="707" t="s">
        <v>95</v>
      </c>
      <c r="I35" s="708">
        <v>101.75</v>
      </c>
      <c r="J35" s="708">
        <v>102.54545454545455</v>
      </c>
      <c r="K35" s="708">
        <f>I35-J35</f>
        <v>-0.79545454545454675</v>
      </c>
      <c r="L35" s="709">
        <f>K35/I35*25</f>
        <v>-0.19544337726155941</v>
      </c>
      <c r="M35" s="7942" t="s">
        <v>968</v>
      </c>
      <c r="N35" s="7943"/>
    </row>
    <row r="36" spans="1:14" ht="17.25">
      <c r="A36" s="707" t="s">
        <v>28</v>
      </c>
      <c r="B36" s="708">
        <f>(CRM!I22*60)/12</f>
        <v>480.40000000000003</v>
      </c>
      <c r="C36" s="708" t="e">
        <f>(CRM!AR22*60)/11</f>
        <v>#VALUE!</v>
      </c>
      <c r="D36" s="708" t="e">
        <f>B36-C36</f>
        <v>#VALUE!</v>
      </c>
      <c r="E36" s="709" t="e">
        <f>D36/B36*25</f>
        <v>#VALUE!</v>
      </c>
      <c r="F36" s="7942"/>
      <c r="G36" s="7943"/>
      <c r="H36" s="707" t="s">
        <v>28</v>
      </c>
      <c r="I36" s="708">
        <v>480.41666666666669</v>
      </c>
      <c r="J36" s="708">
        <v>350.90909090909088</v>
      </c>
      <c r="K36" s="708">
        <f>I36-J36</f>
        <v>129.50757575757581</v>
      </c>
      <c r="L36" s="709">
        <f>K36/I36*25</f>
        <v>6.7393361192146992</v>
      </c>
      <c r="M36" s="7942"/>
      <c r="N36" s="7943"/>
    </row>
    <row r="37" spans="1:14" ht="17.25">
      <c r="A37" s="707" t="s">
        <v>29</v>
      </c>
      <c r="B37" s="708">
        <f>(CGL!I20*60)/12</f>
        <v>140</v>
      </c>
      <c r="C37" s="708">
        <f>(CGL!AR20*60)/11</f>
        <v>0</v>
      </c>
      <c r="D37" s="708">
        <f>B37-C37</f>
        <v>140</v>
      </c>
      <c r="E37" s="709">
        <f>D37/B37*25</f>
        <v>25</v>
      </c>
      <c r="F37" s="7942"/>
      <c r="G37" s="7943"/>
      <c r="H37" s="707" t="s">
        <v>29</v>
      </c>
      <c r="I37" s="708">
        <v>142.41666666666666</v>
      </c>
      <c r="J37" s="708">
        <v>106.45454545454545</v>
      </c>
      <c r="K37" s="708">
        <f>I37-J37</f>
        <v>35.962121212121204</v>
      </c>
      <c r="L37" s="709">
        <f>K37/I37*25</f>
        <v>6.3128357891377194</v>
      </c>
      <c r="M37" s="7942"/>
      <c r="N37" s="7943"/>
    </row>
    <row r="38" spans="1:14" ht="17.25">
      <c r="A38" s="707" t="s">
        <v>438</v>
      </c>
      <c r="B38" s="708">
        <f>('#1CCL'!I26*60)/12</f>
        <v>345.34999999999997</v>
      </c>
      <c r="C38" s="708">
        <f>('#1CCL'!AR26*60)/11</f>
        <v>0</v>
      </c>
      <c r="D38" s="708">
        <f>B38-C38</f>
        <v>345.34999999999997</v>
      </c>
      <c r="E38" s="709">
        <f>D38/B38*25</f>
        <v>25</v>
      </c>
      <c r="F38" s="7942"/>
      <c r="G38" s="7943"/>
      <c r="H38" s="707" t="s">
        <v>438</v>
      </c>
      <c r="I38" s="708">
        <v>345.33333333333331</v>
      </c>
      <c r="J38" s="708">
        <v>114.36363636363636</v>
      </c>
      <c r="K38" s="708">
        <f>I38-J38</f>
        <v>230.96969696969694</v>
      </c>
      <c r="L38" s="709">
        <f>K38/I38*25</f>
        <v>16.720779220779221</v>
      </c>
      <c r="M38" s="7942"/>
      <c r="N38" s="7943"/>
    </row>
    <row r="39" spans="1:14" ht="17.25">
      <c r="A39" s="707" t="s">
        <v>439</v>
      </c>
      <c r="B39" s="708">
        <f>('#2CCL'!K26*60)/12</f>
        <v>320</v>
      </c>
      <c r="C39" s="708">
        <f>('#2CCL'!AR26*60)/11</f>
        <v>0</v>
      </c>
      <c r="D39" s="708">
        <f>B39-C39</f>
        <v>320</v>
      </c>
      <c r="E39" s="709">
        <f>D39/B39*25</f>
        <v>25</v>
      </c>
      <c r="F39" s="7942"/>
      <c r="G39" s="7943"/>
      <c r="H39" s="707" t="s">
        <v>439</v>
      </c>
      <c r="I39" s="708">
        <v>536</v>
      </c>
      <c r="J39" s="708">
        <v>401.43636363636364</v>
      </c>
      <c r="K39" s="708">
        <f>I39-J39</f>
        <v>134.56363636363636</v>
      </c>
      <c r="L39" s="709">
        <f>K39/I39*25</f>
        <v>6.2762890094979653</v>
      </c>
      <c r="M39" s="7942"/>
      <c r="N39" s="7943"/>
    </row>
  </sheetData>
  <mergeCells count="16">
    <mergeCell ref="F27:G31"/>
    <mergeCell ref="F34:G34"/>
    <mergeCell ref="F35:G39"/>
    <mergeCell ref="F10:G10"/>
    <mergeCell ref="F11:G15"/>
    <mergeCell ref="F18:G18"/>
    <mergeCell ref="F19:G23"/>
    <mergeCell ref="F26:G26"/>
    <mergeCell ref="M27:N31"/>
    <mergeCell ref="M34:N34"/>
    <mergeCell ref="M35:N39"/>
    <mergeCell ref="M10:N10"/>
    <mergeCell ref="M11:N15"/>
    <mergeCell ref="M18:N18"/>
    <mergeCell ref="M19:N23"/>
    <mergeCell ref="M26:N26"/>
  </mergeCells>
  <phoneticPr fontId="23" type="noConversion"/>
  <pageMargins left="0" right="0" top="0.55118110236220474" bottom="0" header="0.31496062992125984" footer="0.31496062992125984"/>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N255"/>
  <sheetViews>
    <sheetView zoomScale="70" zoomScaleNormal="70" workbookViewId="0">
      <selection activeCell="AP11" sqref="AP11"/>
    </sheetView>
  </sheetViews>
  <sheetFormatPr defaultColWidth="8.88671875" defaultRowHeight="16.5"/>
  <cols>
    <col min="1" max="1" width="7.88671875" style="318" customWidth="1"/>
    <col min="2" max="2" width="8.44140625" style="318" customWidth="1"/>
    <col min="3" max="3" width="7.77734375" style="318" customWidth="1"/>
    <col min="4" max="5" width="9" style="318" hidden="1" customWidth="1"/>
    <col min="6" max="7" width="9.21875" style="318" hidden="1" customWidth="1"/>
    <col min="8" max="8" width="8.6640625" style="318" customWidth="1"/>
    <col min="9" max="10" width="9.21875" style="318" customWidth="1"/>
    <col min="11" max="15" width="8.33203125" style="318" customWidth="1"/>
    <col min="16" max="24" width="8.33203125" style="318" hidden="1" customWidth="1"/>
    <col min="25" max="25" width="8.33203125" style="318" customWidth="1"/>
    <col min="26" max="28" width="8.77734375" style="318" customWidth="1"/>
    <col min="29" max="37" width="8.77734375" style="318" hidden="1" customWidth="1"/>
    <col min="38" max="38" width="9.44140625" style="318" customWidth="1"/>
    <col min="39" max="40" width="8.6640625" style="318" customWidth="1"/>
    <col min="41" max="41" width="16.77734375" style="318" customWidth="1"/>
    <col min="42" max="42" width="18.21875" style="318" bestFit="1" customWidth="1"/>
    <col min="43" max="43" width="13.21875" style="318" bestFit="1" customWidth="1"/>
    <col min="44" max="44" width="8.6640625" style="318" bestFit="1" customWidth="1"/>
    <col min="45" max="45" width="12.88671875" style="318" customWidth="1"/>
    <col min="46" max="46" width="12.109375" style="318" customWidth="1"/>
    <col min="47" max="53" width="10.109375" style="318" customWidth="1"/>
    <col min="54" max="58" width="11.5546875" style="318" customWidth="1"/>
    <col min="59" max="60" width="10.44140625" style="318" bestFit="1" customWidth="1"/>
    <col min="61" max="61" width="9.77734375" style="318" customWidth="1"/>
    <col min="62" max="63" width="8.88671875" style="318"/>
    <col min="64" max="64" width="10.44140625" style="318" bestFit="1" customWidth="1"/>
    <col min="65" max="65" width="8.88671875" style="318"/>
    <col min="66" max="66" width="10.44140625" style="318" bestFit="1" customWidth="1"/>
    <col min="67" max="67" width="8.88671875" style="318"/>
    <col min="68" max="69" width="10.44140625" style="318" bestFit="1" customWidth="1"/>
    <col min="70" max="70" width="11.44140625" style="318" customWidth="1"/>
    <col min="71" max="71" width="8.88671875" style="318"/>
    <col min="72" max="72" width="10.44140625" style="318" bestFit="1" customWidth="1"/>
    <col min="73" max="73" width="8.88671875" style="318"/>
    <col min="74" max="74" width="9.77734375" style="318" customWidth="1"/>
    <col min="75" max="75" width="8.88671875" style="318"/>
    <col min="76" max="76" width="10.44140625" style="318" bestFit="1" customWidth="1"/>
    <col min="77" max="77" width="11" style="318" customWidth="1"/>
    <col min="78" max="16384" width="8.88671875" style="318"/>
  </cols>
  <sheetData>
    <row r="1" spans="1:75" ht="23.25" customHeight="1">
      <c r="A1" s="8002" t="s">
        <v>1930</v>
      </c>
      <c r="B1" s="8002"/>
      <c r="C1" s="8002"/>
      <c r="D1" s="8002"/>
      <c r="E1" s="8002"/>
      <c r="F1" s="8002"/>
      <c r="G1" s="8002"/>
      <c r="H1" s="8002"/>
      <c r="I1" s="8002"/>
      <c r="J1" s="8002"/>
      <c r="K1" s="8002"/>
      <c r="L1" s="8002"/>
      <c r="M1" s="8002"/>
      <c r="N1" s="8002"/>
      <c r="O1" s="8002"/>
      <c r="P1" s="8002"/>
      <c r="Q1" s="8002"/>
      <c r="R1" s="8002"/>
      <c r="S1" s="8002"/>
      <c r="T1" s="8002"/>
      <c r="U1" s="8002"/>
      <c r="V1" s="8002"/>
      <c r="W1" s="8002"/>
      <c r="X1" s="8002"/>
      <c r="Y1" s="8002"/>
      <c r="Z1" s="8002"/>
      <c r="AA1" s="8002"/>
      <c r="AB1" s="8002"/>
      <c r="AC1" s="8002"/>
      <c r="AD1" s="8002"/>
      <c r="AE1" s="8002"/>
      <c r="AF1" s="8002"/>
      <c r="AG1" s="8002"/>
      <c r="AH1" s="8002"/>
      <c r="AI1" s="8002"/>
      <c r="AJ1" s="8002"/>
      <c r="AK1" s="8002"/>
      <c r="AL1" s="8002"/>
      <c r="AM1" s="8002"/>
      <c r="AN1" s="8002"/>
      <c r="AR1" s="7995" t="s">
        <v>1020</v>
      </c>
      <c r="AS1" s="395" t="s">
        <v>282</v>
      </c>
      <c r="AT1" s="7997" t="s">
        <v>804</v>
      </c>
      <c r="AU1" s="7998"/>
      <c r="AV1" s="7998"/>
      <c r="AW1" s="7998"/>
      <c r="AX1" s="7998"/>
      <c r="AY1" s="7998"/>
      <c r="AZ1" s="7998"/>
      <c r="BA1" s="7998"/>
      <c r="BB1" s="7998"/>
      <c r="BC1" s="7998"/>
      <c r="BD1" s="7998"/>
      <c r="BE1" s="7998"/>
      <c r="BF1" s="7998"/>
      <c r="BG1" s="7998"/>
      <c r="BH1" s="7998"/>
      <c r="BI1" s="7998"/>
      <c r="BJ1" s="7998"/>
      <c r="BK1" s="7998"/>
      <c r="BL1" s="7998"/>
      <c r="BM1" s="7998"/>
      <c r="BN1" s="7998"/>
      <c r="BO1" s="7998"/>
      <c r="BP1" s="7998"/>
      <c r="BQ1" s="7999"/>
      <c r="BR1" s="8000" t="s">
        <v>712</v>
      </c>
      <c r="BS1" s="8000" t="s">
        <v>433</v>
      </c>
      <c r="BT1" s="7995" t="s">
        <v>361</v>
      </c>
    </row>
    <row r="2" spans="1:75" ht="23.25" customHeight="1" thickBot="1">
      <c r="A2" s="292" t="s">
        <v>454</v>
      </c>
      <c r="C2" s="319"/>
      <c r="D2" s="319"/>
      <c r="E2" s="486"/>
      <c r="F2" s="486"/>
      <c r="G2" s="486"/>
      <c r="H2" s="486"/>
      <c r="I2" s="486"/>
      <c r="J2" s="486"/>
      <c r="K2" s="486"/>
      <c r="L2" s="486"/>
      <c r="M2" s="487"/>
      <c r="N2" s="487"/>
      <c r="O2" s="487"/>
      <c r="P2" s="487"/>
      <c r="AR2" s="7996"/>
      <c r="AS2" s="395" t="s">
        <v>1021</v>
      </c>
      <c r="AT2" s="305" t="s">
        <v>366</v>
      </c>
      <c r="AU2" s="305" t="s">
        <v>368</v>
      </c>
      <c r="AV2" s="305" t="s">
        <v>369</v>
      </c>
      <c r="AW2" s="305" t="s">
        <v>370</v>
      </c>
      <c r="AX2" s="305" t="s">
        <v>371</v>
      </c>
      <c r="AY2" s="305" t="s">
        <v>372</v>
      </c>
      <c r="AZ2" s="305" t="s">
        <v>373</v>
      </c>
      <c r="BA2" s="305" t="s">
        <v>374</v>
      </c>
      <c r="BB2" s="305" t="s">
        <v>375</v>
      </c>
      <c r="BC2" s="305" t="s">
        <v>376</v>
      </c>
      <c r="BD2" s="305" t="s">
        <v>377</v>
      </c>
      <c r="BE2" s="305" t="s">
        <v>378</v>
      </c>
      <c r="BF2" s="306" t="s">
        <v>367</v>
      </c>
      <c r="BG2" s="306" t="s">
        <v>379</v>
      </c>
      <c r="BH2" s="306" t="s">
        <v>380</v>
      </c>
      <c r="BI2" s="306" t="s">
        <v>381</v>
      </c>
      <c r="BJ2" s="306" t="s">
        <v>382</v>
      </c>
      <c r="BK2" s="306" t="s">
        <v>383</v>
      </c>
      <c r="BL2" s="306" t="s">
        <v>384</v>
      </c>
      <c r="BM2" s="306" t="s">
        <v>385</v>
      </c>
      <c r="BN2" s="306" t="s">
        <v>386</v>
      </c>
      <c r="BO2" s="306" t="s">
        <v>387</v>
      </c>
      <c r="BP2" s="306" t="s">
        <v>388</v>
      </c>
      <c r="BQ2" s="306" t="s">
        <v>389</v>
      </c>
      <c r="BR2" s="8001"/>
      <c r="BS2" s="8001"/>
      <c r="BT2" s="7996"/>
    </row>
    <row r="3" spans="1:75" ht="23.25" customHeight="1">
      <c r="A3" s="7750" t="s">
        <v>248</v>
      </c>
      <c r="B3" s="7835" t="s">
        <v>249</v>
      </c>
      <c r="C3" s="7835" t="s">
        <v>250</v>
      </c>
      <c r="D3" s="7844" t="s">
        <v>874</v>
      </c>
      <c r="E3" s="7844" t="s">
        <v>440</v>
      </c>
      <c r="F3" s="7844" t="s">
        <v>543</v>
      </c>
      <c r="G3" s="7955" t="s">
        <v>714</v>
      </c>
      <c r="H3" s="7950" t="s">
        <v>979</v>
      </c>
      <c r="I3" s="7950" t="s">
        <v>1245</v>
      </c>
      <c r="J3" s="7968" t="s">
        <v>1889</v>
      </c>
      <c r="K3" s="7952" t="s">
        <v>1958</v>
      </c>
      <c r="L3" s="7983" t="s">
        <v>895</v>
      </c>
      <c r="M3" s="7954" t="s">
        <v>2269</v>
      </c>
      <c r="N3" s="7954"/>
      <c r="O3" s="7954"/>
      <c r="P3" s="7954"/>
      <c r="Q3" s="7954"/>
      <c r="R3" s="7954"/>
      <c r="S3" s="7954"/>
      <c r="T3" s="7954"/>
      <c r="U3" s="7954"/>
      <c r="V3" s="7954"/>
      <c r="W3" s="7954"/>
      <c r="X3" s="7954"/>
      <c r="Y3" s="7954"/>
      <c r="Z3" s="8004"/>
      <c r="AA3" s="8004"/>
      <c r="AB3" s="8004"/>
      <c r="AC3" s="8004"/>
      <c r="AD3" s="8004"/>
      <c r="AE3" s="8004"/>
      <c r="AF3" s="8004"/>
      <c r="AG3" s="8004"/>
      <c r="AH3" s="8004"/>
      <c r="AI3" s="8004"/>
      <c r="AJ3" s="8004"/>
      <c r="AK3" s="8005"/>
      <c r="AL3" s="7844" t="s">
        <v>1912</v>
      </c>
      <c r="AM3" s="7844" t="s">
        <v>1139</v>
      </c>
      <c r="AN3" s="7955" t="s">
        <v>361</v>
      </c>
      <c r="AO3" s="7968" t="s">
        <v>624</v>
      </c>
      <c r="AP3" s="676">
        <f>AL16+AL29+AL35</f>
        <v>1965826.166752425</v>
      </c>
      <c r="AR3" s="396">
        <f>년간!C19/년간!C7</f>
        <v>0.99483918463783039</v>
      </c>
      <c r="AS3" s="396" t="e">
        <f>년간!#REF!/년간!#REF!</f>
        <v>#REF!</v>
      </c>
      <c r="AT3" s="396">
        <f>년간!F19/년간!F7</f>
        <v>1.0037242934726338</v>
      </c>
      <c r="AU3" s="396">
        <f>년간!G19/년간!G7</f>
        <v>1.004560626149561</v>
      </c>
      <c r="AV3" s="396">
        <f>년간!H19/년간!H7</f>
        <v>0.99383449054048445</v>
      </c>
      <c r="AW3" s="396" t="e">
        <f>년간!I19/년간!I7</f>
        <v>#DIV/0!</v>
      </c>
      <c r="AX3" s="396" t="e">
        <f>년간!J19/년간!J7</f>
        <v>#DIV/0!</v>
      </c>
      <c r="AY3" s="396" t="e">
        <f>년간!K19/년간!K7</f>
        <v>#DIV/0!</v>
      </c>
      <c r="AZ3" s="396" t="e">
        <f>년간!L19/년간!L7</f>
        <v>#DIV/0!</v>
      </c>
      <c r="BA3" s="396" t="e">
        <f>년간!M19/년간!M7</f>
        <v>#DIV/0!</v>
      </c>
      <c r="BB3" s="396" t="e">
        <f>년간!N19/년간!N7</f>
        <v>#DIV/0!</v>
      </c>
      <c r="BC3" s="396" t="e">
        <f>년간!O19/년간!O7</f>
        <v>#DIV/0!</v>
      </c>
      <c r="BD3" s="396" t="e">
        <f>년간!P19/년간!P7</f>
        <v>#DIV/0!</v>
      </c>
      <c r="BE3" s="396" t="e">
        <f>년간!Q19/년간!Q7</f>
        <v>#DIV/0!</v>
      </c>
      <c r="BF3" s="309">
        <f>Z16</f>
        <v>-22685.983627979207</v>
      </c>
      <c r="BG3" s="309">
        <f t="shared" ref="BG3:BQ3" si="0">SUM(BH14:BH15)</f>
        <v>1044063.5757605674</v>
      </c>
      <c r="BH3" s="309">
        <f t="shared" si="0"/>
        <v>1040590</v>
      </c>
      <c r="BI3" s="309">
        <f t="shared" si="0"/>
        <v>0</v>
      </c>
      <c r="BJ3" s="309">
        <f t="shared" si="0"/>
        <v>0</v>
      </c>
      <c r="BK3" s="309">
        <f t="shared" si="0"/>
        <v>0</v>
      </c>
      <c r="BL3" s="309">
        <f t="shared" si="0"/>
        <v>0</v>
      </c>
      <c r="BM3" s="309">
        <f t="shared" si="0"/>
        <v>0</v>
      </c>
      <c r="BN3" s="309">
        <f t="shared" si="0"/>
        <v>0</v>
      </c>
      <c r="BO3" s="309">
        <f t="shared" si="0"/>
        <v>0</v>
      </c>
      <c r="BP3" s="309">
        <f t="shared" si="0"/>
        <v>0</v>
      </c>
      <c r="BQ3" s="309">
        <f t="shared" si="0"/>
        <v>0</v>
      </c>
      <c r="BR3" s="310">
        <f>AL16</f>
        <v>297105.61755184678</v>
      </c>
      <c r="BS3" s="310">
        <f>SUM(BT14:BT15)</f>
        <v>0</v>
      </c>
      <c r="BT3" s="311">
        <f>BS3/BR3</f>
        <v>0</v>
      </c>
    </row>
    <row r="4" spans="1:75" ht="23.25" customHeight="1" thickBot="1">
      <c r="A4" s="8003"/>
      <c r="B4" s="7836"/>
      <c r="C4" s="7836"/>
      <c r="D4" s="7836"/>
      <c r="E4" s="7986"/>
      <c r="F4" s="7986"/>
      <c r="G4" s="7957"/>
      <c r="H4" s="7985"/>
      <c r="I4" s="7951"/>
      <c r="J4" s="7969"/>
      <c r="K4" s="7953"/>
      <c r="L4" s="7984"/>
      <c r="M4" s="3862" t="s">
        <v>396</v>
      </c>
      <c r="N4" s="4510" t="s">
        <v>368</v>
      </c>
      <c r="O4" s="3228" t="s">
        <v>369</v>
      </c>
      <c r="P4" s="4510" t="s">
        <v>370</v>
      </c>
      <c r="Q4" s="4510" t="s">
        <v>371</v>
      </c>
      <c r="R4" s="4510" t="s">
        <v>372</v>
      </c>
      <c r="S4" s="4510" t="s">
        <v>373</v>
      </c>
      <c r="T4" s="4510" t="s">
        <v>374</v>
      </c>
      <c r="U4" s="4510" t="s">
        <v>375</v>
      </c>
      <c r="V4" s="3236" t="s">
        <v>376</v>
      </c>
      <c r="W4" s="5509" t="s">
        <v>377</v>
      </c>
      <c r="X4" s="2514" t="s">
        <v>378</v>
      </c>
      <c r="Y4" s="1552" t="s">
        <v>975</v>
      </c>
      <c r="Z4" s="1414" t="s">
        <v>367</v>
      </c>
      <c r="AA4" s="1146" t="s">
        <v>379</v>
      </c>
      <c r="AB4" s="1146" t="s">
        <v>380</v>
      </c>
      <c r="AC4" s="1146" t="s">
        <v>381</v>
      </c>
      <c r="AD4" s="1146" t="s">
        <v>382</v>
      </c>
      <c r="AE4" s="1146" t="s">
        <v>383</v>
      </c>
      <c r="AF4" s="1146" t="s">
        <v>384</v>
      </c>
      <c r="AG4" s="1146" t="s">
        <v>385</v>
      </c>
      <c r="AH4" s="1146" t="s">
        <v>386</v>
      </c>
      <c r="AI4" s="1146" t="s">
        <v>387</v>
      </c>
      <c r="AJ4" s="1146" t="s">
        <v>388</v>
      </c>
      <c r="AK4" s="1146" t="s">
        <v>389</v>
      </c>
      <c r="AL4" s="7958"/>
      <c r="AM4" s="7958"/>
      <c r="AN4" s="7957"/>
      <c r="AO4" s="7969"/>
      <c r="AR4" s="1076" t="s">
        <v>928</v>
      </c>
      <c r="AZ4" s="318" t="s">
        <v>673</v>
      </c>
      <c r="BA4" s="318">
        <v>0.9</v>
      </c>
      <c r="BB4" s="318">
        <v>1.1299999999999999</v>
      </c>
    </row>
    <row r="5" spans="1:75" ht="22.9" customHeight="1" thickBot="1">
      <c r="A5" s="7737" t="s">
        <v>606</v>
      </c>
      <c r="B5" s="1829" t="s">
        <v>437</v>
      </c>
      <c r="C5" s="1152" t="s">
        <v>231</v>
      </c>
      <c r="D5" s="666">
        <f t="shared" ref="D5:K5" si="1">D11</f>
        <v>97.5</v>
      </c>
      <c r="E5" s="666">
        <f t="shared" si="1"/>
        <v>97.53</v>
      </c>
      <c r="F5" s="666">
        <f t="shared" si="1"/>
        <v>98.00045319044726</v>
      </c>
      <c r="G5" s="1592">
        <f t="shared" si="1"/>
        <v>97.977320000000006</v>
      </c>
      <c r="H5" s="1078">
        <f>H11</f>
        <v>97.970594907103475</v>
      </c>
      <c r="I5" s="1078">
        <f>I11</f>
        <v>97.749821155362042</v>
      </c>
      <c r="J5" s="1078">
        <f>J11</f>
        <v>97.871144441939791</v>
      </c>
      <c r="K5" s="1836">
        <f t="shared" si="1"/>
        <v>98</v>
      </c>
      <c r="L5" s="4277">
        <f t="shared" ref="L5:L16" si="2">K5</f>
        <v>98</v>
      </c>
      <c r="M5" s="7371"/>
      <c r="N5" s="7372"/>
      <c r="O5" s="4274">
        <f t="shared" ref="O5:Y5" si="3">O11</f>
        <v>97.712159552613315</v>
      </c>
      <c r="P5" s="1078" t="e">
        <f t="shared" si="3"/>
        <v>#DIV/0!</v>
      </c>
      <c r="Q5" s="1078" t="e">
        <f t="shared" si="3"/>
        <v>#DIV/0!</v>
      </c>
      <c r="R5" s="1078" t="e">
        <f t="shared" si="3"/>
        <v>#DIV/0!</v>
      </c>
      <c r="S5" s="1078" t="e">
        <f t="shared" si="3"/>
        <v>#DIV/0!</v>
      </c>
      <c r="T5" s="1078" t="e">
        <f t="shared" si="3"/>
        <v>#DIV/0!</v>
      </c>
      <c r="U5" s="1078" t="e">
        <f t="shared" si="3"/>
        <v>#DIV/0!</v>
      </c>
      <c r="V5" s="7604" t="e">
        <f t="shared" si="3"/>
        <v>#DIV/0!</v>
      </c>
      <c r="W5" s="5526" t="e">
        <f t="shared" si="3"/>
        <v>#DIV/0!</v>
      </c>
      <c r="X5" s="1592" t="e">
        <f t="shared" si="3"/>
        <v>#DIV/0!</v>
      </c>
      <c r="Y5" s="2178">
        <f t="shared" si="3"/>
        <v>97.712159552613315</v>
      </c>
      <c r="Z5" s="2032"/>
      <c r="AA5" s="2032"/>
      <c r="AB5" s="1166">
        <f>CPL!AD9</f>
        <v>-21914.6060997288</v>
      </c>
      <c r="AC5" s="1166" t="e">
        <f>CPL!AE9</f>
        <v>#DIV/0!</v>
      </c>
      <c r="AD5" s="1166" t="e">
        <f>CPL!AF9</f>
        <v>#DIV/0!</v>
      </c>
      <c r="AE5" s="1166" t="e">
        <f>CPL!AG9</f>
        <v>#DIV/0!</v>
      </c>
      <c r="AF5" s="1166" t="e">
        <f>CPL!AH9</f>
        <v>#DIV/0!</v>
      </c>
      <c r="AG5" s="1166" t="e">
        <f>CPL!AI9</f>
        <v>#DIV/0!</v>
      </c>
      <c r="AH5" s="1166" t="e">
        <f>CPL!AJ9</f>
        <v>#DIV/0!</v>
      </c>
      <c r="AI5" s="1166" t="e">
        <f>CPL!AK9</f>
        <v>#DIV/0!</v>
      </c>
      <c r="AJ5" s="1166" t="e">
        <f>CPL!AL9</f>
        <v>#DIV/0!</v>
      </c>
      <c r="AK5" s="1166" t="e">
        <f>CPL!AM9</f>
        <v>#DIV/0!</v>
      </c>
      <c r="AL5" s="1166">
        <f>CPL!AN9</f>
        <v>178987.98754439471</v>
      </c>
      <c r="AM5" s="1166">
        <f>CPL!AO9</f>
        <v>-21914.6060997288</v>
      </c>
      <c r="AN5" s="4805">
        <f t="shared" ref="AN5:AN10" si="4">AM5/AL5</f>
        <v>-0.12243618356954419</v>
      </c>
      <c r="AO5" s="1887"/>
      <c r="AR5" s="430" t="s">
        <v>1</v>
      </c>
      <c r="AS5" s="431" t="s">
        <v>504</v>
      </c>
      <c r="AT5" s="431" t="s">
        <v>505</v>
      </c>
      <c r="AU5" s="431" t="s">
        <v>506</v>
      </c>
      <c r="AV5" s="431" t="s">
        <v>507</v>
      </c>
      <c r="AW5" s="431" t="s">
        <v>508</v>
      </c>
      <c r="AX5" s="431" t="s">
        <v>509</v>
      </c>
      <c r="AY5" s="431" t="s">
        <v>510</v>
      </c>
      <c r="AZ5" s="431" t="s">
        <v>511</v>
      </c>
      <c r="BA5" s="431" t="s">
        <v>512</v>
      </c>
      <c r="BB5" s="431" t="s">
        <v>513</v>
      </c>
      <c r="BC5" s="431" t="s">
        <v>515</v>
      </c>
      <c r="BD5" s="431" t="s">
        <v>516</v>
      </c>
      <c r="BP5" s="1233" t="s">
        <v>903</v>
      </c>
      <c r="BQ5" s="680" t="s">
        <v>1050</v>
      </c>
      <c r="BR5" s="680" t="s">
        <v>15</v>
      </c>
      <c r="BS5" s="680" t="s">
        <v>5</v>
      </c>
      <c r="BT5" s="680" t="s">
        <v>6</v>
      </c>
      <c r="BU5" s="318" t="s">
        <v>887</v>
      </c>
      <c r="BV5" s="318" t="s">
        <v>885</v>
      </c>
      <c r="BW5" s="318" t="s">
        <v>886</v>
      </c>
    </row>
    <row r="6" spans="1:75" ht="23.25" customHeight="1">
      <c r="A6" s="7977"/>
      <c r="B6" s="1858" t="s">
        <v>237</v>
      </c>
      <c r="C6" s="1859" t="s">
        <v>231</v>
      </c>
      <c r="D6" s="1824">
        <f>AU10/(AT10+D46)*100</f>
        <v>99.87052263226272</v>
      </c>
      <c r="E6" s="1824">
        <f>AW10/(AV10+E46)*100</f>
        <v>99.862658544883146</v>
      </c>
      <c r="F6" s="1824">
        <f>AY10/(AX10+F46)*100</f>
        <v>99.868038558641942</v>
      </c>
      <c r="G6" s="1593">
        <f>BA10/(AZ10+G46)*100</f>
        <v>99.935723738135536</v>
      </c>
      <c r="H6" s="1587">
        <f>BC10/(BB10+H46)*100</f>
        <v>99.952810295068232</v>
      </c>
      <c r="I6" s="4274">
        <f>BE10/(BD10+I46)*100</f>
        <v>99.972522425747471</v>
      </c>
      <c r="J6" s="4274">
        <f>BG10/(BF10+J46)*100</f>
        <v>99.977203109953848</v>
      </c>
      <c r="K6" s="4278">
        <f>BI10/(BH10+K46)*100</f>
        <v>99.988507282170389</v>
      </c>
      <c r="L6" s="3286">
        <f t="shared" si="2"/>
        <v>99.988507282170389</v>
      </c>
      <c r="M6" s="7373"/>
      <c r="N6" s="7374"/>
      <c r="O6" s="4274">
        <f>년간!H15/(년간!H3+종합!O46)*100</f>
        <v>100</v>
      </c>
      <c r="P6" s="4274" t="e">
        <f>년간!I15/(년간!I3+종합!P46)*100</f>
        <v>#DIV/0!</v>
      </c>
      <c r="Q6" s="4274" t="e">
        <f>년간!J15/(년간!J3+종합!Q46)*100</f>
        <v>#DIV/0!</v>
      </c>
      <c r="R6" s="4274" t="e">
        <f>년간!K15/(년간!K3+종합!R46)*100</f>
        <v>#DIV/0!</v>
      </c>
      <c r="S6" s="4274" t="e">
        <f>년간!L15/(년간!L3+종합!S46)*100</f>
        <v>#DIV/0!</v>
      </c>
      <c r="T6" s="4274" t="e">
        <f>년간!M15/(년간!M3+종합!T46)*100</f>
        <v>#DIV/0!</v>
      </c>
      <c r="U6" s="4274" t="e">
        <f>년간!N15/(년간!N3+종합!U46)*100</f>
        <v>#DIV/0!</v>
      </c>
      <c r="V6" s="7604" t="e">
        <f>년간!O15/(년간!O3+종합!V46)*100</f>
        <v>#DIV/0!</v>
      </c>
      <c r="W6" s="5527" t="e">
        <f>년간!P15/(년간!P3+종합!W46)*100</f>
        <v>#DIV/0!</v>
      </c>
      <c r="X6" s="2742" t="e">
        <f>년간!Q15/(년간!Q3+종합!X46)*100</f>
        <v>#DIV/0!</v>
      </c>
      <c r="Y6" s="2179">
        <f>년간!V15/(년간!V3+종합!Y46)*100</f>
        <v>100</v>
      </c>
      <c r="Z6" s="2029"/>
      <c r="AA6" s="2029"/>
      <c r="AB6" s="2160">
        <f>년간!H133/1000</f>
        <v>2568.203916241459</v>
      </c>
      <c r="AC6" s="2160" t="e">
        <f>년간!I133/1000</f>
        <v>#DIV/0!</v>
      </c>
      <c r="AD6" s="2160" t="e">
        <f>년간!J133/1000</f>
        <v>#DIV/0!</v>
      </c>
      <c r="AE6" s="2160" t="e">
        <f>년간!K133/1000</f>
        <v>#DIV/0!</v>
      </c>
      <c r="AF6" s="2160" t="e">
        <f>년간!L133/1000</f>
        <v>#DIV/0!</v>
      </c>
      <c r="AG6" s="2160" t="e">
        <f>년간!M133/1000</f>
        <v>#DIV/0!</v>
      </c>
      <c r="AH6" s="2160" t="e">
        <f>년간!N133/1000</f>
        <v>#DIV/0!</v>
      </c>
      <c r="AI6" s="2160" t="e">
        <f>년간!O133/1000</f>
        <v>#DIV/0!</v>
      </c>
      <c r="AJ6" s="2160" t="e">
        <f>년간!P133/1000</f>
        <v>#DIV/0!</v>
      </c>
      <c r="AK6" s="2160" t="e">
        <f>년간!Q133/1000</f>
        <v>#DIV/0!</v>
      </c>
      <c r="AL6" s="1871">
        <f>년간!E133/1000</f>
        <v>14704.750899819051</v>
      </c>
      <c r="AM6" s="2161">
        <f>년간!V133/1000</f>
        <v>2568.203916241459</v>
      </c>
      <c r="AN6" s="2169">
        <f t="shared" si="4"/>
        <v>0.17465130376829857</v>
      </c>
      <c r="AO6" s="1887"/>
      <c r="AR6" s="494" t="s">
        <v>501</v>
      </c>
      <c r="AS6" s="626"/>
      <c r="AT6" s="626"/>
      <c r="AU6" s="626"/>
      <c r="AV6" s="626"/>
      <c r="AW6" s="626"/>
      <c r="AX6" s="626"/>
      <c r="AY6" s="626"/>
      <c r="AZ6" s="626"/>
      <c r="BA6" s="626"/>
      <c r="BB6" s="626"/>
      <c r="BC6" s="626"/>
      <c r="BD6" s="626"/>
      <c r="BP6" s="667" t="s">
        <v>635</v>
      </c>
      <c r="BQ6" s="1224">
        <v>62.828333333333326</v>
      </c>
      <c r="BR6" s="1225">
        <v>54.27</v>
      </c>
      <c r="BS6" s="1224">
        <v>51.14</v>
      </c>
      <c r="BT6" s="1224">
        <v>53.32</v>
      </c>
      <c r="BU6" s="1226">
        <v>13.8</v>
      </c>
      <c r="BV6" s="318">
        <v>64.25</v>
      </c>
      <c r="BW6" s="318">
        <v>65.06</v>
      </c>
    </row>
    <row r="7" spans="1:75" ht="23.25" customHeight="1" thickBot="1">
      <c r="A7" s="7977"/>
      <c r="B7" s="1858" t="s">
        <v>43</v>
      </c>
      <c r="C7" s="1859" t="s">
        <v>231</v>
      </c>
      <c r="D7" s="1824">
        <f>AU11/(AT11+D47)*100</f>
        <v>98.167855663821982</v>
      </c>
      <c r="E7" s="1824">
        <f>AW11/(AV11+E47)*100</f>
        <v>98.588486936637864</v>
      </c>
      <c r="F7" s="1824">
        <f>AY11/(AX11+F47)*100</f>
        <v>98.994670160962812</v>
      </c>
      <c r="G7" s="1593">
        <f>BA11/(AZ11+G47)*100</f>
        <v>99.457557004637763</v>
      </c>
      <c r="H7" s="1587">
        <f>BC11/(BB11+H47)*100</f>
        <v>100.12991056087392</v>
      </c>
      <c r="I7" s="4274">
        <f>BE11/(BD11+I47)*100</f>
        <v>100.16156108737712</v>
      </c>
      <c r="J7" s="4274">
        <f>BG11/(BF11+J47)*100</f>
        <v>100.36819107986636</v>
      </c>
      <c r="K7" s="4278">
        <f>BI11/(BH11+K47)*100</f>
        <v>100.40805503513799</v>
      </c>
      <c r="L7" s="3286">
        <f t="shared" si="2"/>
        <v>100.40805503513799</v>
      </c>
      <c r="M7" s="7373"/>
      <c r="N7" s="7374"/>
      <c r="O7" s="4274">
        <f>년간!H16/(년간!H4+종합!O47)*100</f>
        <v>99.851683358855354</v>
      </c>
      <c r="P7" s="4274" t="e">
        <f>년간!I16/(년간!I4+종합!P47)*100</f>
        <v>#DIV/0!</v>
      </c>
      <c r="Q7" s="4274" t="e">
        <f>년간!J16/(년간!J4+종합!Q47)*100</f>
        <v>#DIV/0!</v>
      </c>
      <c r="R7" s="4274" t="e">
        <f>년간!K16/(년간!K4+종합!R47)*100</f>
        <v>#DIV/0!</v>
      </c>
      <c r="S7" s="4274" t="e">
        <f>년간!L16/(년간!L4+종합!S47)*100</f>
        <v>#DIV/0!</v>
      </c>
      <c r="T7" s="4274" t="e">
        <f>년간!M16/(년간!M4+종합!T47)*100</f>
        <v>#DIV/0!</v>
      </c>
      <c r="U7" s="4274" t="e">
        <f>년간!N16/(년간!N4+종합!U47)*100</f>
        <v>#DIV/0!</v>
      </c>
      <c r="V7" s="7604" t="e">
        <f>년간!O16/(년간!O4+종합!V47)*100</f>
        <v>#DIV/0!</v>
      </c>
      <c r="W7" s="5527" t="e">
        <f>년간!P16/(년간!P4+종합!W47)*100</f>
        <v>#DIV/0!</v>
      </c>
      <c r="X7" s="2742" t="e">
        <f>년간!Q16/(년간!Q4+종합!X47)*100</f>
        <v>#DIV/0!</v>
      </c>
      <c r="Y7" s="2179">
        <f>년간!V16/(년간!V4+종합!Y47)*100</f>
        <v>99.851683358855354</v>
      </c>
      <c r="Z7" s="2029"/>
      <c r="AA7" s="2029"/>
      <c r="AB7" s="2160">
        <f>년간!H141/1000</f>
        <v>-57281.830598984052</v>
      </c>
      <c r="AC7" s="2160" t="e">
        <f>년간!I141/1000</f>
        <v>#DIV/0!</v>
      </c>
      <c r="AD7" s="2160" t="e">
        <f>년간!J141/1000</f>
        <v>#DIV/0!</v>
      </c>
      <c r="AE7" s="2160" t="e">
        <f>년간!K141/1000</f>
        <v>#DIV/0!</v>
      </c>
      <c r="AF7" s="2160" t="e">
        <f>년간!L141/1000</f>
        <v>#DIV/0!</v>
      </c>
      <c r="AG7" s="2160" t="e">
        <f>년간!M141/1000</f>
        <v>#DIV/0!</v>
      </c>
      <c r="AH7" s="2160" t="e">
        <f>년간!N141/1000</f>
        <v>#DIV/0!</v>
      </c>
      <c r="AI7" s="2160" t="e">
        <f>년간!O141/1000</f>
        <v>#DIV/0!</v>
      </c>
      <c r="AJ7" s="2160" t="e">
        <f>년간!P141/1000</f>
        <v>#DIV/0!</v>
      </c>
      <c r="AK7" s="2160" t="e">
        <f>년간!Q141/1000</f>
        <v>#DIV/0!</v>
      </c>
      <c r="AL7" s="1871">
        <f>년간!E141/1000</f>
        <v>51633.985070999028</v>
      </c>
      <c r="AM7" s="2161">
        <f>년간!V141/1000</f>
        <v>-57281.830598984052</v>
      </c>
      <c r="AN7" s="2169">
        <f t="shared" si="4"/>
        <v>-1.1093823287166191</v>
      </c>
      <c r="AO7" s="1887"/>
      <c r="AR7" s="495" t="s">
        <v>488</v>
      </c>
      <c r="AS7" s="2218"/>
      <c r="AT7" s="2218"/>
      <c r="AU7" s="2218"/>
      <c r="AV7" s="2218"/>
      <c r="AW7" s="2218"/>
      <c r="AX7" s="2218"/>
      <c r="AY7" s="2218"/>
      <c r="AZ7" s="2218"/>
      <c r="BA7" s="2218"/>
      <c r="BB7" s="2218"/>
      <c r="BC7" s="2218"/>
      <c r="BD7" s="2218"/>
      <c r="BP7" s="668" t="s">
        <v>636</v>
      </c>
      <c r="BQ7" s="1224">
        <v>78.473333333333315</v>
      </c>
      <c r="BR7" s="1225">
        <v>69.38</v>
      </c>
      <c r="BS7" s="1224">
        <v>66.44</v>
      </c>
      <c r="BT7" s="1224">
        <v>71.81</v>
      </c>
      <c r="BU7" s="1226">
        <v>8.8000000000000007</v>
      </c>
      <c r="BV7" s="318">
        <v>82.64</v>
      </c>
      <c r="BW7" s="318">
        <v>79.09</v>
      </c>
    </row>
    <row r="8" spans="1:75" ht="23.25" customHeight="1" thickBot="1">
      <c r="A8" s="7977"/>
      <c r="B8" s="1858" t="s">
        <v>438</v>
      </c>
      <c r="C8" s="1859" t="s">
        <v>231</v>
      </c>
      <c r="D8" s="1554">
        <f>AU12/(AT12+AT26)*100</f>
        <v>99.343641578925158</v>
      </c>
      <c r="E8" s="1554">
        <f>AW12/(AV12+AU26)*100</f>
        <v>99.054050145315031</v>
      </c>
      <c r="F8" s="1554">
        <f>AY12/(AX12+AU26)*100</f>
        <v>99.249080008674838</v>
      </c>
      <c r="G8" s="1594">
        <f>BA12/(AZ12+AW26)*100</f>
        <v>100.29005853372483</v>
      </c>
      <c r="H8" s="1588">
        <f>BC12/(BB12+AX26)*100</f>
        <v>100.45991344797469</v>
      </c>
      <c r="I8" s="4275">
        <f>BE12/(BD12+AY26)*100</f>
        <v>100.39461945188945</v>
      </c>
      <c r="J8" s="4275">
        <f>BG12/(BF12+AZ26)*100</f>
        <v>100.44996273062175</v>
      </c>
      <c r="K8" s="4279">
        <f>BI12/(BH12+BA26)*100</f>
        <v>100.49000500157965</v>
      </c>
      <c r="L8" s="3286">
        <f t="shared" si="2"/>
        <v>100.49000500157965</v>
      </c>
      <c r="M8" s="4059">
        <f>(년간!F17)/(년간!F5+M49+AS49)*100</f>
        <v>100.36305758120288</v>
      </c>
      <c r="N8" s="3784">
        <f>(년간!G17)/(년간!G5+N49+AT49)*100</f>
        <v>100.50836304207915</v>
      </c>
      <c r="O8" s="3784">
        <f>(년간!H17)/(년간!H5+O49+AU49)*100</f>
        <v>100.41670159293874</v>
      </c>
      <c r="P8" s="3784" t="e">
        <f>(년간!I17)/(년간!I5+P49+AV49)*100</f>
        <v>#DIV/0!</v>
      </c>
      <c r="Q8" s="3784" t="e">
        <f>(년간!J17)/(년간!J5+Q49+AW49)*100</f>
        <v>#DIV/0!</v>
      </c>
      <c r="R8" s="3784" t="e">
        <f>(년간!K17)/(년간!K5+R49+AX49)*100</f>
        <v>#DIV/0!</v>
      </c>
      <c r="S8" s="3784" t="e">
        <f>(년간!L17)/(년간!L5+S49+AY49)*100</f>
        <v>#DIV/0!</v>
      </c>
      <c r="T8" s="4275" t="e">
        <f>(년간!M17)/(년간!M5+T49+AZ49)*100</f>
        <v>#DIV/0!</v>
      </c>
      <c r="U8" s="4275" t="e">
        <f>(년간!N17)/(년간!N5+U49+BA49)*100</f>
        <v>#DIV/0!</v>
      </c>
      <c r="V8" s="3784" t="e">
        <f>(년간!O17)/(년간!O5+V49+BN49)*100</f>
        <v>#DIV/0!</v>
      </c>
      <c r="W8" s="4059" t="e">
        <f>(년간!P17)/(년간!P5+W49+BO49)*100</f>
        <v>#DIV/0!</v>
      </c>
      <c r="X8" s="1601" t="e">
        <f>(년간!Q17)/(년간!Q5+X49+BP49)*100</f>
        <v>#DIV/0!</v>
      </c>
      <c r="Y8" s="2179">
        <f>년간!V17/(년간!V5+Y49+BE49)*100</f>
        <v>100.42819608578158</v>
      </c>
      <c r="Z8" s="2160">
        <f>년간!F148/1000</f>
        <v>-5407.9454742914058</v>
      </c>
      <c r="AA8" s="2160">
        <f>년간!G148/1000</f>
        <v>9834.3966463182933</v>
      </c>
      <c r="AB8" s="2160">
        <f>년간!H148/1000</f>
        <v>2081.8442293106746</v>
      </c>
      <c r="AC8" s="2160" t="e">
        <f>년간!I148/1000</f>
        <v>#DIV/0!</v>
      </c>
      <c r="AD8" s="2160" t="e">
        <f>년간!J148/1000</f>
        <v>#DIV/0!</v>
      </c>
      <c r="AE8" s="2160" t="e">
        <f>년간!K148/1000</f>
        <v>#DIV/0!</v>
      </c>
      <c r="AF8" s="2160" t="e">
        <f>년간!L148/1000</f>
        <v>#DIV/0!</v>
      </c>
      <c r="AG8" s="2160" t="e">
        <f>년간!M148/1000</f>
        <v>#DIV/0!</v>
      </c>
      <c r="AH8" s="2160" t="e">
        <f>년간!N148/1000</f>
        <v>#DIV/0!</v>
      </c>
      <c r="AI8" s="2160" t="e">
        <f>년간!O148/1000</f>
        <v>#DIV/0!</v>
      </c>
      <c r="AJ8" s="2160" t="e">
        <f>년간!P148/1000</f>
        <v>#DIV/0!</v>
      </c>
      <c r="AK8" s="2160" t="e">
        <f>년간!Q148/1000</f>
        <v>#DIV/0!</v>
      </c>
      <c r="AL8" s="1871">
        <f>년간!E148/1000</f>
        <v>78155.250444174366</v>
      </c>
      <c r="AM8" s="2161">
        <f>년간!V148/1000</f>
        <v>1324.9702358403138</v>
      </c>
      <c r="AN8" s="4332">
        <f t="shared" si="4"/>
        <v>1.6953054699590898E-2</v>
      </c>
      <c r="AO8" s="4331"/>
      <c r="AP8" s="669"/>
      <c r="AS8" s="2703"/>
      <c r="AT8" s="2704" t="s">
        <v>607</v>
      </c>
      <c r="AU8" s="2705" t="s">
        <v>608</v>
      </c>
      <c r="AV8" s="2706" t="s">
        <v>609</v>
      </c>
      <c r="AW8" s="2707" t="s">
        <v>610</v>
      </c>
      <c r="AX8" s="2704" t="s">
        <v>611</v>
      </c>
      <c r="AY8" s="2705" t="s">
        <v>612</v>
      </c>
      <c r="AZ8" s="2706" t="s">
        <v>613</v>
      </c>
      <c r="BA8" s="2707" t="s">
        <v>614</v>
      </c>
      <c r="BB8" s="2704" t="s">
        <v>789</v>
      </c>
      <c r="BC8" s="2271" t="s">
        <v>790</v>
      </c>
      <c r="BD8" s="2708" t="s">
        <v>988</v>
      </c>
      <c r="BE8" s="2709" t="s">
        <v>989</v>
      </c>
      <c r="BF8" s="2710" t="s">
        <v>1255</v>
      </c>
      <c r="BG8" s="2711" t="s">
        <v>1256</v>
      </c>
      <c r="BH8" s="2710" t="s">
        <v>1891</v>
      </c>
      <c r="BI8" s="2711" t="s">
        <v>1892</v>
      </c>
      <c r="BP8" s="668" t="s">
        <v>637</v>
      </c>
      <c r="BQ8" s="1224">
        <v>90.483333333333334</v>
      </c>
      <c r="BR8" s="1225">
        <v>77.55</v>
      </c>
      <c r="BS8" s="1224">
        <v>92.56</v>
      </c>
      <c r="BT8" s="1224">
        <v>92.7</v>
      </c>
      <c r="BU8" s="1226">
        <v>2</v>
      </c>
      <c r="BV8" s="318">
        <v>90.66</v>
      </c>
      <c r="BW8" s="318">
        <v>91.49</v>
      </c>
    </row>
    <row r="9" spans="1:75" ht="23.25" customHeight="1">
      <c r="A9" s="7977"/>
      <c r="B9" s="1858" t="s">
        <v>439</v>
      </c>
      <c r="C9" s="1859" t="s">
        <v>231</v>
      </c>
      <c r="D9" s="1588">
        <f>AU13/(AT13+AT27+D50)*100</f>
        <v>98.374037530326191</v>
      </c>
      <c r="E9" s="1588">
        <f>AW13/(AV13+AU27+E50)*100</f>
        <v>97.352213260774846</v>
      </c>
      <c r="F9" s="1588">
        <f>AY13/(AX13+AV27+F50)*100</f>
        <v>98.69325706383016</v>
      </c>
      <c r="G9" s="1588">
        <f>BA13/(AZ13+AW27+G50)*100</f>
        <v>99.314647934202128</v>
      </c>
      <c r="H9" s="4275">
        <f>BC13/(BB13+AX27+H50)*100</f>
        <v>99.64082790936996</v>
      </c>
      <c r="I9" s="4275">
        <f>BE13/(BD13+AY27+I50)*100</f>
        <v>100.02734286688211</v>
      </c>
      <c r="J9" s="4275">
        <f>BG13/(BF13+AZ27+J50)*100</f>
        <v>100.19420910863445</v>
      </c>
      <c r="K9" s="4279">
        <f>BI13/(BH13+BA27+K50)*100</f>
        <v>100.28252810427078</v>
      </c>
      <c r="L9" s="4280">
        <f t="shared" si="2"/>
        <v>100.28252810427078</v>
      </c>
      <c r="M9" s="4059">
        <f>년간!F18/(년간!F6+M50+AS50)*100</f>
        <v>100.06522662090383</v>
      </c>
      <c r="N9" s="3784">
        <f>년간!G18/(년간!G6+N50+AT50)*100</f>
        <v>100.07627736221916</v>
      </c>
      <c r="O9" s="3784">
        <f>년간!H18/(년간!H6+O50+AU50)*100</f>
        <v>100.37641745462213</v>
      </c>
      <c r="P9" s="3784" t="e">
        <f>년간!I18/(년간!I6+P50+AV50)*100</f>
        <v>#DIV/0!</v>
      </c>
      <c r="Q9" s="3784" t="e">
        <f>년간!J18/(년간!J6+Q50+AW50)*100</f>
        <v>#DIV/0!</v>
      </c>
      <c r="R9" s="3784" t="e">
        <f>년간!K18/(년간!K6+R50+AX50)*100</f>
        <v>#DIV/0!</v>
      </c>
      <c r="S9" s="3784" t="e">
        <f>년간!L18/(년간!L6+S50+AY50)*100</f>
        <v>#DIV/0!</v>
      </c>
      <c r="T9" s="4275" t="e">
        <f>년간!M18/(년간!M6+T50+AZ50)*100</f>
        <v>#DIV/0!</v>
      </c>
      <c r="U9" s="4275" t="e">
        <f>년간!N18/(년간!N6+U50+BA50)*100</f>
        <v>#DIV/0!</v>
      </c>
      <c r="V9" s="3784" t="e">
        <f>년간!O18/(년간!O6+V50+BN50)*100</f>
        <v>#DIV/0!</v>
      </c>
      <c r="W9" s="4059" t="e">
        <f>년간!P18/(년간!P6+W50+BO50)*100</f>
        <v>#DIV/0!</v>
      </c>
      <c r="X9" s="1601" t="e">
        <f>년간!Q18/(년간!Q6+X50+BP50)*100</f>
        <v>#DIV/0!</v>
      </c>
      <c r="Y9" s="2179">
        <f>년간!V18/(년간!V6+Y50+BE50)*100</f>
        <v>100.18162206695619</v>
      </c>
      <c r="Z9" s="2160">
        <f>년간!F156/1000</f>
        <v>-7749.3871184233749</v>
      </c>
      <c r="AA9" s="2160">
        <f>년간!G156/1000</f>
        <v>-6845.0547786242723</v>
      </c>
      <c r="AB9" s="2160">
        <f>년간!H156/1000</f>
        <v>12260.645866100849</v>
      </c>
      <c r="AC9" s="2160" t="e">
        <f>년간!I156/1000</f>
        <v>#DIV/0!</v>
      </c>
      <c r="AD9" s="2160" t="e">
        <f>년간!J156/1000</f>
        <v>#DIV/0!</v>
      </c>
      <c r="AE9" s="2160" t="e">
        <f>년간!K156/1000</f>
        <v>#DIV/0!</v>
      </c>
      <c r="AF9" s="2160" t="e">
        <f>년간!L156/1000</f>
        <v>#DIV/0!</v>
      </c>
      <c r="AG9" s="2160" t="e">
        <f>년간!M156/1000</f>
        <v>#DIV/0!</v>
      </c>
      <c r="AH9" s="2160" t="e">
        <f>년간!N156/1000</f>
        <v>#DIV/0!</v>
      </c>
      <c r="AI9" s="2160" t="e">
        <f>년간!O156/1000</f>
        <v>#DIV/0!</v>
      </c>
      <c r="AJ9" s="2160" t="e">
        <f>년간!P156/1000</f>
        <v>#DIV/0!</v>
      </c>
      <c r="AK9" s="2160" t="e">
        <f>년간!Q156/1000</f>
        <v>#DIV/0!</v>
      </c>
      <c r="AL9" s="1871">
        <f>년간!E156/1000</f>
        <v>64621.727139032773</v>
      </c>
      <c r="AM9" s="2161">
        <f>년간!V156/1000</f>
        <v>-2333.7960309415039</v>
      </c>
      <c r="AN9" s="4332">
        <f t="shared" si="4"/>
        <v>-3.6114726954300888E-2</v>
      </c>
      <c r="AO9" s="4331"/>
      <c r="AS9" s="2692" t="s">
        <v>127</v>
      </c>
      <c r="AT9" s="2693">
        <v>317831.20400000003</v>
      </c>
      <c r="AU9" s="2694">
        <v>309881.74400000001</v>
      </c>
      <c r="AV9" s="2695">
        <v>324552.527</v>
      </c>
      <c r="AW9" s="2696">
        <v>316522.94099999999</v>
      </c>
      <c r="AX9" s="2693">
        <v>341741.53700000001</v>
      </c>
      <c r="AY9" s="2694">
        <v>334908.255</v>
      </c>
      <c r="AZ9" s="2697">
        <v>329183.67346938775</v>
      </c>
      <c r="BA9" s="2698">
        <v>322600</v>
      </c>
      <c r="BB9" s="2699">
        <v>337898.63699999999</v>
      </c>
      <c r="BC9" s="2700">
        <v>331013.49099999998</v>
      </c>
      <c r="BD9" s="2421">
        <v>309336.92300000001</v>
      </c>
      <c r="BE9" s="6731">
        <v>302376.28899999999</v>
      </c>
      <c r="BF9" s="6725">
        <v>287829.00400000002</v>
      </c>
      <c r="BG9" s="6726">
        <v>281704.19500000001</v>
      </c>
      <c r="BH9" s="2701">
        <v>288173.46938775509</v>
      </c>
      <c r="BI9" s="2702">
        <v>282410</v>
      </c>
      <c r="BP9" s="668" t="s">
        <v>638</v>
      </c>
      <c r="BQ9" s="1224">
        <v>69.433333333333323</v>
      </c>
      <c r="BR9" s="1225">
        <v>66.84</v>
      </c>
      <c r="BS9" s="1224">
        <v>75.91</v>
      </c>
      <c r="BT9" s="1224">
        <v>63.97</v>
      </c>
      <c r="BU9" s="1226">
        <v>4.5</v>
      </c>
      <c r="BV9" s="318">
        <v>71.52</v>
      </c>
      <c r="BW9" s="318">
        <v>57.55</v>
      </c>
    </row>
    <row r="10" spans="1:75" ht="22.9" customHeight="1" thickBot="1">
      <c r="A10" s="7978"/>
      <c r="B10" s="1864" t="s">
        <v>444</v>
      </c>
      <c r="C10" s="1888" t="s">
        <v>1117</v>
      </c>
      <c r="D10" s="1595">
        <f>AU14/(AT14+AT26+AT27+D46+D47)*100</f>
        <v>98.611185633003871</v>
      </c>
      <c r="E10" s="1595">
        <f>AW14/(AV14+AU26+AU27+E46+E47)*100</f>
        <v>98.66773107151711</v>
      </c>
      <c r="F10" s="1595">
        <f>AY14/(AX14+AV26+AV27+F46+F47)*100</f>
        <v>99.025680032530133</v>
      </c>
      <c r="G10" s="1595">
        <f>BA14/(AZ14+G51)*100</f>
        <v>99.253811017611199</v>
      </c>
      <c r="H10" s="1756">
        <f>BC14/(BB14+H51)*100</f>
        <v>99.46621153608794</v>
      </c>
      <c r="I10" s="2132">
        <f>BE14/(BD14+I51)*100</f>
        <v>99.458272456152159</v>
      </c>
      <c r="J10" s="2132">
        <f>BG14/(BF14+J51)*100</f>
        <v>99.568619493376815</v>
      </c>
      <c r="K10" s="5421">
        <f>BI14/(BH14+K51)*100</f>
        <v>99.638293608252283</v>
      </c>
      <c r="L10" s="5422">
        <f t="shared" si="2"/>
        <v>99.638293608252283</v>
      </c>
      <c r="M10" s="2050">
        <f>년간!F19/(년간!F7+M51)*100</f>
        <v>100.27985017928759</v>
      </c>
      <c r="N10" s="4546">
        <f>년간!G19/(년간!G7+N51)*100</f>
        <v>100.38485094014324</v>
      </c>
      <c r="O10" s="4546">
        <f>년간!H19/(년간!H7+O51)*100</f>
        <v>99.347919758598351</v>
      </c>
      <c r="P10" s="4546" t="e">
        <f>년간!I19/(년간!I7+P51)*100</f>
        <v>#DIV/0!</v>
      </c>
      <c r="Q10" s="4546" t="e">
        <f>년간!J19/(년간!J7+Q51)*100</f>
        <v>#DIV/0!</v>
      </c>
      <c r="R10" s="4546" t="e">
        <f>년간!K19/(년간!K7+R51)*100</f>
        <v>#DIV/0!</v>
      </c>
      <c r="S10" s="4546" t="e">
        <f>년간!L19/(년간!L7+S51)*100</f>
        <v>#DIV/0!</v>
      </c>
      <c r="T10" s="4546" t="e">
        <f>년간!M19/(년간!M7+T51)*100</f>
        <v>#DIV/0!</v>
      </c>
      <c r="U10" s="4546" t="e">
        <f>년간!N19/(년간!N7+U51)*100</f>
        <v>#DIV/0!</v>
      </c>
      <c r="V10" s="7605" t="e">
        <f>년간!O19/(년간!O7+V51)*100</f>
        <v>#DIV/0!</v>
      </c>
      <c r="W10" s="4060" t="e">
        <f>년간!P19/(년간!P7+W51)*100</f>
        <v>#DIV/0!</v>
      </c>
      <c r="X10" s="1602" t="e">
        <f>년간!Q19/(년간!Q7+X51)*100</f>
        <v>#DIV/0!</v>
      </c>
      <c r="Y10" s="2168">
        <f>년간!V19/(년간!V7+Y51)*100</f>
        <v>99.611062094758339</v>
      </c>
      <c r="Z10" s="1890">
        <f>SUM(Z5:Z9)</f>
        <v>-13157.332592714782</v>
      </c>
      <c r="AA10" s="1890">
        <f>SUM(AA5:AA9)</f>
        <v>2989.3418676940209</v>
      </c>
      <c r="AB10" s="1890">
        <f>SUM(AB5:AB9)</f>
        <v>-62285.742687059872</v>
      </c>
      <c r="AC10" s="1890" t="e">
        <f t="shared" ref="AC10:AL10" si="5">SUM(AC5:AC9)</f>
        <v>#DIV/0!</v>
      </c>
      <c r="AD10" s="1890" t="e">
        <f t="shared" si="5"/>
        <v>#DIV/0!</v>
      </c>
      <c r="AE10" s="1890" t="e">
        <f t="shared" si="5"/>
        <v>#DIV/0!</v>
      </c>
      <c r="AF10" s="1890" t="e">
        <f t="shared" si="5"/>
        <v>#DIV/0!</v>
      </c>
      <c r="AG10" s="1890" t="e">
        <f t="shared" si="5"/>
        <v>#DIV/0!</v>
      </c>
      <c r="AH10" s="1890" t="e">
        <f t="shared" si="5"/>
        <v>#DIV/0!</v>
      </c>
      <c r="AI10" s="1890" t="e">
        <f t="shared" si="5"/>
        <v>#DIV/0!</v>
      </c>
      <c r="AJ10" s="1890" t="e">
        <f t="shared" si="5"/>
        <v>#DIV/0!</v>
      </c>
      <c r="AK10" s="1890" t="e">
        <f t="shared" si="5"/>
        <v>#DIV/0!</v>
      </c>
      <c r="AL10" s="1890">
        <f t="shared" si="5"/>
        <v>388103.70109841996</v>
      </c>
      <c r="AM10" s="1890">
        <f>SUM(AM5:AM9)</f>
        <v>-77637.058577572592</v>
      </c>
      <c r="AN10" s="1885">
        <f t="shared" si="4"/>
        <v>-0.20004204638565007</v>
      </c>
      <c r="AO10" s="1870"/>
      <c r="AS10" s="2675" t="s">
        <v>128</v>
      </c>
      <c r="AT10" s="2687">
        <v>291352.30900000001</v>
      </c>
      <c r="AU10" s="2688">
        <v>291117.53899999999</v>
      </c>
      <c r="AV10" s="2682">
        <v>295023.511</v>
      </c>
      <c r="AW10" s="2678">
        <v>294828.033</v>
      </c>
      <c r="AX10" s="2687">
        <v>319336.86499999999</v>
      </c>
      <c r="AY10" s="2688">
        <v>319148.15600000002</v>
      </c>
      <c r="AZ10" s="2684">
        <v>317663.5327065413</v>
      </c>
      <c r="BA10" s="2680">
        <v>317600</v>
      </c>
      <c r="BB10" s="2690">
        <f>314404.641</f>
        <v>314404.641</v>
      </c>
      <c r="BC10" s="2691">
        <v>314352.38900000002</v>
      </c>
      <c r="BD10" s="6732">
        <v>290922.37900000002</v>
      </c>
      <c r="BE10" s="6733">
        <v>290884.59899999999</v>
      </c>
      <c r="BF10" s="6727">
        <v>264592.315</v>
      </c>
      <c r="BG10" s="6728">
        <v>264537.17499999999</v>
      </c>
      <c r="BH10" s="5843">
        <v>267936.79367936798</v>
      </c>
      <c r="BI10" s="5844">
        <v>267910</v>
      </c>
      <c r="BP10" s="668" t="s">
        <v>639</v>
      </c>
      <c r="BQ10" s="1224">
        <v>62.459166666666668</v>
      </c>
      <c r="BR10" s="1225">
        <v>57.89</v>
      </c>
      <c r="BS10" s="1224">
        <v>61.33</v>
      </c>
      <c r="BT10" s="1224">
        <v>66.06</v>
      </c>
      <c r="BU10" s="1226">
        <v>6.2</v>
      </c>
      <c r="BV10" s="318">
        <v>44.5</v>
      </c>
      <c r="BW10" s="318">
        <v>60.84</v>
      </c>
    </row>
    <row r="11" spans="1:75" ht="23.25" customHeight="1">
      <c r="A11" s="7798" t="s">
        <v>348</v>
      </c>
      <c r="B11" s="1831" t="s">
        <v>437</v>
      </c>
      <c r="C11" s="1154" t="s">
        <v>441</v>
      </c>
      <c r="D11" s="1457">
        <f>CPL!F9</f>
        <v>97.5</v>
      </c>
      <c r="E11" s="1457">
        <f>CPL!G9</f>
        <v>97.53</v>
      </c>
      <c r="F11" s="1457">
        <f>CPL!H9</f>
        <v>98.00045319044726</v>
      </c>
      <c r="G11" s="1457">
        <f>CPL!I9</f>
        <v>97.977320000000006</v>
      </c>
      <c r="H11" s="1236">
        <v>97.970594907103475</v>
      </c>
      <c r="I11" s="1236">
        <f>CPL!K9</f>
        <v>97.749821155362042</v>
      </c>
      <c r="J11" s="1236">
        <f>CPL!L9</f>
        <v>97.871144441939791</v>
      </c>
      <c r="K11" s="1838">
        <f>CPL!M9</f>
        <v>98</v>
      </c>
      <c r="L11" s="4277">
        <f t="shared" si="2"/>
        <v>98</v>
      </c>
      <c r="M11" s="7371"/>
      <c r="N11" s="7375"/>
      <c r="O11" s="1334">
        <f>CPL!Q9</f>
        <v>97.712159552613315</v>
      </c>
      <c r="P11" s="1334" t="e">
        <f>CPL!R9</f>
        <v>#DIV/0!</v>
      </c>
      <c r="Q11" s="1334" t="e">
        <f>CPL!S9</f>
        <v>#DIV/0!</v>
      </c>
      <c r="R11" s="1334" t="e">
        <f>CPL!T9</f>
        <v>#DIV/0!</v>
      </c>
      <c r="S11" s="1334" t="e">
        <f>CPL!U9</f>
        <v>#DIV/0!</v>
      </c>
      <c r="T11" s="1334" t="e">
        <f>CPL!V9</f>
        <v>#DIV/0!</v>
      </c>
      <c r="U11" s="1334" t="e">
        <f>CPL!W9</f>
        <v>#DIV/0!</v>
      </c>
      <c r="V11" s="7604" t="e">
        <f>CPL!X9</f>
        <v>#DIV/0!</v>
      </c>
      <c r="W11" s="5528" t="e">
        <f>CPL!Y9</f>
        <v>#DIV/0!</v>
      </c>
      <c r="X11" s="1592" t="e">
        <f>CPL!Z9</f>
        <v>#DIV/0!</v>
      </c>
      <c r="Y11" s="2180">
        <f>CPL!AA9</f>
        <v>97.712159552613315</v>
      </c>
      <c r="Z11" s="7394"/>
      <c r="AA11" s="2032"/>
      <c r="AB11" s="721">
        <f>CPL!AD9</f>
        <v>-21914.6060997288</v>
      </c>
      <c r="AC11" s="721" t="e">
        <f>CPL!AE9</f>
        <v>#DIV/0!</v>
      </c>
      <c r="AD11" s="721" t="e">
        <f>CPL!AF9</f>
        <v>#DIV/0!</v>
      </c>
      <c r="AE11" s="721" t="e">
        <f>CPL!AG9</f>
        <v>#DIV/0!</v>
      </c>
      <c r="AF11" s="721" t="e">
        <f>CPL!AH9</f>
        <v>#DIV/0!</v>
      </c>
      <c r="AG11" s="721" t="e">
        <f>CPL!AI9</f>
        <v>#DIV/0!</v>
      </c>
      <c r="AH11" s="721" t="e">
        <f>CPL!AJ9</f>
        <v>#DIV/0!</v>
      </c>
      <c r="AI11" s="721" t="e">
        <f>CPL!AK9</f>
        <v>#DIV/0!</v>
      </c>
      <c r="AJ11" s="721" t="e">
        <f>CPL!AL9</f>
        <v>#DIV/0!</v>
      </c>
      <c r="AK11" s="721" t="e">
        <f>CPL!AM9</f>
        <v>#DIV/0!</v>
      </c>
      <c r="AL11" s="721">
        <f>CPL!AN9</f>
        <v>178987.98754439471</v>
      </c>
      <c r="AM11" s="1599">
        <f>Z11+AA11</f>
        <v>0</v>
      </c>
      <c r="AN11" s="4549">
        <f t="shared" ref="AN11:AN16" si="6">AM11/AL11</f>
        <v>0</v>
      </c>
      <c r="AO11" s="1167"/>
      <c r="AS11" s="2674" t="s">
        <v>129</v>
      </c>
      <c r="AT11" s="2685">
        <v>292757.33</v>
      </c>
      <c r="AU11" s="2686">
        <v>288508.78000000003</v>
      </c>
      <c r="AV11" s="2681">
        <v>288317.93800000002</v>
      </c>
      <c r="AW11" s="2677">
        <v>284596.31</v>
      </c>
      <c r="AX11" s="2685">
        <v>313880.42599999998</v>
      </c>
      <c r="AY11" s="2686">
        <v>310955.55</v>
      </c>
      <c r="AZ11" s="2684">
        <v>311708.54271356785</v>
      </c>
      <c r="BA11" s="2680">
        <v>310150</v>
      </c>
      <c r="BB11" s="2690">
        <f>308532.069</f>
        <v>308532.06900000002</v>
      </c>
      <c r="BC11" s="2691">
        <v>309091.09000000003</v>
      </c>
      <c r="BD11" s="6732">
        <v>291080.179</v>
      </c>
      <c r="BE11" s="6733">
        <v>291611.64</v>
      </c>
      <c r="BF11" s="6725">
        <v>263960.09600000002</v>
      </c>
      <c r="BG11" s="6726">
        <v>264964.81400000001</v>
      </c>
      <c r="BH11" s="5843">
        <v>266789.48416650068</v>
      </c>
      <c r="BI11" s="5844">
        <v>267910</v>
      </c>
      <c r="BP11" s="318" t="s">
        <v>877</v>
      </c>
      <c r="BQ11" s="1224">
        <v>72.735500000000002</v>
      </c>
      <c r="BR11" s="1224">
        <v>65.185999999999993</v>
      </c>
      <c r="BS11" s="1224">
        <v>69.475999999999985</v>
      </c>
      <c r="BT11" s="1224">
        <v>69.571999999999989</v>
      </c>
      <c r="BU11" s="1226">
        <f>AVERAGE(BU6:BU10)</f>
        <v>7.0600000000000005</v>
      </c>
      <c r="BV11" s="1226">
        <f>AVERAGE(BV6:BV10)</f>
        <v>70.713999999999999</v>
      </c>
      <c r="BW11" s="1226">
        <f>AVERAGE(BW6:BW10)</f>
        <v>70.805999999999997</v>
      </c>
    </row>
    <row r="12" spans="1:75" ht="23.25" customHeight="1">
      <c r="A12" s="7799"/>
      <c r="B12" s="1858" t="s">
        <v>237</v>
      </c>
      <c r="C12" s="1859" t="s">
        <v>441</v>
      </c>
      <c r="D12" s="1824">
        <f>CRM!F10</f>
        <v>99.92</v>
      </c>
      <c r="E12" s="1824">
        <f>CRM!G10</f>
        <v>99.93</v>
      </c>
      <c r="F12" s="1824">
        <f>CRM!H10</f>
        <v>99.940905977141099</v>
      </c>
      <c r="G12" s="1824">
        <f>CRM!I10</f>
        <v>99.97</v>
      </c>
      <c r="H12" s="2085">
        <v>99.983380652450364</v>
      </c>
      <c r="I12" s="3861">
        <f>CRM!K10</f>
        <v>99.98701371818494</v>
      </c>
      <c r="J12" s="3861">
        <f>CRM!L10</f>
        <v>99.97916039247022</v>
      </c>
      <c r="K12" s="3830">
        <f>CRM!M10</f>
        <v>99.99</v>
      </c>
      <c r="L12" s="3286">
        <f t="shared" si="2"/>
        <v>99.99</v>
      </c>
      <c r="M12" s="7373"/>
      <c r="N12" s="7374"/>
      <c r="O12" s="4274">
        <f>CRM!Q10</f>
        <v>100</v>
      </c>
      <c r="P12" s="4274" t="e">
        <f>CRM!R10</f>
        <v>#DIV/0!</v>
      </c>
      <c r="Q12" s="4274" t="e">
        <f>CRM!S10</f>
        <v>#DIV/0!</v>
      </c>
      <c r="R12" s="4274" t="e">
        <f>CRM!T10</f>
        <v>#DIV/0!</v>
      </c>
      <c r="S12" s="4274" t="e">
        <f>CRM!U10</f>
        <v>#DIV/0!</v>
      </c>
      <c r="T12" s="4274" t="e">
        <f>CRM!V10</f>
        <v>#DIV/0!</v>
      </c>
      <c r="U12" s="4274" t="e">
        <f>CRM!W10</f>
        <v>#DIV/0!</v>
      </c>
      <c r="V12" s="7604" t="e">
        <f>CRM!X10</f>
        <v>#DIV/0!</v>
      </c>
      <c r="W12" s="5527" t="e">
        <f>CRM!Y10</f>
        <v>#DIV/0!</v>
      </c>
      <c r="X12" s="2742" t="e">
        <f>CRM!Z10</f>
        <v>#DIV/0!</v>
      </c>
      <c r="Y12" s="2181">
        <f>CRM!AA10</f>
        <v>100</v>
      </c>
      <c r="Z12" s="2029"/>
      <c r="AA12" s="2026"/>
      <c r="AB12" s="1599">
        <f>CRM!AD10</f>
        <v>2347.7045141952181</v>
      </c>
      <c r="AC12" s="1599" t="e">
        <f>CRM!AE10</f>
        <v>#DIV/0!</v>
      </c>
      <c r="AD12" s="1599" t="e">
        <f>CRM!AF10</f>
        <v>#DIV/0!</v>
      </c>
      <c r="AE12" s="1599" t="e">
        <f>CRM!AG10</f>
        <v>#DIV/0!</v>
      </c>
      <c r="AF12" s="1599" t="e">
        <f>CRM!AH10</f>
        <v>#DIV/0!</v>
      </c>
      <c r="AG12" s="1599" t="e">
        <f>CRM!AI10</f>
        <v>#DIV/0!</v>
      </c>
      <c r="AH12" s="1599" t="e">
        <f>CRM!AJ10</f>
        <v>#DIV/0!</v>
      </c>
      <c r="AI12" s="1599" t="e">
        <f>CRM!AK10</f>
        <v>#DIV/0!</v>
      </c>
      <c r="AJ12" s="1599" t="e">
        <f>CRM!AL10</f>
        <v>#DIV/0!</v>
      </c>
      <c r="AK12" s="1599" t="e">
        <f>CRM!AM10</f>
        <v>#DIV/0!</v>
      </c>
      <c r="AL12" s="1599">
        <f>CRM!AN10</f>
        <v>14100.433496942687</v>
      </c>
      <c r="AM12" s="1599">
        <f>Z12+AA12</f>
        <v>0</v>
      </c>
      <c r="AN12" s="4548">
        <f t="shared" si="6"/>
        <v>0</v>
      </c>
      <c r="AO12" s="1862"/>
      <c r="AP12" s="669"/>
      <c r="AR12" s="320"/>
      <c r="AS12" s="2675" t="s">
        <v>130</v>
      </c>
      <c r="AT12" s="2687">
        <v>115249.1</v>
      </c>
      <c r="AU12" s="2688">
        <v>115364.89</v>
      </c>
      <c r="AV12" s="2682">
        <v>102398.97</v>
      </c>
      <c r="AW12" s="2678">
        <v>102394.12300000001</v>
      </c>
      <c r="AX12" s="2687">
        <v>119527.321</v>
      </c>
      <c r="AY12" s="2688">
        <v>119595.46</v>
      </c>
      <c r="AZ12" s="2684">
        <v>132270.91633466136</v>
      </c>
      <c r="BA12" s="2680">
        <v>132800</v>
      </c>
      <c r="BB12" s="2690">
        <f>142835.036+'#1CCL'!J14</f>
        <v>142887.59599999999</v>
      </c>
      <c r="BC12" s="2691">
        <v>143597.557</v>
      </c>
      <c r="BD12" s="6732">
        <v>150807.88500000001</v>
      </c>
      <c r="BE12" s="6733">
        <v>151424.818</v>
      </c>
      <c r="BF12" s="6727">
        <v>156822.04699999999</v>
      </c>
      <c r="BG12" s="6728">
        <v>157581.318</v>
      </c>
      <c r="BH12" s="5843">
        <v>161155.87386849694</v>
      </c>
      <c r="BI12" s="5844">
        <v>162010</v>
      </c>
    </row>
    <row r="13" spans="1:75" ht="23.25" customHeight="1">
      <c r="A13" s="7799"/>
      <c r="B13" s="1858" t="s">
        <v>43</v>
      </c>
      <c r="C13" s="1859" t="s">
        <v>441</v>
      </c>
      <c r="D13" s="1824">
        <f>CGL!F9</f>
        <v>98.54878099892494</v>
      </c>
      <c r="E13" s="1824">
        <f>CGL!G9</f>
        <v>98.709193043687762</v>
      </c>
      <c r="F13" s="1824">
        <f>CGL!H9</f>
        <v>99.068155973510756</v>
      </c>
      <c r="G13" s="1824">
        <f>CGL!I9</f>
        <v>99.83</v>
      </c>
      <c r="H13" s="2085">
        <v>100.18118732416113</v>
      </c>
      <c r="I13" s="3861">
        <f>CGL!K9</f>
        <v>100.18258233928049</v>
      </c>
      <c r="J13" s="3861">
        <f>CGL!L9</f>
        <v>100.3806325331841</v>
      </c>
      <c r="K13" s="3830">
        <f>CGL!M9</f>
        <v>100.42</v>
      </c>
      <c r="L13" s="3286">
        <f t="shared" si="2"/>
        <v>100.42</v>
      </c>
      <c r="M13" s="7373"/>
      <c r="N13" s="7374"/>
      <c r="O13" s="4274">
        <f>CGL!Q9</f>
        <v>99.912348904799344</v>
      </c>
      <c r="P13" s="4274" t="e">
        <f>CGL!R9</f>
        <v>#DIV/0!</v>
      </c>
      <c r="Q13" s="4274" t="e">
        <f>CGL!S9</f>
        <v>#DIV/0!</v>
      </c>
      <c r="R13" s="4274" t="e">
        <f>CGL!T9</f>
        <v>#DIV/0!</v>
      </c>
      <c r="S13" s="4274" t="e">
        <f>CGL!U9</f>
        <v>#DIV/0!</v>
      </c>
      <c r="T13" s="4274" t="e">
        <f>CGL!V9</f>
        <v>#DIV/0!</v>
      </c>
      <c r="U13" s="4274" t="e">
        <f>CGL!W9</f>
        <v>#DIV/0!</v>
      </c>
      <c r="V13" s="7604" t="e">
        <f>CGL!X9</f>
        <v>#DIV/0!</v>
      </c>
      <c r="W13" s="5527" t="e">
        <f>CGL!Y9</f>
        <v>#DIV/0!</v>
      </c>
      <c r="X13" s="2742" t="e">
        <f>CGL!Z9</f>
        <v>#DIV/0!</v>
      </c>
      <c r="Y13" s="2181">
        <f>CGL!AA9</f>
        <v>99.912348904799344</v>
      </c>
      <c r="Z13" s="2029"/>
      <c r="AA13" s="2026"/>
      <c r="AB13" s="1599">
        <f>CGL!AD9</f>
        <v>-51902.140265917362</v>
      </c>
      <c r="AC13" s="1599" t="e">
        <f>CGL!AE9</f>
        <v>#DIV/0!</v>
      </c>
      <c r="AD13" s="1599" t="e">
        <f>CGL!AF9</f>
        <v>#DIV/0!</v>
      </c>
      <c r="AE13" s="1599" t="e">
        <f>CGL!AG9</f>
        <v>#DIV/0!</v>
      </c>
      <c r="AF13" s="1599" t="e">
        <f>CGL!AH9</f>
        <v>#DIV/0!</v>
      </c>
      <c r="AG13" s="1599" t="e">
        <f>CGL!AI9</f>
        <v>#DIV/0!</v>
      </c>
      <c r="AH13" s="1599" t="e">
        <f>CGL!AJ9</f>
        <v>#DIV/0!</v>
      </c>
      <c r="AI13" s="1599" t="e">
        <f>CGL!AK9</f>
        <v>#DIV/0!</v>
      </c>
      <c r="AJ13" s="1599" t="e">
        <f>CGL!AL9</f>
        <v>#DIV/0!</v>
      </c>
      <c r="AK13" s="1599" t="e">
        <f>CGL!AM9</f>
        <v>#DIV/0!</v>
      </c>
      <c r="AL13" s="1599">
        <f>CGL!AN9</f>
        <v>50990.905945102255</v>
      </c>
      <c r="AM13" s="1599">
        <f>Z13+AA13</f>
        <v>0</v>
      </c>
      <c r="AN13" s="1861">
        <f t="shared" si="6"/>
        <v>0</v>
      </c>
      <c r="AO13" s="1862"/>
      <c r="AP13" s="697"/>
      <c r="AR13" s="320"/>
      <c r="AS13" s="2674" t="s">
        <v>133</v>
      </c>
      <c r="AT13" s="2685">
        <v>52409.362999999998</v>
      </c>
      <c r="AU13" s="2686">
        <v>52441.53</v>
      </c>
      <c r="AV13" s="2681">
        <v>49077.277000000002</v>
      </c>
      <c r="AW13" s="2677">
        <v>49101.455000000002</v>
      </c>
      <c r="AX13" s="2685">
        <v>62754.607000000004</v>
      </c>
      <c r="AY13" s="2686">
        <v>62751.048999999999</v>
      </c>
      <c r="AZ13" s="2684">
        <f>45165.635+G50</f>
        <v>45243.035000000003</v>
      </c>
      <c r="BA13" s="2680">
        <f>45086.7</f>
        <v>45086.7</v>
      </c>
      <c r="BB13" s="2690">
        <f>54386.258+'#2CCL'!J14</f>
        <v>54514.399000000005</v>
      </c>
      <c r="BC13" s="2691">
        <v>54573.96</v>
      </c>
      <c r="BD13" s="6732">
        <v>52463.324999999997</v>
      </c>
      <c r="BE13" s="6733">
        <v>52664.324999999997</v>
      </c>
      <c r="BF13" s="6727">
        <v>55756.839</v>
      </c>
      <c r="BG13" s="6728">
        <v>56075.171000000002</v>
      </c>
      <c r="BH13" s="5843">
        <v>60007.954658446848</v>
      </c>
      <c r="BI13" s="5844">
        <v>60350</v>
      </c>
    </row>
    <row r="14" spans="1:75" ht="23.25" customHeight="1" thickBot="1">
      <c r="A14" s="7799"/>
      <c r="B14" s="1858" t="s">
        <v>438</v>
      </c>
      <c r="C14" s="1859" t="s">
        <v>441</v>
      </c>
      <c r="D14" s="1554">
        <f>'#1CCL'!F10</f>
        <v>100.606244705544</v>
      </c>
      <c r="E14" s="1554">
        <f>'#1CCL'!G10</f>
        <v>100.05369360660397</v>
      </c>
      <c r="F14" s="1554">
        <f>'#1CCL'!H10</f>
        <v>100.05700705029608</v>
      </c>
      <c r="G14" s="1554">
        <f>'#1CCL'!I10</f>
        <v>100.32</v>
      </c>
      <c r="H14" s="2043">
        <v>100.5338473118038</v>
      </c>
      <c r="I14" s="3233">
        <f>'#1CCL'!K10</f>
        <v>100.40908537375219</v>
      </c>
      <c r="J14" s="3233">
        <f>'#1CCL'!L10</f>
        <v>100.48416087822143</v>
      </c>
      <c r="K14" s="4076">
        <f>'#1CCL'!M10</f>
        <v>100.53</v>
      </c>
      <c r="L14" s="3286">
        <f t="shared" si="2"/>
        <v>100.53</v>
      </c>
      <c r="M14" s="4057">
        <f>'#1CCL'!O10</f>
        <v>100.38500733750388</v>
      </c>
      <c r="N14" s="4275">
        <f>'#1CCL'!P10</f>
        <v>100.52442303626457</v>
      </c>
      <c r="O14" s="4275">
        <f>'#1CCL'!Q10</f>
        <v>100.50994294971281</v>
      </c>
      <c r="P14" s="4275" t="e">
        <f>'#1CCL'!R10</f>
        <v>#DIV/0!</v>
      </c>
      <c r="Q14" s="4275" t="e">
        <f>'#1CCL'!S10</f>
        <v>#DIV/0!</v>
      </c>
      <c r="R14" s="4275" t="e">
        <f>'#1CCL'!T10</f>
        <v>#DIV/0!</v>
      </c>
      <c r="S14" s="4275" t="e">
        <f>'#1CCL'!U10</f>
        <v>#DIV/0!</v>
      </c>
      <c r="T14" s="4275" t="e">
        <f>'#1CCL'!V10</f>
        <v>#DIV/0!</v>
      </c>
      <c r="U14" s="4275" t="e">
        <f>'#1CCL'!W10</f>
        <v>#DIV/0!</v>
      </c>
      <c r="V14" s="3784" t="e">
        <f>'#1CCL'!X10</f>
        <v>#DIV/0!</v>
      </c>
      <c r="W14" s="4059" t="e">
        <f>'#1CCL'!Y10</f>
        <v>#DIV/0!</v>
      </c>
      <c r="X14" s="2743" t="e">
        <f>'#1CCL'!Z10</f>
        <v>#DIV/0!</v>
      </c>
      <c r="Y14" s="2181">
        <f>'#1CCL'!AA10</f>
        <v>100.4731014370178</v>
      </c>
      <c r="Z14" s="1860">
        <f>'#1CCL'!AB10</f>
        <v>-8899.3267814737792</v>
      </c>
      <c r="AA14" s="1599">
        <f>'#1CCL'!AC10</f>
        <v>9970.628719676939</v>
      </c>
      <c r="AB14" s="1599">
        <f>'#1CCL'!AD10</f>
        <v>9499.7571415978782</v>
      </c>
      <c r="AC14" s="1599" t="e">
        <f>'#1CCL'!AE10</f>
        <v>#DIV/0!</v>
      </c>
      <c r="AD14" s="1599" t="e">
        <f>'#1CCL'!AF10</f>
        <v>#DIV/0!</v>
      </c>
      <c r="AE14" s="1599" t="e">
        <f>'#1CCL'!AG10</f>
        <v>#DIV/0!</v>
      </c>
      <c r="AF14" s="1599" t="e">
        <f>'#1CCL'!AH10</f>
        <v>#DIV/0!</v>
      </c>
      <c r="AG14" s="1599" t="e">
        <f>'#1CCL'!AI10</f>
        <v>#DIV/0!</v>
      </c>
      <c r="AH14" s="1599" t="e">
        <f>'#1CCL'!AJ10</f>
        <v>#DIV/0!</v>
      </c>
      <c r="AI14" s="1599" t="e">
        <f>'#1CCL'!AK10</f>
        <v>#DIV/0!</v>
      </c>
      <c r="AJ14" s="1599" t="e">
        <f>'#1CCL'!AL10</f>
        <v>#DIV/0!</v>
      </c>
      <c r="AK14" s="1599" t="e">
        <f>'#1CCL'!AM10</f>
        <v>#DIV/0!</v>
      </c>
      <c r="AL14" s="1599">
        <f>'#1CCL'!AN10</f>
        <v>53706.074496399357</v>
      </c>
      <c r="AM14" s="1599">
        <f>Z14+AA14</f>
        <v>1071.3019382031598</v>
      </c>
      <c r="AN14" s="1861">
        <f t="shared" si="6"/>
        <v>1.9947500320005397E-2</v>
      </c>
      <c r="AO14" s="1862"/>
      <c r="AR14" s="320"/>
      <c r="AS14" s="2676" t="s">
        <v>1959</v>
      </c>
      <c r="AT14" s="2689">
        <f>SUM(AT9:AT13)</f>
        <v>1069599.3060000001</v>
      </c>
      <c r="AU14" s="2673">
        <f t="shared" ref="AU14:BI14" si="7">SUM(AU9:AU13)</f>
        <v>1057314.483</v>
      </c>
      <c r="AV14" s="2683">
        <f t="shared" si="7"/>
        <v>1059370.223</v>
      </c>
      <c r="AW14" s="2679">
        <f t="shared" si="7"/>
        <v>1047442.862</v>
      </c>
      <c r="AX14" s="2689">
        <f t="shared" si="7"/>
        <v>1157240.7560000001</v>
      </c>
      <c r="AY14" s="2673">
        <f t="shared" si="7"/>
        <v>1147358.4700000002</v>
      </c>
      <c r="AZ14" s="2683">
        <f t="shared" si="7"/>
        <v>1136069.7002241581</v>
      </c>
      <c r="BA14" s="2679">
        <f t="shared" si="7"/>
        <v>1128236.7</v>
      </c>
      <c r="BB14" s="2689">
        <f t="shared" si="7"/>
        <v>1158237.3419999999</v>
      </c>
      <c r="BC14" s="2673">
        <f t="shared" si="7"/>
        <v>1152628.487</v>
      </c>
      <c r="BD14" s="6734">
        <f t="shared" si="7"/>
        <v>1094610.6910000001</v>
      </c>
      <c r="BE14" s="6735">
        <f t="shared" si="7"/>
        <v>1088961.6710000001</v>
      </c>
      <c r="BF14" s="6729">
        <f t="shared" si="7"/>
        <v>1028960.3010000001</v>
      </c>
      <c r="BG14" s="6730">
        <f t="shared" si="7"/>
        <v>1024862.673</v>
      </c>
      <c r="BH14" s="6437">
        <f t="shared" si="7"/>
        <v>1044063.5757605674</v>
      </c>
      <c r="BI14" s="6438">
        <f t="shared" si="7"/>
        <v>1040590</v>
      </c>
    </row>
    <row r="15" spans="1:75" ht="23.25" customHeight="1">
      <c r="A15" s="7799"/>
      <c r="B15" s="1858" t="s">
        <v>439</v>
      </c>
      <c r="C15" s="1859" t="s">
        <v>441</v>
      </c>
      <c r="D15" s="1554">
        <f>'#2CCL'!F10</f>
        <v>100.06</v>
      </c>
      <c r="E15" s="1554">
        <f>'#2CCL'!G10</f>
        <v>99.993385966617737</v>
      </c>
      <c r="F15" s="1554">
        <f>'#2CCL'!H10</f>
        <v>99.508318971028757</v>
      </c>
      <c r="G15" s="1554">
        <f>'#2CCL'!I10</f>
        <v>99.83</v>
      </c>
      <c r="H15" s="2043">
        <v>100.34514607442676</v>
      </c>
      <c r="I15" s="3233">
        <f>'#2CCL'!K10</f>
        <v>100.38300232567896</v>
      </c>
      <c r="J15" s="3233">
        <f>'#2CCL'!L10</f>
        <v>100.57092906575997</v>
      </c>
      <c r="K15" s="4076">
        <f>'#2CCL'!M10</f>
        <v>100.57000000000001</v>
      </c>
      <c r="L15" s="3286">
        <f t="shared" si="2"/>
        <v>100.57000000000001</v>
      </c>
      <c r="M15" s="4057">
        <f>'#2CCL'!O10</f>
        <v>100.34082893798045</v>
      </c>
      <c r="N15" s="4275">
        <f>'#2CCL'!P10</f>
        <v>100.28494718498875</v>
      </c>
      <c r="O15" s="4275">
        <f>'#2CCL'!Q10</f>
        <v>100.50867800872562</v>
      </c>
      <c r="P15" s="4275" t="e">
        <f>'#2CCL'!R10</f>
        <v>#DIV/0!</v>
      </c>
      <c r="Q15" s="4275" t="e">
        <f>'#2CCL'!S10</f>
        <v>#DIV/0!</v>
      </c>
      <c r="R15" s="4275" t="e">
        <f>'#2CCL'!T10</f>
        <v>#DIV/0!</v>
      </c>
      <c r="S15" s="4275" t="e">
        <f>'#2CCL'!U10</f>
        <v>#DIV/0!</v>
      </c>
      <c r="T15" s="4275" t="e">
        <f>'#2CCL'!V10</f>
        <v>#DIV/0!</v>
      </c>
      <c r="U15" s="4275" t="e">
        <f>'#2CCL'!W10</f>
        <v>#DIV/0!</v>
      </c>
      <c r="V15" s="3784" t="e">
        <f>'#2CCL'!X10</f>
        <v>#DIV/0!</v>
      </c>
      <c r="W15" s="4059" t="e">
        <f>'#2CCL'!Y10</f>
        <v>#DIV/0!</v>
      </c>
      <c r="X15" s="2743" t="e">
        <f>'#2CCL'!Z10</f>
        <v>#DIV/0!</v>
      </c>
      <c r="Y15" s="2181">
        <f>'#2CCL'!AA10</f>
        <v>100.3842945000992</v>
      </c>
      <c r="Z15" s="1860">
        <f>'#2CCL'!AB10</f>
        <v>-13786.65684650543</v>
      </c>
      <c r="AA15" s="1599">
        <f>'#2CCL'!AC10</f>
        <v>-16564.567770030382</v>
      </c>
      <c r="AB15" s="1599">
        <f>'#2CCL'!AD10</f>
        <v>-4183.3089854306663</v>
      </c>
      <c r="AC15" s="1599" t="e">
        <f>'#2CCL'!AE10</f>
        <v>#DIV/0!</v>
      </c>
      <c r="AD15" s="1599" t="e">
        <f>'#2CCL'!AF10</f>
        <v>#DIV/0!</v>
      </c>
      <c r="AE15" s="1599" t="e">
        <f>'#2CCL'!AG10</f>
        <v>#DIV/0!</v>
      </c>
      <c r="AF15" s="1599" t="e">
        <f>'#2CCL'!AH10</f>
        <v>#DIV/0!</v>
      </c>
      <c r="AG15" s="1599" t="e">
        <f>'#2CCL'!AI10</f>
        <v>#DIV/0!</v>
      </c>
      <c r="AH15" s="1599" t="e">
        <f>'#2CCL'!AJ10</f>
        <v>#DIV/0!</v>
      </c>
      <c r="AI15" s="1599" t="e">
        <f>'#2CCL'!AK10</f>
        <v>#DIV/0!</v>
      </c>
      <c r="AJ15" s="1599" t="e">
        <f>'#2CCL'!AL10</f>
        <v>#DIV/0!</v>
      </c>
      <c r="AK15" s="1599" t="e">
        <f>'#2CCL'!AM10</f>
        <v>#DIV/0!</v>
      </c>
      <c r="AL15" s="1599">
        <f>'#2CCL'!AN10</f>
        <v>-679.78393099222922</v>
      </c>
      <c r="AM15" s="1599">
        <f>Z15+AA15</f>
        <v>-30351.224616535812</v>
      </c>
      <c r="AN15" s="1861">
        <f t="shared" si="6"/>
        <v>44.648340792984655</v>
      </c>
      <c r="AO15" s="1862"/>
      <c r="AR15" s="320"/>
    </row>
    <row r="16" spans="1:75" ht="23.25" customHeight="1" thickBot="1">
      <c r="A16" s="7827"/>
      <c r="B16" s="1864" t="s">
        <v>444</v>
      </c>
      <c r="C16" s="2129" t="s">
        <v>231</v>
      </c>
      <c r="D16" s="1891">
        <v>96.255341451144574</v>
      </c>
      <c r="E16" s="1595">
        <v>98.87</v>
      </c>
      <c r="F16" s="1595">
        <f>0.991040477634659*100</f>
        <v>99.1040477634659</v>
      </c>
      <c r="G16" s="1595">
        <f>1048988.555/1055653.576*100</f>
        <v>99.368635587324533</v>
      </c>
      <c r="H16" s="1756">
        <f>1152628.487/1157933.461*100</f>
        <v>99.541858476443153</v>
      </c>
      <c r="I16" s="2132">
        <f>년간!C92*100</f>
        <v>99.483918463783041</v>
      </c>
      <c r="J16" s="2133">
        <f>년간!D92*100</f>
        <v>99.60177005895973</v>
      </c>
      <c r="K16" s="1837">
        <f>년간!E92*100</f>
        <v>99.66730227533921</v>
      </c>
      <c r="L16" s="4281">
        <f t="shared" si="2"/>
        <v>99.66730227533921</v>
      </c>
      <c r="M16" s="2050">
        <f>년간!F92*100</f>
        <v>100.37242934726338</v>
      </c>
      <c r="N16" s="2132">
        <f>년간!G92*100</f>
        <v>100.4560626149561</v>
      </c>
      <c r="O16" s="4546">
        <f>년간!H92*100</f>
        <v>99.383449054048441</v>
      </c>
      <c r="P16" s="4546" t="e">
        <f>년간!I92*100</f>
        <v>#DIV/0!</v>
      </c>
      <c r="Q16" s="4546" t="e">
        <f>년간!J92*100</f>
        <v>#DIV/0!</v>
      </c>
      <c r="R16" s="4546" t="e">
        <f>년간!K92*100</f>
        <v>#DIV/0!</v>
      </c>
      <c r="S16" s="4546" t="e">
        <f>년간!L92*100</f>
        <v>#DIV/0!</v>
      </c>
      <c r="T16" s="4546" t="e">
        <f>년간!M92*100</f>
        <v>#DIV/0!</v>
      </c>
      <c r="U16" s="4546" t="e">
        <f>년간!N92*100</f>
        <v>#DIV/0!</v>
      </c>
      <c r="V16" s="7605" t="e">
        <f>년간!O92*100</f>
        <v>#DIV/0!</v>
      </c>
      <c r="W16" s="4060" t="e">
        <f>년간!P92*100</f>
        <v>#DIV/0!</v>
      </c>
      <c r="X16" s="2744" t="e">
        <f>년간!Q92*100</f>
        <v>#DIV/0!</v>
      </c>
      <c r="Y16" s="1590">
        <f>년간!V92*100</f>
        <v>99.659205089326136</v>
      </c>
      <c r="Z16" s="1867">
        <f t="shared" ref="Z16:AM16" si="8">SUM(Z11:Z15)</f>
        <v>-22685.983627979207</v>
      </c>
      <c r="AA16" s="1868">
        <f t="shared" si="8"/>
        <v>-6593.9390503534432</v>
      </c>
      <c r="AB16" s="1868">
        <f t="shared" si="8"/>
        <v>-66152.593695283736</v>
      </c>
      <c r="AC16" s="1868" t="e">
        <f t="shared" si="8"/>
        <v>#DIV/0!</v>
      </c>
      <c r="AD16" s="1868" t="e">
        <f t="shared" si="8"/>
        <v>#DIV/0!</v>
      </c>
      <c r="AE16" s="1868" t="e">
        <f t="shared" si="8"/>
        <v>#DIV/0!</v>
      </c>
      <c r="AF16" s="1868" t="e">
        <f t="shared" si="8"/>
        <v>#DIV/0!</v>
      </c>
      <c r="AG16" s="1868" t="e">
        <f t="shared" si="8"/>
        <v>#DIV/0!</v>
      </c>
      <c r="AH16" s="1868" t="e">
        <f t="shared" si="8"/>
        <v>#DIV/0!</v>
      </c>
      <c r="AI16" s="1868" t="e">
        <f t="shared" si="8"/>
        <v>#DIV/0!</v>
      </c>
      <c r="AJ16" s="1868" t="e">
        <f t="shared" si="8"/>
        <v>#DIV/0!</v>
      </c>
      <c r="AK16" s="1868" t="e">
        <f t="shared" si="8"/>
        <v>#DIV/0!</v>
      </c>
      <c r="AL16" s="1889">
        <f t="shared" si="8"/>
        <v>297105.61755184678</v>
      </c>
      <c r="AM16" s="1889">
        <f t="shared" si="8"/>
        <v>-29279.922678332652</v>
      </c>
      <c r="AN16" s="1869">
        <f t="shared" si="6"/>
        <v>-9.8550552223143753E-2</v>
      </c>
      <c r="AO16" s="1870"/>
      <c r="AR16" s="320"/>
      <c r="AS16" s="7357"/>
      <c r="AT16" s="7358"/>
      <c r="AU16" s="7358"/>
      <c r="AV16" s="7358"/>
      <c r="AW16" s="7358"/>
      <c r="AX16" s="7358"/>
      <c r="AY16" s="7358"/>
      <c r="AZ16" s="7358"/>
      <c r="BA16" s="7358"/>
      <c r="BB16" s="7358"/>
      <c r="BC16" s="7358"/>
      <c r="BD16" s="7358"/>
      <c r="BE16" s="7358"/>
      <c r="BF16" s="7358"/>
    </row>
    <row r="17" spans="1:92" ht="23.25" customHeight="1">
      <c r="A17" s="7798" t="s">
        <v>265</v>
      </c>
      <c r="B17" s="1829" t="s">
        <v>437</v>
      </c>
      <c r="C17" s="1152" t="s">
        <v>448</v>
      </c>
      <c r="D17" s="1144">
        <f>CPL!F10</f>
        <v>143</v>
      </c>
      <c r="E17" s="1463">
        <f>CPL!G10</f>
        <v>155</v>
      </c>
      <c r="F17" s="1463">
        <f>CPL!H10</f>
        <v>59.260000000000005</v>
      </c>
      <c r="G17" s="1463">
        <f>CPL!I10</f>
        <v>32</v>
      </c>
      <c r="H17" s="4915">
        <f>CPL!J10</f>
        <v>8.3800000000000008</v>
      </c>
      <c r="I17" s="4916">
        <f>CPL!K10</f>
        <v>24.889999999999997</v>
      </c>
      <c r="J17" s="4916">
        <f>CPL!L10</f>
        <v>8.59</v>
      </c>
      <c r="K17" s="3940">
        <f>CPL!M10</f>
        <v>4</v>
      </c>
      <c r="L17" s="6738">
        <f>K17/10</f>
        <v>0.4</v>
      </c>
      <c r="M17" s="7376"/>
      <c r="N17" s="7375"/>
      <c r="O17" s="4545">
        <f>CPL!Q10</f>
        <v>0</v>
      </c>
      <c r="P17" s="7351">
        <f>CPL!R10</f>
        <v>0</v>
      </c>
      <c r="Q17" s="7351">
        <f>CPL!S10</f>
        <v>0</v>
      </c>
      <c r="R17" s="7352">
        <f>CPL!T10</f>
        <v>0</v>
      </c>
      <c r="S17" s="7352">
        <f>CPL!U10</f>
        <v>0</v>
      </c>
      <c r="T17" s="1334">
        <f>CPL!V10</f>
        <v>0</v>
      </c>
      <c r="U17" s="1334">
        <f>CPL!W10</f>
        <v>0</v>
      </c>
      <c r="V17" s="7604">
        <f>CPL!X10</f>
        <v>0</v>
      </c>
      <c r="W17" s="5528">
        <f>CPL!Y10</f>
        <v>0</v>
      </c>
      <c r="X17" s="1596">
        <f>CPL!Z10</f>
        <v>0</v>
      </c>
      <c r="Y17" s="2179">
        <f>CPL!AA10</f>
        <v>0</v>
      </c>
      <c r="Z17" s="7395"/>
      <c r="AA17" s="7395"/>
      <c r="AB17" s="2171">
        <f>($J$17/12-O17)*년간!$C$213/1000</f>
        <v>347.53493583333335</v>
      </c>
      <c r="AC17" s="2171">
        <f>($J$17/12-P17)*년간!$C$213/1000</f>
        <v>347.53493583333335</v>
      </c>
      <c r="AD17" s="2171">
        <f>($J$17/12-Q17)*년간!$C$213/1000</f>
        <v>347.53493583333335</v>
      </c>
      <c r="AE17" s="2171">
        <f>($J$17/12-R17)*년간!$C$213/1000</f>
        <v>347.53493583333335</v>
      </c>
      <c r="AF17" s="2171">
        <f>($J$17/12-S17)*년간!$C$213/1000</f>
        <v>347.53493583333335</v>
      </c>
      <c r="AG17" s="2171">
        <f>($J$17/12-T17)*년간!$C$213/1000</f>
        <v>347.53493583333335</v>
      </c>
      <c r="AH17" s="2171">
        <f>($J$17/12-U17)*년간!$C$213/1000</f>
        <v>347.53493583333335</v>
      </c>
      <c r="AI17" s="2171">
        <f>($J$17/12-V17)*년간!$C$213/1000</f>
        <v>347.53493583333335</v>
      </c>
      <c r="AJ17" s="2171">
        <f>($J$17/12-W17)*년간!$C$213/1000</f>
        <v>347.53493583333335</v>
      </c>
      <c r="AK17" s="2171">
        <f>($J$17/12-X17)*년간!$C$213/1000</f>
        <v>347.53493583333335</v>
      </c>
      <c r="AL17" s="2170">
        <f>(J17-K17)*년간!C213/1000</f>
        <v>2228.4312300000001</v>
      </c>
      <c r="AM17" s="1599">
        <f>Z17+AA17</f>
        <v>0</v>
      </c>
      <c r="AN17" s="2246">
        <f>AM17/AL17</f>
        <v>0</v>
      </c>
      <c r="AO17" s="1248"/>
      <c r="AP17" s="7406">
        <f>J22/12</f>
        <v>25.12166666666667</v>
      </c>
      <c r="AQ17" s="321"/>
      <c r="AR17" s="320"/>
      <c r="AS17" s="7357"/>
      <c r="AT17" s="7359"/>
      <c r="AU17" s="7359"/>
      <c r="AV17" s="7359"/>
      <c r="AW17" s="7359"/>
      <c r="AX17" s="7359"/>
      <c r="AY17" s="7359"/>
      <c r="AZ17" s="7359"/>
      <c r="BA17" s="7359"/>
      <c r="BB17" s="7359"/>
      <c r="BC17" s="7359"/>
      <c r="BD17" s="7359"/>
      <c r="BE17" s="7359"/>
      <c r="BF17" s="7359"/>
    </row>
    <row r="18" spans="1:92" ht="23.25" customHeight="1">
      <c r="A18" s="7799"/>
      <c r="B18" s="1858" t="s">
        <v>237</v>
      </c>
      <c r="C18" s="1859" t="s">
        <v>448</v>
      </c>
      <c r="D18" s="1825">
        <f>CRM!F11</f>
        <v>245</v>
      </c>
      <c r="E18" s="1892">
        <f>CRM!G11</f>
        <v>136</v>
      </c>
      <c r="F18" s="1892">
        <f>CRM!H11</f>
        <v>80.09</v>
      </c>
      <c r="G18" s="1892">
        <f>CRM!I11</f>
        <v>32</v>
      </c>
      <c r="H18" s="6739">
        <f>CRM!J11</f>
        <v>22.73</v>
      </c>
      <c r="I18" s="4918">
        <f>CRM!K11</f>
        <v>31.35</v>
      </c>
      <c r="J18" s="4918">
        <f>CRM!L11</f>
        <v>0</v>
      </c>
      <c r="K18" s="3939">
        <f>CRM!M11</f>
        <v>0</v>
      </c>
      <c r="L18" s="6738">
        <f>K18/10</f>
        <v>0</v>
      </c>
      <c r="M18" s="7373"/>
      <c r="N18" s="7374"/>
      <c r="O18" s="4545">
        <f>CRM!Q11</f>
        <v>0</v>
      </c>
      <c r="P18" s="4545">
        <f>CRM!R11</f>
        <v>0</v>
      </c>
      <c r="Q18" s="4545">
        <f>CRM!S11</f>
        <v>0</v>
      </c>
      <c r="R18" s="5081">
        <f>CRM!T11</f>
        <v>0</v>
      </c>
      <c r="S18" s="5081">
        <f>CRM!U11</f>
        <v>0</v>
      </c>
      <c r="T18" s="4274">
        <f>CRM!V11</f>
        <v>0</v>
      </c>
      <c r="U18" s="4274">
        <f>CRM!W11</f>
        <v>0</v>
      </c>
      <c r="V18" s="7604">
        <f>CRM!X11</f>
        <v>0</v>
      </c>
      <c r="W18" s="5527">
        <f>CRM!Y11</f>
        <v>0</v>
      </c>
      <c r="X18" s="2742">
        <f>CRM!Z11</f>
        <v>0</v>
      </c>
      <c r="Y18" s="2182">
        <f>CRM!AA11</f>
        <v>0</v>
      </c>
      <c r="Z18" s="7395"/>
      <c r="AA18" s="7395"/>
      <c r="AB18" s="2171">
        <f>($J$18/12-O18)*년간!$C$214/1000</f>
        <v>0</v>
      </c>
      <c r="AC18" s="2171">
        <f>($J$18/12-P18)*년간!$C$214/1000</f>
        <v>0</v>
      </c>
      <c r="AD18" s="2171">
        <f>($J$18/12-Q18)*년간!$C$214/1000</f>
        <v>0</v>
      </c>
      <c r="AE18" s="2171">
        <f>($J$18/12-R18)*년간!$C$214/1000</f>
        <v>0</v>
      </c>
      <c r="AF18" s="2171">
        <f>($J$18/12-S18)*년간!$C$214/1000</f>
        <v>0</v>
      </c>
      <c r="AG18" s="2171">
        <f>($J$18/12-T18)*년간!$C$214/1000</f>
        <v>0</v>
      </c>
      <c r="AH18" s="2171">
        <f>($J$18/12-U18)*년간!$C$214/1000</f>
        <v>0</v>
      </c>
      <c r="AI18" s="2171">
        <f>($J$18/12-V18)*년간!$C$214/1000</f>
        <v>0</v>
      </c>
      <c r="AJ18" s="2171">
        <f>($J$18/12-W18)*년간!$C$214/1000</f>
        <v>0</v>
      </c>
      <c r="AK18" s="2171">
        <f>($J$18/12-X18)*년간!$C$214/1000</f>
        <v>0</v>
      </c>
      <c r="AL18" s="2170">
        <f>(J18-K18)*년간!C214/1000</f>
        <v>0</v>
      </c>
      <c r="AM18" s="1599">
        <f>Z18+AA18</f>
        <v>0</v>
      </c>
      <c r="AN18" s="2246" t="e">
        <f>AM18/AL18</f>
        <v>#DIV/0!</v>
      </c>
      <c r="AO18" s="1893"/>
      <c r="AQ18" s="321"/>
      <c r="AR18" s="320"/>
      <c r="AS18" s="7358"/>
      <c r="AT18" s="7355"/>
      <c r="AU18" s="7359"/>
      <c r="AV18" s="7359"/>
      <c r="AW18" s="7359"/>
      <c r="AX18" s="7359"/>
      <c r="AY18" s="7359"/>
      <c r="AZ18" s="7359"/>
      <c r="BA18" s="7359"/>
      <c r="BB18" s="7359"/>
      <c r="BC18" s="7359"/>
      <c r="BD18" s="7359"/>
      <c r="BE18" s="7359"/>
      <c r="BF18" s="7359"/>
    </row>
    <row r="19" spans="1:92" ht="23.25" customHeight="1">
      <c r="A19" s="7799"/>
      <c r="B19" s="1858" t="s">
        <v>43</v>
      </c>
      <c r="C19" s="1859" t="s">
        <v>448</v>
      </c>
      <c r="D19" s="1825">
        <f>CGL!F10</f>
        <v>2508.8000000000002</v>
      </c>
      <c r="E19" s="1892">
        <f>CGL!G10</f>
        <v>1973.88</v>
      </c>
      <c r="F19" s="1892">
        <f>CGL!H10</f>
        <v>820.61999999999978</v>
      </c>
      <c r="G19" s="1892">
        <f>CGL!I10</f>
        <v>320</v>
      </c>
      <c r="H19" s="6739">
        <f>CGL!J10</f>
        <v>307.49</v>
      </c>
      <c r="I19" s="4918">
        <f>CGL!K10</f>
        <v>363.24000000000007</v>
      </c>
      <c r="J19" s="4918">
        <f>CGL!L10</f>
        <v>205.53</v>
      </c>
      <c r="K19" s="3939">
        <f>CGL!M10</f>
        <v>150</v>
      </c>
      <c r="L19" s="6738">
        <f>K19/10</f>
        <v>15</v>
      </c>
      <c r="M19" s="7373"/>
      <c r="N19" s="7374"/>
      <c r="O19" s="4545">
        <f>CGL!Q10</f>
        <v>0</v>
      </c>
      <c r="P19" s="4545">
        <f>CGL!R10</f>
        <v>0</v>
      </c>
      <c r="Q19" s="4545">
        <f>CGL!S10</f>
        <v>0</v>
      </c>
      <c r="R19" s="5081">
        <f>CGL!T10</f>
        <v>0</v>
      </c>
      <c r="S19" s="5081">
        <f>CGL!U10</f>
        <v>0</v>
      </c>
      <c r="T19" s="4274">
        <f>CGL!V10</f>
        <v>0</v>
      </c>
      <c r="U19" s="4274">
        <f>CGL!W10</f>
        <v>0</v>
      </c>
      <c r="V19" s="7604">
        <f>CGL!X10</f>
        <v>0</v>
      </c>
      <c r="W19" s="5527">
        <f>CGL!Y10</f>
        <v>0</v>
      </c>
      <c r="X19" s="2742">
        <f>CGL!Z10</f>
        <v>0</v>
      </c>
      <c r="Y19" s="2182">
        <f>CGL!AA10</f>
        <v>0</v>
      </c>
      <c r="Z19" s="7395"/>
      <c r="AA19" s="7395"/>
      <c r="AB19" s="2171">
        <f>($J$19/12-O19)*년간!$C$215/1000</f>
        <v>8315.349867500001</v>
      </c>
      <c r="AC19" s="2171">
        <f>($J$19/12-P19)*년간!$C$215/1000</f>
        <v>8315.349867500001</v>
      </c>
      <c r="AD19" s="2171">
        <f>($J$19/12-Q19)*년간!$C$215/1000</f>
        <v>8315.349867500001</v>
      </c>
      <c r="AE19" s="2171">
        <f>($J$19/12-R19)*년간!$C$215/1000</f>
        <v>8315.349867500001</v>
      </c>
      <c r="AF19" s="2171">
        <f>($J$19/12-S19)*년간!$C$215/1000</f>
        <v>8315.349867500001</v>
      </c>
      <c r="AG19" s="2171">
        <f>($J$19/12-T19)*년간!$C$215/1000</f>
        <v>8315.349867500001</v>
      </c>
      <c r="AH19" s="2171">
        <f>($J$19/12-U19)*년간!$C$215/1000</f>
        <v>8315.349867500001</v>
      </c>
      <c r="AI19" s="2171">
        <f>($J$19/12-V19)*년간!$C$215/1000</f>
        <v>8315.349867500001</v>
      </c>
      <c r="AJ19" s="2171">
        <f>($J$19/12-W19)*년간!$C$215/1000</f>
        <v>8315.349867500001</v>
      </c>
      <c r="AK19" s="2171">
        <f>($J$19/12-X19)*년간!$C$215/1000</f>
        <v>8315.349867500001</v>
      </c>
      <c r="AL19" s="2170">
        <f>(J19-K19)*년간!C215/1000</f>
        <v>26959.648410000002</v>
      </c>
      <c r="AM19" s="1599">
        <f>Z19+AA19</f>
        <v>0</v>
      </c>
      <c r="AN19" s="4806">
        <f>AM19/AL19</f>
        <v>0</v>
      </c>
      <c r="AO19" s="1893"/>
      <c r="AP19" s="661"/>
      <c r="AR19" s="2741"/>
      <c r="AS19" s="7357"/>
      <c r="AT19" s="7360"/>
      <c r="AU19" s="7360"/>
      <c r="AV19" s="7360"/>
      <c r="AW19" s="7360"/>
      <c r="AX19" s="7360"/>
      <c r="AY19" s="7360"/>
      <c r="AZ19" s="7360"/>
      <c r="BA19" s="7361"/>
      <c r="BB19" s="7356"/>
      <c r="BC19" s="7356"/>
      <c r="BD19" s="7356"/>
      <c r="BE19" s="7356"/>
      <c r="BF19" s="7356"/>
    </row>
    <row r="20" spans="1:92" ht="23.25" customHeight="1">
      <c r="A20" s="7799"/>
      <c r="B20" s="1858" t="s">
        <v>438</v>
      </c>
      <c r="C20" s="1859" t="s">
        <v>448</v>
      </c>
      <c r="D20" s="1825">
        <f>'#1CCL'!F11</f>
        <v>223.98999999999995</v>
      </c>
      <c r="E20" s="1892">
        <f>'#1CCL'!G11</f>
        <v>118.37</v>
      </c>
      <c r="F20" s="1892">
        <f>'#1CCL'!H11</f>
        <v>139.78</v>
      </c>
      <c r="G20" s="1892">
        <f>'#1CCL'!I11</f>
        <v>125.91</v>
      </c>
      <c r="H20" s="6739">
        <f>'#1CCL'!J11</f>
        <v>92.647999999999996</v>
      </c>
      <c r="I20" s="4918">
        <f>'#1CCL'!K11</f>
        <v>83.9</v>
      </c>
      <c r="J20" s="4918">
        <f>'#1CCL'!L11</f>
        <v>50.17</v>
      </c>
      <c r="K20" s="3939">
        <f>'#1CCL'!M11</f>
        <v>32</v>
      </c>
      <c r="L20" s="6738">
        <f>K20/12</f>
        <v>2.6666666666666665</v>
      </c>
      <c r="M20" s="4061">
        <f>'#1CCL'!O11</f>
        <v>11.54</v>
      </c>
      <c r="N20" s="4058">
        <f>'#1CCL'!P11</f>
        <v>0</v>
      </c>
      <c r="O20" s="4058">
        <f>'#1CCL'!Q11</f>
        <v>9.27</v>
      </c>
      <c r="P20" s="4058">
        <f>'#1CCL'!R11</f>
        <v>0</v>
      </c>
      <c r="Q20" s="4058">
        <f>'#1CCL'!S11</f>
        <v>0</v>
      </c>
      <c r="R20" s="7353">
        <f>'#1CCL'!T11</f>
        <v>0</v>
      </c>
      <c r="S20" s="7353">
        <f>'#1CCL'!U11</f>
        <v>0</v>
      </c>
      <c r="T20" s="4275">
        <f>'#1CCL'!V11</f>
        <v>0</v>
      </c>
      <c r="U20" s="4275">
        <f>'#1CCL'!W11</f>
        <v>0</v>
      </c>
      <c r="V20" s="3784">
        <f>'#1CCL'!X11</f>
        <v>0</v>
      </c>
      <c r="W20" s="4059">
        <f>'#1CCL'!Y11</f>
        <v>0</v>
      </c>
      <c r="X20" s="2743">
        <f>'#1CCL'!Z11</f>
        <v>0</v>
      </c>
      <c r="Y20" s="2181">
        <f>'#1CCL'!AA11</f>
        <v>20.81</v>
      </c>
      <c r="Z20" s="2171">
        <f>($J$20/12-M20)*년간!$C$216/1000</f>
        <v>-5350.1951174999995</v>
      </c>
      <c r="AA20" s="2171">
        <f>($J$20/12-N20)*년간!$C$216/1000</f>
        <v>3039.5118224999997</v>
      </c>
      <c r="AB20" s="2171">
        <f>($J$20/12-O20)*년간!$C$216/1000</f>
        <v>-3699.8801475</v>
      </c>
      <c r="AC20" s="2171">
        <f>($J$20/12-P20)*년간!$C$216/1000</f>
        <v>3039.5118224999997</v>
      </c>
      <c r="AD20" s="2171">
        <f>($J$20/12-Q20)*년간!$C$216/1000</f>
        <v>3039.5118224999997</v>
      </c>
      <c r="AE20" s="2171">
        <f>($J$20/12-R20)*년간!$C$216/1000</f>
        <v>3039.5118224999997</v>
      </c>
      <c r="AF20" s="2171">
        <f>($J$20/12-S20)*년간!$C$216/1000</f>
        <v>3039.5118224999997</v>
      </c>
      <c r="AG20" s="2171">
        <f>($J$20/12-T20)*년간!$C$216/1000</f>
        <v>3039.5118224999997</v>
      </c>
      <c r="AH20" s="2171">
        <f>($J$20/12-U20)*년간!$C$216/1000</f>
        <v>3039.5118224999997</v>
      </c>
      <c r="AI20" s="2171">
        <f>($J$20/12-V20)*년간!$C$216/1000</f>
        <v>3039.5118224999997</v>
      </c>
      <c r="AJ20" s="2171">
        <f>($J$20/12-W20)*년간!$C$216/1000</f>
        <v>3039.5118224999997</v>
      </c>
      <c r="AK20" s="2171">
        <f>($J$20/12-X20)*년간!$C$216/1000</f>
        <v>3039.5118224999997</v>
      </c>
      <c r="AL20" s="2170">
        <f>(J20-K20)*년간!C216/1000</f>
        <v>13209.789870000001</v>
      </c>
      <c r="AM20" s="1599">
        <f>Z20+AA20</f>
        <v>-2310.6832949999998</v>
      </c>
      <c r="AN20" s="2246">
        <f>AM20/AL20</f>
        <v>-0.17492203265455877</v>
      </c>
      <c r="AO20" s="1894"/>
      <c r="AP20" s="661"/>
      <c r="AQ20" s="697"/>
      <c r="AR20" s="2741"/>
      <c r="AS20" s="7349"/>
      <c r="AT20" s="7362"/>
      <c r="AU20" s="7362"/>
      <c r="AV20" s="7362"/>
      <c r="AW20" s="7362"/>
      <c r="AX20" s="7362"/>
      <c r="AY20" s="7362"/>
      <c r="AZ20" s="7362"/>
      <c r="BA20" s="7358"/>
      <c r="BB20" s="7355"/>
      <c r="BC20" s="7355"/>
      <c r="BD20" s="7355"/>
      <c r="BE20" s="7355"/>
      <c r="BF20" s="7355"/>
    </row>
    <row r="21" spans="1:92" ht="23.25" customHeight="1">
      <c r="A21" s="7799"/>
      <c r="B21" s="1858" t="s">
        <v>439</v>
      </c>
      <c r="C21" s="1859" t="s">
        <v>448</v>
      </c>
      <c r="D21" s="1825">
        <f>'#2CCL'!F11</f>
        <v>90.44</v>
      </c>
      <c r="E21" s="1892">
        <f>'#2CCL'!G11</f>
        <v>68.98</v>
      </c>
      <c r="F21" s="1892">
        <f>'#2CCL'!H11</f>
        <v>53.02000000000001</v>
      </c>
      <c r="G21" s="1892">
        <f>'#2CCL'!I11</f>
        <v>95</v>
      </c>
      <c r="H21" s="6739">
        <f>'#2CCL'!J11</f>
        <v>73.749999999999986</v>
      </c>
      <c r="I21" s="4918">
        <f>'#2CCL'!K11</f>
        <v>73.5</v>
      </c>
      <c r="J21" s="4918">
        <f>'#2CCL'!L11</f>
        <v>37.17</v>
      </c>
      <c r="K21" s="3939">
        <f>'#2CCL'!M11</f>
        <v>37.205999999999996</v>
      </c>
      <c r="L21" s="6738">
        <f>K21/12</f>
        <v>3.1004999999999998</v>
      </c>
      <c r="M21" s="4061">
        <f>'#2CCL'!O11</f>
        <v>3.47</v>
      </c>
      <c r="N21" s="4058">
        <f>'#2CCL'!P11</f>
        <v>0.96</v>
      </c>
      <c r="O21" s="4058">
        <f>'#2CCL'!Q11</f>
        <v>5.6</v>
      </c>
      <c r="P21" s="4058">
        <f>'#2CCL'!R11</f>
        <v>0</v>
      </c>
      <c r="Q21" s="4058">
        <f>'#2CCL'!S11</f>
        <v>0</v>
      </c>
      <c r="R21" s="7353">
        <f>'#2CCL'!T11</f>
        <v>0</v>
      </c>
      <c r="S21" s="7353">
        <f>'#2CCL'!U11</f>
        <v>0</v>
      </c>
      <c r="T21" s="4275">
        <f>'#2CCL'!V11</f>
        <v>0</v>
      </c>
      <c r="U21" s="4275">
        <f>'#2CCL'!W11</f>
        <v>0</v>
      </c>
      <c r="V21" s="3784">
        <f>'#2CCL'!X11</f>
        <v>0</v>
      </c>
      <c r="W21" s="4059">
        <f>'#2CCL'!Y11</f>
        <v>0</v>
      </c>
      <c r="X21" s="2743">
        <f>'#2CCL'!Z11</f>
        <v>0</v>
      </c>
      <c r="Y21" s="2181">
        <f>'#2CCL'!AA11</f>
        <v>10.029999999999999</v>
      </c>
      <c r="Z21" s="2171">
        <f>($J$21/12-M21)*년간!$C$217/1000</f>
        <v>-454.19452244047687</v>
      </c>
      <c r="AA21" s="2171">
        <f>($J$21/12-N21)*년간!$C$217/1000</f>
        <v>2606.2840046081055</v>
      </c>
      <c r="AB21" s="2171">
        <f>($J$21/12-O21)*년간!$C$217/1000</f>
        <v>-3051.3336708920615</v>
      </c>
      <c r="AC21" s="2171">
        <f>($J$21/12-P21)*년간!$C$217/1000</f>
        <v>3776.8255926426232</v>
      </c>
      <c r="AD21" s="2171">
        <f>($J$21/12-Q21)*년간!$C$217/1000</f>
        <v>3776.8255926426232</v>
      </c>
      <c r="AE21" s="2171">
        <f>($J$21/12-R21)*년간!$C$217/1000</f>
        <v>3776.8255926426232</v>
      </c>
      <c r="AF21" s="2171">
        <f>($J$21/12-S21)*년간!$C$217/1000</f>
        <v>3776.8255926426232</v>
      </c>
      <c r="AG21" s="2171">
        <f>($J$21/12-T21)*년간!$C$217/1000</f>
        <v>3776.8255926426232</v>
      </c>
      <c r="AH21" s="2171">
        <f>($J$21/12-U21)*년간!$C$217/1000</f>
        <v>3776.8255926426232</v>
      </c>
      <c r="AI21" s="2171">
        <f>($J$21/12-V21)*년간!$C$217/1000</f>
        <v>3776.8255926426232</v>
      </c>
      <c r="AJ21" s="2171">
        <f>($J$21/12-W21)*년간!$C$217/1000</f>
        <v>3776.8255926426232</v>
      </c>
      <c r="AK21" s="2171">
        <f>($J$21/12-X21)*년간!$C$217/1000</f>
        <v>3776.8255926426232</v>
      </c>
      <c r="AL21" s="2170">
        <f>(J21-K21)*년간!C217/1000</f>
        <v>-43.895309551287404</v>
      </c>
      <c r="AM21" s="1599">
        <f>Z21+AA21</f>
        <v>2152.0894821676288</v>
      </c>
      <c r="AN21" s="2246">
        <f>AM21/AL21</f>
        <v>-49.027777777785609</v>
      </c>
      <c r="AO21" s="1894"/>
      <c r="AP21" s="661"/>
      <c r="AR21" s="2741"/>
      <c r="AS21" s="7349"/>
      <c r="AT21" s="7362"/>
      <c r="AU21" s="7363"/>
      <c r="AV21" s="7363"/>
      <c r="AW21" s="7363"/>
      <c r="AX21" s="7363"/>
      <c r="AY21" s="7363"/>
      <c r="AZ21" s="7363"/>
      <c r="BA21" s="7363"/>
      <c r="BB21" s="7363"/>
      <c r="BC21" s="7363"/>
      <c r="BD21" s="765"/>
      <c r="BE21" s="765"/>
      <c r="BF21" s="765"/>
      <c r="BY21" s="801" t="s">
        <v>2271</v>
      </c>
    </row>
    <row r="22" spans="1:92" ht="23.25" customHeight="1" thickBot="1">
      <c r="A22" s="7799"/>
      <c r="B22" s="1830" t="s">
        <v>109</v>
      </c>
      <c r="C22" s="1881" t="s">
        <v>448</v>
      </c>
      <c r="D22" s="1896">
        <v>3211</v>
      </c>
      <c r="E22" s="1896">
        <v>2452</v>
      </c>
      <c r="F22" s="1896">
        <f>SUM(F17:F21)</f>
        <v>1152.7699999999998</v>
      </c>
      <c r="G22" s="1896">
        <f>SUM(G17:G21)</f>
        <v>604.91</v>
      </c>
      <c r="H22" s="2927">
        <f>SUM(H17:H21)</f>
        <v>504.99800000000005</v>
      </c>
      <c r="I22" s="4556">
        <f>SUM(I17:I21)</f>
        <v>576.88000000000011</v>
      </c>
      <c r="J22" s="4556">
        <f>SUM(J17:J21)</f>
        <v>301.46000000000004</v>
      </c>
      <c r="K22" s="6740">
        <f t="shared" ref="K22:AL22" si="9">SUM(K17:K21)</f>
        <v>223.20599999999999</v>
      </c>
      <c r="L22" s="6741">
        <f t="shared" si="9"/>
        <v>21.167166666666667</v>
      </c>
      <c r="M22" s="4062">
        <f t="shared" si="9"/>
        <v>15.01</v>
      </c>
      <c r="N22" s="4561">
        <f t="shared" si="9"/>
        <v>0.96</v>
      </c>
      <c r="O22" s="4561">
        <f>SUM(O17:O21)</f>
        <v>14.87</v>
      </c>
      <c r="P22" s="4561">
        <f t="shared" si="9"/>
        <v>0</v>
      </c>
      <c r="Q22" s="4561">
        <f t="shared" si="9"/>
        <v>0</v>
      </c>
      <c r="R22" s="4561">
        <f t="shared" si="9"/>
        <v>0</v>
      </c>
      <c r="S22" s="4561">
        <f t="shared" si="9"/>
        <v>0</v>
      </c>
      <c r="T22" s="4561">
        <f t="shared" si="9"/>
        <v>0</v>
      </c>
      <c r="U22" s="4561">
        <f t="shared" si="9"/>
        <v>0</v>
      </c>
      <c r="V22" s="7605">
        <f t="shared" si="9"/>
        <v>0</v>
      </c>
      <c r="W22" s="5529">
        <f t="shared" si="9"/>
        <v>0</v>
      </c>
      <c r="X22" s="1597">
        <f t="shared" si="9"/>
        <v>0</v>
      </c>
      <c r="Y22" s="1597">
        <f t="shared" si="9"/>
        <v>30.839999999999996</v>
      </c>
      <c r="Z22" s="2172">
        <f t="shared" si="9"/>
        <v>-5804.3896399404766</v>
      </c>
      <c r="AA22" s="2172">
        <f t="shared" si="9"/>
        <v>5645.7958271081052</v>
      </c>
      <c r="AB22" s="2172">
        <f t="shared" si="9"/>
        <v>1911.6709849412728</v>
      </c>
      <c r="AC22" s="2172">
        <f t="shared" si="9"/>
        <v>15479.222218475958</v>
      </c>
      <c r="AD22" s="2172">
        <f t="shared" si="9"/>
        <v>15479.222218475958</v>
      </c>
      <c r="AE22" s="2172">
        <f>SUM(AE17:AE21)</f>
        <v>15479.222218475958</v>
      </c>
      <c r="AF22" s="2172">
        <f t="shared" si="9"/>
        <v>15479.222218475958</v>
      </c>
      <c r="AG22" s="2172">
        <f t="shared" si="9"/>
        <v>15479.222218475958</v>
      </c>
      <c r="AH22" s="2172">
        <f t="shared" si="9"/>
        <v>15479.222218475958</v>
      </c>
      <c r="AI22" s="2172">
        <f t="shared" si="9"/>
        <v>15479.222218475958</v>
      </c>
      <c r="AJ22" s="2172">
        <f t="shared" si="9"/>
        <v>15479.222218475958</v>
      </c>
      <c r="AK22" s="2172">
        <f>SUM(AK17:AK21)</f>
        <v>15479.222218475958</v>
      </c>
      <c r="AL22" s="2172">
        <f t="shared" si="9"/>
        <v>42353.97420044872</v>
      </c>
      <c r="AM22" s="2172">
        <f>SUM(AM17:AM21)</f>
        <v>-158.59381283237099</v>
      </c>
      <c r="AN22" s="1885">
        <f t="shared" ref="AN22:AN32" si="10">AM22/AL22</f>
        <v>-3.7444848051753962E-3</v>
      </c>
      <c r="AO22" s="1886"/>
      <c r="AP22" s="3199"/>
      <c r="AR22" s="2741"/>
      <c r="AS22" s="7349"/>
      <c r="AT22" s="7362"/>
      <c r="AU22" s="7363"/>
      <c r="AV22" s="7363"/>
      <c r="AW22" s="7363"/>
      <c r="AX22" s="7363"/>
      <c r="AY22" s="7363"/>
      <c r="AZ22" s="7363"/>
      <c r="BA22" s="7363"/>
      <c r="BB22" s="7363"/>
      <c r="BC22" s="7363"/>
      <c r="BD22" s="765"/>
      <c r="BE22" s="765"/>
      <c r="BF22" s="765"/>
      <c r="BY22" s="1907">
        <v>5.62</v>
      </c>
    </row>
    <row r="23" spans="1:92" ht="23.25" hidden="1" customHeight="1" thickBot="1">
      <c r="A23" s="7799"/>
      <c r="B23" s="2571" t="s">
        <v>1286</v>
      </c>
      <c r="C23" s="1881" t="s">
        <v>448</v>
      </c>
      <c r="D23" s="1895"/>
      <c r="E23" s="1896"/>
      <c r="F23" s="1896">
        <f>F22/12</f>
        <v>96.064166666666651</v>
      </c>
      <c r="G23" s="1896">
        <f>G22/12</f>
        <v>50.409166666666664</v>
      </c>
      <c r="H23" s="1896">
        <f>H22/12</f>
        <v>42.083166666666671</v>
      </c>
      <c r="I23" s="4276">
        <f>I22/12</f>
        <v>48.073333333333345</v>
      </c>
      <c r="J23" s="5701"/>
      <c r="K23" s="4282"/>
      <c r="L23" s="4283"/>
      <c r="M23" s="4062"/>
      <c r="N23" s="4561"/>
      <c r="O23" s="4561"/>
      <c r="P23" s="4561"/>
      <c r="Q23" s="4561"/>
      <c r="R23" s="4561"/>
      <c r="S23" s="4561"/>
      <c r="T23" s="4561"/>
      <c r="U23" s="4561"/>
      <c r="V23" s="7605"/>
      <c r="W23" s="5529"/>
      <c r="X23" s="1597"/>
      <c r="Y23" s="1597"/>
      <c r="Z23" s="2251"/>
      <c r="AA23" s="2172"/>
      <c r="AB23" s="2172"/>
      <c r="AC23" s="2172"/>
      <c r="AD23" s="2172"/>
      <c r="AE23" s="2172"/>
      <c r="AF23" s="2172"/>
      <c r="AG23" s="2172"/>
      <c r="AH23" s="2172"/>
      <c r="AI23" s="2172"/>
      <c r="AJ23" s="2172"/>
      <c r="AK23" s="2172"/>
      <c r="AL23" s="2172"/>
      <c r="AM23" s="2172"/>
      <c r="AN23" s="2209"/>
      <c r="AO23" s="1886"/>
      <c r="AP23" s="3199"/>
      <c r="AQ23" s="702"/>
      <c r="AR23" s="2741" t="e">
        <f>AQ23/AP23</f>
        <v>#DIV/0!</v>
      </c>
      <c r="AS23" s="7349"/>
      <c r="AT23" s="7362"/>
      <c r="AU23" s="7363"/>
      <c r="AV23" s="7363"/>
      <c r="AW23" s="7363"/>
      <c r="AX23" s="7363"/>
      <c r="AY23" s="7363"/>
      <c r="AZ23" s="7363"/>
      <c r="BA23" s="7363"/>
      <c r="BB23" s="7363"/>
      <c r="BC23" s="7363"/>
      <c r="BY23" s="6700">
        <v>2.35</v>
      </c>
    </row>
    <row r="24" spans="1:92" ht="23.25" customHeight="1">
      <c r="A24" s="7979" t="s">
        <v>442</v>
      </c>
      <c r="B24" s="2244" t="s">
        <v>437</v>
      </c>
      <c r="C24" s="1154" t="s">
        <v>446</v>
      </c>
      <c r="D24" s="1457">
        <f>CPL!F6</f>
        <v>54.15</v>
      </c>
      <c r="E24" s="1457">
        <f>CPL!G6</f>
        <v>51.24</v>
      </c>
      <c r="F24" s="1457">
        <f>CPL!H6</f>
        <v>54.062042613628726</v>
      </c>
      <c r="G24" s="1457">
        <f>CPL!I6</f>
        <v>58.04</v>
      </c>
      <c r="H24" s="1236">
        <v>60.206775876441782</v>
      </c>
      <c r="I24" s="1236">
        <f>CPL!K6</f>
        <v>58.694362011852682</v>
      </c>
      <c r="J24" s="1236">
        <f>CPL!L6</f>
        <v>60.293596370134956</v>
      </c>
      <c r="K24" s="1838">
        <f>CPL!M6</f>
        <v>62</v>
      </c>
      <c r="L24" s="4284">
        <f>K24</f>
        <v>62</v>
      </c>
      <c r="M24" s="7371"/>
      <c r="N24" s="7372"/>
      <c r="O24" s="1078">
        <f>CPL!Q6</f>
        <v>59.686486096584552</v>
      </c>
      <c r="P24" s="1078" t="e">
        <f>CPL!R6</f>
        <v>#DIV/0!</v>
      </c>
      <c r="Q24" s="1078" t="e">
        <f>CPL!S6</f>
        <v>#DIV/0!</v>
      </c>
      <c r="R24" s="1078" t="e">
        <f>CPL!T6</f>
        <v>#DIV/0!</v>
      </c>
      <c r="S24" s="1078" t="e">
        <f>CPL!U6</f>
        <v>#DIV/0!</v>
      </c>
      <c r="T24" s="1078" t="e">
        <f>CPL!V6</f>
        <v>#DIV/0!</v>
      </c>
      <c r="U24" s="1078" t="e">
        <f>CPL!W6</f>
        <v>#DIV/0!</v>
      </c>
      <c r="V24" s="7604" t="e">
        <f>CPL!X6</f>
        <v>#DIV/0!</v>
      </c>
      <c r="W24" s="5526" t="e">
        <f>CPL!Y6</f>
        <v>#DIV/0!</v>
      </c>
      <c r="X24" s="1592" t="e">
        <f>CPL!Z6</f>
        <v>#DIV/0!</v>
      </c>
      <c r="Y24" s="2180">
        <f>CPL!AA6</f>
        <v>59.686486096584552</v>
      </c>
      <c r="Z24" s="7394"/>
      <c r="AA24" s="2032"/>
      <c r="AB24" s="721">
        <f>CPL!AD6</f>
        <v>-5201.9215823093837</v>
      </c>
      <c r="AC24" s="721" t="e">
        <f>CPL!AE6</f>
        <v>#DIV/0!</v>
      </c>
      <c r="AD24" s="721" t="e">
        <f>CPL!AF6</f>
        <v>#DIV/0!</v>
      </c>
      <c r="AE24" s="721" t="e">
        <f>CPL!AG6</f>
        <v>#DIV/0!</v>
      </c>
      <c r="AF24" s="721" t="e">
        <f>CPL!AH6</f>
        <v>#DIV/0!</v>
      </c>
      <c r="AG24" s="721" t="e">
        <f>CPL!AI6</f>
        <v>#DIV/0!</v>
      </c>
      <c r="AH24" s="721" t="e">
        <f>CPL!AJ6</f>
        <v>#DIV/0!</v>
      </c>
      <c r="AI24" s="721" t="e">
        <f>CPL!AK6</f>
        <v>#DIV/0!</v>
      </c>
      <c r="AJ24" s="721" t="e">
        <f>CPL!AL6</f>
        <v>#DIV/0!</v>
      </c>
      <c r="AK24" s="721" t="e">
        <f>CPL!AM6</f>
        <v>#DIV/0!</v>
      </c>
      <c r="AL24" s="721">
        <f>CPL!AN6</f>
        <v>144116.8411802302</v>
      </c>
      <c r="AM24" s="1599">
        <f t="shared" ref="AM24:AM34" si="11">Z24+AA24</f>
        <v>0</v>
      </c>
      <c r="AN24" s="1145">
        <f t="shared" si="10"/>
        <v>0</v>
      </c>
      <c r="AO24" s="2731"/>
      <c r="AP24" s="3200"/>
      <c r="AQ24" s="2741"/>
      <c r="AR24" s="2741"/>
      <c r="BY24" s="6700">
        <v>0</v>
      </c>
      <c r="CE24" s="801"/>
    </row>
    <row r="25" spans="1:92" ht="23.25" customHeight="1">
      <c r="A25" s="7743"/>
      <c r="B25" s="2624" t="s">
        <v>237</v>
      </c>
      <c r="C25" s="2493" t="s">
        <v>446</v>
      </c>
      <c r="D25" s="2732">
        <v>45.65</v>
      </c>
      <c r="E25" s="2733">
        <f>CRM!F6</f>
        <v>46.19</v>
      </c>
      <c r="F25" s="2733">
        <f>CRM!G6</f>
        <v>45.65</v>
      </c>
      <c r="G25" s="2733">
        <f>CRM!I6</f>
        <v>44.71</v>
      </c>
      <c r="H25" s="2085">
        <v>46.04272455659865</v>
      </c>
      <c r="I25" s="3861">
        <f>CRM!K6</f>
        <v>46.906486455981941</v>
      </c>
      <c r="J25" s="3861">
        <f>CRM!L6</f>
        <v>49.260056236092275</v>
      </c>
      <c r="K25" s="3830">
        <f>CRM!M6</f>
        <v>50.07</v>
      </c>
      <c r="L25" s="3286">
        <f>K25</f>
        <v>50.07</v>
      </c>
      <c r="M25" s="7373"/>
      <c r="N25" s="7374"/>
      <c r="O25" s="4274">
        <f>CRM!Q6</f>
        <v>48.552899738448126</v>
      </c>
      <c r="P25" s="4274" t="e">
        <f>CRM!R6</f>
        <v>#DIV/0!</v>
      </c>
      <c r="Q25" s="4274" t="e">
        <f>CRM!S6</f>
        <v>#DIV/0!</v>
      </c>
      <c r="R25" s="4274" t="e">
        <f>CRM!T6</f>
        <v>#DIV/0!</v>
      </c>
      <c r="S25" s="4274" t="e">
        <f>CRM!U6</f>
        <v>#DIV/0!</v>
      </c>
      <c r="T25" s="4274" t="e">
        <f>CRM!V6</f>
        <v>#DIV/0!</v>
      </c>
      <c r="U25" s="4274" t="e">
        <f>CRM!W6</f>
        <v>#DIV/0!</v>
      </c>
      <c r="V25" s="7604" t="e">
        <f>CRM!X6</f>
        <v>#DIV/0!</v>
      </c>
      <c r="W25" s="5527" t="e">
        <f>CRM!Y6</f>
        <v>#DIV/0!</v>
      </c>
      <c r="X25" s="2742" t="e">
        <f>CRM!Z6</f>
        <v>#DIV/0!</v>
      </c>
      <c r="Y25" s="2712">
        <f>CRM!AA6</f>
        <v>48.552899738448126</v>
      </c>
      <c r="Z25" s="2029"/>
      <c r="AA25" s="4067"/>
      <c r="AB25" s="2734">
        <f>CRM!AD6</f>
        <v>-8475.1081814982499</v>
      </c>
      <c r="AC25" s="2734" t="e">
        <f>CRM!AE6</f>
        <v>#DIV/0!</v>
      </c>
      <c r="AD25" s="2734" t="e">
        <f>CRM!AF6</f>
        <v>#DIV/0!</v>
      </c>
      <c r="AE25" s="2734" t="e">
        <f>CRM!AG6</f>
        <v>#DIV/0!</v>
      </c>
      <c r="AF25" s="2734" t="e">
        <f>CRM!AH6</f>
        <v>#DIV/0!</v>
      </c>
      <c r="AG25" s="2734" t="e">
        <f>CRM!AI6</f>
        <v>#DIV/0!</v>
      </c>
      <c r="AH25" s="2734" t="e">
        <f>CRM!AJ6</f>
        <v>#DIV/0!</v>
      </c>
      <c r="AI25" s="2734" t="e">
        <f>CRM!AK6</f>
        <v>#DIV/0!</v>
      </c>
      <c r="AJ25" s="2734" t="e">
        <f>CRM!AL6</f>
        <v>#DIV/0!</v>
      </c>
      <c r="AK25" s="2734" t="e">
        <f>CRM!AM6</f>
        <v>#DIV/0!</v>
      </c>
      <c r="AL25" s="2734">
        <f>CRM!AN6</f>
        <v>108678.52539062555</v>
      </c>
      <c r="AM25" s="1599">
        <f t="shared" si="11"/>
        <v>0</v>
      </c>
      <c r="AN25" s="2735">
        <f t="shared" si="10"/>
        <v>0</v>
      </c>
      <c r="AO25" s="2736"/>
      <c r="AP25" s="3200"/>
      <c r="AQ25" s="2741"/>
      <c r="AR25" s="2741"/>
      <c r="AS25" s="801" t="s">
        <v>1135</v>
      </c>
      <c r="AT25" s="801" t="s">
        <v>191</v>
      </c>
      <c r="AU25" s="801" t="s">
        <v>254</v>
      </c>
      <c r="AV25" s="801" t="s">
        <v>255</v>
      </c>
      <c r="AW25" s="801" t="s">
        <v>697</v>
      </c>
      <c r="AX25" s="801" t="s">
        <v>699</v>
      </c>
      <c r="AY25" s="801" t="s">
        <v>1008</v>
      </c>
      <c r="AZ25" s="801" t="s">
        <v>1295</v>
      </c>
      <c r="BA25" s="801" t="s">
        <v>2158</v>
      </c>
      <c r="BY25" s="6700">
        <v>79.09</v>
      </c>
      <c r="CE25" s="801"/>
    </row>
    <row r="26" spans="1:92" ht="23.25" customHeight="1">
      <c r="A26" s="7743"/>
      <c r="B26" s="2624" t="s">
        <v>43</v>
      </c>
      <c r="C26" s="2493" t="s">
        <v>446</v>
      </c>
      <c r="D26" s="2732">
        <v>39.301413955784739</v>
      </c>
      <c r="E26" s="2733">
        <f>CGL!F6</f>
        <v>40.952245905022799</v>
      </c>
      <c r="F26" s="2733">
        <f>CGL!G6</f>
        <v>39.301413955784739</v>
      </c>
      <c r="G26" s="2733">
        <f>CGL!I6</f>
        <v>39.29</v>
      </c>
      <c r="H26" s="2085">
        <v>39.056847287531163</v>
      </c>
      <c r="I26" s="3861">
        <f>CGL!K6</f>
        <v>39.078220717254119</v>
      </c>
      <c r="J26" s="3861">
        <f>CGL!L6</f>
        <v>39.517993080100453</v>
      </c>
      <c r="K26" s="3830">
        <f>CGL!M6</f>
        <v>40.049999999999997</v>
      </c>
      <c r="L26" s="3286">
        <f>K26</f>
        <v>40.049999999999997</v>
      </c>
      <c r="M26" s="7373"/>
      <c r="N26" s="7374"/>
      <c r="O26" s="4274">
        <f>CGL!Q6</f>
        <v>37.159860185335717</v>
      </c>
      <c r="P26" s="4274" t="e">
        <f>CGL!R6</f>
        <v>#DIV/0!</v>
      </c>
      <c r="Q26" s="4274" t="e">
        <f>CGL!S6</f>
        <v>#DIV/0!</v>
      </c>
      <c r="R26" s="4274" t="e">
        <f>CGL!T6</f>
        <v>#DIV/0!</v>
      </c>
      <c r="S26" s="4274" t="e">
        <f>CGL!U6</f>
        <v>#DIV/0!</v>
      </c>
      <c r="T26" s="4274" t="e">
        <f>CGL!V6</f>
        <v>#DIV/0!</v>
      </c>
      <c r="U26" s="4274" t="e">
        <f>CGL!W6</f>
        <v>#DIV/0!</v>
      </c>
      <c r="V26" s="7604" t="e">
        <f>CGL!X6</f>
        <v>#DIV/0!</v>
      </c>
      <c r="W26" s="5527" t="e">
        <f>CGL!Y6</f>
        <v>#DIV/0!</v>
      </c>
      <c r="X26" s="2742" t="e">
        <f>CGL!Z6</f>
        <v>#DIV/0!</v>
      </c>
      <c r="Y26" s="2712">
        <f>CGL!AA6</f>
        <v>37.159860185335717</v>
      </c>
      <c r="Z26" s="2029"/>
      <c r="AA26" s="4067"/>
      <c r="AB26" s="2734">
        <f>CGL!AD6</f>
        <v>-83159.66092655425</v>
      </c>
      <c r="AC26" s="2734" t="e">
        <f>CGL!AE6</f>
        <v>#DIV/0!</v>
      </c>
      <c r="AD26" s="2734" t="e">
        <f>CGL!AF6</f>
        <v>#DIV/0!</v>
      </c>
      <c r="AE26" s="2734" t="e">
        <f>CGL!AG6</f>
        <v>#DIV/0!</v>
      </c>
      <c r="AF26" s="2734" t="e">
        <f>CGL!AH6</f>
        <v>#DIV/0!</v>
      </c>
      <c r="AG26" s="2734" t="e">
        <f>CGL!AI6</f>
        <v>#DIV/0!</v>
      </c>
      <c r="AH26" s="2734" t="e">
        <f>CGL!AJ6</f>
        <v>#DIV/0!</v>
      </c>
      <c r="AI26" s="2734" t="e">
        <f>CGL!AK6</f>
        <v>#DIV/0!</v>
      </c>
      <c r="AJ26" s="2734" t="e">
        <f>CGL!AL6</f>
        <v>#DIV/0!</v>
      </c>
      <c r="AK26" s="2734" t="e">
        <f>CGL!AM6</f>
        <v>#DIV/0!</v>
      </c>
      <c r="AL26" s="2734">
        <f>CGL!AN6</f>
        <v>204033.92847362827</v>
      </c>
      <c r="AM26" s="1599">
        <f>Z26+AA26</f>
        <v>0</v>
      </c>
      <c r="AN26" s="4333">
        <f t="shared" si="10"/>
        <v>0</v>
      </c>
      <c r="AO26" s="2736"/>
      <c r="AP26" s="3200"/>
      <c r="AQ26" s="2741"/>
      <c r="AR26" s="320" t="s">
        <v>1009</v>
      </c>
      <c r="AS26" s="803"/>
      <c r="AT26" s="803">
        <v>878</v>
      </c>
      <c r="AU26" s="803">
        <v>973</v>
      </c>
      <c r="AV26" s="803">
        <v>527</v>
      </c>
      <c r="AW26" s="803">
        <v>145</v>
      </c>
      <c r="AX26" s="802">
        <v>52.56</v>
      </c>
      <c r="AY26" s="802">
        <v>21.73</v>
      </c>
      <c r="AZ26" s="6737">
        <v>53.389999999999993</v>
      </c>
      <c r="BA26" s="6737">
        <f>'#1CCL'!M20</f>
        <v>64.14</v>
      </c>
      <c r="BY26" s="6700">
        <v>71.83</v>
      </c>
      <c r="CE26" s="801"/>
    </row>
    <row r="27" spans="1:92" ht="23.25" customHeight="1" thickBot="1">
      <c r="A27" s="7743"/>
      <c r="B27" s="2624" t="s">
        <v>438</v>
      </c>
      <c r="C27" s="2493" t="s">
        <v>446</v>
      </c>
      <c r="D27" s="2732">
        <v>20.03</v>
      </c>
      <c r="E27" s="2630">
        <f>'#1CCL'!F6</f>
        <v>21.43</v>
      </c>
      <c r="F27" s="2630">
        <f>'#1CCL'!G6</f>
        <v>20.03</v>
      </c>
      <c r="G27" s="2630">
        <f>'#1CCL'!I6</f>
        <v>22.3</v>
      </c>
      <c r="H27" s="2043">
        <v>23.635136290988044</v>
      </c>
      <c r="I27" s="3233">
        <f>'#1CCL'!K6</f>
        <v>23.126629659404287</v>
      </c>
      <c r="J27" s="3233">
        <f>'#1CCL'!L6</f>
        <v>22.529190340300044</v>
      </c>
      <c r="K27" s="4076">
        <f>'#1CCL'!M6</f>
        <v>24</v>
      </c>
      <c r="L27" s="3286">
        <f>K27</f>
        <v>24</v>
      </c>
      <c r="M27" s="4057">
        <f>'#1CCL'!O7</f>
        <v>22.729410156012456</v>
      </c>
      <c r="N27" s="4275">
        <f>'#1CCL'!P7</f>
        <v>22.227810806017338</v>
      </c>
      <c r="O27" s="4275">
        <f>'#1CCL'!Q6</f>
        <v>21.541975478716076</v>
      </c>
      <c r="P27" s="4275" t="e">
        <f>'#1CCL'!R6</f>
        <v>#DIV/0!</v>
      </c>
      <c r="Q27" s="4275" t="e">
        <f>'#1CCL'!S6</f>
        <v>#DIV/0!</v>
      </c>
      <c r="R27" s="4275" t="e">
        <f>'#1CCL'!T6</f>
        <v>#DIV/0!</v>
      </c>
      <c r="S27" s="4275" t="e">
        <f>'#1CCL'!U6</f>
        <v>#DIV/0!</v>
      </c>
      <c r="T27" s="4275" t="e">
        <f>'#1CCL'!V6</f>
        <v>#DIV/0!</v>
      </c>
      <c r="U27" s="4275" t="e">
        <f>'#1CCL'!W6</f>
        <v>#DIV/0!</v>
      </c>
      <c r="V27" s="3784" t="e">
        <f>'#1CCL'!X6</f>
        <v>#DIV/0!</v>
      </c>
      <c r="W27" s="4059" t="e">
        <f>'#1CCL'!Y6</f>
        <v>#DIV/0!</v>
      </c>
      <c r="X27" s="2743" t="e">
        <f>'#1CCL'!Z6</f>
        <v>#DIV/0!</v>
      </c>
      <c r="Y27" s="2737">
        <f>'#1CCL'!AA6</f>
        <v>21.299097080465227</v>
      </c>
      <c r="Z27" s="1860">
        <f>'#1CCL'!AB7</f>
        <v>7027.3783017139785</v>
      </c>
      <c r="AA27" s="2734">
        <f>'#1CCL'!AC7</f>
        <v>-30281.972040986588</v>
      </c>
      <c r="AB27" s="2734">
        <f>'#1CCL'!AD6</f>
        <v>-60056.043465342846</v>
      </c>
      <c r="AC27" s="2734" t="e">
        <f>'#1CCL'!AE6</f>
        <v>#DIV/0!</v>
      </c>
      <c r="AD27" s="2734" t="e">
        <f>'#1CCL'!AF6</f>
        <v>#DIV/0!</v>
      </c>
      <c r="AE27" s="2734" t="e">
        <f>'#1CCL'!AG6</f>
        <v>#DIV/0!</v>
      </c>
      <c r="AF27" s="2734" t="e">
        <f>'#1CCL'!AH6</f>
        <v>#DIV/0!</v>
      </c>
      <c r="AG27" s="2734" t="e">
        <f>'#1CCL'!AI6</f>
        <v>#DIV/0!</v>
      </c>
      <c r="AH27" s="2734" t="e">
        <f>'#1CCL'!AJ6</f>
        <v>#DIV/0!</v>
      </c>
      <c r="AI27" s="2734" t="e">
        <f>'#1CCL'!AK6</f>
        <v>#DIV/0!</v>
      </c>
      <c r="AJ27" s="2734" t="e">
        <f>'#1CCL'!AL6</f>
        <v>#DIV/0!</v>
      </c>
      <c r="AK27" s="2734" t="e">
        <f>'#1CCL'!AM6</f>
        <v>#DIV/0!</v>
      </c>
      <c r="AL27" s="2734">
        <f>'#1CCL'!AN6</f>
        <v>638528.7869871509</v>
      </c>
      <c r="AM27" s="1599">
        <f t="shared" si="11"/>
        <v>-23254.593739272608</v>
      </c>
      <c r="AN27" s="4333">
        <f t="shared" si="10"/>
        <v>-3.6419021684202565E-2</v>
      </c>
      <c r="AO27" s="2736"/>
      <c r="AP27" s="3201"/>
      <c r="AQ27" s="2741"/>
      <c r="AR27" s="320" t="s">
        <v>1010</v>
      </c>
      <c r="AS27" s="623"/>
      <c r="AT27" s="623">
        <v>449.47</v>
      </c>
      <c r="AU27" s="623">
        <v>679.82</v>
      </c>
      <c r="AV27" s="623">
        <v>413.64699999999999</v>
      </c>
      <c r="AW27" s="623">
        <v>77.400000000000006</v>
      </c>
      <c r="AX27" s="802">
        <v>128.14100000000002</v>
      </c>
      <c r="AY27" s="802">
        <v>93.301999999999992</v>
      </c>
      <c r="AZ27" s="6737">
        <v>62.910000000000004</v>
      </c>
      <c r="BA27" s="6737">
        <f>'#2CCL'!M19</f>
        <v>48</v>
      </c>
      <c r="BY27" s="2140">
        <f>(BY25+BY26)/2</f>
        <v>75.460000000000008</v>
      </c>
      <c r="CE27" s="801"/>
    </row>
    <row r="28" spans="1:92" ht="23.25" customHeight="1" thickBot="1">
      <c r="A28" s="7743"/>
      <c r="B28" s="2624" t="s">
        <v>439</v>
      </c>
      <c r="C28" s="2493" t="s">
        <v>446</v>
      </c>
      <c r="D28" s="2732">
        <v>11.59</v>
      </c>
      <c r="E28" s="2630">
        <f>'#2CCL'!F6</f>
        <v>11.56</v>
      </c>
      <c r="F28" s="2630">
        <f>'#2CCL'!G6</f>
        <v>11.59</v>
      </c>
      <c r="G28" s="2630">
        <f>'#2CCL'!K6</f>
        <v>9.3511203248380532</v>
      </c>
      <c r="H28" s="2043">
        <v>9.9899535671630861</v>
      </c>
      <c r="I28" s="3233">
        <f>'#2CCL'!K6</f>
        <v>9.3511203248380532</v>
      </c>
      <c r="J28" s="3233">
        <f>'#2CCL'!L6</f>
        <v>9.5212979035692769</v>
      </c>
      <c r="K28" s="4076">
        <f>'#2CCL'!M6</f>
        <v>9.6999999999999993</v>
      </c>
      <c r="L28" s="3286">
        <f>K28</f>
        <v>9.6999999999999993</v>
      </c>
      <c r="M28" s="4057">
        <f>'#2CCL'!O6</f>
        <v>9.2332969466363082</v>
      </c>
      <c r="N28" s="4275">
        <f>'#2CCL'!P6</f>
        <v>9.9368709346114343</v>
      </c>
      <c r="O28" s="4275">
        <f>'#2CCL'!Q6</f>
        <v>10.335309367438645</v>
      </c>
      <c r="P28" s="4275" t="e">
        <f>'#2CCL'!R6</f>
        <v>#DIV/0!</v>
      </c>
      <c r="Q28" s="4275" t="e">
        <f>'#2CCL'!S6</f>
        <v>#DIV/0!</v>
      </c>
      <c r="R28" s="4275" t="e">
        <f>'#2CCL'!T6</f>
        <v>#DIV/0!</v>
      </c>
      <c r="S28" s="4275" t="e">
        <f>'#2CCL'!U6</f>
        <v>#DIV/0!</v>
      </c>
      <c r="T28" s="4275" t="e">
        <f>'#2CCL'!V6</f>
        <v>#DIV/0!</v>
      </c>
      <c r="U28" s="4275" t="e">
        <f>'#2CCL'!W6</f>
        <v>#DIV/0!</v>
      </c>
      <c r="V28" s="3784" t="e">
        <f>'#2CCL'!X6</f>
        <v>#DIV/0!</v>
      </c>
      <c r="W28" s="4059" t="e">
        <f>'#2CCL'!Y6</f>
        <v>#DIV/0!</v>
      </c>
      <c r="X28" s="2743" t="e">
        <f>'#2CCL'!Z6</f>
        <v>#DIV/0!</v>
      </c>
      <c r="Y28" s="2737">
        <f>'#2CCL'!AA6</f>
        <v>9.52856056423132</v>
      </c>
      <c r="Z28" s="1860">
        <f>'#2CCL'!AB6</f>
        <v>-25773.265613504176</v>
      </c>
      <c r="AA28" s="2734">
        <f>'#2CCL'!AC6</f>
        <v>33387.782676533716</v>
      </c>
      <c r="AB28" s="2734">
        <f>'#2CCL'!AD6</f>
        <v>73113.29304550591</v>
      </c>
      <c r="AC28" s="2734" t="e">
        <f>'#2CCL'!AE6</f>
        <v>#DIV/0!</v>
      </c>
      <c r="AD28" s="2734" t="e">
        <f>'#2CCL'!AF6</f>
        <v>#DIV/0!</v>
      </c>
      <c r="AE28" s="2734" t="e">
        <f>'#2CCL'!AG6</f>
        <v>#DIV/0!</v>
      </c>
      <c r="AF28" s="2734" t="e">
        <f>'#2CCL'!AH6</f>
        <v>#DIV/0!</v>
      </c>
      <c r="AG28" s="2734" t="e">
        <f>'#2CCL'!AI6</f>
        <v>#DIV/0!</v>
      </c>
      <c r="AH28" s="2734" t="e">
        <f>'#2CCL'!AJ6</f>
        <v>#DIV/0!</v>
      </c>
      <c r="AI28" s="2734" t="e">
        <f>'#2CCL'!AK6</f>
        <v>#DIV/0!</v>
      </c>
      <c r="AJ28" s="2734" t="e">
        <f>'#2CCL'!AL6</f>
        <v>#DIV/0!</v>
      </c>
      <c r="AK28" s="2734" t="e">
        <f>'#2CCL'!AM6</f>
        <v>#DIV/0!</v>
      </c>
      <c r="AL28" s="2734">
        <f>'#2CCL'!AN6</f>
        <v>186321.65526925618</v>
      </c>
      <c r="AM28" s="1599">
        <f t="shared" si="11"/>
        <v>7614.5170630295397</v>
      </c>
      <c r="AN28" s="2735">
        <f t="shared" si="10"/>
        <v>4.0867590254206838E-2</v>
      </c>
      <c r="AO28" s="2736"/>
      <c r="AP28" s="3201"/>
      <c r="AQ28" s="2741"/>
      <c r="AR28" s="320"/>
      <c r="CE28" s="801"/>
    </row>
    <row r="29" spans="1:92" ht="23.25" customHeight="1" thickBot="1">
      <c r="A29" s="7821"/>
      <c r="B29" s="2626" t="s">
        <v>443</v>
      </c>
      <c r="C29" s="2129" t="s">
        <v>446</v>
      </c>
      <c r="D29" s="2738">
        <v>33.562282791156953</v>
      </c>
      <c r="E29" s="2131">
        <f t="shared" ref="E29:Y29" si="12">(E24+E25+E26+E27+E28)/5</f>
        <v>34.274449181004563</v>
      </c>
      <c r="F29" s="2131">
        <f t="shared" si="12"/>
        <v>34.126691313882688</v>
      </c>
      <c r="G29" s="2131">
        <f t="shared" si="12"/>
        <v>34.738224064967611</v>
      </c>
      <c r="H29" s="2131">
        <f t="shared" si="12"/>
        <v>35.786287515744547</v>
      </c>
      <c r="I29" s="2132">
        <f t="shared" si="12"/>
        <v>35.431363833866214</v>
      </c>
      <c r="J29" s="2132">
        <f t="shared" si="12"/>
        <v>36.224426786039395</v>
      </c>
      <c r="K29" s="1837">
        <f t="shared" si="12"/>
        <v>37.164000000000001</v>
      </c>
      <c r="L29" s="2133">
        <f t="shared" si="12"/>
        <v>37.164000000000001</v>
      </c>
      <c r="M29" s="2050">
        <f>(M27+M28)/2</f>
        <v>15.981353551324382</v>
      </c>
      <c r="N29" s="2132">
        <f>(N27+N28)/2</f>
        <v>16.082340870314386</v>
      </c>
      <c r="O29" s="2132">
        <f t="shared" si="12"/>
        <v>35.455306173304621</v>
      </c>
      <c r="P29" s="2132" t="e">
        <f t="shared" si="12"/>
        <v>#DIV/0!</v>
      </c>
      <c r="Q29" s="2132" t="e">
        <f t="shared" si="12"/>
        <v>#DIV/0!</v>
      </c>
      <c r="R29" s="2132" t="e">
        <f t="shared" si="12"/>
        <v>#DIV/0!</v>
      </c>
      <c r="S29" s="2132" t="e">
        <f t="shared" si="12"/>
        <v>#DIV/0!</v>
      </c>
      <c r="T29" s="2132" t="e">
        <f t="shared" si="12"/>
        <v>#DIV/0!</v>
      </c>
      <c r="U29" s="2132" t="e">
        <f t="shared" si="12"/>
        <v>#DIV/0!</v>
      </c>
      <c r="V29" s="7605" t="e">
        <f t="shared" si="12"/>
        <v>#DIV/0!</v>
      </c>
      <c r="W29" s="4891" t="e">
        <f t="shared" si="12"/>
        <v>#DIV/0!</v>
      </c>
      <c r="X29" s="2131" t="e">
        <f t="shared" si="12"/>
        <v>#DIV/0!</v>
      </c>
      <c r="Y29" s="2131">
        <f t="shared" si="12"/>
        <v>35.245380733012993</v>
      </c>
      <c r="Z29" s="2739">
        <f t="shared" ref="Z29:AM29" si="13">SUM(Z24:Z28)</f>
        <v>-18745.887311790197</v>
      </c>
      <c r="AA29" s="2135">
        <f t="shared" si="13"/>
        <v>3105.8106355471282</v>
      </c>
      <c r="AB29" s="2135">
        <f t="shared" si="13"/>
        <v>-83779.441110198823</v>
      </c>
      <c r="AC29" s="2135" t="e">
        <f t="shared" si="13"/>
        <v>#DIV/0!</v>
      </c>
      <c r="AD29" s="2135" t="e">
        <f t="shared" si="13"/>
        <v>#DIV/0!</v>
      </c>
      <c r="AE29" s="2135" t="e">
        <f t="shared" si="13"/>
        <v>#DIV/0!</v>
      </c>
      <c r="AF29" s="2135" t="e">
        <f t="shared" si="13"/>
        <v>#DIV/0!</v>
      </c>
      <c r="AG29" s="2135" t="e">
        <f t="shared" si="13"/>
        <v>#DIV/0!</v>
      </c>
      <c r="AH29" s="2135" t="e">
        <f t="shared" si="13"/>
        <v>#DIV/0!</v>
      </c>
      <c r="AI29" s="2135" t="e">
        <f t="shared" si="13"/>
        <v>#DIV/0!</v>
      </c>
      <c r="AJ29" s="2135" t="e">
        <f t="shared" si="13"/>
        <v>#DIV/0!</v>
      </c>
      <c r="AK29" s="2135" t="e">
        <f t="shared" si="13"/>
        <v>#DIV/0!</v>
      </c>
      <c r="AL29" s="2136">
        <f t="shared" si="13"/>
        <v>1281679.737300891</v>
      </c>
      <c r="AM29" s="2136">
        <f t="shared" si="13"/>
        <v>-15640.076676243069</v>
      </c>
      <c r="AN29" s="2931">
        <f t="shared" si="10"/>
        <v>-1.2202796237677711E-2</v>
      </c>
      <c r="AO29" s="2137"/>
      <c r="AQ29" s="676"/>
      <c r="AR29" s="320"/>
      <c r="AS29" s="670"/>
      <c r="AT29" s="671"/>
      <c r="AU29" s="671"/>
      <c r="AV29" s="671"/>
      <c r="AW29" s="671"/>
      <c r="AY29" s="1233" t="s">
        <v>628</v>
      </c>
      <c r="AZ29" s="290" t="s">
        <v>254</v>
      </c>
      <c r="BA29" s="290" t="s">
        <v>544</v>
      </c>
      <c r="BB29" s="290" t="s">
        <v>1372</v>
      </c>
      <c r="BC29" s="290" t="s">
        <v>699</v>
      </c>
      <c r="BD29" s="290" t="s">
        <v>1008</v>
      </c>
      <c r="BR29" s="2147" t="s">
        <v>1684</v>
      </c>
      <c r="BS29" s="2148" t="s">
        <v>914</v>
      </c>
      <c r="BT29" s="2148" t="s">
        <v>913</v>
      </c>
      <c r="BU29" s="2148" t="s">
        <v>1054</v>
      </c>
      <c r="BV29" s="2148" t="s">
        <v>1051</v>
      </c>
      <c r="BW29" s="2148" t="s">
        <v>1008</v>
      </c>
      <c r="BX29" s="2148" t="s">
        <v>1883</v>
      </c>
      <c r="BY29" s="2148" t="s">
        <v>912</v>
      </c>
      <c r="BZ29" s="2148" t="s">
        <v>5</v>
      </c>
      <c r="CA29" s="2148" t="s">
        <v>6</v>
      </c>
      <c r="CB29" s="2148" t="s">
        <v>7</v>
      </c>
      <c r="CC29" s="2148" t="s">
        <v>8</v>
      </c>
      <c r="CD29" s="2240" t="s">
        <v>926</v>
      </c>
      <c r="CE29" s="2148" t="s">
        <v>10</v>
      </c>
      <c r="CF29" s="2270" t="s">
        <v>11</v>
      </c>
      <c r="CG29" s="2270" t="s">
        <v>12</v>
      </c>
      <c r="CH29" s="2270" t="s">
        <v>13</v>
      </c>
      <c r="CI29" s="2270" t="s">
        <v>14</v>
      </c>
      <c r="CJ29" s="2271" t="s">
        <v>15</v>
      </c>
      <c r="CK29" s="318" t="s">
        <v>1373</v>
      </c>
      <c r="CL29" s="318" t="s">
        <v>905</v>
      </c>
      <c r="CM29" s="318" t="s">
        <v>1052</v>
      </c>
      <c r="CN29" s="318" t="s">
        <v>1053</v>
      </c>
    </row>
    <row r="30" spans="1:92" ht="23.25" customHeight="1" thickBot="1">
      <c r="A30" s="7737" t="s">
        <v>445</v>
      </c>
      <c r="B30" s="2623" t="s">
        <v>437</v>
      </c>
      <c r="C30" s="1152" t="s">
        <v>441</v>
      </c>
      <c r="D30" s="666">
        <f>CPL!F8</f>
        <v>97.91</v>
      </c>
      <c r="E30" s="666">
        <f>CPL!G8</f>
        <v>97.67</v>
      </c>
      <c r="F30" s="666">
        <f>CPL!H8</f>
        <v>97.281674329511944</v>
      </c>
      <c r="G30" s="666">
        <f>CPL!I8</f>
        <v>98.98</v>
      </c>
      <c r="H30" s="1236">
        <v>99.204284713304929</v>
      </c>
      <c r="I30" s="1237">
        <f>CPL!K8</f>
        <v>99.351749184463827</v>
      </c>
      <c r="J30" s="1237">
        <f>CPL!L8</f>
        <v>99.12206884847113</v>
      </c>
      <c r="K30" s="1840">
        <f>CPL!M8</f>
        <v>99.5</v>
      </c>
      <c r="L30" s="4280">
        <f>K30</f>
        <v>99.5</v>
      </c>
      <c r="M30" s="7376"/>
      <c r="N30" s="7375"/>
      <c r="O30" s="1334">
        <f>CPL!Q8</f>
        <v>99.85594410631326</v>
      </c>
      <c r="P30" s="1334" t="e">
        <f>CPL!R8</f>
        <v>#DIV/0!</v>
      </c>
      <c r="Q30" s="1334" t="e">
        <f>CPL!S8</f>
        <v>#DIV/0!</v>
      </c>
      <c r="R30" s="1334" t="e">
        <f>CPL!T8</f>
        <v>#DIV/0!</v>
      </c>
      <c r="S30" s="1334" t="e">
        <f>CPL!U8</f>
        <v>#DIV/0!</v>
      </c>
      <c r="T30" s="1334" t="e">
        <f>CPL!V8</f>
        <v>#DIV/0!</v>
      </c>
      <c r="U30" s="1334" t="e">
        <f>CPL!W8</f>
        <v>#DIV/0!</v>
      </c>
      <c r="V30" s="7604" t="e">
        <f>CPL!X8</f>
        <v>#DIV/0!</v>
      </c>
      <c r="W30" s="5528" t="e">
        <f>CPL!Y8</f>
        <v>#DIV/0!</v>
      </c>
      <c r="X30" s="1596" t="e">
        <f>CPL!Z8</f>
        <v>#DIV/0!</v>
      </c>
      <c r="Y30" s="2179">
        <f>CPL!AA8</f>
        <v>99.85594410631326</v>
      </c>
      <c r="Z30" s="7393"/>
      <c r="AA30" s="2039"/>
      <c r="AB30" s="1841">
        <f>CPL!AD8</f>
        <v>3791.3131236452236</v>
      </c>
      <c r="AC30" s="1841" t="e">
        <f>CPL!AE8</f>
        <v>#DIV/0!</v>
      </c>
      <c r="AD30" s="1841" t="e">
        <f>CPL!AF8</f>
        <v>#DIV/0!</v>
      </c>
      <c r="AE30" s="1841" t="e">
        <f>CPL!AG8</f>
        <v>#DIV/0!</v>
      </c>
      <c r="AF30" s="1841" t="e">
        <f>CPL!AH8</f>
        <v>#DIV/0!</v>
      </c>
      <c r="AG30" s="1841" t="e">
        <f>CPL!AI8</f>
        <v>#DIV/0!</v>
      </c>
      <c r="AH30" s="1841" t="e">
        <f>CPL!AJ8</f>
        <v>#DIV/0!</v>
      </c>
      <c r="AI30" s="1841" t="e">
        <f>CPL!AK8</f>
        <v>#DIV/0!</v>
      </c>
      <c r="AJ30" s="1841" t="e">
        <f>CPL!AL8</f>
        <v>#DIV/0!</v>
      </c>
      <c r="AK30" s="1841" t="e">
        <f>CPL!AM8</f>
        <v>#DIV/0!</v>
      </c>
      <c r="AL30" s="1841">
        <f>CPL!AN8</f>
        <v>19341.661014379417</v>
      </c>
      <c r="AM30" s="1599">
        <f t="shared" si="11"/>
        <v>0</v>
      </c>
      <c r="AN30" s="4334">
        <f t="shared" si="10"/>
        <v>0</v>
      </c>
      <c r="AO30" s="2625"/>
      <c r="AR30" s="320"/>
      <c r="AS30" s="670"/>
      <c r="AT30" s="671"/>
      <c r="AU30" s="671"/>
      <c r="AV30" s="672"/>
      <c r="AW30" s="671"/>
      <c r="AY30" s="318" t="s">
        <v>629</v>
      </c>
      <c r="AZ30" s="320">
        <v>98.87</v>
      </c>
      <c r="BA30" s="697">
        <v>99.1040477634659</v>
      </c>
      <c r="BB30" s="697">
        <v>99.368635587324533</v>
      </c>
      <c r="BC30" s="669">
        <v>99.483918463783041</v>
      </c>
      <c r="BD30" s="669">
        <v>99.474955544010143</v>
      </c>
      <c r="BR30" s="2144" t="s">
        <v>906</v>
      </c>
      <c r="BS30" s="2145">
        <v>70.55</v>
      </c>
      <c r="BT30" s="2145">
        <v>70.540000000000006</v>
      </c>
      <c r="BU30" s="2145">
        <f>AVERAGE(BV6:BW6)</f>
        <v>64.655000000000001</v>
      </c>
      <c r="BV30" s="2145">
        <v>62.828333333333326</v>
      </c>
      <c r="BW30" s="2868">
        <v>58.81</v>
      </c>
      <c r="BX30" s="1907">
        <v>53.19</v>
      </c>
      <c r="BY30" s="1907">
        <v>0</v>
      </c>
      <c r="BZ30" s="1907">
        <v>0</v>
      </c>
      <c r="CA30" s="1907">
        <v>62.11</v>
      </c>
      <c r="CB30" s="2146"/>
      <c r="CC30" s="2146"/>
      <c r="CD30" s="2241"/>
      <c r="CE30" s="2241"/>
      <c r="CF30" s="1907"/>
      <c r="CG30" s="1907"/>
      <c r="CH30" s="1907"/>
      <c r="CI30" s="1907"/>
      <c r="CJ30" s="2280"/>
      <c r="CK30" s="318">
        <v>58.81</v>
      </c>
      <c r="CL30" s="318">
        <v>10.3</v>
      </c>
      <c r="CM30" s="669">
        <v>67.233333333333334</v>
      </c>
      <c r="CN30" s="669">
        <v>58.423333333333325</v>
      </c>
    </row>
    <row r="31" spans="1:92" ht="23.25" customHeight="1">
      <c r="A31" s="7820"/>
      <c r="B31" s="2097" t="s">
        <v>237</v>
      </c>
      <c r="C31" s="2098" t="s">
        <v>441</v>
      </c>
      <c r="D31" s="2122">
        <v>90.36</v>
      </c>
      <c r="E31" s="2123">
        <f>CRM!G8</f>
        <v>90.36</v>
      </c>
      <c r="F31" s="2123">
        <f>CRM!H8</f>
        <v>91.616943344951849</v>
      </c>
      <c r="G31" s="2123">
        <f>CRM!I8</f>
        <v>92.74</v>
      </c>
      <c r="H31" s="2085">
        <v>94.354058610555796</v>
      </c>
      <c r="I31" s="3861">
        <f>CRM!K8</f>
        <v>94.939227872516312</v>
      </c>
      <c r="J31" s="3861">
        <f>CRM!L8</f>
        <v>94.391242064805667</v>
      </c>
      <c r="K31" s="3830">
        <f>CRM!M8</f>
        <v>95.46</v>
      </c>
      <c r="L31" s="4280">
        <f>K31</f>
        <v>95.46</v>
      </c>
      <c r="M31" s="7373"/>
      <c r="N31" s="7374"/>
      <c r="O31" s="4274">
        <f>CRM!Q8</f>
        <v>94.997515322179893</v>
      </c>
      <c r="P31" s="4274" t="e">
        <f>CRM!R8</f>
        <v>#DIV/0!</v>
      </c>
      <c r="Q31" s="4274" t="e">
        <f>CRM!S8</f>
        <v>#DIV/0!</v>
      </c>
      <c r="R31" s="4274" t="e">
        <f>CRM!T8</f>
        <v>#DIV/0!</v>
      </c>
      <c r="S31" s="4274" t="e">
        <f>CRM!U8</f>
        <v>#DIV/0!</v>
      </c>
      <c r="T31" s="4274" t="e">
        <f>CRM!V8</f>
        <v>#DIV/0!</v>
      </c>
      <c r="U31" s="4274" t="e">
        <f>CRM!W8</f>
        <v>#DIV/0!</v>
      </c>
      <c r="V31" s="7604" t="e">
        <f>CRM!X8</f>
        <v>#DIV/0!</v>
      </c>
      <c r="W31" s="5527" t="e">
        <f>CRM!Y8</f>
        <v>#DIV/0!</v>
      </c>
      <c r="X31" s="2742" t="e">
        <f>CRM!Z8</f>
        <v>#DIV/0!</v>
      </c>
      <c r="Y31" s="2183">
        <f>CRM!AA8</f>
        <v>94.997515322179893</v>
      </c>
      <c r="Z31" s="2029"/>
      <c r="AA31" s="2104"/>
      <c r="AB31" s="2124">
        <f>CRM!AD8</f>
        <v>3579.2582083126331</v>
      </c>
      <c r="AC31" s="2124" t="e">
        <f>CRM!AE8</f>
        <v>#DIV/0!</v>
      </c>
      <c r="AD31" s="2124" t="e">
        <f>CRM!AF8</f>
        <v>#DIV/0!</v>
      </c>
      <c r="AE31" s="2124" t="e">
        <f>CRM!AG8</f>
        <v>#DIV/0!</v>
      </c>
      <c r="AF31" s="2124" t="e">
        <f>CRM!AH8</f>
        <v>#DIV/0!</v>
      </c>
      <c r="AG31" s="2124" t="e">
        <f>CRM!AI8</f>
        <v>#DIV/0!</v>
      </c>
      <c r="AH31" s="2124" t="e">
        <f>CRM!AJ8</f>
        <v>#DIV/0!</v>
      </c>
      <c r="AI31" s="2124" t="e">
        <f>CRM!AK8</f>
        <v>#DIV/0!</v>
      </c>
      <c r="AJ31" s="2124" t="e">
        <f>CRM!AL8</f>
        <v>#DIV/0!</v>
      </c>
      <c r="AK31" s="2124" t="e">
        <f>CRM!AM8</f>
        <v>#DIV/0!</v>
      </c>
      <c r="AL31" s="2124">
        <f>CRM!AN8</f>
        <v>74001.69999328503</v>
      </c>
      <c r="AM31" s="1599">
        <f t="shared" si="11"/>
        <v>0</v>
      </c>
      <c r="AN31" s="4335">
        <f t="shared" si="10"/>
        <v>0</v>
      </c>
      <c r="AO31" s="2126"/>
      <c r="AR31" s="320"/>
      <c r="AS31" s="670"/>
      <c r="AT31" s="671"/>
      <c r="AU31" s="671"/>
      <c r="AV31" s="671"/>
      <c r="AW31" s="671"/>
      <c r="AY31" s="667" t="s">
        <v>630</v>
      </c>
      <c r="AZ31" s="320">
        <v>97.53</v>
      </c>
      <c r="BA31" s="321">
        <v>98.00045319044726</v>
      </c>
      <c r="BB31" s="321">
        <v>97.977320000000006</v>
      </c>
      <c r="BC31" s="669">
        <v>97.970594907103475</v>
      </c>
      <c r="BD31" s="669">
        <v>97.749821155362042</v>
      </c>
      <c r="BR31" s="7119" t="s">
        <v>907</v>
      </c>
      <c r="BS31" s="7120">
        <v>73.760000000000005</v>
      </c>
      <c r="BT31" s="7120">
        <v>82.38</v>
      </c>
      <c r="BU31" s="7120">
        <f>AVERAGE(BV7:BW7)</f>
        <v>80.865000000000009</v>
      </c>
      <c r="BV31" s="7120">
        <v>78.473333333333315</v>
      </c>
      <c r="BW31" s="7121">
        <v>70.8</v>
      </c>
      <c r="BX31" s="6700">
        <v>61.14</v>
      </c>
      <c r="BY31" s="6700">
        <v>0</v>
      </c>
      <c r="BZ31" s="6700">
        <v>0</v>
      </c>
      <c r="CA31" s="6700">
        <v>64.239999999999995</v>
      </c>
      <c r="CB31" s="6737"/>
      <c r="CC31" s="6737"/>
      <c r="CD31" s="6703"/>
      <c r="CE31" s="7122"/>
      <c r="CF31" s="6700"/>
      <c r="CG31" s="6700"/>
      <c r="CH31" s="6700"/>
      <c r="CI31" s="6700"/>
      <c r="CJ31" s="7123"/>
      <c r="CK31" s="318">
        <v>70.8</v>
      </c>
      <c r="CL31" s="318">
        <v>6.6</v>
      </c>
      <c r="CM31" s="669">
        <v>80.438333333333333</v>
      </c>
      <c r="CN31" s="669">
        <v>76.508333333333326</v>
      </c>
    </row>
    <row r="32" spans="1:92" ht="23.25" customHeight="1">
      <c r="A32" s="7820"/>
      <c r="B32" s="2097" t="s">
        <v>43</v>
      </c>
      <c r="C32" s="2098" t="s">
        <v>441</v>
      </c>
      <c r="D32" s="2122">
        <v>97.201892954742391</v>
      </c>
      <c r="E32" s="2123">
        <f>CGL!G8</f>
        <v>97.201892954742391</v>
      </c>
      <c r="F32" s="2123">
        <f>CGL!H8</f>
        <v>98.032043940345559</v>
      </c>
      <c r="G32" s="2123">
        <f>CGL!I8</f>
        <v>98.81</v>
      </c>
      <c r="H32" s="2085">
        <v>98.842928115557456</v>
      </c>
      <c r="I32" s="3861">
        <f>CGL!K8</f>
        <v>98.320217917675549</v>
      </c>
      <c r="J32" s="3861">
        <f>CGL!L8</f>
        <v>99.570661542304435</v>
      </c>
      <c r="K32" s="3830">
        <f>CGL!M8</f>
        <v>99.65</v>
      </c>
      <c r="L32" s="4280">
        <f>K32</f>
        <v>99.65</v>
      </c>
      <c r="M32" s="7373"/>
      <c r="N32" s="7374"/>
      <c r="O32" s="4274">
        <f>CGL!Q8</f>
        <v>98.726659889786532</v>
      </c>
      <c r="P32" s="4274" t="e">
        <f>CGL!R8</f>
        <v>#DIV/0!</v>
      </c>
      <c r="Q32" s="4274" t="e">
        <f>CGL!S8</f>
        <v>#DIV/0!</v>
      </c>
      <c r="R32" s="4274" t="e">
        <f>CGL!T8</f>
        <v>#DIV/0!</v>
      </c>
      <c r="S32" s="4274" t="e">
        <f>CGL!U8</f>
        <v>#DIV/0!</v>
      </c>
      <c r="T32" s="4274" t="e">
        <f>CGL!V8</f>
        <v>#DIV/0!</v>
      </c>
      <c r="U32" s="4274" t="e">
        <f>CGL!W8</f>
        <v>#DIV/0!</v>
      </c>
      <c r="V32" s="7604" t="e">
        <f>CGL!X8</f>
        <v>#DIV/0!</v>
      </c>
      <c r="W32" s="5527" t="e">
        <f>CGL!Y8</f>
        <v>#DIV/0!</v>
      </c>
      <c r="X32" s="2742" t="e">
        <f>CGL!Z8</f>
        <v>#DIV/0!</v>
      </c>
      <c r="Y32" s="2183">
        <f>CGL!AA8</f>
        <v>98.726659889786532</v>
      </c>
      <c r="Z32" s="2029"/>
      <c r="AA32" s="2104"/>
      <c r="AB32" s="2124">
        <f>CGL!AD8</f>
        <v>-11762.038893927851</v>
      </c>
      <c r="AC32" s="2124" t="e">
        <f>CGL!AE8</f>
        <v>#DIV/0!</v>
      </c>
      <c r="AD32" s="2124" t="e">
        <f>CGL!AF8</f>
        <v>#DIV/0!</v>
      </c>
      <c r="AE32" s="2124" t="e">
        <f>CGL!AG8</f>
        <v>#DIV/0!</v>
      </c>
      <c r="AF32" s="2124" t="e">
        <f>CGL!AH8</f>
        <v>#DIV/0!</v>
      </c>
      <c r="AG32" s="2124" t="e">
        <f>CGL!AI8</f>
        <v>#DIV/0!</v>
      </c>
      <c r="AH32" s="2124" t="e">
        <f>CGL!AJ8</f>
        <v>#DIV/0!</v>
      </c>
      <c r="AI32" s="2124" t="e">
        <f>CGL!AK8</f>
        <v>#DIV/0!</v>
      </c>
      <c r="AJ32" s="2124" t="e">
        <f>CGL!AL8</f>
        <v>#DIV/0!</v>
      </c>
      <c r="AK32" s="2124" t="e">
        <f>CGL!AM8</f>
        <v>#DIV/0!</v>
      </c>
      <c r="AL32" s="2124">
        <f>CGL!AN8</f>
        <v>12066.642383439026</v>
      </c>
      <c r="AM32" s="1599">
        <f t="shared" si="11"/>
        <v>0</v>
      </c>
      <c r="AN32" s="2125">
        <f t="shared" si="10"/>
        <v>0</v>
      </c>
      <c r="AO32" s="1862"/>
      <c r="AR32" s="320"/>
      <c r="AS32" s="670"/>
      <c r="AT32" s="671"/>
      <c r="AU32" s="671"/>
      <c r="AV32" s="671"/>
      <c r="AW32" s="671"/>
      <c r="AY32" s="668" t="s">
        <v>631</v>
      </c>
      <c r="AZ32" s="320">
        <v>99.93</v>
      </c>
      <c r="BA32" s="321">
        <v>99.940905977141099</v>
      </c>
      <c r="BB32" s="321">
        <v>99.97</v>
      </c>
      <c r="BC32" s="669">
        <v>99.983380652450364</v>
      </c>
      <c r="BD32" s="669">
        <v>99.98701371818494</v>
      </c>
      <c r="BR32" s="7119" t="s">
        <v>908</v>
      </c>
      <c r="BS32" s="7120">
        <v>83.24</v>
      </c>
      <c r="BT32" s="7120">
        <v>90.62</v>
      </c>
      <c r="BU32" s="7120">
        <f>AVERAGE(BV8:BW8)</f>
        <v>91.074999999999989</v>
      </c>
      <c r="BV32" s="7120">
        <v>90.483333333333334</v>
      </c>
      <c r="BW32" s="7121">
        <v>85.29</v>
      </c>
      <c r="BX32" s="6700">
        <v>76.39</v>
      </c>
      <c r="BY32" s="6700">
        <v>0</v>
      </c>
      <c r="BZ32" s="6700">
        <v>0</v>
      </c>
      <c r="CA32" s="6700">
        <v>82.67</v>
      </c>
      <c r="CB32" s="6737"/>
      <c r="CC32" s="6737"/>
      <c r="CD32" s="6703"/>
      <c r="CE32" s="6703"/>
      <c r="CF32" s="6700"/>
      <c r="CG32" s="6700"/>
      <c r="CH32" s="6700"/>
      <c r="CI32" s="6700"/>
      <c r="CJ32" s="7123"/>
      <c r="CK32" s="318">
        <v>85.29</v>
      </c>
      <c r="CL32" s="318">
        <v>5.2</v>
      </c>
      <c r="CM32" s="669">
        <v>91.201666666666654</v>
      </c>
      <c r="CN32" s="669">
        <v>89.765000000000001</v>
      </c>
    </row>
    <row r="33" spans="1:92" ht="23.25" customHeight="1">
      <c r="A33" s="7820"/>
      <c r="B33" s="2097" t="s">
        <v>438</v>
      </c>
      <c r="C33" s="2098" t="s">
        <v>441</v>
      </c>
      <c r="D33" s="2127">
        <f>'#1CCL'!F8</f>
        <v>78.11</v>
      </c>
      <c r="E33" s="2127">
        <f>'#1CCL'!G8</f>
        <v>78.27</v>
      </c>
      <c r="F33" s="2127">
        <f>'#1CCL'!H8</f>
        <v>79.456908293395784</v>
      </c>
      <c r="G33" s="2127">
        <f>'#1CCL'!I8</f>
        <v>83.23</v>
      </c>
      <c r="H33" s="2043">
        <v>84.853947953038173</v>
      </c>
      <c r="I33" s="3233">
        <f>'#1CCL'!K8</f>
        <v>85.941544812145807</v>
      </c>
      <c r="J33" s="3233">
        <f>'#1CCL'!L8</f>
        <v>86.855215790127033</v>
      </c>
      <c r="K33" s="4076">
        <f>'#1CCL'!M8</f>
        <v>89</v>
      </c>
      <c r="L33" s="4280">
        <f>K33</f>
        <v>89</v>
      </c>
      <c r="M33" s="4057">
        <f>'#1CCL'!O8</f>
        <v>83.977164605137972</v>
      </c>
      <c r="N33" s="4275">
        <f>'#1CCL'!P8</f>
        <v>85.948012232415905</v>
      </c>
      <c r="O33" s="4275">
        <f>'#1CCL'!Q8</f>
        <v>82.978966620941932</v>
      </c>
      <c r="P33" s="4275" t="e">
        <f>'#1CCL'!R8</f>
        <v>#DIV/0!</v>
      </c>
      <c r="Q33" s="4275" t="e">
        <f>'#1CCL'!S8</f>
        <v>#DIV/0!</v>
      </c>
      <c r="R33" s="4275" t="e">
        <f>'#1CCL'!T8</f>
        <v>#DIV/0!</v>
      </c>
      <c r="S33" s="4275" t="e">
        <f>'#1CCL'!U8</f>
        <v>#DIV/0!</v>
      </c>
      <c r="T33" s="4275" t="e">
        <f>'#1CCL'!V8</f>
        <v>#DIV/0!</v>
      </c>
      <c r="U33" s="4275" t="e">
        <f>'#1CCL'!W8</f>
        <v>#DIV/0!</v>
      </c>
      <c r="V33" s="3784" t="e">
        <f>'#1CCL'!X8</f>
        <v>#DIV/0!</v>
      </c>
      <c r="W33" s="4059" t="e">
        <f>'#1CCL'!Y8</f>
        <v>#DIV/0!</v>
      </c>
      <c r="X33" s="2743" t="e">
        <f>'#1CCL'!Z8</f>
        <v>#DIV/0!</v>
      </c>
      <c r="Y33" s="2184">
        <f>'#1CCL'!AA8</f>
        <v>84.246520556710919</v>
      </c>
      <c r="Z33" s="1860">
        <f>'#1CCL'!AB8</f>
        <v>-24536.363070506293</v>
      </c>
      <c r="AA33" s="2124">
        <f>'#1CCL'!AC8</f>
        <v>52.672469540865642</v>
      </c>
      <c r="AB33" s="2124">
        <f>'#1CCL'!AD8</f>
        <v>-25965.960000447692</v>
      </c>
      <c r="AC33" s="2124" t="e">
        <f>'#1CCL'!AE8</f>
        <v>#DIV/0!</v>
      </c>
      <c r="AD33" s="2124" t="e">
        <f>'#1CCL'!AF8</f>
        <v>#DIV/0!</v>
      </c>
      <c r="AE33" s="2124" t="e">
        <f>'#1CCL'!AG8</f>
        <v>#DIV/0!</v>
      </c>
      <c r="AF33" s="2124" t="e">
        <f>'#1CCL'!AH8</f>
        <v>#DIV/0!</v>
      </c>
      <c r="AG33" s="2124" t="e">
        <f>'#1CCL'!AI8</f>
        <v>#DIV/0!</v>
      </c>
      <c r="AH33" s="2124" t="e">
        <f>'#1CCL'!AJ8</f>
        <v>#DIV/0!</v>
      </c>
      <c r="AI33" s="2124" t="e">
        <f>'#1CCL'!AK8</f>
        <v>#DIV/0!</v>
      </c>
      <c r="AJ33" s="2124" t="e">
        <f>'#1CCL'!AL8</f>
        <v>#DIV/0!</v>
      </c>
      <c r="AK33" s="2124" t="e">
        <f>'#1CCL'!AM8</f>
        <v>#DIV/0!</v>
      </c>
      <c r="AL33" s="2124">
        <f>'#1CCL'!AN8</f>
        <v>235701.95743649753</v>
      </c>
      <c r="AM33" s="1599">
        <f t="shared" si="11"/>
        <v>-24483.690600965427</v>
      </c>
      <c r="AN33" s="4335">
        <f>AM33/AL33</f>
        <v>-0.1038756354306552</v>
      </c>
      <c r="AO33" s="1862"/>
      <c r="AR33" s="320"/>
      <c r="AS33" s="670"/>
      <c r="AT33" s="671"/>
      <c r="AU33" s="671"/>
      <c r="AV33" s="671"/>
      <c r="AW33" s="671"/>
      <c r="AY33" s="668" t="s">
        <v>632</v>
      </c>
      <c r="AZ33" s="320">
        <v>98.709193043687762</v>
      </c>
      <c r="BA33" s="321">
        <v>99.068155973510756</v>
      </c>
      <c r="BB33" s="321">
        <v>99.83</v>
      </c>
      <c r="BC33" s="669">
        <v>100.18118732416113</v>
      </c>
      <c r="BD33" s="669">
        <v>100.18258233928049</v>
      </c>
      <c r="BR33" s="7119" t="s">
        <v>909</v>
      </c>
      <c r="BS33" s="7120">
        <v>58.4</v>
      </c>
      <c r="BT33" s="7120">
        <v>68.290000000000006</v>
      </c>
      <c r="BU33" s="7120">
        <f>AVERAGE(BV9:BW9)</f>
        <v>64.534999999999997</v>
      </c>
      <c r="BV33" s="7120">
        <v>69.433333333333323</v>
      </c>
      <c r="BW33" s="7121">
        <v>74.790000000000006</v>
      </c>
      <c r="BX33" s="6700">
        <v>79.650000000000006</v>
      </c>
      <c r="BY33" s="6700">
        <v>79.09</v>
      </c>
      <c r="BZ33" s="6700">
        <v>83.65</v>
      </c>
      <c r="CA33" s="7120">
        <v>81.31</v>
      </c>
      <c r="CB33" s="6737"/>
      <c r="CC33" s="6737"/>
      <c r="CD33" s="6703"/>
      <c r="CE33" s="6703"/>
      <c r="CF33" s="6700"/>
      <c r="CG33" s="6700"/>
      <c r="CH33" s="6700"/>
      <c r="CI33" s="6700"/>
      <c r="CJ33" s="7123"/>
      <c r="CK33" s="318">
        <v>74.790000000000006</v>
      </c>
      <c r="CL33" s="318">
        <v>8.1</v>
      </c>
      <c r="CM33" s="669">
        <v>66.426666666666662</v>
      </c>
      <c r="CN33" s="669">
        <v>72.44</v>
      </c>
    </row>
    <row r="34" spans="1:92" ht="23.25" customHeight="1">
      <c r="A34" s="7820"/>
      <c r="B34" s="2097" t="s">
        <v>439</v>
      </c>
      <c r="C34" s="2098" t="s">
        <v>441</v>
      </c>
      <c r="D34" s="2127">
        <f>'#2CCL'!F8</f>
        <v>76.05</v>
      </c>
      <c r="E34" s="2127">
        <f>'#2CCL'!G8</f>
        <v>75.959999999999994</v>
      </c>
      <c r="F34" s="2127">
        <f>'#2CCL'!H8</f>
        <v>74.620228230313629</v>
      </c>
      <c r="G34" s="2127">
        <f>'#2CCL'!I8</f>
        <v>74.44</v>
      </c>
      <c r="H34" s="2043">
        <v>73.695129891999912</v>
      </c>
      <c r="I34" s="3233">
        <f>'#2CCL'!K8</f>
        <v>74.245931529902734</v>
      </c>
      <c r="J34" s="3233">
        <f>'#2CCL'!L8</f>
        <v>76.120492198532702</v>
      </c>
      <c r="K34" s="4076">
        <f>'#2CCL'!M8</f>
        <v>76.5</v>
      </c>
      <c r="L34" s="4280">
        <f>K34</f>
        <v>76.5</v>
      </c>
      <c r="M34" s="4057">
        <f>'#2CCL'!O8</f>
        <v>78.065348656018699</v>
      </c>
      <c r="N34" s="4275">
        <f>'#2CCL'!P8</f>
        <v>76.868421052631575</v>
      </c>
      <c r="O34" s="4275">
        <f>'#2CCL'!Q8</f>
        <v>80.003687230659324</v>
      </c>
      <c r="P34" s="4275" t="e">
        <f>'#2CCL'!R8</f>
        <v>#DIV/0!</v>
      </c>
      <c r="Q34" s="4275" t="e">
        <f>'#2CCL'!S8</f>
        <v>#DIV/0!</v>
      </c>
      <c r="R34" s="4275" t="e">
        <f>'#2CCL'!T8</f>
        <v>#DIV/0!</v>
      </c>
      <c r="S34" s="4275" t="e">
        <f>'#2CCL'!U8</f>
        <v>#DIV/0!</v>
      </c>
      <c r="T34" s="4275" t="e">
        <f>'#2CCL'!V8</f>
        <v>#DIV/0!</v>
      </c>
      <c r="U34" s="4275" t="e">
        <f>'#2CCL'!W8</f>
        <v>#DIV/0!</v>
      </c>
      <c r="V34" s="3784" t="e">
        <f>'#2CCL'!X8</f>
        <v>#DIV/0!</v>
      </c>
      <c r="W34" s="4059" t="e">
        <f>'#2CCL'!Y8</f>
        <v>#DIV/0!</v>
      </c>
      <c r="X34" s="2743" t="e">
        <f>'#2CCL'!Z8</f>
        <v>#DIV/0!</v>
      </c>
      <c r="Y34" s="2184">
        <f>'#2CCL'!AA8</f>
        <v>78.380761850324589</v>
      </c>
      <c r="Z34" s="1860">
        <f>'#2CCL'!AB8</f>
        <v>21242.540453111906</v>
      </c>
      <c r="AA34" s="2124">
        <f>'#2CCL'!AC8</f>
        <v>7558.1748410170412</v>
      </c>
      <c r="AB34" s="2124">
        <f>'#2CCL'!AD8</f>
        <v>44810.720738177777</v>
      </c>
      <c r="AC34" s="2124" t="e">
        <f>'#2CCL'!AE8</f>
        <v>#DIV/0!</v>
      </c>
      <c r="AD34" s="2124" t="e">
        <f>'#2CCL'!AF8</f>
        <v>#DIV/0!</v>
      </c>
      <c r="AE34" s="2124" t="e">
        <f>'#2CCL'!AG8</f>
        <v>#DIV/0!</v>
      </c>
      <c r="AF34" s="2124" t="e">
        <f>'#2CCL'!AH8</f>
        <v>#DIV/0!</v>
      </c>
      <c r="AG34" s="2124" t="e">
        <f>'#2CCL'!AI8</f>
        <v>#DIV/0!</v>
      </c>
      <c r="AH34" s="2124" t="e">
        <f>'#2CCL'!AJ8</f>
        <v>#DIV/0!</v>
      </c>
      <c r="AI34" s="2124" t="e">
        <f>'#2CCL'!AK8</f>
        <v>#DIV/0!</v>
      </c>
      <c r="AJ34" s="2124" t="e">
        <f>'#2CCL'!AL8</f>
        <v>#DIV/0!</v>
      </c>
      <c r="AK34" s="2124" t="e">
        <f>'#2CCL'!AM8</f>
        <v>#DIV/0!</v>
      </c>
      <c r="AL34" s="2124">
        <f>'#2CCL'!AN8</f>
        <v>45928.851072086029</v>
      </c>
      <c r="AM34" s="1599">
        <f t="shared" si="11"/>
        <v>28800.715294128946</v>
      </c>
      <c r="AN34" s="2125">
        <f>AM34/AL34</f>
        <v>0.62707240921236607</v>
      </c>
      <c r="AO34" s="1862"/>
      <c r="AR34" s="320"/>
      <c r="AS34" s="670"/>
      <c r="AT34" s="671"/>
      <c r="AU34" s="671"/>
      <c r="AV34" s="671"/>
      <c r="AW34" s="671"/>
      <c r="AY34" s="668" t="s">
        <v>633</v>
      </c>
      <c r="AZ34" s="320">
        <v>100.05369360660397</v>
      </c>
      <c r="BA34" s="321">
        <v>100.05700705029608</v>
      </c>
      <c r="BB34" s="321">
        <v>100.32</v>
      </c>
      <c r="BC34" s="669">
        <v>100.5338473118038</v>
      </c>
      <c r="BD34" s="669">
        <v>100.40908537375219</v>
      </c>
      <c r="BR34" s="7119" t="s">
        <v>910</v>
      </c>
      <c r="BS34" s="7120">
        <v>48.43</v>
      </c>
      <c r="BT34" s="7120">
        <v>66.31</v>
      </c>
      <c r="BU34" s="7120">
        <f>AVERAGE(BV10:BW10)</f>
        <v>52.67</v>
      </c>
      <c r="BV34" s="7120">
        <v>62.459166666666668</v>
      </c>
      <c r="BW34" s="7121">
        <v>64.38</v>
      </c>
      <c r="BX34" s="6700">
        <v>67.09</v>
      </c>
      <c r="BY34" s="6700">
        <v>71.83</v>
      </c>
      <c r="BZ34" s="6700">
        <v>72.45</v>
      </c>
      <c r="CA34" s="6700">
        <v>77.77</v>
      </c>
      <c r="CB34" s="6737"/>
      <c r="CC34" s="6737"/>
      <c r="CD34" s="6703"/>
      <c r="CE34" s="6703"/>
      <c r="CF34" s="6700"/>
      <c r="CG34" s="6700"/>
      <c r="CH34" s="6700"/>
      <c r="CI34" s="6700"/>
      <c r="CJ34" s="7123"/>
      <c r="CK34" s="318">
        <v>64.38</v>
      </c>
      <c r="CL34" s="318">
        <v>7.2</v>
      </c>
      <c r="CM34" s="669">
        <v>63.351666666666667</v>
      </c>
      <c r="CN34" s="669">
        <v>61.566666666666663</v>
      </c>
    </row>
    <row r="35" spans="1:92" ht="23.25" customHeight="1" thickBot="1">
      <c r="A35" s="7821"/>
      <c r="B35" s="2128" t="s">
        <v>444</v>
      </c>
      <c r="C35" s="2129" t="s">
        <v>441</v>
      </c>
      <c r="D35" s="2130">
        <v>87.892378590948482</v>
      </c>
      <c r="E35" s="2131">
        <f t="shared" ref="E35:O35" si="14">(E30+E31+E32+E33+E34)/5</f>
        <v>87.892378590948482</v>
      </c>
      <c r="F35" s="2131">
        <f t="shared" si="14"/>
        <v>88.201559627703745</v>
      </c>
      <c r="G35" s="2131">
        <f t="shared" si="14"/>
        <v>89.64</v>
      </c>
      <c r="H35" s="2131">
        <f t="shared" si="14"/>
        <v>90.190069856891256</v>
      </c>
      <c r="I35" s="2132">
        <f t="shared" si="14"/>
        <v>90.559734263340857</v>
      </c>
      <c r="J35" s="2132">
        <f t="shared" si="14"/>
        <v>91.211936088848205</v>
      </c>
      <c r="K35" s="1837">
        <f t="shared" si="14"/>
        <v>92.022000000000006</v>
      </c>
      <c r="L35" s="2133">
        <f t="shared" si="14"/>
        <v>92.022000000000006</v>
      </c>
      <c r="M35" s="4152">
        <f t="shared" si="14"/>
        <v>32.408502652231334</v>
      </c>
      <c r="N35" s="4546">
        <f t="shared" si="14"/>
        <v>32.563286657009499</v>
      </c>
      <c r="O35" s="4546">
        <f t="shared" si="14"/>
        <v>91.312554633976191</v>
      </c>
      <c r="P35" s="4546" t="e">
        <f t="shared" ref="P35:Y35" si="15">(P30+P31+P32+P33+P34)/5</f>
        <v>#DIV/0!</v>
      </c>
      <c r="Q35" s="4546" t="e">
        <f t="shared" si="15"/>
        <v>#DIV/0!</v>
      </c>
      <c r="R35" s="2132" t="e">
        <f t="shared" si="15"/>
        <v>#DIV/0!</v>
      </c>
      <c r="S35" s="4546" t="e">
        <f t="shared" si="15"/>
        <v>#DIV/0!</v>
      </c>
      <c r="T35" s="4546" t="e">
        <f t="shared" si="15"/>
        <v>#DIV/0!</v>
      </c>
      <c r="U35" s="4546" t="e">
        <f t="shared" si="15"/>
        <v>#DIV/0!</v>
      </c>
      <c r="V35" s="2131" t="e">
        <f t="shared" si="15"/>
        <v>#DIV/0!</v>
      </c>
      <c r="W35" s="4060" t="e">
        <f t="shared" si="15"/>
        <v>#DIV/0!</v>
      </c>
      <c r="X35" s="2131" t="e">
        <f t="shared" si="15"/>
        <v>#DIV/0!</v>
      </c>
      <c r="Y35" s="2131">
        <f t="shared" si="15"/>
        <v>91.241480345063039</v>
      </c>
      <c r="Z35" s="2134">
        <f>SUM(Z30:Z34)</f>
        <v>-3293.8226173943876</v>
      </c>
      <c r="AA35" s="2135">
        <f t="shared" ref="AA35:AK35" si="16">SUM(AA30:AA34)</f>
        <v>7610.8473105579069</v>
      </c>
      <c r="AB35" s="2135">
        <f t="shared" si="16"/>
        <v>14453.293175760089</v>
      </c>
      <c r="AC35" s="2135" t="e">
        <f t="shared" si="16"/>
        <v>#DIV/0!</v>
      </c>
      <c r="AD35" s="2135" t="e">
        <f t="shared" si="16"/>
        <v>#DIV/0!</v>
      </c>
      <c r="AE35" s="2135" t="e">
        <f t="shared" si="16"/>
        <v>#DIV/0!</v>
      </c>
      <c r="AF35" s="2135" t="e">
        <f t="shared" si="16"/>
        <v>#DIV/0!</v>
      </c>
      <c r="AG35" s="2135" t="e">
        <f t="shared" si="16"/>
        <v>#DIV/0!</v>
      </c>
      <c r="AH35" s="2135" t="e">
        <f t="shared" si="16"/>
        <v>#DIV/0!</v>
      </c>
      <c r="AI35" s="2135" t="e">
        <f t="shared" si="16"/>
        <v>#DIV/0!</v>
      </c>
      <c r="AJ35" s="2135" t="e">
        <f t="shared" si="16"/>
        <v>#DIV/0!</v>
      </c>
      <c r="AK35" s="2135" t="e">
        <f t="shared" si="16"/>
        <v>#DIV/0!</v>
      </c>
      <c r="AL35" s="2136">
        <f>SUM(AL30:AL34)</f>
        <v>387040.81189968705</v>
      </c>
      <c r="AM35" s="2136">
        <f>SUM(AM30:AM34)</f>
        <v>4317.0246931635193</v>
      </c>
      <c r="AN35" s="2931">
        <f>AM35/AL35</f>
        <v>1.1153926305534937E-2</v>
      </c>
      <c r="AO35" s="2137"/>
      <c r="AR35" s="320"/>
      <c r="AS35" s="670"/>
      <c r="AT35" s="671"/>
      <c r="AU35" s="671"/>
      <c r="AV35" s="671"/>
      <c r="AW35" s="671"/>
      <c r="AY35" s="668" t="s">
        <v>634</v>
      </c>
      <c r="AZ35" s="320">
        <v>99.993385966617737</v>
      </c>
      <c r="BA35" s="321">
        <v>99.508318971028757</v>
      </c>
      <c r="BB35" s="321">
        <v>99.83</v>
      </c>
      <c r="BC35" s="669">
        <v>100.34514607442676</v>
      </c>
      <c r="BD35" s="669">
        <v>100.38300232567896</v>
      </c>
      <c r="BR35" s="2143" t="s">
        <v>911</v>
      </c>
      <c r="BS35" s="2140">
        <f>AVERAGE(BS30:BS34)</f>
        <v>66.876000000000005</v>
      </c>
      <c r="BT35" s="2140">
        <f>AVERAGE(BT30:BT34)</f>
        <v>75.628000000000014</v>
      </c>
      <c r="BU35" s="2141">
        <f>AVERAGE(BU30:BU34)</f>
        <v>70.760000000000005</v>
      </c>
      <c r="BV35" s="2140">
        <v>72.735500000000002</v>
      </c>
      <c r="BW35" s="2867">
        <v>70.770200617283948</v>
      </c>
      <c r="BX35" s="2140">
        <f>(BX30+BX31+BX32+BX33+BX34)/5</f>
        <v>67.492000000000004</v>
      </c>
      <c r="BY35" s="2140">
        <f>(BY33+BY34)/2</f>
        <v>75.460000000000008</v>
      </c>
      <c r="BZ35" s="2140">
        <f>(BZ33+BZ34)/2</f>
        <v>78.050000000000011</v>
      </c>
      <c r="CA35" s="2140">
        <f>(CA30+CA31+CA32+CA33+CA34)/5</f>
        <v>73.61999999999999</v>
      </c>
      <c r="CB35" s="2140"/>
      <c r="CC35" s="2142"/>
      <c r="CD35" s="2142"/>
      <c r="CE35" s="2142"/>
      <c r="CF35" s="2142"/>
      <c r="CG35" s="2142"/>
      <c r="CH35" s="2142"/>
      <c r="CI35" s="2142"/>
      <c r="CJ35" s="2282"/>
      <c r="CK35" s="669">
        <f>AVERAGE(BY35:CJ35)</f>
        <v>75.709999999999994</v>
      </c>
      <c r="CL35" s="318">
        <v>7.4799999999999995</v>
      </c>
      <c r="CM35" s="669">
        <v>73.73033333333332</v>
      </c>
      <c r="CN35" s="669">
        <v>71.740666666666669</v>
      </c>
    </row>
    <row r="36" spans="1:92" ht="20.25" customHeight="1" thickBot="1">
      <c r="A36" s="292" t="s">
        <v>455</v>
      </c>
      <c r="B36" s="312"/>
      <c r="C36" s="313"/>
      <c r="D36" s="826"/>
      <c r="E36" s="314"/>
      <c r="F36" s="314"/>
      <c r="G36" s="314"/>
      <c r="H36" s="314"/>
      <c r="I36" s="314"/>
      <c r="J36" s="314"/>
      <c r="K36" s="314"/>
      <c r="L36" s="314"/>
      <c r="M36" s="724"/>
      <c r="N36" s="724"/>
      <c r="O36" s="724"/>
      <c r="P36" s="724"/>
      <c r="Q36" s="724"/>
      <c r="R36" s="724"/>
      <c r="S36" s="724"/>
      <c r="T36" s="724"/>
      <c r="U36" s="724"/>
      <c r="V36" s="724"/>
      <c r="W36" s="724"/>
      <c r="X36" s="724"/>
      <c r="Y36" s="724"/>
      <c r="Z36" s="725"/>
      <c r="AA36" s="725"/>
      <c r="AB36" s="725"/>
      <c r="AC36" s="725"/>
      <c r="AD36" s="725"/>
      <c r="AE36" s="725"/>
      <c r="AF36" s="725"/>
      <c r="AG36" s="725"/>
      <c r="AH36" s="725"/>
      <c r="AI36" s="725"/>
      <c r="AJ36" s="725"/>
      <c r="AK36" s="725"/>
      <c r="AL36" s="725"/>
      <c r="AM36" s="725"/>
      <c r="AN36" s="726"/>
      <c r="AO36" s="726"/>
      <c r="AR36" s="320"/>
      <c r="AS36" s="670"/>
      <c r="AT36" s="671"/>
      <c r="AU36" s="671"/>
      <c r="AV36" s="671"/>
      <c r="AW36" s="671"/>
      <c r="BV36" s="801" t="s">
        <v>915</v>
      </c>
    </row>
    <row r="37" spans="1:92" ht="20.25" customHeight="1" thickBot="1">
      <c r="A37" s="7980" t="s">
        <v>248</v>
      </c>
      <c r="B37" s="7975" t="s">
        <v>249</v>
      </c>
      <c r="C37" s="7975" t="s">
        <v>250</v>
      </c>
      <c r="D37" s="8006" t="s">
        <v>730</v>
      </c>
      <c r="E37" s="7955" t="s">
        <v>440</v>
      </c>
      <c r="F37" s="7955" t="s">
        <v>543</v>
      </c>
      <c r="G37" s="7955" t="s">
        <v>718</v>
      </c>
      <c r="H37" s="7955" t="s">
        <v>979</v>
      </c>
      <c r="I37" s="7950" t="s">
        <v>1245</v>
      </c>
      <c r="J37" s="7950" t="s">
        <v>1889</v>
      </c>
      <c r="K37" s="7952" t="s">
        <v>1958</v>
      </c>
      <c r="L37" s="7983" t="s">
        <v>895</v>
      </c>
      <c r="M37" s="7954" t="s">
        <v>1923</v>
      </c>
      <c r="N37" s="7954"/>
      <c r="O37" s="7954"/>
      <c r="P37" s="7954"/>
      <c r="Q37" s="7954"/>
      <c r="R37" s="7954"/>
      <c r="S37" s="7954"/>
      <c r="T37" s="7954"/>
      <c r="U37" s="7954"/>
      <c r="V37" s="7954"/>
      <c r="W37" s="7954"/>
      <c r="X37" s="7954"/>
      <c r="Y37" s="7954"/>
      <c r="Z37" s="7954"/>
      <c r="AA37" s="7954"/>
      <c r="AB37" s="2762"/>
      <c r="AC37" s="2762"/>
      <c r="AD37" s="2762"/>
      <c r="AE37" s="2762"/>
      <c r="AF37" s="2762"/>
      <c r="AG37" s="2762"/>
      <c r="AH37" s="2762"/>
      <c r="AI37" s="2762"/>
      <c r="AJ37" s="2762"/>
      <c r="AK37" s="2763"/>
      <c r="AL37" s="7955" t="s">
        <v>1296</v>
      </c>
      <c r="AM37" s="7844" t="s">
        <v>1136</v>
      </c>
      <c r="AN37" s="7955" t="s">
        <v>361</v>
      </c>
      <c r="AO37" s="7968" t="s">
        <v>624</v>
      </c>
      <c r="AP37" s="1606"/>
      <c r="AR37" s="320"/>
      <c r="AY37" s="1233" t="s">
        <v>947</v>
      </c>
      <c r="AZ37" s="679" t="s">
        <v>666</v>
      </c>
      <c r="BA37" s="318" t="s">
        <v>524</v>
      </c>
      <c r="BB37" s="679" t="s">
        <v>875</v>
      </c>
      <c r="BC37" s="679" t="s">
        <v>876</v>
      </c>
      <c r="BD37" s="679" t="s">
        <v>7</v>
      </c>
      <c r="BV37" s="801" t="s">
        <v>916</v>
      </c>
      <c r="BX37" s="1260">
        <v>12.7</v>
      </c>
      <c r="BY37" s="1260"/>
      <c r="BZ37" s="1260"/>
      <c r="CA37" s="1261"/>
      <c r="CB37" s="1261"/>
      <c r="CC37" s="1275"/>
      <c r="CD37" s="1261"/>
      <c r="CE37" s="2057"/>
      <c r="CG37" s="669"/>
      <c r="CJ37" s="318">
        <v>58.75457561728394</v>
      </c>
    </row>
    <row r="38" spans="1:92" ht="20.25" customHeight="1" thickBot="1">
      <c r="A38" s="7953"/>
      <c r="B38" s="7976"/>
      <c r="C38" s="7976"/>
      <c r="D38" s="8007"/>
      <c r="E38" s="7956"/>
      <c r="F38" s="7956"/>
      <c r="G38" s="7956"/>
      <c r="H38" s="7956"/>
      <c r="I38" s="7951"/>
      <c r="J38" s="7951"/>
      <c r="K38" s="7953"/>
      <c r="L38" s="7984"/>
      <c r="M38" s="3862" t="s">
        <v>396</v>
      </c>
      <c r="N38" s="4510" t="s">
        <v>368</v>
      </c>
      <c r="O38" s="4510" t="s">
        <v>369</v>
      </c>
      <c r="P38" s="4510" t="s">
        <v>370</v>
      </c>
      <c r="Q38" s="4510" t="s">
        <v>371</v>
      </c>
      <c r="R38" s="4510" t="s">
        <v>372</v>
      </c>
      <c r="S38" s="4510" t="s">
        <v>373</v>
      </c>
      <c r="T38" s="4510" t="s">
        <v>374</v>
      </c>
      <c r="U38" s="4510" t="s">
        <v>375</v>
      </c>
      <c r="V38" s="3236" t="s">
        <v>376</v>
      </c>
      <c r="W38" s="5509" t="s">
        <v>377</v>
      </c>
      <c r="X38" s="1591" t="s">
        <v>378</v>
      </c>
      <c r="Y38" s="1591" t="s">
        <v>975</v>
      </c>
      <c r="Z38" s="4463" t="s">
        <v>367</v>
      </c>
      <c r="AA38" s="4463" t="s">
        <v>379</v>
      </c>
      <c r="AB38" s="2766" t="s">
        <v>380</v>
      </c>
      <c r="AC38" s="2766" t="s">
        <v>381</v>
      </c>
      <c r="AD38" s="2766" t="s">
        <v>382</v>
      </c>
      <c r="AE38" s="2766" t="s">
        <v>383</v>
      </c>
      <c r="AF38" s="2766" t="s">
        <v>384</v>
      </c>
      <c r="AG38" s="2766" t="s">
        <v>385</v>
      </c>
      <c r="AH38" s="2766" t="s">
        <v>386</v>
      </c>
      <c r="AI38" s="2766" t="s">
        <v>387</v>
      </c>
      <c r="AJ38" s="2766" t="s">
        <v>388</v>
      </c>
      <c r="AK38" s="2766" t="s">
        <v>389</v>
      </c>
      <c r="AL38" s="7956"/>
      <c r="AM38" s="7958"/>
      <c r="AN38" s="7957"/>
      <c r="AO38" s="7969"/>
      <c r="AY38" s="667" t="s">
        <v>635</v>
      </c>
      <c r="AZ38" s="320">
        <f t="shared" ref="AZ38:AZ43" si="17">AVERAGE(D30:F30)</f>
        <v>97.620558109837305</v>
      </c>
      <c r="BA38" s="669">
        <v>98.981776241251467</v>
      </c>
      <c r="BB38" s="320">
        <v>98.588235294117638</v>
      </c>
      <c r="BC38" s="320">
        <v>98.881210924646268</v>
      </c>
      <c r="BV38" s="801" t="s">
        <v>917</v>
      </c>
      <c r="BX38" s="1260">
        <v>9.1</v>
      </c>
      <c r="BY38" s="1260"/>
      <c r="BZ38" s="1260"/>
      <c r="CA38" s="1261"/>
      <c r="CB38" s="1261"/>
      <c r="CC38" s="1275"/>
      <c r="CD38" s="1261"/>
      <c r="CE38" s="2057"/>
      <c r="CG38" s="669"/>
      <c r="CJ38" s="318">
        <v>70.736288580246921</v>
      </c>
    </row>
    <row r="39" spans="1:92" ht="20.25" hidden="1" customHeight="1">
      <c r="A39" s="2756" t="s">
        <v>1143</v>
      </c>
      <c r="B39" s="2755" t="s">
        <v>492</v>
      </c>
      <c r="C39" s="2755" t="s">
        <v>493</v>
      </c>
      <c r="D39" s="1171"/>
      <c r="E39" s="1172">
        <v>66.931939976537919</v>
      </c>
      <c r="F39" s="1172">
        <v>63.39</v>
      </c>
      <c r="G39" s="1172">
        <v>55.246072779834911</v>
      </c>
      <c r="H39" s="1660"/>
      <c r="I39" s="1660"/>
      <c r="J39" s="1660"/>
      <c r="K39" s="1833">
        <v>53</v>
      </c>
      <c r="L39" s="4265"/>
      <c r="M39" s="1947">
        <v>38.479381803445911</v>
      </c>
      <c r="N39" s="1173">
        <v>52.343756391843129</v>
      </c>
      <c r="O39" s="1173">
        <v>53.001918655493554</v>
      </c>
      <c r="P39" s="1173">
        <v>48.4753182322182</v>
      </c>
      <c r="Q39" s="1173">
        <v>49.96241025774583</v>
      </c>
      <c r="R39" s="1173">
        <v>45.965299750333244</v>
      </c>
      <c r="S39" s="1173">
        <v>47.357133855279564</v>
      </c>
      <c r="T39" s="1173">
        <v>37.716535401506235</v>
      </c>
      <c r="U39" s="1173"/>
      <c r="V39" s="7606"/>
      <c r="W39" s="1665"/>
      <c r="X39" s="2745"/>
      <c r="Y39" s="1665"/>
      <c r="Z39" s="1415"/>
      <c r="AA39" s="1174"/>
      <c r="AB39" s="1174"/>
      <c r="AC39" s="1174"/>
      <c r="AD39" s="1174"/>
      <c r="AE39" s="1175"/>
      <c r="AF39" s="1175"/>
      <c r="AG39" s="1175"/>
      <c r="AH39" s="1175"/>
      <c r="AI39" s="1175"/>
      <c r="AJ39" s="1175"/>
      <c r="AK39" s="1175"/>
      <c r="AL39" s="1175"/>
      <c r="AM39" s="1175"/>
      <c r="AN39" s="1176"/>
      <c r="AO39" s="1177"/>
      <c r="AY39" s="668" t="s">
        <v>636</v>
      </c>
      <c r="AZ39" s="320">
        <f t="shared" si="17"/>
        <v>90.778981114983949</v>
      </c>
      <c r="BA39" s="669">
        <v>92.73954186744885</v>
      </c>
      <c r="BB39" s="320">
        <v>93.393640350877192</v>
      </c>
      <c r="BC39" s="320">
        <v>93.38783361384948</v>
      </c>
      <c r="BV39" s="801" t="s">
        <v>918</v>
      </c>
      <c r="BX39" s="1260">
        <v>5</v>
      </c>
      <c r="BY39" s="1260"/>
      <c r="BZ39" s="1260"/>
      <c r="CA39" s="1261"/>
      <c r="CB39" s="1261"/>
      <c r="CC39" s="1275"/>
      <c r="CD39" s="1261"/>
      <c r="CE39" s="2057"/>
      <c r="CG39" s="669"/>
      <c r="CJ39" s="318">
        <v>85.257600308641955</v>
      </c>
    </row>
    <row r="40" spans="1:92" ht="20.25" customHeight="1">
      <c r="A40" s="7799" t="s">
        <v>1314</v>
      </c>
      <c r="B40" s="1858" t="s">
        <v>437</v>
      </c>
      <c r="C40" s="1859" t="s">
        <v>447</v>
      </c>
      <c r="D40" s="1824">
        <f>CPL!F17</f>
        <v>19.265187819518658</v>
      </c>
      <c r="E40" s="1824">
        <f>CPL!G17</f>
        <v>20.282416117193858</v>
      </c>
      <c r="F40" s="1824">
        <f>CPL!H17</f>
        <v>18.464997227375001</v>
      </c>
      <c r="G40" s="1824">
        <f>CPL!I17</f>
        <v>19.12</v>
      </c>
      <c r="H40" s="1824">
        <f>CPL!J17</f>
        <v>17.968299139968313</v>
      </c>
      <c r="I40" s="3861">
        <f>CPL!K17</f>
        <v>19.001744698885588</v>
      </c>
      <c r="J40" s="3861">
        <f>CPL!L17</f>
        <v>16.873309459490812</v>
      </c>
      <c r="K40" s="3830">
        <f>CPL!M17</f>
        <v>15.619575516794493</v>
      </c>
      <c r="L40" s="3286">
        <f>K40</f>
        <v>15.619575516794493</v>
      </c>
      <c r="M40" s="7373"/>
      <c r="N40" s="7374"/>
      <c r="O40" s="4274">
        <f>CPL!Q17</f>
        <v>15.181211596498022</v>
      </c>
      <c r="P40" s="4274" t="e">
        <f>CPL!R17</f>
        <v>#DIV/0!</v>
      </c>
      <c r="Q40" s="4274" t="e">
        <f>CPL!S17</f>
        <v>#DIV/0!</v>
      </c>
      <c r="R40" s="4274" t="e">
        <f>CPL!T17</f>
        <v>#DIV/0!</v>
      </c>
      <c r="S40" s="4274" t="e">
        <f>CPL!U17</f>
        <v>#DIV/0!</v>
      </c>
      <c r="T40" s="4274" t="e">
        <f>CPL!V17</f>
        <v>#DIV/0!</v>
      </c>
      <c r="U40" s="4274" t="e">
        <f>CPL!W17</f>
        <v>#DIV/0!</v>
      </c>
      <c r="V40" s="7604" t="e">
        <f>CPL!X17</f>
        <v>#DIV/0!</v>
      </c>
      <c r="W40" s="5527" t="e">
        <f>CPL!Y17</f>
        <v>#DIV/0!</v>
      </c>
      <c r="X40" s="2742" t="e">
        <f>CPL!Z17</f>
        <v>#DIV/0!</v>
      </c>
      <c r="Y40" s="2182">
        <f>CPL!AA17</f>
        <v>16.677833321006506</v>
      </c>
      <c r="Z40" s="2029"/>
      <c r="AA40" s="2026"/>
      <c r="AB40" s="1599">
        <f>CPL!AD17</f>
        <v>22658.944267988671</v>
      </c>
      <c r="AC40" s="1599" t="e">
        <f>CPL!AE17</f>
        <v>#DIV/0!</v>
      </c>
      <c r="AD40" s="1599" t="e">
        <f>CPL!AF17</f>
        <v>#DIV/0!</v>
      </c>
      <c r="AE40" s="1599" t="e">
        <f>CPL!AG17</f>
        <v>#DIV/0!</v>
      </c>
      <c r="AF40" s="1599" t="e">
        <f>CPL!AH17</f>
        <v>#DIV/0!</v>
      </c>
      <c r="AG40" s="1599" t="e">
        <f>CPL!AI17</f>
        <v>#DIV/0!</v>
      </c>
      <c r="AH40" s="1599" t="e">
        <f>CPL!AJ17</f>
        <v>#DIV/0!</v>
      </c>
      <c r="AI40" s="1599" t="e">
        <f>CPL!AK17</f>
        <v>#DIV/0!</v>
      </c>
      <c r="AJ40" s="1599" t="e">
        <f>CPL!AL17</f>
        <v>#DIV/0!</v>
      </c>
      <c r="AK40" s="1599" t="e">
        <f>CPL!AM17</f>
        <v>#DIV/0!</v>
      </c>
      <c r="AL40" s="1599">
        <f>CPL!AN17</f>
        <v>171900.9023737229</v>
      </c>
      <c r="AM40" s="1599">
        <f>Z40+AA40</f>
        <v>0</v>
      </c>
      <c r="AN40" s="1861">
        <f t="shared" ref="AN40:AN45" si="18">AM40/AL40</f>
        <v>0</v>
      </c>
      <c r="AO40" s="1862"/>
      <c r="AY40" s="668" t="s">
        <v>637</v>
      </c>
      <c r="AZ40" s="320">
        <f t="shared" si="17"/>
        <v>97.478609949943447</v>
      </c>
      <c r="BA40" s="669">
        <v>98.809902208058659</v>
      </c>
      <c r="BB40" s="320">
        <v>99.623072529982863</v>
      </c>
      <c r="BC40" s="320">
        <v>98.870844963207304</v>
      </c>
      <c r="BV40" s="801" t="s">
        <v>919</v>
      </c>
      <c r="BX40" s="1260">
        <v>3.2</v>
      </c>
      <c r="BY40" s="1260"/>
      <c r="BZ40" s="1260"/>
      <c r="CA40" s="1261"/>
      <c r="CB40" s="1261"/>
      <c r="CC40" s="1275"/>
      <c r="CD40" s="1261"/>
      <c r="CE40" s="2057"/>
      <c r="CG40" s="669"/>
      <c r="CJ40" s="318">
        <v>74.776072530864198</v>
      </c>
    </row>
    <row r="41" spans="1:92" ht="20.25" customHeight="1">
      <c r="A41" s="7799"/>
      <c r="B41" s="1858" t="s">
        <v>237</v>
      </c>
      <c r="C41" s="1859" t="s">
        <v>447</v>
      </c>
      <c r="D41" s="1824">
        <f>CRM!F20</f>
        <v>27.733575387203118</v>
      </c>
      <c r="E41" s="1824">
        <f>CRM!G20</f>
        <v>27.953627734723693</v>
      </c>
      <c r="F41" s="1824">
        <f>CRM!H20</f>
        <v>26.702169609769701</v>
      </c>
      <c r="G41" s="1824">
        <f>CRM!I20</f>
        <v>21.666749896835039</v>
      </c>
      <c r="H41" s="1824">
        <f>CRM!J20</f>
        <v>17.60086045663245</v>
      </c>
      <c r="I41" s="3861">
        <f>CRM!K20</f>
        <v>18.256128382076991</v>
      </c>
      <c r="J41" s="3861">
        <f>CRM!L20</f>
        <v>17.68474531978584</v>
      </c>
      <c r="K41" s="3830">
        <f>CRM!M20</f>
        <v>16.294859359844811</v>
      </c>
      <c r="L41" s="3286">
        <f>CRM!N20</f>
        <v>16.294859359844811</v>
      </c>
      <c r="M41" s="7374"/>
      <c r="N41" s="7374"/>
      <c r="O41" s="4274">
        <f>CRM!Q20</f>
        <v>14.897975109977843</v>
      </c>
      <c r="P41" s="4274" t="e">
        <f>CRM!R20</f>
        <v>#DIV/0!</v>
      </c>
      <c r="Q41" s="4274" t="e">
        <f>CRM!S20</f>
        <v>#DIV/0!</v>
      </c>
      <c r="R41" s="4274" t="e">
        <f>CRM!T20</f>
        <v>#DIV/0!</v>
      </c>
      <c r="S41" s="4274" t="e">
        <f>CRM!U20</f>
        <v>#DIV/0!</v>
      </c>
      <c r="T41" s="4274" t="e">
        <f>CRM!V20</f>
        <v>#DIV/0!</v>
      </c>
      <c r="U41" s="4274" t="e">
        <f>CRM!W20</f>
        <v>#DIV/0!</v>
      </c>
      <c r="V41" s="7604" t="e">
        <f>CRM!X20</f>
        <v>#DIV/0!</v>
      </c>
      <c r="W41" s="5527" t="e">
        <f>CRM!Y20</f>
        <v>#DIV/0!</v>
      </c>
      <c r="X41" s="1824" t="e">
        <f>CRM!Z20</f>
        <v>#DIV/0!</v>
      </c>
      <c r="Y41" s="2185">
        <f>CRM!AA20</f>
        <v>15.611724072016745</v>
      </c>
      <c r="Z41" s="2029"/>
      <c r="AA41" s="2029"/>
      <c r="AB41" s="1860">
        <f>CRM!AD20</f>
        <v>30924.843343287008</v>
      </c>
      <c r="AC41" s="1860" t="e">
        <f>CRM!AE20</f>
        <v>#DIV/0!</v>
      </c>
      <c r="AD41" s="1860" t="e">
        <f>CRM!AF20</f>
        <v>#DIV/0!</v>
      </c>
      <c r="AE41" s="1860" t="e">
        <f>CRM!AG20</f>
        <v>#DIV/0!</v>
      </c>
      <c r="AF41" s="1860" t="e">
        <f>CRM!AH20</f>
        <v>#DIV/0!</v>
      </c>
      <c r="AG41" s="1860" t="e">
        <f>CRM!AI20</f>
        <v>#DIV/0!</v>
      </c>
      <c r="AH41" s="1860" t="e">
        <f>CRM!AJ20</f>
        <v>#DIV/0!</v>
      </c>
      <c r="AI41" s="1860" t="e">
        <f>CRM!AK20</f>
        <v>#DIV/0!</v>
      </c>
      <c r="AJ41" s="1860" t="e">
        <f>CRM!AL20</f>
        <v>#DIV/0!</v>
      </c>
      <c r="AK41" s="1860" t="e">
        <f>CRM!AM20</f>
        <v>#DIV/0!</v>
      </c>
      <c r="AL41" s="1860">
        <f>CRM!AN20</f>
        <v>180882.99145128892</v>
      </c>
      <c r="AM41" s="1599">
        <f>Z41+AA41</f>
        <v>0</v>
      </c>
      <c r="AN41" s="4548">
        <f t="shared" si="18"/>
        <v>0</v>
      </c>
      <c r="AO41" s="1862"/>
      <c r="AT41" s="321"/>
      <c r="AU41" s="321"/>
      <c r="AV41" s="321"/>
      <c r="AY41" s="668" t="s">
        <v>638</v>
      </c>
      <c r="AZ41" s="320">
        <f t="shared" si="17"/>
        <v>78.612302764465255</v>
      </c>
      <c r="BA41" s="669">
        <v>83.22846055604677</v>
      </c>
      <c r="BB41" s="320">
        <v>82.255520504731862</v>
      </c>
      <c r="BC41" s="320">
        <v>83.912795668281561</v>
      </c>
      <c r="BV41" s="801" t="s">
        <v>920</v>
      </c>
      <c r="BX41" s="1260">
        <v>2.5</v>
      </c>
      <c r="BY41" s="1260"/>
      <c r="BZ41" s="1260"/>
      <c r="CA41" s="1261"/>
      <c r="CB41" s="1261"/>
      <c r="CC41" s="1275"/>
      <c r="CD41" s="1261"/>
      <c r="CE41" s="2057"/>
      <c r="CG41" s="669"/>
      <c r="CJ41" s="318">
        <v>64.326466049382717</v>
      </c>
    </row>
    <row r="42" spans="1:92" ht="20.25" customHeight="1">
      <c r="A42" s="7799"/>
      <c r="B42" s="1858" t="s">
        <v>43</v>
      </c>
      <c r="C42" s="1859" t="s">
        <v>447</v>
      </c>
      <c r="D42" s="1824">
        <f>CGL!F17</f>
        <v>9.7349101727806246</v>
      </c>
      <c r="E42" s="1824">
        <f>CGL!G17</f>
        <v>6.4771566086479542</v>
      </c>
      <c r="F42" s="1824">
        <f>CGL!H17</f>
        <v>7.8398021662919328</v>
      </c>
      <c r="G42" s="1824">
        <f>CGL!I17</f>
        <v>4.180863585183106</v>
      </c>
      <c r="H42" s="1824">
        <f>CGL!J17</f>
        <v>3.926398110812273</v>
      </c>
      <c r="I42" s="3861">
        <f>CGL!K17</f>
        <v>3.3374206712577461</v>
      </c>
      <c r="J42" s="3861">
        <f>CGL!L17</f>
        <v>2.5571864099554058</v>
      </c>
      <c r="K42" s="3830">
        <f>CGL!M17</f>
        <v>1.9105424158770425</v>
      </c>
      <c r="L42" s="3286">
        <f>K42</f>
        <v>1.9105424158770425</v>
      </c>
      <c r="M42" s="7374"/>
      <c r="N42" s="7374"/>
      <c r="O42" s="4274">
        <f>CGL!Q17</f>
        <v>7.1654103792137489</v>
      </c>
      <c r="P42" s="4274" t="e">
        <f>CGL!R17</f>
        <v>#DIV/0!</v>
      </c>
      <c r="Q42" s="4274" t="e">
        <f>CGL!S17</f>
        <v>#DIV/0!</v>
      </c>
      <c r="R42" s="4274" t="e">
        <f>CGL!T17</f>
        <v>#DIV/0!</v>
      </c>
      <c r="S42" s="4274" t="e">
        <f>CGL!U17</f>
        <v>#DIV/0!</v>
      </c>
      <c r="T42" s="4274" t="e">
        <f>CGL!V17</f>
        <v>#DIV/0!</v>
      </c>
      <c r="U42" s="4274" t="e">
        <f>CGL!W17</f>
        <v>#DIV/0!</v>
      </c>
      <c r="V42" s="7604" t="e">
        <f>CGL!X17</f>
        <v>#DIV/0!</v>
      </c>
      <c r="W42" s="5527" t="e">
        <f>CGL!Y17</f>
        <v>#DIV/0!</v>
      </c>
      <c r="X42" s="2742" t="e">
        <f>CGL!Z17</f>
        <v>#DIV/0!</v>
      </c>
      <c r="Y42" s="2182">
        <f>CGL!AA17</f>
        <v>7.3316612000771757</v>
      </c>
      <c r="Z42" s="2029"/>
      <c r="AA42" s="2026"/>
      <c r="AB42" s="1599">
        <f>CGL!AD17</f>
        <v>-238642.04612984607</v>
      </c>
      <c r="AC42" s="1599" t="e">
        <f>CGL!AE17</f>
        <v>#DIV/0!</v>
      </c>
      <c r="AD42" s="1599" t="e">
        <f>CGL!AF17</f>
        <v>#DIV/0!</v>
      </c>
      <c r="AE42" s="1599" t="e">
        <f>CGL!AG17</f>
        <v>#DIV/0!</v>
      </c>
      <c r="AF42" s="1599" t="e">
        <f>CGL!AH17</f>
        <v>#DIV/0!</v>
      </c>
      <c r="AG42" s="1599" t="e">
        <f>CGL!AI17</f>
        <v>#DIV/0!</v>
      </c>
      <c r="AH42" s="1599" t="e">
        <f>CGL!AJ17</f>
        <v>#DIV/0!</v>
      </c>
      <c r="AI42" s="1599" t="e">
        <f>CGL!AK17</f>
        <v>#DIV/0!</v>
      </c>
      <c r="AJ42" s="1599" t="e">
        <f>CGL!AL17</f>
        <v>#DIV/0!</v>
      </c>
      <c r="AK42" s="1599" t="e">
        <f>CGL!AM17</f>
        <v>#DIV/0!</v>
      </c>
      <c r="AL42" s="1599">
        <f>CGL!AN17</f>
        <v>84155.753366892503</v>
      </c>
      <c r="AM42" s="1599">
        <f>Z42+AA42</f>
        <v>0</v>
      </c>
      <c r="AN42" s="1861">
        <f t="shared" si="18"/>
        <v>0</v>
      </c>
      <c r="AO42" s="1863"/>
      <c r="AY42" s="668" t="s">
        <v>639</v>
      </c>
      <c r="AZ42" s="320">
        <f t="shared" si="17"/>
        <v>75.54340941010453</v>
      </c>
      <c r="BA42" s="669">
        <v>74.443692496092552</v>
      </c>
      <c r="BB42" s="320">
        <v>74.405056048271732</v>
      </c>
      <c r="BC42" s="320">
        <v>70.081802333378036</v>
      </c>
      <c r="BV42" s="318" t="s">
        <v>1138</v>
      </c>
      <c r="CG42" s="669"/>
      <c r="CJ42" s="318">
        <v>70.770200617283948</v>
      </c>
    </row>
    <row r="43" spans="1:92" ht="20.25" customHeight="1">
      <c r="A43" s="7799"/>
      <c r="B43" s="1858" t="s">
        <v>438</v>
      </c>
      <c r="C43" s="1859" t="s">
        <v>447</v>
      </c>
      <c r="D43" s="1824">
        <f>'#1CCL'!F23</f>
        <v>8.6072139047248584</v>
      </c>
      <c r="E43" s="1824">
        <f>'#1CCL'!G23</f>
        <v>11.44862598517067</v>
      </c>
      <c r="F43" s="1824">
        <f>'#1CCL'!H23</f>
        <v>13.488092561554977</v>
      </c>
      <c r="G43" s="1824">
        <f>'#1CCL'!I23</f>
        <v>6.5235410877332276</v>
      </c>
      <c r="H43" s="1824">
        <f>'#1CCL'!J23</f>
        <v>6.5398333866946601</v>
      </c>
      <c r="I43" s="3861">
        <f>'#1CCL'!K23</f>
        <v>5.4775131817827143</v>
      </c>
      <c r="J43" s="3861">
        <f>'#1CCL'!L23</f>
        <v>4.683334588581693</v>
      </c>
      <c r="K43" s="3830">
        <f>'#1CCL'!M23</f>
        <v>4.072032250897915</v>
      </c>
      <c r="L43" s="3286">
        <f>K43</f>
        <v>4.072032250897915</v>
      </c>
      <c r="M43" s="3863">
        <f>'#1CCL'!O23</f>
        <v>7.3416609228065512</v>
      </c>
      <c r="N43" s="4274">
        <f>'#1CCL'!P23</f>
        <v>9.5069580043402819</v>
      </c>
      <c r="O43" s="4274">
        <f>'#1CCL'!Q23</f>
        <v>7.1632479222782415</v>
      </c>
      <c r="P43" s="4274" t="e">
        <f>'#1CCL'!R23</f>
        <v>#DIV/0!</v>
      </c>
      <c r="Q43" s="4274" t="e">
        <f>'#1CCL'!S23</f>
        <v>#DIV/0!</v>
      </c>
      <c r="R43" s="4274" t="e">
        <f>'#1CCL'!T23</f>
        <v>#DIV/0!</v>
      </c>
      <c r="S43" s="4274" t="e">
        <f>'#1CCL'!U23</f>
        <v>#DIV/0!</v>
      </c>
      <c r="T43" s="4274" t="e">
        <f>'#1CCL'!V23</f>
        <v>#DIV/0!</v>
      </c>
      <c r="U43" s="4274" t="e">
        <f>'#1CCL'!W23</f>
        <v>#DIV/0!</v>
      </c>
      <c r="V43" s="7604" t="e">
        <f>'#1CCL'!X23</f>
        <v>#DIV/0!</v>
      </c>
      <c r="W43" s="5527" t="e">
        <f>'#1CCL'!Y23</f>
        <v>#DIV/0!</v>
      </c>
      <c r="X43" s="2742" t="e">
        <f>'#1CCL'!Z23</f>
        <v>#DIV/0!</v>
      </c>
      <c r="Y43" s="2182">
        <f>'#1CCL'!AA23</f>
        <v>7.9717209356066352</v>
      </c>
      <c r="Z43" s="1860">
        <f>'#1CCL'!AB23</f>
        <v>-23973.43631129614</v>
      </c>
      <c r="AA43" s="1599">
        <f>'#1CCL'!AC23</f>
        <v>-41917.59747088208</v>
      </c>
      <c r="AB43" s="1599">
        <f>'#1CCL'!AD23</f>
        <v>-23494.086489252026</v>
      </c>
      <c r="AC43" s="1599" t="e">
        <f>'#1CCL'!AE23</f>
        <v>#DIV/0!</v>
      </c>
      <c r="AD43" s="1599" t="e">
        <f>'#1CCL'!AF23</f>
        <v>#DIV/0!</v>
      </c>
      <c r="AE43" s="1599" t="e">
        <f>'#1CCL'!AG23</f>
        <v>#DIV/0!</v>
      </c>
      <c r="AF43" s="1599" t="e">
        <f>'#1CCL'!AH23</f>
        <v>#DIV/0!</v>
      </c>
      <c r="AG43" s="1599" t="e">
        <f>'#1CCL'!AI23</f>
        <v>#DIV/0!</v>
      </c>
      <c r="AH43" s="1599" t="e">
        <f>'#1CCL'!AJ23</f>
        <v>#DIV/0!</v>
      </c>
      <c r="AI43" s="1599" t="e">
        <f>'#1CCL'!AK23</f>
        <v>#DIV/0!</v>
      </c>
      <c r="AJ43" s="1599" t="e">
        <f>'#1CCL'!AL23</f>
        <v>#DIV/0!</v>
      </c>
      <c r="AK43" s="1599" t="e">
        <f>'#1CCL'!AM23</f>
        <v>#DIV/0!</v>
      </c>
      <c r="AL43" s="1599">
        <f>'#1CCL'!AN23</f>
        <v>72015.276647135543</v>
      </c>
      <c r="AM43" s="1599">
        <f>Z43+AA43</f>
        <v>-65891.033782178216</v>
      </c>
      <c r="AN43" s="1861">
        <f t="shared" si="18"/>
        <v>-0.91495911492550075</v>
      </c>
      <c r="AO43" s="1863"/>
      <c r="AY43" s="318" t="s">
        <v>877</v>
      </c>
      <c r="AZ43" s="320">
        <f t="shared" si="17"/>
        <v>87.99543893653356</v>
      </c>
      <c r="BA43" s="669">
        <v>89.640674673779657</v>
      </c>
      <c r="BB43" s="320">
        <v>89.653104945596255</v>
      </c>
      <c r="BC43" s="320">
        <v>89.026897500672519</v>
      </c>
      <c r="BV43" s="801" t="s">
        <v>236</v>
      </c>
      <c r="BX43" s="2058"/>
      <c r="BY43" s="2058"/>
      <c r="BZ43" s="2058"/>
      <c r="CA43" s="2058"/>
      <c r="CB43" s="2058"/>
      <c r="CC43" s="2058"/>
      <c r="CD43" s="2138">
        <v>7.8</v>
      </c>
      <c r="CE43" s="318">
        <v>11.4</v>
      </c>
      <c r="CG43" s="669"/>
    </row>
    <row r="44" spans="1:92" ht="20.25" customHeight="1">
      <c r="A44" s="7799"/>
      <c r="B44" s="1858" t="s">
        <v>439</v>
      </c>
      <c r="C44" s="1859" t="s">
        <v>447</v>
      </c>
      <c r="D44" s="1824">
        <f>'#2CCL'!F23</f>
        <v>13.684172742088972</v>
      </c>
      <c r="E44" s="1824">
        <f>'#2CCL'!G23</f>
        <v>19.443572183433837</v>
      </c>
      <c r="F44" s="1824">
        <f>'#2CCL'!H23</f>
        <v>19.620948081295719</v>
      </c>
      <c r="G44" s="1824">
        <f>'#2CCL'!I23</f>
        <v>10.88309503784693</v>
      </c>
      <c r="H44" s="1824">
        <f>'#2CCL'!J23</f>
        <v>12.763998682476945</v>
      </c>
      <c r="I44" s="3861">
        <f>'#2CCL'!K23</f>
        <v>11.546987385240101</v>
      </c>
      <c r="J44" s="3861">
        <f>'#2CCL'!L23</f>
        <v>8.6586300150977475</v>
      </c>
      <c r="K44" s="3830">
        <f>'#2CCL'!M23</f>
        <v>7.2343800771309077</v>
      </c>
      <c r="L44" s="3286">
        <f>K44</f>
        <v>7.2343800771309077</v>
      </c>
      <c r="M44" s="3863">
        <f>'#2CCL'!O23</f>
        <v>12.610962035783485</v>
      </c>
      <c r="N44" s="4274">
        <f>'#2CCL'!P23</f>
        <v>17.743095749958655</v>
      </c>
      <c r="O44" s="4274">
        <f>'#2CCL'!Q23</f>
        <v>10.790115735592416</v>
      </c>
      <c r="P44" s="4274" t="e">
        <f>'#2CCL'!R23</f>
        <v>#DIV/0!</v>
      </c>
      <c r="Q44" s="4274" t="e">
        <f>'#2CCL'!S23</f>
        <v>#DIV/0!</v>
      </c>
      <c r="R44" s="4274" t="e">
        <f>'#2CCL'!T23</f>
        <v>#DIV/0!</v>
      </c>
      <c r="S44" s="4274" t="e">
        <f>'#2CCL'!U23</f>
        <v>#DIV/0!</v>
      </c>
      <c r="T44" s="4274" t="e">
        <f>'#2CCL'!V23</f>
        <v>#DIV/0!</v>
      </c>
      <c r="U44" s="4274" t="e">
        <f>'#2CCL'!W23</f>
        <v>#DIV/0!</v>
      </c>
      <c r="V44" s="7604" t="e">
        <f>'#2CCL'!X23</f>
        <v>#DIV/0!</v>
      </c>
      <c r="W44" s="5527" t="e">
        <f>'#2CCL'!Y23</f>
        <v>#DIV/0!</v>
      </c>
      <c r="X44" s="2742" t="e">
        <f>'#2CCL'!Z23</f>
        <v>#DIV/0!</v>
      </c>
      <c r="Y44" s="2182">
        <f>'#2CCL'!AA23</f>
        <v>13.495850931929381</v>
      </c>
      <c r="Z44" s="1860">
        <f>'#2CCL'!AB23</f>
        <v>-23778.187302031445</v>
      </c>
      <c r="AA44" s="4155">
        <f>'#2CCL'!AC23</f>
        <v>-53585.213082432303</v>
      </c>
      <c r="AB44" s="1599">
        <f>'#2CCL'!AD23</f>
        <v>-15541.751226217026</v>
      </c>
      <c r="AC44" s="1599" t="e">
        <f>'#2CCL'!AE23</f>
        <v>#DIV/0!</v>
      </c>
      <c r="AD44" s="1599" t="e">
        <f>'#2CCL'!AF23</f>
        <v>#DIV/0!</v>
      </c>
      <c r="AE44" s="1599" t="e">
        <f>'#2CCL'!AG23</f>
        <v>#DIV/0!</v>
      </c>
      <c r="AF44" s="1599" t="e">
        <f>'#2CCL'!AH23</f>
        <v>#DIV/0!</v>
      </c>
      <c r="AG44" s="1599" t="e">
        <f>'#2CCL'!AI23</f>
        <v>#DIV/0!</v>
      </c>
      <c r="AH44" s="1599" t="e">
        <f>'#2CCL'!AJ23</f>
        <v>#DIV/0!</v>
      </c>
      <c r="AI44" s="1599" t="e">
        <f>'#2CCL'!AK23</f>
        <v>#DIV/0!</v>
      </c>
      <c r="AJ44" s="1599" t="e">
        <f>'#2CCL'!AL23</f>
        <v>#DIV/0!</v>
      </c>
      <c r="AK44" s="1599" t="e">
        <f>'#2CCL'!AM23</f>
        <v>#DIV/0!</v>
      </c>
      <c r="AL44" s="1599">
        <f>'#2CCL'!AN23</f>
        <v>104868.91158836459</v>
      </c>
      <c r="AM44" s="1599">
        <f>Z44+AA44</f>
        <v>-77363.400384463748</v>
      </c>
      <c r="AN44" s="1861">
        <f t="shared" si="18"/>
        <v>-0.73771529820137249</v>
      </c>
      <c r="AO44" s="1863"/>
      <c r="BV44" s="801" t="s">
        <v>917</v>
      </c>
      <c r="BX44" s="2058"/>
      <c r="BY44" s="2058"/>
      <c r="BZ44" s="2058"/>
      <c r="CA44" s="2058"/>
      <c r="CB44" s="2058"/>
      <c r="CC44" s="2058"/>
      <c r="CD44" s="2138">
        <v>3.5</v>
      </c>
      <c r="CE44" s="318">
        <v>9</v>
      </c>
    </row>
    <row r="45" spans="1:92" ht="20.25" customHeight="1" thickBot="1">
      <c r="A45" s="7827"/>
      <c r="B45" s="1933" t="s">
        <v>444</v>
      </c>
      <c r="C45" s="1865" t="s">
        <v>447</v>
      </c>
      <c r="D45" s="1866">
        <f>AVERAGE(D40:D44)</f>
        <v>15.805012005263245</v>
      </c>
      <c r="E45" s="4747">
        <f>((CPL!G11+CPL!G12+CPL!G13+CRM!G15)+(CRM!G12+CRM!G13)+(CGL!G11+CGL!G12+E48)+('#1CCL'!G13+'#1CCL'!G14+'#1CCL'!G15+'#1CCL'!G16+'#1CCL'!G18+'#1CCL'!G19)+('#2CCL'!G13+'#2CCL'!G14+'#2CCL'!G15+'#2CCL'!G16+'#2CCL'!G18+'#2CCL'!G20))/('#2CCL'!G5+'#1CCL'!G5+CGL!G5+CGL!G5+CPL!G5)*1000</f>
        <v>17.835320144059445</v>
      </c>
      <c r="F45" s="4747">
        <f>((CPL!H11+CPL!H12+CPL!H13+CRM!H15)+(CRM!H12+CRM!H13)+(CGL!H11+CGL!H12+F48)+('#1CCL'!H13+'#1CCL'!H14+'#1CCL'!H15+'#1CCL'!H16+'#1CCL'!H18+'#1CCL'!H19)+('#2CCL'!H13+'#2CCL'!H14+'#2CCL'!H15+'#2CCL'!H16+'#2CCL'!H18+'#2CCL'!H20))/('#2CCL'!H5+'#1CCL'!H5+CGL!H5+CGL!H5+CPL!H5)*1000</f>
        <v>17.724799471759283</v>
      </c>
      <c r="G45" s="4747">
        <f>((CPL!I11+CPL!I12+CPL!I13+CRM!I15)+(CRM!I12+CRM!I13)+(CGL!I11+CGL!I12+G48)+('#1CCL'!I13+'#1CCL'!I14+'#1CCL'!I15+'#1CCL'!I16+'#1CCL'!I18+'#1CCL'!I19)+('#2CCL'!I13+'#2CCL'!I14+'#2CCL'!I15+'#2CCL'!I16+'#2CCL'!I18+'#2CCL'!I20))/('#2CCL'!I5+'#1CCL'!I5+CGL!I5+CGL!I5+CPL!I5)*1000</f>
        <v>14.073726339329292</v>
      </c>
      <c r="H45" s="4747">
        <f>((CPL!J11+CPL!J12+CPL!J13+CRM!J15)+(CRM!J12+CRM!J13)+(CGL!J11+CGL!J12+H48)+('#1CCL'!J13+'#1CCL'!J14+'#1CCL'!J15+'#1CCL'!J16+'#1CCL'!J18+'#1CCL'!J19)+('#2CCL'!J13+'#2CCL'!J14+'#2CCL'!J15+'#2CCL'!J16+'#2CCL'!J18+'#2CCL'!J20))/('#2CCL'!J5+'#1CCL'!J5+CGL!J5+CGL!J5+CPL!J5)*1000</f>
        <v>12.407393824934267</v>
      </c>
      <c r="I45" s="4747">
        <f>((CPL!K11+CPL!K12+CPL!K13+CRM!K15)+(CRM!K12+CRM!K13)+(CGL!K11+CGL!K12+I48)+('#1CCL'!K13+'#1CCL'!K14+'#1CCL'!K15+'#1CCL'!K16+'#1CCL'!K18+'#1CCL'!K19)+('#2CCL'!K13+'#2CCL'!K14+'#2CCL'!K15+'#2CCL'!K16+'#2CCL'!K18+'#2CCL'!K20))/('#2CCL'!K5+'#1CCL'!K5+CGL!K5+CGL!K5+CPL!K5)*1000</f>
        <v>12.368388174950876</v>
      </c>
      <c r="J45" s="4747">
        <f>((CPL!L11+CPL!L12+CPL!L13+CRM!L15)+(CRM!L12+CRM!L13)+(CGL!L11+CGL!L12+J48)+('#1CCL'!L13+'#1CCL'!L14+'#1CCL'!L15+'#1CCL'!L16+'#1CCL'!L18+'#1CCL'!L19)+('#2CCL'!L13+'#2CCL'!L14+'#2CCL'!L15+'#2CCL'!L16+'#2CCL'!L18+'#2CCL'!L20))/('#2CCL'!L5+'#1CCL'!L5+CGL!L5+CGL!L5+CPL!L5)*1000</f>
        <v>11.059771728664577</v>
      </c>
      <c r="K45" s="3831">
        <f>((CPL!M11+CPL!M12+CPL!M13)+(CRM!M12+CRM!M13)+(CGL!M11+CGL!M12+CGL!M15+K48)+('#1CCL'!M13+'#1CCL'!M14+'#1CCL'!M15+'#1CCL'!M16+'#1CCL'!M18+'#1CCL'!M19)+('#2CCL'!M13+'#2CCL'!M14+'#2CCL'!M15+'#2CCL'!M16+'#2CCL'!M18+'#2CCL'!M20))/('#2CCL'!M5+'#1CCL'!M5+CGL!M5+CGL!M5+CPL!M5)*1000</f>
        <v>10.005895876016195</v>
      </c>
      <c r="L45" s="4266">
        <f>K45</f>
        <v>10.005895876016195</v>
      </c>
      <c r="M45" s="3865">
        <f>((CPL!O11+CPL!O12+CPL!O13+CRM!O15)+(CRM!O12+CRM!O13)+(CGL!O11+CGL!O12+M48)+('#1CCL'!O13+'#1CCL'!O14+'#1CCL'!O15+'#1CCL'!O16+'#1CCL'!O18+'#1CCL'!O19)+('#2CCL'!O13+'#2CCL'!O14+'#2CCL'!O15+'#2CCL'!O16+'#2CCL'!O18+'#2CCL'!O20))/('#2CCL'!O5+'#1CCL'!O5+CGL!O5+CGL!O5+CPL!O5)*1000</f>
        <v>10.774990238582314</v>
      </c>
      <c r="N45" s="4747">
        <f>((CPL!P11+CPL!P12+CPL!P13+CRM!P15)+(CRM!P12+CRM!P13)+(CGL!P11+CGL!P12+N48)+('#1CCL'!P13+'#1CCL'!P14+'#1CCL'!P15+'#1CCL'!P16+'#1CCL'!P18+'#1CCL'!P19)+('#2CCL'!P13+'#2CCL'!P14+'#2CCL'!P15+'#2CCL'!P16+'#2CCL'!P18+'#2CCL'!P20))/('#2CCL'!P5+'#1CCL'!P5+CGL!P5+CGL!P5+CPL!P5)*1000</f>
        <v>13.519475615726289</v>
      </c>
      <c r="O45" s="4747">
        <f>((CPL!Q11+CPL!Q12+CPL!Q13+CRM!Q15)+(CRM!Q12+CRM!Q13)+(CGL!Q11+CGL!Q12+O48)+('#1CCL'!Q13+'#1CCL'!Q14+'#1CCL'!Q15+'#1CCL'!Q16+'#1CCL'!Q18+'#1CCL'!Q19)+('#2CCL'!Q13+'#2CCL'!Q14+'#2CCL'!Q15+'#2CCL'!Q16+'#2CCL'!Q18+'#2CCL'!Q20))/('#2CCL'!Q5+'#1CCL'!Q5+CGL!Q5+CGL!Q5+CPL!Q5)*1000</f>
        <v>11.702109335026519</v>
      </c>
      <c r="P45" s="4747" t="e">
        <f>((CPL!R11+CPL!R12+CPL!R13+CRM!R15)+(CRM!R12+CRM!R13)+(CGL!R11+CGL!R12+P48)+('#1CCL'!R13+'#1CCL'!R14+'#1CCL'!R15+'#1CCL'!R16+'#1CCL'!R18+'#1CCL'!R19)+('#2CCL'!R13+'#2CCL'!R14+'#2CCL'!R15+'#2CCL'!R16+'#2CCL'!R18+'#2CCL'!R20))/('#2CCL'!R5+'#1CCL'!R5+CGL!R5+CGL!R5+CPL!R5)*1000</f>
        <v>#DIV/0!</v>
      </c>
      <c r="Q45" s="4795" t="e">
        <f>((CPL!S11+CPL!S12+CPL!S13+CRM!S15)+(CRM!S12+CRM!S13)+(CGL!S11+CGL!S12+Q48)+('#1CCL'!S13+'#1CCL'!S14+'#1CCL'!S15+'#1CCL'!S16+'#1CCL'!S18+'#1CCL'!S19)+('#2CCL'!S13+'#2CCL'!S14+'#2CCL'!S15+'#2CCL'!S16+'#2CCL'!S18+'#2CCL'!S20))/('#2CCL'!S5+'#1CCL'!S5+CGL!S5+CGL!S5+CPL!S5)*1000</f>
        <v>#DIV/0!</v>
      </c>
      <c r="R45" s="4940" t="e">
        <f>((CPL!T11+CPL!T12+CPL!T13+CRM!T15)+(CRM!T12+CRM!T13)+(CGL!T11+CGL!T12+R48)+('#1CCL'!T13+'#1CCL'!T14+'#1CCL'!T15+'#1CCL'!T16+'#1CCL'!T18+'#1CCL'!T19)+('#2CCL'!T13+'#2CCL'!T14+'#2CCL'!T15+'#2CCL'!T16+'#2CCL'!T18+'#2CCL'!T20))/('#2CCL'!T5+'#1CCL'!T5+CGL!T5+CGL!T5+CPL!T5)*1000</f>
        <v>#DIV/0!</v>
      </c>
      <c r="S45" s="4795" t="e">
        <f>((CPL!U11+CPL!U12+CPL!U13+CRM!U15)+(CRM!U12+CRM!U13)+(CGL!U11+CGL!U12+S48)+('#1CCL'!U13+'#1CCL'!U14+'#1CCL'!U15+'#1CCL'!U16+'#1CCL'!U18+'#1CCL'!U19)+('#2CCL'!U13+'#2CCL'!U14+'#2CCL'!U15+'#2CCL'!U16+'#2CCL'!U18+'#2CCL'!U20))/('#2CCL'!U5+'#1CCL'!U5+CGL!U5+CGL!U5+CPL!U5)*1000</f>
        <v>#DIV/0!</v>
      </c>
      <c r="T45" s="4795" t="e">
        <f>((CPL!V11+CPL!V12+CPL!V13+CRM!V15)+(CRM!V12+CRM!V13)+(CGL!V11+CGL!V12+T48)+('#1CCL'!V13+'#1CCL'!V14+'#1CCL'!V15+'#1CCL'!V16+'#1CCL'!V18+'#1CCL'!V19)+('#2CCL'!V13+'#2CCL'!V14+'#2CCL'!V15+'#2CCL'!V16+'#2CCL'!V18+'#2CCL'!V20))/('#2CCL'!V5+'#1CCL'!V5+CGL!V5+CGL!V5+CPL!V5)*1000</f>
        <v>#DIV/0!</v>
      </c>
      <c r="U45" s="4795" t="e">
        <f>((CPL!W11+CPL!W12+CPL!W13+CRM!W15)+(CRM!W12+CRM!W13)+(CGL!W11+CGL!W12+U48)+('#1CCL'!W13+'#1CCL'!W14+'#1CCL'!W15+'#1CCL'!W16+'#1CCL'!W18+'#1CCL'!W19)+('#2CCL'!W13+'#2CCL'!W14+'#2CCL'!W15+'#2CCL'!W16+'#2CCL'!W18+'#2CCL'!W20))/('#2CCL'!W5+'#1CCL'!W5+CGL!W5+CGL!W5+CPL!W5)*1000</f>
        <v>#DIV/0!</v>
      </c>
      <c r="V45" s="4747" t="e">
        <f>((CPL!X11+CPL!X12+CPL!X13+CRM!X15)+(CRM!X12+CRM!X13)+(CGL!X11+CGL!X12+V48)+('#1CCL'!X13+'#1CCL'!X14+'#1CCL'!X15+'#1CCL'!X16+'#1CCL'!X18+'#1CCL'!X19)+('#2CCL'!X13+'#2CCL'!X14+'#2CCL'!X15+'#2CCL'!X16+'#2CCL'!X18+'#2CCL'!X20))/('#2CCL'!X5+'#1CCL'!X5+CGL!X5+CGL!X5+CPL!X5)*1000</f>
        <v>#DIV/0!</v>
      </c>
      <c r="W45" s="4793" t="e">
        <f>((CPL!Y11+CPL!Y12+CPL!Y13+CRM!Y15)+(CRM!Y12+CRM!Y13)+(CGL!Y11+CGL!Y12+W48)+('#1CCL'!Y13+'#1CCL'!Y14+'#1CCL'!Y15+'#1CCL'!Y16+'#1CCL'!Y18+'#1CCL'!Y19)+('#2CCL'!Y13+'#2CCL'!Y14+'#2CCL'!Y15+'#2CCL'!Y16+'#2CCL'!Y18+'#2CCL'!Y20))/('#2CCL'!Y5+'#1CCL'!Y5+CGL!Y5+CGL!Y5+CPL!Y5)*1000</f>
        <v>#DIV/0!</v>
      </c>
      <c r="X45" s="4747" t="e">
        <f>((CPL!Z11+CPL!Z12+CPL!Z13+CRM!Z15)+(CRM!Z12+CRM!Z13)+(CGL!Z11+CGL!Z12+X48)+('#1CCL'!Z13+'#1CCL'!Z14+'#1CCL'!Z15+'#1CCL'!Z16+'#1CCL'!Z18+'#1CCL'!Z19)+('#2CCL'!Z13+'#2CCL'!Z14+'#2CCL'!Z15+'#2CCL'!Z16+'#2CCL'!Z18+'#2CCL'!Z20))/('#2CCL'!Z5+'#1CCL'!Z5+CGL!Z5+CGL!Z5+CPL!Z5)*1000</f>
        <v>#DIV/0!</v>
      </c>
      <c r="Y45" s="4747">
        <f>((CPL!AA11+CPL!AA12+CPL!AA13+CRM!AA15)+(CRM!AA12+CRM!AA13)+(CGL!AA11+CGL!AA12+Y48)+('#1CCL'!AA13+'#1CCL'!AA14+'#1CCL'!AA15+'#1CCL'!AA16+'#1CCL'!AA18+'#1CCL'!AA19)+('#2CCL'!AA13+'#2CCL'!AA14+'#2CCL'!AA15+'#2CCL'!AA16+'#2CCL'!AA18+'#2CCL'!AA20))/('#2CCL'!AA5+'#1CCL'!AA5+CGL!AA5+CGL!AA5+CPL!AA5)*1000</f>
        <v>11.818688719335446</v>
      </c>
      <c r="Z45" s="1883">
        <f>SUM(Z40:Z44)</f>
        <v>-47751.623613327582</v>
      </c>
      <c r="AA45" s="1884">
        <f t="shared" ref="AA45:AL45" si="19">SUM(AA40:AA44)</f>
        <v>-95502.810553314383</v>
      </c>
      <c r="AB45" s="1884">
        <f t="shared" si="19"/>
        <v>-224094.09623403943</v>
      </c>
      <c r="AC45" s="1884" t="e">
        <f t="shared" si="19"/>
        <v>#DIV/0!</v>
      </c>
      <c r="AD45" s="1884" t="e">
        <f t="shared" si="19"/>
        <v>#DIV/0!</v>
      </c>
      <c r="AE45" s="1884" t="e">
        <f t="shared" si="19"/>
        <v>#DIV/0!</v>
      </c>
      <c r="AF45" s="1884" t="e">
        <f t="shared" si="19"/>
        <v>#DIV/0!</v>
      </c>
      <c r="AG45" s="1884" t="e">
        <f t="shared" si="19"/>
        <v>#DIV/0!</v>
      </c>
      <c r="AH45" s="1884" t="e">
        <f t="shared" si="19"/>
        <v>#DIV/0!</v>
      </c>
      <c r="AI45" s="1884" t="e">
        <f t="shared" si="19"/>
        <v>#DIV/0!</v>
      </c>
      <c r="AJ45" s="1884" t="e">
        <f t="shared" si="19"/>
        <v>#DIV/0!</v>
      </c>
      <c r="AK45" s="1884" t="e">
        <f t="shared" si="19"/>
        <v>#DIV/0!</v>
      </c>
      <c r="AL45" s="1884">
        <f t="shared" si="19"/>
        <v>613823.8354274045</v>
      </c>
      <c r="AM45" s="1884">
        <f>SUM(AM40:AM44)</f>
        <v>-143254.43416664196</v>
      </c>
      <c r="AN45" s="1885">
        <f t="shared" si="18"/>
        <v>-0.23338037055353861</v>
      </c>
      <c r="AO45" s="1886"/>
      <c r="AR45" s="320"/>
      <c r="AY45" s="318" t="s">
        <v>670</v>
      </c>
      <c r="AZ45" s="318" t="s">
        <v>669</v>
      </c>
      <c r="BA45" s="318">
        <v>0.96</v>
      </c>
      <c r="BV45" s="801" t="s">
        <v>918</v>
      </c>
      <c r="BX45" s="2058"/>
      <c r="BY45" s="2058"/>
      <c r="BZ45" s="2058"/>
      <c r="CA45" s="2058"/>
      <c r="CB45" s="2058"/>
      <c r="CC45" s="2058"/>
      <c r="CD45" s="2138">
        <v>0.4</v>
      </c>
      <c r="CE45" s="318">
        <v>3.1</v>
      </c>
    </row>
    <row r="46" spans="1:92" ht="20.25" customHeight="1">
      <c r="A46" s="7795" t="s">
        <v>1307</v>
      </c>
      <c r="B46" s="2755" t="s">
        <v>1011</v>
      </c>
      <c r="C46" s="1154" t="s">
        <v>448</v>
      </c>
      <c r="D46" s="1164">
        <v>142.65</v>
      </c>
      <c r="E46" s="1165">
        <v>210</v>
      </c>
      <c r="F46" s="1165">
        <v>233</v>
      </c>
      <c r="G46" s="1661">
        <v>140.74000000000004</v>
      </c>
      <c r="H46" s="6742">
        <f>CRM!J15</f>
        <v>96.16</v>
      </c>
      <c r="I46" s="6742">
        <f>CRM!K15</f>
        <v>42.169999999999995</v>
      </c>
      <c r="J46" s="6742">
        <f>CRM!L15</f>
        <v>5.18</v>
      </c>
      <c r="K46" s="6743">
        <f>CRM!M15</f>
        <v>4</v>
      </c>
      <c r="L46" s="6744">
        <f>K46/10</f>
        <v>0.4</v>
      </c>
      <c r="M46" s="7377"/>
      <c r="N46" s="7378"/>
      <c r="O46" s="4559">
        <f>CRM!Q15</f>
        <v>0</v>
      </c>
      <c r="P46" s="4559">
        <f>CRM!R15</f>
        <v>0</v>
      </c>
      <c r="Q46" s="4559">
        <f>CRM!S15</f>
        <v>0</v>
      </c>
      <c r="R46" s="4559">
        <f>CRM!T15</f>
        <v>0</v>
      </c>
      <c r="S46" s="4559">
        <f>CRM!U15</f>
        <v>0</v>
      </c>
      <c r="T46" s="4559">
        <f>CRM!V15</f>
        <v>0</v>
      </c>
      <c r="U46" s="4559">
        <f>CRM!W15</f>
        <v>0</v>
      </c>
      <c r="V46" s="7607">
        <f>CRM!X15</f>
        <v>0</v>
      </c>
      <c r="W46" s="5530">
        <f>CRM!Y15</f>
        <v>0</v>
      </c>
      <c r="X46" s="2746">
        <f>CRM!Z15</f>
        <v>0</v>
      </c>
      <c r="Y46" s="2216">
        <f>CRM!AA15</f>
        <v>0</v>
      </c>
      <c r="Z46" s="2026"/>
      <c r="AA46" s="2026"/>
      <c r="AB46" s="2026"/>
      <c r="AC46" s="2026"/>
      <c r="AD46" s="2026"/>
      <c r="AE46" s="2026"/>
      <c r="AF46" s="2026"/>
      <c r="AG46" s="2026"/>
      <c r="AH46" s="2026"/>
      <c r="AI46" s="2026"/>
      <c r="AJ46" s="2026"/>
      <c r="AK46" s="2026"/>
      <c r="AL46" s="2026"/>
      <c r="AM46" s="2026"/>
      <c r="AN46" s="2027"/>
      <c r="AO46" s="7962" t="s">
        <v>1100</v>
      </c>
      <c r="AP46" s="821"/>
      <c r="AR46" s="320"/>
      <c r="AX46" s="318">
        <v>6.69</v>
      </c>
      <c r="AZ46" s="318" t="s">
        <v>668</v>
      </c>
      <c r="BA46" s="318">
        <v>5.19</v>
      </c>
      <c r="BB46" s="318">
        <v>1.5</v>
      </c>
      <c r="BV46" s="801" t="s">
        <v>523</v>
      </c>
      <c r="BX46" s="2058"/>
      <c r="BY46" s="2058"/>
      <c r="BZ46" s="2058"/>
      <c r="CA46" s="2058"/>
      <c r="CB46" s="2058"/>
      <c r="CC46" s="2058"/>
      <c r="CD46" s="2138">
        <v>0.2</v>
      </c>
      <c r="CE46" s="318">
        <v>1.1000000000000001</v>
      </c>
    </row>
    <row r="47" spans="1:92" ht="20.25" customHeight="1">
      <c r="A47" s="7796"/>
      <c r="B47" s="1858" t="s">
        <v>449</v>
      </c>
      <c r="C47" s="1859" t="s">
        <v>448</v>
      </c>
      <c r="D47" s="1557">
        <v>1136</v>
      </c>
      <c r="E47" s="1825">
        <v>353</v>
      </c>
      <c r="F47" s="1825">
        <v>233</v>
      </c>
      <c r="G47" s="1662">
        <v>133.02000000000001</v>
      </c>
      <c r="H47" s="6745">
        <f>CGL!J15</f>
        <v>158</v>
      </c>
      <c r="I47" s="6746">
        <f>CGL!K15</f>
        <v>61.089999999999996</v>
      </c>
      <c r="J47" s="6746">
        <f>CGL!L15</f>
        <v>32.72</v>
      </c>
      <c r="K47" s="6747">
        <f>CGL!M15</f>
        <v>31.738399999999999</v>
      </c>
      <c r="L47" s="6744">
        <f>K47/10</f>
        <v>3.1738399999999998</v>
      </c>
      <c r="M47" s="7379"/>
      <c r="N47" s="7374"/>
      <c r="O47" s="4274">
        <f>CGL!Q15</f>
        <v>13.87</v>
      </c>
      <c r="P47" s="4274">
        <f>CGL!R15</f>
        <v>0</v>
      </c>
      <c r="Q47" s="4274">
        <f>CGL!S15</f>
        <v>0</v>
      </c>
      <c r="R47" s="4274">
        <f>CGL!T15</f>
        <v>0</v>
      </c>
      <c r="S47" s="4274">
        <f>CGL!U15</f>
        <v>0</v>
      </c>
      <c r="T47" s="4274">
        <f>CGL!V15</f>
        <v>0</v>
      </c>
      <c r="U47" s="4274">
        <f>CGL!W15</f>
        <v>0</v>
      </c>
      <c r="V47" s="7604">
        <f>CGL!X15</f>
        <v>0</v>
      </c>
      <c r="W47" s="5527">
        <f>CGL!Y15</f>
        <v>0</v>
      </c>
      <c r="X47" s="2733">
        <f>CGL!Z15</f>
        <v>0</v>
      </c>
      <c r="Y47" s="2185">
        <f>CGL!AA15</f>
        <v>13.87</v>
      </c>
      <c r="Z47" s="4063"/>
      <c r="AA47" s="2026"/>
      <c r="AB47" s="2026"/>
      <c r="AC47" s="2026"/>
      <c r="AD47" s="2026"/>
      <c r="AE47" s="2026"/>
      <c r="AF47" s="2026"/>
      <c r="AG47" s="2026"/>
      <c r="AH47" s="2028"/>
      <c r="AI47" s="2028"/>
      <c r="AJ47" s="2028"/>
      <c r="AK47" s="2028"/>
      <c r="AL47" s="2026"/>
      <c r="AM47" s="2026"/>
      <c r="AN47" s="2027"/>
      <c r="AO47" s="7963"/>
      <c r="AP47" s="821"/>
      <c r="AQ47" s="1076" t="s">
        <v>848</v>
      </c>
      <c r="AZ47" s="318" t="s">
        <v>673</v>
      </c>
      <c r="BA47" s="318">
        <v>0.9</v>
      </c>
      <c r="BB47" s="318">
        <v>1.1299999999999999</v>
      </c>
      <c r="BV47" s="801" t="s">
        <v>920</v>
      </c>
      <c r="BX47" s="2058"/>
      <c r="BY47" s="2058"/>
      <c r="BZ47" s="2058"/>
      <c r="CA47" s="2058"/>
      <c r="CB47" s="2058"/>
      <c r="CC47" s="2058"/>
      <c r="CD47" s="2138">
        <v>1.5</v>
      </c>
      <c r="CE47" s="318">
        <v>2</v>
      </c>
    </row>
    <row r="48" spans="1:92" ht="20.25" customHeight="1">
      <c r="A48" s="7796"/>
      <c r="B48" s="1858" t="s">
        <v>1873</v>
      </c>
      <c r="C48" s="1859" t="s">
        <v>448</v>
      </c>
      <c r="D48" s="1557">
        <v>649.04</v>
      </c>
      <c r="E48" s="1825">
        <v>0</v>
      </c>
      <c r="F48" s="1825">
        <v>521</v>
      </c>
      <c r="G48" s="1662">
        <v>152.91</v>
      </c>
      <c r="H48" s="6745">
        <f>'#1CCL'!J20+'#2CCL'!J19</f>
        <v>141.89999999999998</v>
      </c>
      <c r="I48" s="6746">
        <f>'#1CCL'!K20+'#2CCL'!K19</f>
        <v>64.025000000000006</v>
      </c>
      <c r="J48" s="6746">
        <f>'#1CCL'!L20+'#2CCL'!L19</f>
        <v>116.3</v>
      </c>
      <c r="K48" s="6747">
        <f>AR49+AR50</f>
        <v>112.14</v>
      </c>
      <c r="L48" s="6744">
        <f>K48/10</f>
        <v>11.214</v>
      </c>
      <c r="M48" s="7377"/>
      <c r="N48" s="7378"/>
      <c r="O48" s="4559">
        <f t="shared" ref="O48:Y48" si="20">AU49+AU50</f>
        <v>10.799999999999999</v>
      </c>
      <c r="P48" s="4274">
        <f t="shared" si="20"/>
        <v>0</v>
      </c>
      <c r="Q48" s="4274">
        <f t="shared" si="20"/>
        <v>0</v>
      </c>
      <c r="R48" s="4274">
        <f t="shared" si="20"/>
        <v>0</v>
      </c>
      <c r="S48" s="4274">
        <f t="shared" si="20"/>
        <v>0</v>
      </c>
      <c r="T48" s="4545">
        <f t="shared" si="20"/>
        <v>0</v>
      </c>
      <c r="U48" s="4274">
        <f t="shared" si="20"/>
        <v>0</v>
      </c>
      <c r="V48" s="7604">
        <f t="shared" si="20"/>
        <v>0</v>
      </c>
      <c r="W48" s="5527">
        <f t="shared" si="20"/>
        <v>0</v>
      </c>
      <c r="X48" s="2742">
        <f t="shared" si="20"/>
        <v>0</v>
      </c>
      <c r="Y48" s="2182">
        <f t="shared" si="20"/>
        <v>11.1</v>
      </c>
      <c r="Z48" s="4063"/>
      <c r="AA48" s="2026"/>
      <c r="AB48" s="2026"/>
      <c r="AC48" s="2026"/>
      <c r="AD48" s="2026"/>
      <c r="AE48" s="2026"/>
      <c r="AF48" s="2026"/>
      <c r="AG48" s="2026"/>
      <c r="AH48" s="2028"/>
      <c r="AI48" s="2028"/>
      <c r="AJ48" s="2028"/>
      <c r="AK48" s="2028"/>
      <c r="AL48" s="2026"/>
      <c r="AM48" s="2026"/>
      <c r="AN48" s="2027"/>
      <c r="AO48" s="7963"/>
      <c r="AP48" s="821"/>
      <c r="AQ48" s="1545" t="s">
        <v>1</v>
      </c>
      <c r="AR48" s="1550" t="s">
        <v>997</v>
      </c>
      <c r="AS48" s="1548" t="s">
        <v>504</v>
      </c>
      <c r="AT48" s="431" t="s">
        <v>505</v>
      </c>
      <c r="AU48" s="431" t="s">
        <v>506</v>
      </c>
      <c r="AV48" s="431" t="s">
        <v>507</v>
      </c>
      <c r="AW48" s="431" t="s">
        <v>508</v>
      </c>
      <c r="AX48" s="431" t="s">
        <v>509</v>
      </c>
      <c r="AY48" s="431" t="s">
        <v>510</v>
      </c>
      <c r="AZ48" s="431" t="s">
        <v>511</v>
      </c>
      <c r="BA48" s="431" t="s">
        <v>512</v>
      </c>
      <c r="BB48" s="431" t="s">
        <v>513</v>
      </c>
      <c r="BC48" s="431" t="s">
        <v>515</v>
      </c>
      <c r="BD48" s="1761" t="s">
        <v>516</v>
      </c>
      <c r="BE48" s="1762" t="s">
        <v>1023</v>
      </c>
    </row>
    <row r="49" spans="1:89" ht="20.25" customHeight="1" thickBot="1">
      <c r="A49" s="7796"/>
      <c r="B49" s="1858" t="s">
        <v>1088</v>
      </c>
      <c r="C49" s="1859" t="s">
        <v>448</v>
      </c>
      <c r="D49" s="1557">
        <f>'#1CCL'!F14</f>
        <v>878</v>
      </c>
      <c r="E49" s="1557">
        <f>'#1CCL'!G14</f>
        <v>973</v>
      </c>
      <c r="F49" s="1557">
        <f>'#1CCL'!H14</f>
        <v>527</v>
      </c>
      <c r="G49" s="1557">
        <f>'#1CCL'!I14</f>
        <v>145</v>
      </c>
      <c r="H49" s="6745">
        <f>'#1CCL'!J14</f>
        <v>52.56</v>
      </c>
      <c r="I49" s="6746">
        <f>'#1CCL'!K14</f>
        <v>21.73</v>
      </c>
      <c r="J49" s="6746">
        <f>'#1CCL'!L14</f>
        <v>41.653999999999996</v>
      </c>
      <c r="K49" s="6748">
        <f>'#1CCL'!M14</f>
        <v>32.07</v>
      </c>
      <c r="L49" s="6744">
        <f>K49/12</f>
        <v>2.6724999999999999</v>
      </c>
      <c r="M49" s="4071">
        <f>'#1CCL'!O14</f>
        <v>2.7</v>
      </c>
      <c r="N49" s="4559">
        <f>'#1CCL'!P14</f>
        <v>1.9</v>
      </c>
      <c r="O49" s="4559">
        <f>'#1CCL'!Q14</f>
        <v>1.83</v>
      </c>
      <c r="P49" s="4559">
        <f>'#1CCL'!R14</f>
        <v>0</v>
      </c>
      <c r="Q49" s="4559">
        <f>'#1CCL'!S14</f>
        <v>0</v>
      </c>
      <c r="R49" s="4559">
        <f>'#1CCL'!T14</f>
        <v>0</v>
      </c>
      <c r="S49" s="4559">
        <f>'#1CCL'!U14</f>
        <v>0</v>
      </c>
      <c r="T49" s="4559">
        <f>'#1CCL'!V14</f>
        <v>0</v>
      </c>
      <c r="U49" s="4559">
        <f>'#1CCL'!W14</f>
        <v>0</v>
      </c>
      <c r="V49" s="7607">
        <f>'#1CCL'!X14</f>
        <v>0</v>
      </c>
      <c r="W49" s="5530">
        <f>'#1CCL'!Y14</f>
        <v>0</v>
      </c>
      <c r="X49" s="2746">
        <f>'#1CCL'!Z14</f>
        <v>0</v>
      </c>
      <c r="Y49" s="2217">
        <f>'#1CCL'!AA14</f>
        <v>6.43</v>
      </c>
      <c r="Z49" s="4063"/>
      <c r="AA49" s="2029"/>
      <c r="AB49" s="2029"/>
      <c r="AC49" s="2029"/>
      <c r="AD49" s="2029"/>
      <c r="AE49" s="2029"/>
      <c r="AF49" s="2029"/>
      <c r="AG49" s="2029"/>
      <c r="AH49" s="2030"/>
      <c r="AI49" s="2030"/>
      <c r="AJ49" s="2030"/>
      <c r="AK49" s="2030"/>
      <c r="AL49" s="2029"/>
      <c r="AM49" s="2029"/>
      <c r="AN49" s="2027"/>
      <c r="AO49" s="7963"/>
      <c r="AP49" s="821"/>
      <c r="AQ49" s="1546" t="s">
        <v>546</v>
      </c>
      <c r="AR49" s="2714">
        <f>'#1CCL'!M20</f>
        <v>64.14</v>
      </c>
      <c r="AS49" s="1549">
        <f>'#1CCL'!O20</f>
        <v>0</v>
      </c>
      <c r="AT49" s="1549">
        <f>'#1CCL'!P20</f>
        <v>0</v>
      </c>
      <c r="AU49" s="1549">
        <f>'#1CCL'!Q20</f>
        <v>10.199999999999999</v>
      </c>
      <c r="AV49" s="1549">
        <f>'#1CCL'!R20</f>
        <v>0</v>
      </c>
      <c r="AW49" s="1549">
        <f>'#1CCL'!S20</f>
        <v>0</v>
      </c>
      <c r="AX49" s="1549">
        <f>'#1CCL'!T20</f>
        <v>0</v>
      </c>
      <c r="AY49" s="1549">
        <f>'#1CCL'!U20</f>
        <v>0</v>
      </c>
      <c r="AZ49" s="1549">
        <f>'#1CCL'!V20</f>
        <v>0</v>
      </c>
      <c r="BA49" s="1549">
        <f>'#1CCL'!W20</f>
        <v>0</v>
      </c>
      <c r="BB49" s="1549">
        <f>'#1CCL'!X20</f>
        <v>0</v>
      </c>
      <c r="BC49" s="1549">
        <f>'#1CCL'!Y20</f>
        <v>0</v>
      </c>
      <c r="BD49" s="1549">
        <f>'#1CCL'!Z20</f>
        <v>0</v>
      </c>
      <c r="BE49" s="1764">
        <f>SUM(AS49:BD49)</f>
        <v>10.199999999999999</v>
      </c>
    </row>
    <row r="50" spans="1:89" ht="20.25" customHeight="1" thickBot="1">
      <c r="A50" s="7796"/>
      <c r="B50" s="1858" t="s">
        <v>547</v>
      </c>
      <c r="C50" s="1859" t="s">
        <v>448</v>
      </c>
      <c r="D50" s="1557">
        <f>'#2CCL'!F14</f>
        <v>449.47</v>
      </c>
      <c r="E50" s="1557">
        <f>'#2CCL'!G14</f>
        <v>679.82</v>
      </c>
      <c r="F50" s="1557">
        <f>'#2CCL'!H14</f>
        <v>413.64699999999999</v>
      </c>
      <c r="G50" s="1557">
        <f>'#2CCL'!I14</f>
        <v>77.400000000000006</v>
      </c>
      <c r="H50" s="6745">
        <f>'#2CCL'!J14</f>
        <v>128.14100000000002</v>
      </c>
      <c r="I50" s="6746">
        <f>'#2CCL'!K14</f>
        <v>93.301999999999992</v>
      </c>
      <c r="J50" s="6746">
        <f>'#2CCL'!L14</f>
        <v>146.72999999999999</v>
      </c>
      <c r="K50" s="6748">
        <f>'#2CCL'!M14</f>
        <v>124.02</v>
      </c>
      <c r="L50" s="6744">
        <f>K50/12</f>
        <v>10.334999999999999</v>
      </c>
      <c r="M50" s="4071">
        <f>'#2CCL'!O14</f>
        <v>13.234</v>
      </c>
      <c r="N50" s="4559">
        <f>'#2CCL'!P14</f>
        <v>9.9049999999999994</v>
      </c>
      <c r="O50" s="4559">
        <f>'#2CCL'!Q14</f>
        <v>6.6619999999999999</v>
      </c>
      <c r="P50" s="4559">
        <f>'#2CCL'!R14</f>
        <v>0</v>
      </c>
      <c r="Q50" s="4559">
        <f>'#2CCL'!S14</f>
        <v>0</v>
      </c>
      <c r="R50" s="4559">
        <f>'#2CCL'!T14</f>
        <v>0</v>
      </c>
      <c r="S50" s="4559">
        <f>'#2CCL'!U14</f>
        <v>0</v>
      </c>
      <c r="T50" s="4559">
        <f>'#2CCL'!V14</f>
        <v>0</v>
      </c>
      <c r="U50" s="4559">
        <f>'#2CCL'!W14</f>
        <v>0</v>
      </c>
      <c r="V50" s="7607">
        <f>'#2CCL'!X14</f>
        <v>0</v>
      </c>
      <c r="W50" s="5530">
        <f>'#2CCL'!Y14</f>
        <v>0</v>
      </c>
      <c r="X50" s="2746">
        <f>'#2CCL'!Z14</f>
        <v>0</v>
      </c>
      <c r="Y50" s="2217">
        <f>'#2CCL'!AA14</f>
        <v>29.800999999999998</v>
      </c>
      <c r="Z50" s="4063"/>
      <c r="AA50" s="2029"/>
      <c r="AB50" s="2029"/>
      <c r="AC50" s="2029"/>
      <c r="AD50" s="2029"/>
      <c r="AE50" s="2029"/>
      <c r="AF50" s="2029"/>
      <c r="AG50" s="2029"/>
      <c r="AH50" s="2030"/>
      <c r="AI50" s="2030"/>
      <c r="AJ50" s="2030"/>
      <c r="AK50" s="2030"/>
      <c r="AL50" s="2029"/>
      <c r="AM50" s="2029"/>
      <c r="AN50" s="2027"/>
      <c r="AO50" s="7964"/>
      <c r="AP50" s="821"/>
      <c r="AQ50" s="1897" t="s">
        <v>547</v>
      </c>
      <c r="AR50" s="2715">
        <f>'#2CCL'!M19</f>
        <v>48</v>
      </c>
      <c r="AS50" s="1898">
        <f>'#2CCL'!O19</f>
        <v>0.3</v>
      </c>
      <c r="AT50" s="1898">
        <f>'#2CCL'!P19</f>
        <v>0</v>
      </c>
      <c r="AU50" s="1898">
        <f>'#2CCL'!Q19</f>
        <v>0.6</v>
      </c>
      <c r="AV50" s="1898">
        <f>'#2CCL'!R19</f>
        <v>0</v>
      </c>
      <c r="AW50" s="1898">
        <f>'#2CCL'!S19</f>
        <v>0</v>
      </c>
      <c r="AX50" s="1898">
        <f>'#2CCL'!T19</f>
        <v>0</v>
      </c>
      <c r="AY50" s="1898">
        <f>'#2CCL'!U19</f>
        <v>0</v>
      </c>
      <c r="AZ50" s="1898">
        <f>'#2CCL'!V19</f>
        <v>0</v>
      </c>
      <c r="BA50" s="1898">
        <f>'#2CCL'!W19</f>
        <v>0</v>
      </c>
      <c r="BB50" s="1898">
        <f>'#2CCL'!X19</f>
        <v>0</v>
      </c>
      <c r="BC50" s="1898">
        <f>'#2CCL'!Y19</f>
        <v>0</v>
      </c>
      <c r="BD50" s="1898">
        <f>'#2CCL'!Z19</f>
        <v>0</v>
      </c>
      <c r="BE50" s="1899">
        <f>SUM(AS50:BD50)</f>
        <v>0.89999999999999991</v>
      </c>
      <c r="BR50" s="1233" t="s">
        <v>628</v>
      </c>
      <c r="BS50" s="290" t="s">
        <v>254</v>
      </c>
      <c r="BT50" s="290" t="s">
        <v>544</v>
      </c>
      <c r="BU50" s="290" t="s">
        <v>524</v>
      </c>
      <c r="BV50" s="290" t="s">
        <v>699</v>
      </c>
      <c r="BW50" s="290" t="s">
        <v>1008</v>
      </c>
      <c r="BX50" s="801" t="s">
        <v>2267</v>
      </c>
      <c r="BY50" s="2148" t="s">
        <v>18</v>
      </c>
      <c r="BZ50" s="2148" t="s">
        <v>5</v>
      </c>
      <c r="CA50" s="2148" t="s">
        <v>6</v>
      </c>
      <c r="CB50" s="2148" t="s">
        <v>7</v>
      </c>
      <c r="CC50" s="2148" t="s">
        <v>8</v>
      </c>
      <c r="CD50" s="2240" t="s">
        <v>88</v>
      </c>
      <c r="CE50" s="2148" t="s">
        <v>10</v>
      </c>
      <c r="CF50" s="2270" t="s">
        <v>11</v>
      </c>
      <c r="CG50" s="2270" t="s">
        <v>12</v>
      </c>
      <c r="CH50" s="2270" t="s">
        <v>13</v>
      </c>
      <c r="CI50" s="2270" t="s">
        <v>14</v>
      </c>
      <c r="CJ50" s="2271" t="s">
        <v>15</v>
      </c>
      <c r="CK50" s="318" t="s">
        <v>194</v>
      </c>
    </row>
    <row r="51" spans="1:89" ht="20.25" customHeight="1" thickBot="1">
      <c r="A51" s="7822"/>
      <c r="B51" s="2758" t="s">
        <v>109</v>
      </c>
      <c r="C51" s="1872" t="s">
        <v>448</v>
      </c>
      <c r="D51" s="1873">
        <f>D46+D47+D48+720</f>
        <v>2647.69</v>
      </c>
      <c r="E51" s="1874">
        <f>E46+E47+E48+973</f>
        <v>1536</v>
      </c>
      <c r="F51" s="1826">
        <f t="shared" ref="F51:O51" si="21">SUM(F46:F50)</f>
        <v>1927.6469999999999</v>
      </c>
      <c r="G51" s="1826">
        <f t="shared" si="21"/>
        <v>649.07000000000005</v>
      </c>
      <c r="H51" s="6749">
        <f t="shared" si="21"/>
        <v>576.76099999999997</v>
      </c>
      <c r="I51" s="6749">
        <f t="shared" si="21"/>
        <v>282.31700000000001</v>
      </c>
      <c r="J51" s="6750">
        <f t="shared" si="21"/>
        <v>342.58399999999995</v>
      </c>
      <c r="K51" s="6751">
        <f t="shared" si="21"/>
        <v>303.96839999999997</v>
      </c>
      <c r="L51" s="6752">
        <f t="shared" si="21"/>
        <v>27.795339999999996</v>
      </c>
      <c r="M51" s="4455">
        <f t="shared" si="21"/>
        <v>15.934000000000001</v>
      </c>
      <c r="N51" s="4560">
        <f t="shared" si="21"/>
        <v>11.805</v>
      </c>
      <c r="O51" s="4546">
        <f t="shared" si="21"/>
        <v>33.161999999999999</v>
      </c>
      <c r="P51" s="4546">
        <f t="shared" ref="P51:Y51" si="22">SUM(P46:P50)</f>
        <v>0</v>
      </c>
      <c r="Q51" s="4546">
        <f t="shared" si="22"/>
        <v>0</v>
      </c>
      <c r="R51" s="4546">
        <f t="shared" si="22"/>
        <v>0</v>
      </c>
      <c r="S51" s="4546">
        <f t="shared" si="22"/>
        <v>0</v>
      </c>
      <c r="T51" s="4546">
        <f t="shared" si="22"/>
        <v>0</v>
      </c>
      <c r="U51" s="4546">
        <f t="shared" si="22"/>
        <v>0</v>
      </c>
      <c r="V51" s="7605">
        <f t="shared" si="22"/>
        <v>0</v>
      </c>
      <c r="W51" s="4060">
        <f t="shared" si="22"/>
        <v>0</v>
      </c>
      <c r="X51" s="2744">
        <f t="shared" si="22"/>
        <v>0</v>
      </c>
      <c r="Y51" s="1595">
        <f t="shared" si="22"/>
        <v>61.200999999999993</v>
      </c>
      <c r="Z51" s="1595"/>
      <c r="AA51" s="1949"/>
      <c r="AB51" s="1949"/>
      <c r="AC51" s="1949">
        <f t="shared" ref="AC51:AK51" si="23">SUM(AC46:AC48)</f>
        <v>0</v>
      </c>
      <c r="AD51" s="1949">
        <f t="shared" si="23"/>
        <v>0</v>
      </c>
      <c r="AE51" s="1949">
        <f t="shared" si="23"/>
        <v>0</v>
      </c>
      <c r="AF51" s="1949">
        <f t="shared" si="23"/>
        <v>0</v>
      </c>
      <c r="AG51" s="1949">
        <f t="shared" si="23"/>
        <v>0</v>
      </c>
      <c r="AH51" s="1949">
        <f t="shared" si="23"/>
        <v>0</v>
      </c>
      <c r="AI51" s="1949">
        <f t="shared" si="23"/>
        <v>0</v>
      </c>
      <c r="AJ51" s="1949">
        <f t="shared" si="23"/>
        <v>0</v>
      </c>
      <c r="AK51" s="1949">
        <f t="shared" si="23"/>
        <v>0</v>
      </c>
      <c r="AL51" s="1949"/>
      <c r="AM51" s="1949"/>
      <c r="AN51" s="1875"/>
      <c r="AO51" s="1876"/>
      <c r="AP51" s="821"/>
      <c r="AQ51" s="1902" t="s">
        <v>1037</v>
      </c>
      <c r="AR51" s="1903">
        <f>AR49+AR50</f>
        <v>112.14</v>
      </c>
      <c r="AS51" s="1903">
        <f t="shared" ref="AS51:BE51" si="24">AS49+AS50</f>
        <v>0.3</v>
      </c>
      <c r="AT51" s="1903">
        <f t="shared" si="24"/>
        <v>0</v>
      </c>
      <c r="AU51" s="1903">
        <f t="shared" si="24"/>
        <v>10.799999999999999</v>
      </c>
      <c r="AV51" s="1903">
        <f t="shared" si="24"/>
        <v>0</v>
      </c>
      <c r="AW51" s="1903">
        <f t="shared" si="24"/>
        <v>0</v>
      </c>
      <c r="AX51" s="1903">
        <f t="shared" si="24"/>
        <v>0</v>
      </c>
      <c r="AY51" s="1903">
        <f t="shared" si="24"/>
        <v>0</v>
      </c>
      <c r="AZ51" s="1903">
        <f t="shared" si="24"/>
        <v>0</v>
      </c>
      <c r="BA51" s="1903">
        <f t="shared" si="24"/>
        <v>0</v>
      </c>
      <c r="BB51" s="1903">
        <f t="shared" si="24"/>
        <v>0</v>
      </c>
      <c r="BC51" s="1903">
        <f t="shared" si="24"/>
        <v>0</v>
      </c>
      <c r="BD51" s="1903">
        <f t="shared" si="24"/>
        <v>0</v>
      </c>
      <c r="BE51" s="1903">
        <f t="shared" si="24"/>
        <v>11.1</v>
      </c>
      <c r="BR51" s="318" t="s">
        <v>629</v>
      </c>
      <c r="BS51" s="1224">
        <v>98.87</v>
      </c>
      <c r="BT51" s="1262">
        <v>99.1040477634659</v>
      </c>
      <c r="BU51" s="1262">
        <v>99.368635587324533</v>
      </c>
      <c r="BV51" s="1225">
        <v>99.483918463783041</v>
      </c>
      <c r="BW51" s="1225">
        <v>99.474955544010143</v>
      </c>
      <c r="BX51" s="1225">
        <v>99.60177005895973</v>
      </c>
      <c r="BY51" s="2146">
        <f>(BY55+BY56)/2</f>
        <v>100.36291813774216</v>
      </c>
      <c r="BZ51" s="2146">
        <f>(BZ55+BZ56)/2</f>
        <v>100.40468511062666</v>
      </c>
      <c r="CA51" s="2146">
        <f>(CA52+CA53+CA54+CA55+CA56)/5</f>
        <v>99.770632360327767</v>
      </c>
      <c r="CB51" s="2146"/>
      <c r="CC51" s="2146"/>
      <c r="CD51" s="4673"/>
      <c r="CE51" s="4673"/>
      <c r="CF51" s="2146"/>
      <c r="CG51" s="2146"/>
      <c r="CH51" s="2146"/>
      <c r="CI51" s="1907"/>
      <c r="CJ51" s="2280"/>
      <c r="CK51" s="318">
        <v>58.81</v>
      </c>
    </row>
    <row r="52" spans="1:89" ht="20.25" customHeight="1">
      <c r="A52" s="7795" t="s">
        <v>1093</v>
      </c>
      <c r="B52" s="2759" t="s">
        <v>1085</v>
      </c>
      <c r="C52" s="1154" t="s">
        <v>448</v>
      </c>
      <c r="D52" s="1952"/>
      <c r="E52" s="2932"/>
      <c r="F52" s="1931">
        <f>CPL!H13</f>
        <v>213.18</v>
      </c>
      <c r="G52" s="1739">
        <f>CPL!I13</f>
        <v>24</v>
      </c>
      <c r="H52" s="6753">
        <v>0</v>
      </c>
      <c r="I52" s="6753">
        <f>CPL!K13</f>
        <v>45.37</v>
      </c>
      <c r="J52" s="6753">
        <f>CPL!L13</f>
        <v>45.556999999999995</v>
      </c>
      <c r="K52" s="6754">
        <f>CPL!M13</f>
        <v>20</v>
      </c>
      <c r="L52" s="6755">
        <f>CPL!N13</f>
        <v>2</v>
      </c>
      <c r="M52" s="1957">
        <f>CPL!O13</f>
        <v>1.34</v>
      </c>
      <c r="N52" s="1739">
        <f>CPL!P13</f>
        <v>0</v>
      </c>
      <c r="O52" s="1739">
        <f>CPL!Q13</f>
        <v>0</v>
      </c>
      <c r="P52" s="1739">
        <f>CPL!R13</f>
        <v>0</v>
      </c>
      <c r="Q52" s="1739">
        <f>CPL!S13</f>
        <v>0</v>
      </c>
      <c r="R52" s="1739">
        <f>CPL!T13</f>
        <v>0</v>
      </c>
      <c r="S52" s="1739">
        <f>CPL!U13</f>
        <v>0</v>
      </c>
      <c r="T52" s="1739">
        <f>CPL!V13</f>
        <v>0</v>
      </c>
      <c r="U52" s="1739">
        <f>CPL!W13</f>
        <v>0</v>
      </c>
      <c r="V52" s="3836">
        <f>CPL!X13</f>
        <v>0</v>
      </c>
      <c r="W52" s="5531">
        <f>CPL!Y13</f>
        <v>0</v>
      </c>
      <c r="X52" s="1931">
        <f>CPL!Z13</f>
        <v>0</v>
      </c>
      <c r="Y52" s="2186">
        <f>CPL!AA13</f>
        <v>1.34</v>
      </c>
      <c r="Z52" s="2031"/>
      <c r="AA52" s="2031"/>
      <c r="AB52" s="2031"/>
      <c r="AC52" s="2031"/>
      <c r="AD52" s="2031"/>
      <c r="AE52" s="2031"/>
      <c r="AF52" s="2032"/>
      <c r="AG52" s="2032"/>
      <c r="AH52" s="2032"/>
      <c r="AI52" s="2032"/>
      <c r="AJ52" s="2032"/>
      <c r="AK52" s="2032"/>
      <c r="AL52" s="2032"/>
      <c r="AM52" s="2032"/>
      <c r="AN52" s="2033"/>
      <c r="AO52" s="7959" t="s">
        <v>1101</v>
      </c>
      <c r="AQ52" s="1918"/>
      <c r="AR52" s="1919"/>
      <c r="AS52" s="1919"/>
      <c r="AT52" s="1920"/>
      <c r="AU52" s="1920"/>
      <c r="AV52" s="1919"/>
      <c r="AW52" s="1919"/>
      <c r="AX52" s="1919"/>
      <c r="AY52" s="1919"/>
      <c r="AZ52" s="1921"/>
      <c r="BA52" s="1919"/>
      <c r="BB52" s="1919"/>
      <c r="BC52" s="1919"/>
      <c r="BD52" s="1919"/>
      <c r="BE52" s="1919"/>
      <c r="BR52" s="667" t="s">
        <v>630</v>
      </c>
      <c r="BS52" s="1224">
        <v>97.53</v>
      </c>
      <c r="BT52" s="7118">
        <v>98.00045319044726</v>
      </c>
      <c r="BU52" s="7118">
        <v>97.977320000000006</v>
      </c>
      <c r="BV52" s="1225">
        <v>97.970594907103475</v>
      </c>
      <c r="BW52" s="1225">
        <v>97.749821155362042</v>
      </c>
      <c r="BX52" s="1225">
        <v>97.871144441939791</v>
      </c>
      <c r="BY52" s="2139">
        <v>0</v>
      </c>
      <c r="BZ52" s="2139">
        <v>0</v>
      </c>
      <c r="CA52" s="2139">
        <v>97.712159552613315</v>
      </c>
      <c r="CB52" s="2139"/>
      <c r="CC52" s="2139"/>
      <c r="CD52" s="4674"/>
      <c r="CE52" s="4674"/>
      <c r="CF52" s="2139"/>
      <c r="CG52" s="2139"/>
      <c r="CH52" s="2139"/>
      <c r="CI52" s="2025"/>
      <c r="CJ52" s="2281"/>
      <c r="CK52" s="318">
        <v>70.8</v>
      </c>
    </row>
    <row r="53" spans="1:89" ht="20.25" customHeight="1">
      <c r="A53" s="7796"/>
      <c r="B53" s="2752" t="s">
        <v>1086</v>
      </c>
      <c r="C53" s="1859" t="s">
        <v>448</v>
      </c>
      <c r="D53" s="1571">
        <f>CRM!F13</f>
        <v>1113.9100000000001</v>
      </c>
      <c r="E53" s="1571">
        <f>CRM!G13</f>
        <v>1240.22</v>
      </c>
      <c r="F53" s="1571">
        <f>CRM!H13</f>
        <v>1568.88</v>
      </c>
      <c r="G53" s="1571">
        <f>CRM!I13</f>
        <v>972</v>
      </c>
      <c r="H53" s="2346">
        <f>CRM!J13</f>
        <v>338.19</v>
      </c>
      <c r="I53" s="6756">
        <f>CRM!K13</f>
        <v>427.08600000000001</v>
      </c>
      <c r="J53" s="6756">
        <f>CRM!L13</f>
        <v>354.34</v>
      </c>
      <c r="K53" s="6757">
        <f>CRM!M13</f>
        <v>200</v>
      </c>
      <c r="L53" s="6758">
        <f>CRM!N13</f>
        <v>20</v>
      </c>
      <c r="M53" s="4061">
        <f>CRM!O13</f>
        <v>4.91</v>
      </c>
      <c r="N53" s="4058">
        <f>CRM!P13</f>
        <v>7.52</v>
      </c>
      <c r="O53" s="4058">
        <f>CRM!Q13</f>
        <v>25.56</v>
      </c>
      <c r="P53" s="4058">
        <f>CRM!R13</f>
        <v>0</v>
      </c>
      <c r="Q53" s="4058">
        <f>CRM!S13</f>
        <v>0</v>
      </c>
      <c r="R53" s="4058">
        <f>CRM!T13</f>
        <v>0</v>
      </c>
      <c r="S53" s="4058">
        <f>CRM!U13</f>
        <v>0</v>
      </c>
      <c r="T53" s="4058">
        <f>CRM!V13</f>
        <v>0</v>
      </c>
      <c r="U53" s="4058">
        <f>CRM!W13</f>
        <v>0</v>
      </c>
      <c r="V53" s="3836">
        <f>CRM!X13</f>
        <v>0</v>
      </c>
      <c r="W53" s="4072">
        <f>CRM!Y13</f>
        <v>0</v>
      </c>
      <c r="X53" s="3836">
        <f>CRM!Z13</f>
        <v>0</v>
      </c>
      <c r="Y53" s="2181">
        <f>CRM!AA13</f>
        <v>37.989999999999995</v>
      </c>
      <c r="Z53" s="2034"/>
      <c r="AA53" s="2034"/>
      <c r="AB53" s="2034"/>
      <c r="AC53" s="2034"/>
      <c r="AD53" s="2034"/>
      <c r="AE53" s="2034"/>
      <c r="AF53" s="2026"/>
      <c r="AG53" s="2026"/>
      <c r="AH53" s="2026"/>
      <c r="AI53" s="2026"/>
      <c r="AJ53" s="2026"/>
      <c r="AK53" s="2026"/>
      <c r="AL53" s="2026"/>
      <c r="AM53" s="2026"/>
      <c r="AN53" s="2027"/>
      <c r="AO53" s="7960"/>
      <c r="AQ53" s="683"/>
      <c r="AR53" s="683"/>
      <c r="AS53" s="683"/>
      <c r="AT53" s="1900"/>
      <c r="AU53" s="1901" t="s">
        <v>659</v>
      </c>
      <c r="BR53" s="668" t="s">
        <v>631</v>
      </c>
      <c r="BS53" s="1224">
        <v>99.93</v>
      </c>
      <c r="BT53" s="7118">
        <v>99.940905977141099</v>
      </c>
      <c r="BU53" s="7118">
        <v>99.97</v>
      </c>
      <c r="BV53" s="1225">
        <v>99.983380652450364</v>
      </c>
      <c r="BW53" s="1225">
        <v>99.98701371818494</v>
      </c>
      <c r="BX53" s="1225">
        <v>99.97916039247022</v>
      </c>
      <c r="BY53" s="2139">
        <v>0</v>
      </c>
      <c r="BZ53" s="2139">
        <v>0</v>
      </c>
      <c r="CA53" s="2139">
        <v>100</v>
      </c>
      <c r="CB53" s="2139"/>
      <c r="CC53" s="2139"/>
      <c r="CD53" s="4674"/>
      <c r="CE53" s="4674"/>
      <c r="CF53" s="2139"/>
      <c r="CG53" s="2139"/>
      <c r="CH53" s="2139"/>
      <c r="CI53" s="2025"/>
      <c r="CJ53" s="2281"/>
      <c r="CK53" s="318">
        <v>85.29</v>
      </c>
    </row>
    <row r="54" spans="1:89" ht="20.25" customHeight="1">
      <c r="A54" s="7796"/>
      <c r="B54" s="1858" t="s">
        <v>1087</v>
      </c>
      <c r="C54" s="1859" t="s">
        <v>448</v>
      </c>
      <c r="D54" s="1945"/>
      <c r="E54" s="1946"/>
      <c r="F54" s="1932">
        <f>CGL!H11</f>
        <v>1329</v>
      </c>
      <c r="G54" s="1932">
        <f>CGL!I11</f>
        <v>651</v>
      </c>
      <c r="H54" s="6759">
        <v>685.29199999999992</v>
      </c>
      <c r="I54" s="6760">
        <f>CGL!K11</f>
        <v>560.84799999999996</v>
      </c>
      <c r="J54" s="6760">
        <f>CGL!L11</f>
        <v>190.82000000000002</v>
      </c>
      <c r="K54" s="6757">
        <f>CGL!M11</f>
        <v>150</v>
      </c>
      <c r="L54" s="6758">
        <f>CGL!N11</f>
        <v>15</v>
      </c>
      <c r="M54" s="4061">
        <f>CGL!O11</f>
        <v>0</v>
      </c>
      <c r="N54" s="4058">
        <f>CGL!P11</f>
        <v>0</v>
      </c>
      <c r="O54" s="4058">
        <f>CGL!Q11</f>
        <v>140.61000000000001</v>
      </c>
      <c r="P54" s="4058">
        <f>CGL!R11</f>
        <v>0</v>
      </c>
      <c r="Q54" s="4058">
        <f>CGL!S11</f>
        <v>0</v>
      </c>
      <c r="R54" s="4058">
        <f>CGL!T11</f>
        <v>0</v>
      </c>
      <c r="S54" s="4058">
        <f>CGL!U11</f>
        <v>0</v>
      </c>
      <c r="T54" s="4058">
        <f>CGL!V11</f>
        <v>0</v>
      </c>
      <c r="U54" s="4058">
        <f>CGL!W11</f>
        <v>0</v>
      </c>
      <c r="V54" s="3836">
        <f>CGL!X11</f>
        <v>0</v>
      </c>
      <c r="W54" s="4072">
        <f>CGL!Y11</f>
        <v>0</v>
      </c>
      <c r="X54" s="2747">
        <f>CGL!Z11</f>
        <v>0</v>
      </c>
      <c r="Y54" s="2181">
        <f>CGL!AA11</f>
        <v>140.61000000000001</v>
      </c>
      <c r="Z54" s="2034"/>
      <c r="AA54" s="2034"/>
      <c r="AB54" s="2034"/>
      <c r="AC54" s="2034"/>
      <c r="AD54" s="2034"/>
      <c r="AE54" s="2034"/>
      <c r="AF54" s="2026"/>
      <c r="AG54" s="2026"/>
      <c r="AH54" s="2026"/>
      <c r="AI54" s="2026"/>
      <c r="AJ54" s="2026"/>
      <c r="AK54" s="2026"/>
      <c r="AL54" s="2026"/>
      <c r="AM54" s="2026"/>
      <c r="AN54" s="2027"/>
      <c r="AO54" s="7960"/>
      <c r="AQ54" s="683"/>
      <c r="AR54" s="683"/>
      <c r="AS54" s="683"/>
      <c r="AT54" s="684">
        <v>1.43</v>
      </c>
      <c r="AU54" s="685" t="s">
        <v>623</v>
      </c>
      <c r="BR54" s="668" t="s">
        <v>632</v>
      </c>
      <c r="BS54" s="1224">
        <v>98.709193043687762</v>
      </c>
      <c r="BT54" s="7118">
        <v>99.068155973510756</v>
      </c>
      <c r="BU54" s="7118">
        <v>99.83</v>
      </c>
      <c r="BV54" s="1225">
        <v>100.18118732416113</v>
      </c>
      <c r="BW54" s="1225">
        <v>100.18258233928049</v>
      </c>
      <c r="BX54" s="1225">
        <v>100.3806325331841</v>
      </c>
      <c r="BY54" s="2139">
        <v>0</v>
      </c>
      <c r="BZ54" s="2139">
        <v>0</v>
      </c>
      <c r="CA54" s="2139">
        <v>100.12238129058709</v>
      </c>
      <c r="CB54" s="2139"/>
      <c r="CC54" s="2139"/>
      <c r="CD54" s="4674"/>
      <c r="CE54" s="4674"/>
      <c r="CF54" s="2139"/>
      <c r="CG54" s="2139"/>
      <c r="CH54" s="2139"/>
      <c r="CI54" s="2025"/>
      <c r="CJ54" s="2281"/>
      <c r="CK54" s="318">
        <v>74.790000000000006</v>
      </c>
    </row>
    <row r="55" spans="1:89" ht="20.25" customHeight="1">
      <c r="A55" s="7796"/>
      <c r="B55" s="1858" t="s">
        <v>1088</v>
      </c>
      <c r="C55" s="1859" t="s">
        <v>448</v>
      </c>
      <c r="D55" s="1945"/>
      <c r="E55" s="1946"/>
      <c r="F55" s="1932">
        <f>'#1CCL'!H13</f>
        <v>60</v>
      </c>
      <c r="G55" s="1932">
        <f>'#1CCL'!I13</f>
        <v>58.59</v>
      </c>
      <c r="H55" s="6759">
        <v>5.56</v>
      </c>
      <c r="I55" s="6760">
        <f>'#1CCL'!K13</f>
        <v>13.93</v>
      </c>
      <c r="J55" s="6760">
        <f>'#1CCL'!L13</f>
        <v>6.6199999999999992</v>
      </c>
      <c r="K55" s="6757">
        <f>'#1CCL'!M13</f>
        <v>7.215749999999999</v>
      </c>
      <c r="L55" s="6758">
        <f>'#1CCL'!N13</f>
        <v>0.60131249999999992</v>
      </c>
      <c r="M55" s="4061">
        <f>'#1CCL'!O13</f>
        <v>0</v>
      </c>
      <c r="N55" s="4058">
        <f>'#1CCL'!P13</f>
        <v>0</v>
      </c>
      <c r="O55" s="4058">
        <f>'#1CCL'!Q13</f>
        <v>0</v>
      </c>
      <c r="P55" s="4058">
        <f>'#1CCL'!R13</f>
        <v>0</v>
      </c>
      <c r="Q55" s="4058">
        <f>'#1CCL'!S13</f>
        <v>0</v>
      </c>
      <c r="R55" s="4058">
        <f>'#1CCL'!T13</f>
        <v>0</v>
      </c>
      <c r="S55" s="4058">
        <f>'#1CCL'!U13</f>
        <v>0</v>
      </c>
      <c r="T55" s="4058">
        <f>'#1CCL'!V13</f>
        <v>0</v>
      </c>
      <c r="U55" s="4058">
        <f>'#1CCL'!W13</f>
        <v>0</v>
      </c>
      <c r="V55" s="3836">
        <f>'#1CCL'!X13</f>
        <v>0</v>
      </c>
      <c r="W55" s="4072">
        <f>'#1CCL'!Y13</f>
        <v>0</v>
      </c>
      <c r="X55" s="2747">
        <f>'#1CCL'!Z13</f>
        <v>0</v>
      </c>
      <c r="Y55" s="2181">
        <f>'#1CCL'!AA13</f>
        <v>0</v>
      </c>
      <c r="Z55" s="2034"/>
      <c r="AA55" s="2034"/>
      <c r="AB55" s="2034"/>
      <c r="AC55" s="2034"/>
      <c r="AD55" s="2034"/>
      <c r="AE55" s="2034"/>
      <c r="AF55" s="2026"/>
      <c r="AG55" s="2026"/>
      <c r="AH55" s="2026"/>
      <c r="AI55" s="2026"/>
      <c r="AJ55" s="2026"/>
      <c r="AK55" s="2026"/>
      <c r="AL55" s="2026"/>
      <c r="AM55" s="2026"/>
      <c r="AN55" s="2027"/>
      <c r="AO55" s="7960"/>
      <c r="BR55" s="668" t="s">
        <v>633</v>
      </c>
      <c r="BS55" s="1224">
        <v>100.05369360660397</v>
      </c>
      <c r="BT55" s="7118">
        <v>100.05700705029608</v>
      </c>
      <c r="BU55" s="7118">
        <v>100.32</v>
      </c>
      <c r="BV55" s="1225">
        <v>100.5338473118038</v>
      </c>
      <c r="BW55" s="1225">
        <v>100.40908537375219</v>
      </c>
      <c r="BX55" s="1225">
        <v>100.48416087822143</v>
      </c>
      <c r="BY55" s="2139">
        <v>100.38500733750388</v>
      </c>
      <c r="BZ55" s="2139">
        <v>100.52442303626457</v>
      </c>
      <c r="CA55" s="2139">
        <v>100.50994294971281</v>
      </c>
      <c r="CB55" s="2139"/>
      <c r="CC55" s="2139"/>
      <c r="CD55" s="4674"/>
      <c r="CE55" s="4674"/>
      <c r="CF55" s="2139"/>
      <c r="CG55" s="2139"/>
      <c r="CH55" s="2139"/>
      <c r="CI55" s="2025"/>
      <c r="CJ55" s="2281"/>
      <c r="CK55" s="318">
        <v>64.38</v>
      </c>
    </row>
    <row r="56" spans="1:89" ht="20.25" customHeight="1" thickBot="1">
      <c r="A56" s="7796"/>
      <c r="B56" s="1858" t="s">
        <v>1089</v>
      </c>
      <c r="C56" s="1859" t="s">
        <v>448</v>
      </c>
      <c r="D56" s="1945"/>
      <c r="E56" s="1946"/>
      <c r="F56" s="1932">
        <f>'#2CCL'!H13</f>
        <v>62</v>
      </c>
      <c r="G56" s="1932">
        <f>'#2CCL'!I13</f>
        <v>110.32</v>
      </c>
      <c r="H56" s="6759">
        <v>2.89</v>
      </c>
      <c r="I56" s="6760">
        <f>'#2CCL'!K13</f>
        <v>20.137</v>
      </c>
      <c r="J56" s="6760">
        <f>'#2CCL'!L13</f>
        <v>2.96</v>
      </c>
      <c r="K56" s="6757">
        <f>'#2CCL'!M13</f>
        <v>0</v>
      </c>
      <c r="L56" s="6758">
        <f>'#2CCL'!N13</f>
        <v>0</v>
      </c>
      <c r="M56" s="4061">
        <f>'#2CCL'!O13</f>
        <v>0</v>
      </c>
      <c r="N56" s="4058">
        <f>'#2CCL'!P13</f>
        <v>0</v>
      </c>
      <c r="O56" s="4058">
        <f>'#2CCL'!Q13</f>
        <v>0</v>
      </c>
      <c r="P56" s="4058">
        <f>'#2CCL'!R13</f>
        <v>0</v>
      </c>
      <c r="Q56" s="4058">
        <f>'#2CCL'!S13</f>
        <v>0</v>
      </c>
      <c r="R56" s="4058">
        <f>'#2CCL'!T13</f>
        <v>0</v>
      </c>
      <c r="S56" s="4058">
        <f>'#2CCL'!U13</f>
        <v>0</v>
      </c>
      <c r="T56" s="4058">
        <f>'#2CCL'!V13</f>
        <v>0</v>
      </c>
      <c r="U56" s="4058">
        <f>'#2CCL'!W13</f>
        <v>0</v>
      </c>
      <c r="V56" s="3836">
        <f>'#2CCL'!X13</f>
        <v>0</v>
      </c>
      <c r="W56" s="4072">
        <f>'#2CCL'!Y13</f>
        <v>0</v>
      </c>
      <c r="X56" s="2747">
        <f>'#2CCL'!Z13</f>
        <v>0</v>
      </c>
      <c r="Y56" s="2181">
        <f>'#2CCL'!AA13</f>
        <v>0</v>
      </c>
      <c r="Z56" s="2034"/>
      <c r="AA56" s="2034"/>
      <c r="AB56" s="2034"/>
      <c r="AC56" s="2034"/>
      <c r="AD56" s="2034"/>
      <c r="AE56" s="2034"/>
      <c r="AF56" s="2026"/>
      <c r="AG56" s="2026"/>
      <c r="AH56" s="2026"/>
      <c r="AI56" s="2026"/>
      <c r="AJ56" s="2026"/>
      <c r="AK56" s="2026"/>
      <c r="AL56" s="2026"/>
      <c r="AM56" s="2026"/>
      <c r="AN56" s="2027"/>
      <c r="AO56" s="7960"/>
      <c r="AP56" s="683"/>
      <c r="BR56" s="668" t="s">
        <v>634</v>
      </c>
      <c r="BS56" s="1224">
        <v>99.993385966617737</v>
      </c>
      <c r="BT56" s="7118">
        <v>99.508318971028757</v>
      </c>
      <c r="BU56" s="7118">
        <v>99.83</v>
      </c>
      <c r="BV56" s="1225">
        <v>100.34514607442676</v>
      </c>
      <c r="BW56" s="1225">
        <v>100.38300232567896</v>
      </c>
      <c r="BX56" s="1225">
        <v>100.57092906575997</v>
      </c>
      <c r="BY56" s="2142">
        <v>100.34082893798045</v>
      </c>
      <c r="BZ56" s="2142">
        <v>100.28494718498875</v>
      </c>
      <c r="CA56" s="2142">
        <v>100.50867800872562</v>
      </c>
      <c r="CB56" s="2142"/>
      <c r="CC56" s="2142"/>
      <c r="CD56" s="2242"/>
      <c r="CE56" s="2242"/>
      <c r="CF56" s="2242"/>
      <c r="CG56" s="2242"/>
      <c r="CH56" s="2242"/>
      <c r="CI56" s="2141"/>
      <c r="CJ56" s="2282"/>
      <c r="CK56" s="669">
        <f>AVERAGE(BY56:CJ56)</f>
        <v>100.37815137723162</v>
      </c>
    </row>
    <row r="57" spans="1:89" ht="20.25" hidden="1" customHeight="1">
      <c r="A57" s="7796"/>
      <c r="B57" s="2752" t="s">
        <v>1092</v>
      </c>
      <c r="C57" s="1668"/>
      <c r="D57" s="1943"/>
      <c r="E57" s="1944"/>
      <c r="F57" s="2713"/>
      <c r="G57" s="2713"/>
      <c r="H57" s="6761"/>
      <c r="I57" s="6762">
        <v>88.485000000000014</v>
      </c>
      <c r="J57" s="6762">
        <v>89.484999999999999</v>
      </c>
      <c r="K57" s="6763"/>
      <c r="L57" s="6764"/>
      <c r="M57" s="4073">
        <v>0</v>
      </c>
      <c r="N57" s="4069">
        <v>0</v>
      </c>
      <c r="O57" s="4069">
        <v>0</v>
      </c>
      <c r="P57" s="4069">
        <v>0</v>
      </c>
      <c r="Q57" s="4069">
        <v>0</v>
      </c>
      <c r="R57" s="4069">
        <v>0</v>
      </c>
      <c r="S57" s="4069">
        <v>0</v>
      </c>
      <c r="T57" s="4069">
        <v>0</v>
      </c>
      <c r="U57" s="4069">
        <v>0</v>
      </c>
      <c r="V57" s="3836">
        <v>0</v>
      </c>
      <c r="W57" s="5532">
        <v>0</v>
      </c>
      <c r="X57" s="1950">
        <v>0</v>
      </c>
      <c r="Y57" s="2187">
        <f>SUM(M57:X57)</f>
        <v>0</v>
      </c>
      <c r="Z57" s="1951"/>
      <c r="AA57" s="2035"/>
      <c r="AB57" s="2035"/>
      <c r="AC57" s="2035"/>
      <c r="AD57" s="2035"/>
      <c r="AE57" s="2035"/>
      <c r="AF57" s="2036"/>
      <c r="AG57" s="2036"/>
      <c r="AH57" s="2036"/>
      <c r="AI57" s="2036"/>
      <c r="AJ57" s="2036"/>
      <c r="AK57" s="2036"/>
      <c r="AL57" s="2036"/>
      <c r="AM57" s="2036"/>
      <c r="AN57" s="2037"/>
      <c r="AO57" s="7961"/>
      <c r="AP57" s="683"/>
      <c r="AQ57" s="683"/>
      <c r="AR57" s="683"/>
      <c r="AS57" s="683"/>
      <c r="AT57" s="1922"/>
      <c r="AU57" s="1923"/>
      <c r="AY57" s="1940"/>
      <c r="AZ57" s="1954"/>
      <c r="BA57" s="1955"/>
      <c r="BB57" s="1955"/>
      <c r="BC57" s="1955"/>
    </row>
    <row r="58" spans="1:89" ht="20.25" customHeight="1" thickBot="1">
      <c r="A58" s="7822"/>
      <c r="B58" s="2760" t="s">
        <v>16</v>
      </c>
      <c r="C58" s="1881" t="s">
        <v>448</v>
      </c>
      <c r="D58" s="1924"/>
      <c r="E58" s="1925"/>
      <c r="F58" s="1925">
        <f t="shared" ref="F58:L58" si="25">SUM(F52:F56)</f>
        <v>3233.0600000000004</v>
      </c>
      <c r="G58" s="1925">
        <f t="shared" si="25"/>
        <v>1815.9099999999999</v>
      </c>
      <c r="H58" s="6765">
        <f t="shared" si="25"/>
        <v>1031.932</v>
      </c>
      <c r="I58" s="6766">
        <f t="shared" si="25"/>
        <v>1067.3710000000001</v>
      </c>
      <c r="J58" s="6766">
        <f>SUM(J52:J56)</f>
        <v>600.29700000000003</v>
      </c>
      <c r="K58" s="6767">
        <f t="shared" si="25"/>
        <v>377.21575000000001</v>
      </c>
      <c r="L58" s="4283">
        <f t="shared" si="25"/>
        <v>37.601312499999999</v>
      </c>
      <c r="M58" s="4062">
        <f>SUM(M52:M57)</f>
        <v>6.25</v>
      </c>
      <c r="N58" s="4561">
        <f t="shared" ref="N58:Y58" si="26">SUM(N52:N57)</f>
        <v>7.52</v>
      </c>
      <c r="O58" s="4561">
        <f t="shared" si="26"/>
        <v>166.17000000000002</v>
      </c>
      <c r="P58" s="4561">
        <f t="shared" si="26"/>
        <v>0</v>
      </c>
      <c r="Q58" s="4561">
        <f t="shared" si="26"/>
        <v>0</v>
      </c>
      <c r="R58" s="4561">
        <f t="shared" si="26"/>
        <v>0</v>
      </c>
      <c r="S58" s="4561">
        <f t="shared" si="26"/>
        <v>0</v>
      </c>
      <c r="T58" s="4561">
        <f t="shared" si="26"/>
        <v>0</v>
      </c>
      <c r="U58" s="4561">
        <f t="shared" si="26"/>
        <v>0</v>
      </c>
      <c r="V58" s="7605">
        <f t="shared" si="26"/>
        <v>0</v>
      </c>
      <c r="W58" s="5529">
        <f t="shared" si="26"/>
        <v>0</v>
      </c>
      <c r="X58" s="1597">
        <f t="shared" si="26"/>
        <v>0</v>
      </c>
      <c r="Y58" s="1589">
        <f t="shared" si="26"/>
        <v>179.94</v>
      </c>
      <c r="Z58" s="1927"/>
      <c r="AA58" s="1927"/>
      <c r="AB58" s="1927"/>
      <c r="AC58" s="1927"/>
      <c r="AD58" s="1927"/>
      <c r="AE58" s="1927"/>
      <c r="AF58" s="1884"/>
      <c r="AG58" s="1884"/>
      <c r="AH58" s="1884"/>
      <c r="AI58" s="1884"/>
      <c r="AJ58" s="1884"/>
      <c r="AK58" s="1884"/>
      <c r="AL58" s="1884"/>
      <c r="AM58" s="1884"/>
      <c r="AN58" s="1885"/>
      <c r="AO58" s="1886"/>
      <c r="AP58" s="683"/>
      <c r="AQ58" s="683"/>
      <c r="AR58" s="683"/>
      <c r="AS58" s="683"/>
      <c r="AT58" s="1922"/>
      <c r="AU58" s="1923"/>
      <c r="AY58" s="1940"/>
      <c r="AZ58" s="1954"/>
      <c r="BA58" s="1955"/>
      <c r="BB58" s="1955"/>
      <c r="BC58" s="1955"/>
    </row>
    <row r="59" spans="1:89" ht="20.25" customHeight="1" thickBot="1">
      <c r="A59" s="7981" t="s">
        <v>1308</v>
      </c>
      <c r="B59" s="7982"/>
      <c r="C59" s="1850" t="s">
        <v>448</v>
      </c>
      <c r="D59" s="2773"/>
      <c r="E59" s="2361"/>
      <c r="F59" s="2361">
        <f t="shared" ref="F59:Y59" si="27">F51+F58</f>
        <v>5160.7070000000003</v>
      </c>
      <c r="G59" s="2361">
        <f t="shared" si="27"/>
        <v>2464.98</v>
      </c>
      <c r="H59" s="2361">
        <f t="shared" si="27"/>
        <v>1608.693</v>
      </c>
      <c r="I59" s="2628">
        <f t="shared" si="27"/>
        <v>1349.6880000000001</v>
      </c>
      <c r="J59" s="2628">
        <f>J51+J58</f>
        <v>942.88099999999997</v>
      </c>
      <c r="K59" s="4270">
        <f t="shared" si="27"/>
        <v>681.18415000000005</v>
      </c>
      <c r="L59" s="4271">
        <f t="shared" si="27"/>
        <v>65.396652499999988</v>
      </c>
      <c r="M59" s="2778">
        <f t="shared" si="27"/>
        <v>22.184000000000001</v>
      </c>
      <c r="N59" s="2628">
        <f t="shared" si="27"/>
        <v>19.324999999999999</v>
      </c>
      <c r="O59" s="2628">
        <f t="shared" si="27"/>
        <v>199.33200000000002</v>
      </c>
      <c r="P59" s="2628">
        <f t="shared" si="27"/>
        <v>0</v>
      </c>
      <c r="Q59" s="2628">
        <f t="shared" si="27"/>
        <v>0</v>
      </c>
      <c r="R59" s="2628">
        <f t="shared" si="27"/>
        <v>0</v>
      </c>
      <c r="S59" s="2628">
        <f t="shared" si="27"/>
        <v>0</v>
      </c>
      <c r="T59" s="2628">
        <f t="shared" si="27"/>
        <v>0</v>
      </c>
      <c r="U59" s="2628">
        <f t="shared" si="27"/>
        <v>0</v>
      </c>
      <c r="V59" s="7608">
        <f t="shared" si="27"/>
        <v>0</v>
      </c>
      <c r="W59" s="4074">
        <f t="shared" si="27"/>
        <v>0</v>
      </c>
      <c r="X59" s="2361">
        <f t="shared" si="27"/>
        <v>0</v>
      </c>
      <c r="Y59" s="2361">
        <f t="shared" si="27"/>
        <v>241.14099999999999</v>
      </c>
      <c r="Z59" s="2774"/>
      <c r="AA59" s="2774"/>
      <c r="AB59" s="2774"/>
      <c r="AC59" s="2774"/>
      <c r="AD59" s="2774"/>
      <c r="AE59" s="2774"/>
      <c r="AF59" s="1856"/>
      <c r="AG59" s="1856"/>
      <c r="AH59" s="1856"/>
      <c r="AI59" s="1856"/>
      <c r="AJ59" s="1856"/>
      <c r="AK59" s="1856"/>
      <c r="AL59" s="1856"/>
      <c r="AM59" s="1856"/>
      <c r="AN59" s="2775"/>
      <c r="AO59" s="1857"/>
      <c r="AP59" s="4803">
        <f>(CPL!AA11+Y59+Y65+Y71+Y77)*1000/년간!V13</f>
        <v>11.27323905159273</v>
      </c>
      <c r="AQ59" s="683"/>
      <c r="AR59" s="683"/>
      <c r="AS59" s="683"/>
      <c r="AT59" s="1922"/>
      <c r="AU59" s="1923"/>
      <c r="AY59" s="2761"/>
      <c r="AZ59" s="1954"/>
      <c r="BA59" s="1955"/>
      <c r="BB59" s="1955"/>
      <c r="BC59" s="1955"/>
    </row>
    <row r="60" spans="1:89" ht="20.25" customHeight="1">
      <c r="A60" s="7756" t="s">
        <v>1090</v>
      </c>
      <c r="B60" s="6432" t="s">
        <v>39</v>
      </c>
      <c r="C60" s="1154" t="s">
        <v>1073</v>
      </c>
      <c r="D60" s="1929"/>
      <c r="E60" s="1930"/>
      <c r="F60" s="2069"/>
      <c r="G60" s="2069"/>
      <c r="H60" s="2070"/>
      <c r="I60" s="6768"/>
      <c r="J60" s="6769">
        <f>CPL!L15</f>
        <v>43.07</v>
      </c>
      <c r="K60" s="6770">
        <f>CPL!M15</f>
        <v>10</v>
      </c>
      <c r="L60" s="6771">
        <f>CPL!N15</f>
        <v>1</v>
      </c>
      <c r="M60" s="6478">
        <f>CPL!O15</f>
        <v>0</v>
      </c>
      <c r="N60" s="3211">
        <f>CPL!P15</f>
        <v>0</v>
      </c>
      <c r="O60" s="3211">
        <f>CPL!Q15</f>
        <v>0</v>
      </c>
      <c r="P60" s="3211">
        <f>CPL!R15</f>
        <v>0</v>
      </c>
      <c r="Q60" s="3211">
        <f>CPL!S15</f>
        <v>0</v>
      </c>
      <c r="R60" s="3211">
        <f>CPL!T15</f>
        <v>0</v>
      </c>
      <c r="S60" s="3211">
        <f>CPL!U15</f>
        <v>0</v>
      </c>
      <c r="T60" s="3211">
        <f>CPL!V15</f>
        <v>0</v>
      </c>
      <c r="U60" s="3211">
        <f>CPL!W15</f>
        <v>0</v>
      </c>
      <c r="V60" s="3383">
        <f>CPL!X15</f>
        <v>0</v>
      </c>
      <c r="W60" s="6478">
        <f>CPL!Y15</f>
        <v>0</v>
      </c>
      <c r="X60" s="3211">
        <f>CPL!Z15</f>
        <v>0</v>
      </c>
      <c r="Y60" s="6476">
        <f>CPL!AA15</f>
        <v>0</v>
      </c>
      <c r="Z60" s="2031"/>
      <c r="AA60" s="2031"/>
      <c r="AB60" s="2031"/>
      <c r="AC60" s="2031"/>
      <c r="AD60" s="2031"/>
      <c r="AE60" s="2031"/>
      <c r="AF60" s="2032"/>
      <c r="AG60" s="2032"/>
      <c r="AH60" s="2032"/>
      <c r="AI60" s="2032"/>
      <c r="AJ60" s="2032"/>
      <c r="AK60" s="2032"/>
      <c r="AL60" s="2032"/>
      <c r="AM60" s="2032"/>
      <c r="AN60" s="2033"/>
      <c r="AO60" s="7959" t="s">
        <v>1103</v>
      </c>
      <c r="AP60" s="4803"/>
      <c r="AQ60" s="683"/>
      <c r="AR60" s="683"/>
      <c r="AS60" s="683"/>
      <c r="AT60" s="1922"/>
      <c r="AU60" s="1923"/>
      <c r="AY60" s="6435"/>
      <c r="AZ60" s="1954"/>
      <c r="BA60" s="1955"/>
      <c r="BB60" s="1955"/>
      <c r="BC60" s="1955"/>
    </row>
    <row r="61" spans="1:89" ht="20.25" customHeight="1">
      <c r="A61" s="7757"/>
      <c r="B61" s="6434" t="s">
        <v>28</v>
      </c>
      <c r="C61" s="2098" t="s">
        <v>1073</v>
      </c>
      <c r="D61" s="2099"/>
      <c r="E61" s="2100"/>
      <c r="F61" s="2101"/>
      <c r="G61" s="2101"/>
      <c r="H61" s="2102"/>
      <c r="I61" s="6772"/>
      <c r="J61" s="6773">
        <f>CRM!L17</f>
        <v>108.04300000000002</v>
      </c>
      <c r="K61" s="6774">
        <f>CRM!M17</f>
        <v>39.36</v>
      </c>
      <c r="L61" s="6775">
        <f>CRM!N17</f>
        <v>3.9359999999999999</v>
      </c>
      <c r="M61" s="6479">
        <f>CRM!O17</f>
        <v>0</v>
      </c>
      <c r="N61" s="3384">
        <f>CRM!P17</f>
        <v>0</v>
      </c>
      <c r="O61" s="3384">
        <f>CRM!Q17</f>
        <v>0</v>
      </c>
      <c r="P61" s="3384">
        <f>CRM!R17</f>
        <v>0</v>
      </c>
      <c r="Q61" s="3384">
        <f>CRM!S17</f>
        <v>0</v>
      </c>
      <c r="R61" s="3384">
        <f>CRM!T17</f>
        <v>0</v>
      </c>
      <c r="S61" s="3384">
        <f>CRM!U17</f>
        <v>0</v>
      </c>
      <c r="T61" s="3384">
        <f>CRM!V17</f>
        <v>0</v>
      </c>
      <c r="U61" s="3384">
        <f>CRM!W17</f>
        <v>0</v>
      </c>
      <c r="V61" s="3383">
        <f>CRM!X17</f>
        <v>0</v>
      </c>
      <c r="W61" s="6479">
        <f>CRM!Y17</f>
        <v>0</v>
      </c>
      <c r="X61" s="3384">
        <f>CRM!Z17</f>
        <v>0</v>
      </c>
      <c r="Y61" s="6477">
        <f>CRM!AA17</f>
        <v>0</v>
      </c>
      <c r="Z61" s="2103"/>
      <c r="AA61" s="2103"/>
      <c r="AB61" s="2103"/>
      <c r="AC61" s="2103"/>
      <c r="AD61" s="2103"/>
      <c r="AE61" s="2103"/>
      <c r="AF61" s="2104"/>
      <c r="AG61" s="2104"/>
      <c r="AH61" s="2104"/>
      <c r="AI61" s="2104"/>
      <c r="AJ61" s="2104"/>
      <c r="AK61" s="2104"/>
      <c r="AL61" s="2104"/>
      <c r="AM61" s="2104"/>
      <c r="AN61" s="2105"/>
      <c r="AO61" s="7960"/>
      <c r="AP61" s="4803"/>
      <c r="AQ61" s="683"/>
      <c r="AR61" s="683"/>
      <c r="AS61" s="683"/>
      <c r="AT61" s="1922"/>
      <c r="AU61" s="1923"/>
      <c r="AY61" s="6435"/>
      <c r="AZ61" s="1954"/>
      <c r="BA61" s="1955"/>
      <c r="BB61" s="1955"/>
      <c r="BC61" s="1955"/>
    </row>
    <row r="62" spans="1:89" ht="20.25" customHeight="1">
      <c r="A62" s="7757"/>
      <c r="B62" s="2753" t="s">
        <v>1070</v>
      </c>
      <c r="C62" s="1152" t="s">
        <v>1073</v>
      </c>
      <c r="D62" s="1941"/>
      <c r="E62" s="1942"/>
      <c r="F62" s="2066"/>
      <c r="G62" s="2066"/>
      <c r="H62" s="2067"/>
      <c r="I62" s="6776">
        <f>CGL!K14</f>
        <v>467.16800000000006</v>
      </c>
      <c r="J62" s="6776">
        <f>CGL!L14</f>
        <v>203.10000000000002</v>
      </c>
      <c r="K62" s="6777">
        <f>CGL!M14</f>
        <v>200</v>
      </c>
      <c r="L62" s="6778">
        <f>K62/10</f>
        <v>20</v>
      </c>
      <c r="M62" s="1971">
        <f>CGL!O14</f>
        <v>67.300000000000011</v>
      </c>
      <c r="N62" s="1948">
        <f>CGL!P14</f>
        <v>11.5</v>
      </c>
      <c r="O62" s="1948">
        <f>CGL!Q14</f>
        <v>14.38</v>
      </c>
      <c r="P62" s="1948">
        <f>CGL!R14</f>
        <v>0</v>
      </c>
      <c r="Q62" s="1948">
        <f>CGL!S14</f>
        <v>0</v>
      </c>
      <c r="R62" s="1948">
        <f>CGL!T14</f>
        <v>0</v>
      </c>
      <c r="S62" s="1948">
        <f>CGL!U14</f>
        <v>0</v>
      </c>
      <c r="T62" s="1948">
        <f>CGL!V14</f>
        <v>0</v>
      </c>
      <c r="U62" s="1948">
        <f>CGL!W14</f>
        <v>0</v>
      </c>
      <c r="V62" s="3836">
        <f>CGL!X14</f>
        <v>0</v>
      </c>
      <c r="W62" s="5533">
        <f>CGL!Y14</f>
        <v>0</v>
      </c>
      <c r="X62" s="2748">
        <f>CGL!Z14</f>
        <v>0</v>
      </c>
      <c r="Y62" s="2188">
        <f>CGL!AA14</f>
        <v>93.18</v>
      </c>
      <c r="Z62" s="2038"/>
      <c r="AA62" s="2038"/>
      <c r="AB62" s="2038"/>
      <c r="AC62" s="2038"/>
      <c r="AD62" s="2038"/>
      <c r="AE62" s="2038"/>
      <c r="AF62" s="2039"/>
      <c r="AG62" s="2039"/>
      <c r="AH62" s="2039"/>
      <c r="AI62" s="2039"/>
      <c r="AJ62" s="2039"/>
      <c r="AK62" s="2039"/>
      <c r="AL62" s="2039"/>
      <c r="AM62" s="2039"/>
      <c r="AN62" s="2040"/>
      <c r="AO62" s="7960"/>
      <c r="AP62" s="4804"/>
      <c r="AQ62" s="683"/>
      <c r="AR62" s="683"/>
      <c r="AS62" s="683"/>
      <c r="AT62" s="1922"/>
      <c r="AU62" s="1923"/>
      <c r="AZ62" s="2740"/>
      <c r="BA62" s="1955"/>
      <c r="BB62" s="1955"/>
      <c r="BC62" s="1955"/>
    </row>
    <row r="63" spans="1:89" ht="20.25" customHeight="1">
      <c r="A63" s="7757"/>
      <c r="B63" s="1858" t="s">
        <v>1071</v>
      </c>
      <c r="C63" s="1859" t="s">
        <v>1073</v>
      </c>
      <c r="D63" s="1928"/>
      <c r="E63" s="1826"/>
      <c r="F63" s="2068"/>
      <c r="G63" s="2068"/>
      <c r="H63" s="2102"/>
      <c r="I63" s="6776">
        <f>'#1CCL'!K17</f>
        <v>201.822</v>
      </c>
      <c r="J63" s="6776">
        <f>'#1CCL'!L17</f>
        <v>222.501</v>
      </c>
      <c r="K63" s="6779">
        <f>'#1CCL'!M17</f>
        <v>128.28</v>
      </c>
      <c r="L63" s="6775">
        <f>K63/12</f>
        <v>10.69</v>
      </c>
      <c r="M63" s="4061">
        <f>'#1CCL'!O17</f>
        <v>8.2200000000000006</v>
      </c>
      <c r="N63" s="4058">
        <f>'#1CCL'!P17</f>
        <v>21.52</v>
      </c>
      <c r="O63" s="4058">
        <f>'#1CCL'!Q17</f>
        <v>18.21</v>
      </c>
      <c r="P63" s="4058">
        <f>'#1CCL'!R17</f>
        <v>0</v>
      </c>
      <c r="Q63" s="4058">
        <f>'#1CCL'!S17</f>
        <v>0</v>
      </c>
      <c r="R63" s="4058">
        <f>'#1CCL'!T17</f>
        <v>0</v>
      </c>
      <c r="S63" s="4058">
        <f>'#1CCL'!U17</f>
        <v>0</v>
      </c>
      <c r="T63" s="4058">
        <f>'#1CCL'!V17</f>
        <v>0</v>
      </c>
      <c r="U63" s="4058">
        <f>'#1CCL'!W17</f>
        <v>0</v>
      </c>
      <c r="V63" s="3836">
        <f>'#1CCL'!X17</f>
        <v>0</v>
      </c>
      <c r="W63" s="4072">
        <f>'#1CCL'!Y17</f>
        <v>0</v>
      </c>
      <c r="X63" s="2747">
        <f>'#1CCL'!Z17</f>
        <v>0</v>
      </c>
      <c r="Y63" s="2184">
        <f>'#1CCL'!AA17</f>
        <v>47.95</v>
      </c>
      <c r="Z63" s="4064"/>
      <c r="AA63" s="2034"/>
      <c r="AB63" s="2034"/>
      <c r="AC63" s="2034"/>
      <c r="AD63" s="2034"/>
      <c r="AE63" s="2034"/>
      <c r="AF63" s="2026"/>
      <c r="AG63" s="2026"/>
      <c r="AH63" s="2026"/>
      <c r="AI63" s="2026"/>
      <c r="AJ63" s="2026"/>
      <c r="AK63" s="2026"/>
      <c r="AL63" s="2026"/>
      <c r="AM63" s="2026"/>
      <c r="AN63" s="2027"/>
      <c r="AO63" s="7960"/>
      <c r="AP63" s="683"/>
      <c r="AQ63" s="683"/>
      <c r="AR63" s="683"/>
      <c r="AS63" s="683"/>
      <c r="AT63" s="1922"/>
      <c r="AU63" s="1923"/>
      <c r="AZ63" s="2740"/>
      <c r="BA63" s="1955"/>
      <c r="BB63" s="1955"/>
      <c r="BC63" s="1955"/>
    </row>
    <row r="64" spans="1:89" ht="20.25" customHeight="1">
      <c r="A64" s="7757"/>
      <c r="B64" s="1858" t="s">
        <v>1072</v>
      </c>
      <c r="C64" s="1859" t="s">
        <v>1073</v>
      </c>
      <c r="D64" s="1928"/>
      <c r="E64" s="1826"/>
      <c r="F64" s="2068"/>
      <c r="G64" s="2068"/>
      <c r="H64" s="2102"/>
      <c r="I64" s="6776">
        <f>'#2CCL'!K17</f>
        <v>151.458</v>
      </c>
      <c r="J64" s="6776">
        <f>'#2CCL'!L17</f>
        <v>86.700000000000017</v>
      </c>
      <c r="K64" s="6779">
        <f>'#2CCL'!M17</f>
        <v>86.813999999999993</v>
      </c>
      <c r="L64" s="6775">
        <f>K64/12</f>
        <v>7.2344999999999997</v>
      </c>
      <c r="M64" s="4061">
        <f>'#2CCL'!O17</f>
        <v>3.8</v>
      </c>
      <c r="N64" s="4058">
        <f>'#2CCL'!P17</f>
        <v>0</v>
      </c>
      <c r="O64" s="4058">
        <f>'#2CCL'!Q17</f>
        <v>10.34</v>
      </c>
      <c r="P64" s="4058">
        <f>'#2CCL'!R17</f>
        <v>0</v>
      </c>
      <c r="Q64" s="4058">
        <f>'#2CCL'!S17</f>
        <v>0</v>
      </c>
      <c r="R64" s="4058">
        <f>'#2CCL'!T17</f>
        <v>0</v>
      </c>
      <c r="S64" s="4058">
        <f>'#2CCL'!U17</f>
        <v>0</v>
      </c>
      <c r="T64" s="4058">
        <f>'#2CCL'!V17</f>
        <v>0</v>
      </c>
      <c r="U64" s="4058">
        <f>'#2CCL'!W17</f>
        <v>0</v>
      </c>
      <c r="V64" s="3836">
        <f>'#2CCL'!X17</f>
        <v>0</v>
      </c>
      <c r="W64" s="4072">
        <f>'#2CCL'!Y17</f>
        <v>0</v>
      </c>
      <c r="X64" s="2747">
        <f>'#2CCL'!Z17</f>
        <v>0</v>
      </c>
      <c r="Y64" s="2189">
        <f>'#2CCL'!AA17</f>
        <v>14.14</v>
      </c>
      <c r="Z64" s="4065"/>
      <c r="AA64" s="2034"/>
      <c r="AB64" s="2034"/>
      <c r="AC64" s="2034"/>
      <c r="AD64" s="2034"/>
      <c r="AE64" s="2034"/>
      <c r="AF64" s="2026"/>
      <c r="AG64" s="2026"/>
      <c r="AH64" s="2026"/>
      <c r="AI64" s="2026"/>
      <c r="AJ64" s="2026"/>
      <c r="AK64" s="2026"/>
      <c r="AL64" s="2026"/>
      <c r="AM64" s="2026"/>
      <c r="AN64" s="2027"/>
      <c r="AO64" s="7961"/>
      <c r="AP64" s="683"/>
      <c r="AQ64" s="683"/>
      <c r="AR64" s="683"/>
      <c r="AS64" s="683"/>
      <c r="AT64" s="1922"/>
      <c r="AU64" s="1923"/>
      <c r="AZ64" s="2740"/>
      <c r="BA64" s="1955"/>
      <c r="BB64" s="1955"/>
      <c r="BC64" s="1955"/>
    </row>
    <row r="65" spans="1:65" ht="20.25" customHeight="1" thickBot="1">
      <c r="A65" s="7758"/>
      <c r="B65" s="2760" t="s">
        <v>1074</v>
      </c>
      <c r="C65" s="1881" t="s">
        <v>1075</v>
      </c>
      <c r="D65" s="1924"/>
      <c r="E65" s="1925"/>
      <c r="F65" s="1925"/>
      <c r="G65" s="1925"/>
      <c r="H65" s="1926"/>
      <c r="I65" s="6780">
        <f>SUM(I60:I64)</f>
        <v>820.44799999999998</v>
      </c>
      <c r="J65" s="6780">
        <f>SUM(J60:J64)</f>
        <v>663.4140000000001</v>
      </c>
      <c r="K65" s="6781">
        <f>SUM(K60:K64)</f>
        <v>464.45399999999995</v>
      </c>
      <c r="L65" s="4283">
        <f>K65/12</f>
        <v>38.704499999999996</v>
      </c>
      <c r="M65" s="5421">
        <f>SUM(M60:M64)</f>
        <v>79.320000000000007</v>
      </c>
      <c r="N65" s="2131">
        <f t="shared" ref="N65:Y65" si="28">SUM(N60:N64)</f>
        <v>33.019999999999996</v>
      </c>
      <c r="O65" s="2131">
        <f t="shared" si="28"/>
        <v>42.930000000000007</v>
      </c>
      <c r="P65" s="2131">
        <f t="shared" si="28"/>
        <v>0</v>
      </c>
      <c r="Q65" s="2131">
        <f t="shared" si="28"/>
        <v>0</v>
      </c>
      <c r="R65" s="2131">
        <f t="shared" si="28"/>
        <v>0</v>
      </c>
      <c r="S65" s="2131">
        <f t="shared" si="28"/>
        <v>0</v>
      </c>
      <c r="T65" s="2131">
        <f t="shared" si="28"/>
        <v>0</v>
      </c>
      <c r="U65" s="2132">
        <f t="shared" si="28"/>
        <v>0</v>
      </c>
      <c r="V65" s="7605">
        <f t="shared" si="28"/>
        <v>0</v>
      </c>
      <c r="W65" s="4891">
        <f t="shared" si="28"/>
        <v>0</v>
      </c>
      <c r="X65" s="2131">
        <f t="shared" si="28"/>
        <v>0</v>
      </c>
      <c r="Y65" s="2131">
        <f t="shared" si="28"/>
        <v>155.26999999999998</v>
      </c>
      <c r="Z65" s="1927"/>
      <c r="AA65" s="1927"/>
      <c r="AB65" s="1927"/>
      <c r="AC65" s="1927"/>
      <c r="AD65" s="1927"/>
      <c r="AE65" s="1927"/>
      <c r="AF65" s="1884"/>
      <c r="AG65" s="1884"/>
      <c r="AH65" s="1884"/>
      <c r="AI65" s="1884"/>
      <c r="AJ65" s="1884"/>
      <c r="AK65" s="1884"/>
      <c r="AL65" s="1884"/>
      <c r="AM65" s="1884"/>
      <c r="AN65" s="1885"/>
      <c r="AO65" s="1886"/>
      <c r="AP65" s="683"/>
      <c r="AQ65" s="683"/>
      <c r="AR65" s="683"/>
      <c r="AS65" s="683"/>
      <c r="AT65" s="1922"/>
      <c r="AU65" s="1923"/>
      <c r="AZ65" s="2740"/>
      <c r="BA65" s="1955"/>
      <c r="BB65" s="1955"/>
      <c r="BC65" s="1955"/>
    </row>
    <row r="66" spans="1:65" ht="20.25" customHeight="1">
      <c r="A66" s="7795" t="s">
        <v>1091</v>
      </c>
      <c r="B66" s="2755" t="s">
        <v>39</v>
      </c>
      <c r="C66" s="1154" t="s">
        <v>1073</v>
      </c>
      <c r="D66" s="1929"/>
      <c r="E66" s="1930"/>
      <c r="F66" s="2069"/>
      <c r="G66" s="2069"/>
      <c r="H66" s="2070"/>
      <c r="I66" s="6769">
        <f>CPL!K14</f>
        <v>24.68</v>
      </c>
      <c r="J66" s="6769">
        <f>CPL!L14</f>
        <v>54.010000000000005</v>
      </c>
      <c r="K66" s="6782">
        <f>CPL!M14</f>
        <v>22</v>
      </c>
      <c r="L66" s="6771">
        <f>K66/10</f>
        <v>2.2000000000000002</v>
      </c>
      <c r="M66" s="1957">
        <f>CPL!O14</f>
        <v>0</v>
      </c>
      <c r="N66" s="1739">
        <f>CPL!P14</f>
        <v>0</v>
      </c>
      <c r="O66" s="1739">
        <f>CPL!Q14</f>
        <v>0</v>
      </c>
      <c r="P66" s="1739">
        <f>CPL!R14</f>
        <v>0</v>
      </c>
      <c r="Q66" s="1739">
        <f>CPL!S14</f>
        <v>0</v>
      </c>
      <c r="R66" s="1739">
        <f>CPL!T14</f>
        <v>0</v>
      </c>
      <c r="S66" s="1739">
        <f>CPL!U14</f>
        <v>0</v>
      </c>
      <c r="T66" s="1739">
        <f>CPL!V14</f>
        <v>0</v>
      </c>
      <c r="U66" s="1739">
        <f>CPL!W14</f>
        <v>0</v>
      </c>
      <c r="V66" s="3836">
        <f>CPL!X14</f>
        <v>0</v>
      </c>
      <c r="W66" s="5531">
        <f>CPL!Y14</f>
        <v>0</v>
      </c>
      <c r="X66" s="1931">
        <f>CPL!Z14</f>
        <v>0</v>
      </c>
      <c r="Y66" s="2190">
        <f>CPL!AA14</f>
        <v>0</v>
      </c>
      <c r="Z66" s="2031"/>
      <c r="AA66" s="2031"/>
      <c r="AB66" s="2031"/>
      <c r="AC66" s="2031"/>
      <c r="AD66" s="2031"/>
      <c r="AE66" s="2031"/>
      <c r="AF66" s="2032"/>
      <c r="AG66" s="2032"/>
      <c r="AH66" s="2032"/>
      <c r="AI66" s="2032"/>
      <c r="AJ66" s="2032"/>
      <c r="AK66" s="2032"/>
      <c r="AL66" s="2032"/>
      <c r="AM66" s="2032"/>
      <c r="AN66" s="2033"/>
      <c r="AO66" s="7965" t="s">
        <v>1102</v>
      </c>
      <c r="AP66" s="683"/>
      <c r="AQ66" s="683"/>
      <c r="AR66" s="683"/>
      <c r="AS66" s="683"/>
      <c r="AT66" s="1922"/>
      <c r="AU66" s="1923"/>
      <c r="AZ66" s="2740"/>
      <c r="BA66" s="1955"/>
      <c r="BB66" s="1955"/>
      <c r="BC66" s="1955"/>
    </row>
    <row r="67" spans="1:65" ht="20.25" customHeight="1">
      <c r="A67" s="7796"/>
      <c r="B67" s="2757" t="s">
        <v>42</v>
      </c>
      <c r="C67" s="2098" t="s">
        <v>1073</v>
      </c>
      <c r="D67" s="2099"/>
      <c r="E67" s="2100"/>
      <c r="F67" s="2101"/>
      <c r="G67" s="2101"/>
      <c r="H67" s="2102"/>
      <c r="I67" s="6783"/>
      <c r="J67" s="6776">
        <f>CRM!L16</f>
        <v>48.974000000000004</v>
      </c>
      <c r="K67" s="6774">
        <f>CRM!M16</f>
        <v>13.13</v>
      </c>
      <c r="L67" s="6775">
        <f>CRM!N16</f>
        <v>1.3130000000000002</v>
      </c>
      <c r="M67" s="6479">
        <f>CRM!O16</f>
        <v>0</v>
      </c>
      <c r="N67" s="3384">
        <f>CRM!P16</f>
        <v>0</v>
      </c>
      <c r="O67" s="3384">
        <f>CRM!Q16</f>
        <v>28.85</v>
      </c>
      <c r="P67" s="3384">
        <f>CRM!R16</f>
        <v>0</v>
      </c>
      <c r="Q67" s="3384">
        <f>CRM!S16</f>
        <v>0</v>
      </c>
      <c r="R67" s="3384">
        <f>CRM!T16</f>
        <v>0</v>
      </c>
      <c r="S67" s="3384">
        <f>CRM!U16</f>
        <v>0</v>
      </c>
      <c r="T67" s="3384">
        <f>CRM!V16</f>
        <v>0</v>
      </c>
      <c r="U67" s="3384">
        <f>CRM!W16</f>
        <v>0</v>
      </c>
      <c r="V67" s="3383">
        <f>CRM!X16</f>
        <v>0</v>
      </c>
      <c r="W67" s="6479">
        <f>CRM!Y16</f>
        <v>0</v>
      </c>
      <c r="X67" s="3384">
        <f>CRM!Z16</f>
        <v>0</v>
      </c>
      <c r="Y67" s="6477">
        <f>CRM!AA16</f>
        <v>0</v>
      </c>
      <c r="Z67" s="2103"/>
      <c r="AA67" s="2103"/>
      <c r="AB67" s="2103"/>
      <c r="AC67" s="2103"/>
      <c r="AD67" s="2103"/>
      <c r="AE67" s="2103"/>
      <c r="AF67" s="2104"/>
      <c r="AG67" s="2104"/>
      <c r="AH67" s="2104"/>
      <c r="AI67" s="2104"/>
      <c r="AJ67" s="2104"/>
      <c r="AK67" s="2104"/>
      <c r="AL67" s="2104"/>
      <c r="AM67" s="2104"/>
      <c r="AN67" s="2105"/>
      <c r="AO67" s="7966"/>
      <c r="AP67" s="683"/>
      <c r="AQ67" s="683"/>
      <c r="AR67" s="683"/>
      <c r="AS67" s="683"/>
      <c r="AT67" s="1922"/>
      <c r="AU67" s="1923"/>
      <c r="AY67" s="1940"/>
      <c r="AZ67" s="1954"/>
      <c r="BA67" s="1955"/>
      <c r="BB67" s="1955"/>
      <c r="BC67" s="1955"/>
    </row>
    <row r="68" spans="1:65" ht="20.25" customHeight="1">
      <c r="A68" s="7796"/>
      <c r="B68" s="2757" t="s">
        <v>1107</v>
      </c>
      <c r="C68" s="2098" t="s">
        <v>1073</v>
      </c>
      <c r="D68" s="2099"/>
      <c r="E68" s="2100"/>
      <c r="F68" s="2101"/>
      <c r="G68" s="2101"/>
      <c r="H68" s="2102"/>
      <c r="I68" s="6776">
        <f>CGL!K13</f>
        <v>307.38</v>
      </c>
      <c r="J68" s="6776">
        <f>CGL!L13</f>
        <v>116.70000000000002</v>
      </c>
      <c r="K68" s="6779">
        <f>CGL!M13</f>
        <v>150</v>
      </c>
      <c r="L68" s="6775">
        <f>K68/10</f>
        <v>15</v>
      </c>
      <c r="M68" s="4061">
        <f>CGL!O13</f>
        <v>0</v>
      </c>
      <c r="N68" s="4058">
        <f>CGL!P13</f>
        <v>16.46</v>
      </c>
      <c r="O68" s="4058">
        <f>CGL!Q13</f>
        <v>24.82</v>
      </c>
      <c r="P68" s="4058">
        <f>CGL!R13</f>
        <v>0</v>
      </c>
      <c r="Q68" s="4058">
        <f>CGL!S13</f>
        <v>0</v>
      </c>
      <c r="R68" s="4058">
        <f>CGL!T13</f>
        <v>0</v>
      </c>
      <c r="S68" s="4058">
        <f>CGL!U13</f>
        <v>0</v>
      </c>
      <c r="T68" s="4058">
        <f>CGL!V13</f>
        <v>0</v>
      </c>
      <c r="U68" s="4058">
        <f>CGL!W13</f>
        <v>0</v>
      </c>
      <c r="V68" s="3836">
        <f>CGL!X13</f>
        <v>0</v>
      </c>
      <c r="W68" s="4072">
        <f>CGL!Y13</f>
        <v>0</v>
      </c>
      <c r="X68" s="2747">
        <f>CGL!Z13</f>
        <v>0</v>
      </c>
      <c r="Y68" s="2191">
        <f>CGL!AA13</f>
        <v>41.28</v>
      </c>
      <c r="Z68" s="2103"/>
      <c r="AA68" s="2103"/>
      <c r="AB68" s="2103"/>
      <c r="AC68" s="2103"/>
      <c r="AD68" s="2103"/>
      <c r="AE68" s="2103"/>
      <c r="AF68" s="2104"/>
      <c r="AG68" s="2104"/>
      <c r="AH68" s="2104"/>
      <c r="AI68" s="2104"/>
      <c r="AJ68" s="2104"/>
      <c r="AK68" s="2104"/>
      <c r="AL68" s="2104"/>
      <c r="AM68" s="2104"/>
      <c r="AN68" s="2105"/>
      <c r="AO68" s="7967"/>
      <c r="AP68" s="683"/>
      <c r="AQ68" s="683"/>
      <c r="AR68" s="683"/>
      <c r="AS68" s="683"/>
      <c r="AT68" s="1922"/>
      <c r="AU68" s="1923"/>
      <c r="AY68" s="1940"/>
      <c r="AZ68" s="1954"/>
      <c r="BA68" s="1955"/>
      <c r="BB68" s="1955"/>
      <c r="BC68" s="1955"/>
    </row>
    <row r="69" spans="1:65" ht="20.25" customHeight="1">
      <c r="A69" s="7796"/>
      <c r="B69" s="2757" t="s">
        <v>1108</v>
      </c>
      <c r="C69" s="2098" t="s">
        <v>1073</v>
      </c>
      <c r="D69" s="2099"/>
      <c r="E69" s="2100"/>
      <c r="F69" s="2101"/>
      <c r="G69" s="2101"/>
      <c r="H69" s="2102"/>
      <c r="I69" s="6776">
        <f>'#1CCL'!K16</f>
        <v>81.070000000000007</v>
      </c>
      <c r="J69" s="6776">
        <f>'#1CCL'!L16</f>
        <v>43.701000000000001</v>
      </c>
      <c r="K69" s="6779">
        <f>'#1CCL'!M16</f>
        <v>43.294499999999999</v>
      </c>
      <c r="L69" s="6775">
        <f>K69/12</f>
        <v>3.6078749999999999</v>
      </c>
      <c r="M69" s="4061">
        <f>'#1CCL'!O16</f>
        <v>8.52</v>
      </c>
      <c r="N69" s="4058">
        <f>'#1CCL'!P16</f>
        <v>0</v>
      </c>
      <c r="O69" s="4058">
        <f>'#1CCL'!Q16</f>
        <v>0</v>
      </c>
      <c r="P69" s="4058">
        <f>'#1CCL'!R16</f>
        <v>0</v>
      </c>
      <c r="Q69" s="4058">
        <f>'#1CCL'!S16</f>
        <v>0</v>
      </c>
      <c r="R69" s="4058">
        <f>'#1CCL'!T16</f>
        <v>0</v>
      </c>
      <c r="S69" s="4058">
        <f>'#1CCL'!U16</f>
        <v>0</v>
      </c>
      <c r="T69" s="4058">
        <f>'#1CCL'!V16</f>
        <v>0</v>
      </c>
      <c r="U69" s="4058">
        <f>'#1CCL'!W16</f>
        <v>0</v>
      </c>
      <c r="V69" s="3836">
        <f>'#1CCL'!X16</f>
        <v>0</v>
      </c>
      <c r="W69" s="4072">
        <f>'#1CCL'!Y16</f>
        <v>0</v>
      </c>
      <c r="X69" s="2747">
        <f>'#1CCL'!Z16</f>
        <v>0</v>
      </c>
      <c r="Y69" s="2191">
        <f>'#1CCL'!AA16</f>
        <v>8.52</v>
      </c>
      <c r="Z69" s="2103"/>
      <c r="AA69" s="2103"/>
      <c r="AB69" s="2103"/>
      <c r="AC69" s="2103"/>
      <c r="AD69" s="2103"/>
      <c r="AE69" s="2103"/>
      <c r="AF69" s="2104"/>
      <c r="AG69" s="2104"/>
      <c r="AH69" s="2104"/>
      <c r="AI69" s="2104"/>
      <c r="AJ69" s="2104"/>
      <c r="AK69" s="2104"/>
      <c r="AL69" s="2104"/>
      <c r="AM69" s="2104"/>
      <c r="AN69" s="2105"/>
      <c r="AO69" s="1863" t="s">
        <v>1118</v>
      </c>
      <c r="AP69" s="683"/>
      <c r="AQ69" s="683"/>
      <c r="AR69" s="683"/>
      <c r="AS69" s="683"/>
      <c r="AT69" s="1922"/>
      <c r="AU69" s="1923"/>
      <c r="AY69" s="1940"/>
      <c r="AZ69" s="1954"/>
      <c r="BA69" s="1955"/>
      <c r="BB69" s="1955"/>
      <c r="BC69" s="1955"/>
    </row>
    <row r="70" spans="1:65" ht="20.25" customHeight="1">
      <c r="A70" s="7796"/>
      <c r="B70" s="2757" t="s">
        <v>765</v>
      </c>
      <c r="C70" s="2098" t="s">
        <v>1073</v>
      </c>
      <c r="D70" s="2099"/>
      <c r="E70" s="2100"/>
      <c r="F70" s="2101"/>
      <c r="G70" s="2101"/>
      <c r="H70" s="2102"/>
      <c r="I70" s="6776">
        <f>'#2CCL'!K16</f>
        <v>211.26499999999999</v>
      </c>
      <c r="J70" s="6776">
        <f>'#2CCL'!L16</f>
        <v>13.66</v>
      </c>
      <c r="K70" s="6779">
        <f>'#2CCL'!M16</f>
        <v>12</v>
      </c>
      <c r="L70" s="6775">
        <f>K70/12</f>
        <v>1</v>
      </c>
      <c r="M70" s="4061">
        <f>'#2CCL'!O16</f>
        <v>0</v>
      </c>
      <c r="N70" s="4058">
        <f>'#2CCL'!P16</f>
        <v>0</v>
      </c>
      <c r="O70" s="4058">
        <f>'#2CCL'!Q16</f>
        <v>0</v>
      </c>
      <c r="P70" s="4058">
        <f>'#2CCL'!R16</f>
        <v>0</v>
      </c>
      <c r="Q70" s="4058">
        <f>'#2CCL'!S16</f>
        <v>0</v>
      </c>
      <c r="R70" s="4058">
        <f>'#2CCL'!T16</f>
        <v>0</v>
      </c>
      <c r="S70" s="4058">
        <f>'#2CCL'!U16</f>
        <v>0</v>
      </c>
      <c r="T70" s="4058">
        <f>'#2CCL'!V16</f>
        <v>0</v>
      </c>
      <c r="U70" s="4058">
        <f>'#2CCL'!W16</f>
        <v>0</v>
      </c>
      <c r="V70" s="3836">
        <f>'#2CCL'!X16</f>
        <v>0</v>
      </c>
      <c r="W70" s="4072">
        <f>'#2CCL'!Y16</f>
        <v>0</v>
      </c>
      <c r="X70" s="2747">
        <f>'#2CCL'!Z16</f>
        <v>0</v>
      </c>
      <c r="Y70" s="2191">
        <f>'#2CCL'!AA16</f>
        <v>0</v>
      </c>
      <c r="Z70" s="2103"/>
      <c r="AA70" s="2103"/>
      <c r="AB70" s="2103"/>
      <c r="AC70" s="2103"/>
      <c r="AD70" s="2103"/>
      <c r="AE70" s="2103"/>
      <c r="AF70" s="2104"/>
      <c r="AG70" s="2104"/>
      <c r="AH70" s="2104"/>
      <c r="AI70" s="2104"/>
      <c r="AJ70" s="2104"/>
      <c r="AK70" s="2104"/>
      <c r="AL70" s="2104"/>
      <c r="AM70" s="2104"/>
      <c r="AN70" s="2105"/>
      <c r="AO70" s="1863" t="s">
        <v>1119</v>
      </c>
      <c r="AP70" s="683"/>
      <c r="AQ70" s="683"/>
      <c r="AR70" s="683"/>
      <c r="AS70" s="683"/>
      <c r="AT70" s="1922"/>
      <c r="AU70" s="1923"/>
      <c r="AY70" s="1940"/>
      <c r="AZ70" s="1954"/>
      <c r="BA70" s="1955"/>
      <c r="BB70" s="1955"/>
      <c r="BC70" s="1955"/>
    </row>
    <row r="71" spans="1:65" ht="20.25" customHeight="1" thickBot="1">
      <c r="A71" s="7822"/>
      <c r="B71" s="1933" t="s">
        <v>1074</v>
      </c>
      <c r="C71" s="1865" t="s">
        <v>1075</v>
      </c>
      <c r="D71" s="1877"/>
      <c r="E71" s="1827"/>
      <c r="F71" s="1827"/>
      <c r="G71" s="1827"/>
      <c r="H71" s="2229"/>
      <c r="I71" s="6780">
        <f>SUM(I66:I70)</f>
        <v>624.39499999999998</v>
      </c>
      <c r="J71" s="6780">
        <f t="shared" ref="J71:Y71" si="29">SUM(J66:J70)</f>
        <v>277.04500000000007</v>
      </c>
      <c r="K71" s="6784">
        <f t="shared" si="29"/>
        <v>240.42449999999999</v>
      </c>
      <c r="L71" s="6752">
        <f t="shared" si="29"/>
        <v>23.120875000000002</v>
      </c>
      <c r="M71" s="2050">
        <f t="shared" si="29"/>
        <v>8.52</v>
      </c>
      <c r="N71" s="2132">
        <f t="shared" si="29"/>
        <v>16.46</v>
      </c>
      <c r="O71" s="2132">
        <f t="shared" si="29"/>
        <v>53.67</v>
      </c>
      <c r="P71" s="2132">
        <f t="shared" si="29"/>
        <v>0</v>
      </c>
      <c r="Q71" s="2132">
        <f t="shared" si="29"/>
        <v>0</v>
      </c>
      <c r="R71" s="2132">
        <f t="shared" si="29"/>
        <v>0</v>
      </c>
      <c r="S71" s="4546">
        <f t="shared" si="29"/>
        <v>0</v>
      </c>
      <c r="T71" s="4546">
        <f t="shared" si="29"/>
        <v>0</v>
      </c>
      <c r="U71" s="4546">
        <f t="shared" si="29"/>
        <v>0</v>
      </c>
      <c r="V71" s="7605">
        <f t="shared" si="29"/>
        <v>0</v>
      </c>
      <c r="W71" s="4060">
        <f t="shared" si="29"/>
        <v>0</v>
      </c>
      <c r="X71" s="2131">
        <f t="shared" si="29"/>
        <v>0</v>
      </c>
      <c r="Y71" s="1595">
        <f t="shared" si="29"/>
        <v>49.8</v>
      </c>
      <c r="Z71" s="1878"/>
      <c r="AA71" s="1878"/>
      <c r="AB71" s="1878"/>
      <c r="AC71" s="1878"/>
      <c r="AD71" s="1878"/>
      <c r="AE71" s="1878"/>
      <c r="AF71" s="1868"/>
      <c r="AG71" s="1868"/>
      <c r="AH71" s="1868"/>
      <c r="AI71" s="1868"/>
      <c r="AJ71" s="1868"/>
      <c r="AK71" s="1868"/>
      <c r="AL71" s="1868"/>
      <c r="AM71" s="1868"/>
      <c r="AN71" s="1869"/>
      <c r="AO71" s="1870"/>
      <c r="AP71" s="683"/>
      <c r="AQ71" s="6785"/>
      <c r="AR71" s="683"/>
      <c r="AS71" s="683"/>
      <c r="AT71" s="1922"/>
      <c r="AU71" s="1923"/>
      <c r="AY71" s="1940"/>
      <c r="AZ71" s="1954"/>
      <c r="BA71" s="1955"/>
      <c r="BB71" s="1955"/>
      <c r="BC71" s="1955"/>
    </row>
    <row r="72" spans="1:65" ht="21.75" customHeight="1">
      <c r="A72" s="7795" t="s">
        <v>1025</v>
      </c>
      <c r="B72" s="1938" t="s">
        <v>1026</v>
      </c>
      <c r="C72" s="1154" t="s">
        <v>448</v>
      </c>
      <c r="D72" s="1165">
        <f>CPL!F12</f>
        <v>875.56999999999994</v>
      </c>
      <c r="E72" s="1165">
        <f>CPL!G12</f>
        <v>974.07999999999993</v>
      </c>
      <c r="F72" s="1165">
        <f>CPL!H12</f>
        <v>808.61999999999989</v>
      </c>
      <c r="G72" s="1165">
        <f>CPL!I12</f>
        <v>812.41000000000008</v>
      </c>
      <c r="H72" s="1165">
        <f>CPL!J12</f>
        <v>894.74</v>
      </c>
      <c r="I72" s="1661">
        <f>CPL!K12</f>
        <v>919.09999999999991</v>
      </c>
      <c r="J72" s="1661">
        <f>CPL!L12</f>
        <v>642.40000000000009</v>
      </c>
      <c r="K72" s="1834">
        <f>CPL!M12</f>
        <v>419.4468</v>
      </c>
      <c r="L72" s="1980">
        <f>CPL!N12</f>
        <v>41.944679999999998</v>
      </c>
      <c r="M72" s="2617">
        <f>CPL!O12</f>
        <v>4.24</v>
      </c>
      <c r="N72" s="2286">
        <f>CPL!P12</f>
        <v>0</v>
      </c>
      <c r="O72" s="2286">
        <f>CPL!Q12</f>
        <v>52.97</v>
      </c>
      <c r="P72" s="2286">
        <f>CPL!R12</f>
        <v>0</v>
      </c>
      <c r="Q72" s="2286">
        <f>CPL!S12</f>
        <v>0</v>
      </c>
      <c r="R72" s="2286">
        <f>CPL!T12</f>
        <v>0</v>
      </c>
      <c r="S72" s="2286">
        <f>CPL!U12</f>
        <v>0</v>
      </c>
      <c r="T72" s="2286">
        <f>CPL!V12</f>
        <v>0</v>
      </c>
      <c r="U72" s="2286">
        <f>CPL!W12</f>
        <v>0</v>
      </c>
      <c r="V72" s="7609">
        <f>CPL!X12</f>
        <v>0</v>
      </c>
      <c r="W72" s="5534">
        <f>CPL!Y12</f>
        <v>0</v>
      </c>
      <c r="X72" s="2749">
        <f>CPL!Z12</f>
        <v>0</v>
      </c>
      <c r="Y72" s="2769">
        <f>CPL!AA12</f>
        <v>57.21</v>
      </c>
      <c r="Z72" s="2032"/>
      <c r="AA72" s="2032"/>
      <c r="AB72" s="2032"/>
      <c r="AC72" s="2032"/>
      <c r="AD72" s="2032"/>
      <c r="AE72" s="2032"/>
      <c r="AF72" s="2032"/>
      <c r="AG72" s="2032"/>
      <c r="AH72" s="2032"/>
      <c r="AI72" s="2032"/>
      <c r="AJ72" s="2032"/>
      <c r="AK72" s="2032"/>
      <c r="AL72" s="2032"/>
      <c r="AM72" s="2032"/>
      <c r="AN72" s="2033"/>
      <c r="AO72" s="7965" t="s">
        <v>1099</v>
      </c>
      <c r="AP72" s="2274">
        <f>J72/10</f>
        <v>64.240000000000009</v>
      </c>
      <c r="AQ72" s="2274"/>
      <c r="AR72" s="683"/>
      <c r="AS72" s="683"/>
      <c r="AT72" s="1922"/>
      <c r="AU72" s="1923"/>
      <c r="AY72" s="1940"/>
      <c r="AZ72" s="1954"/>
      <c r="BA72" s="1955"/>
      <c r="BB72" s="1955"/>
      <c r="BC72" s="1955"/>
    </row>
    <row r="73" spans="1:65" ht="21.75" customHeight="1">
      <c r="A73" s="7796"/>
      <c r="B73" s="1939" t="s">
        <v>1027</v>
      </c>
      <c r="C73" s="1153" t="s">
        <v>448</v>
      </c>
      <c r="D73" s="1142">
        <f>CRM!F12</f>
        <v>6887</v>
      </c>
      <c r="E73" s="1142">
        <f>CRM!G12</f>
        <v>6715</v>
      </c>
      <c r="F73" s="1142">
        <f>CRM!H12</f>
        <v>6734.33</v>
      </c>
      <c r="G73" s="1142">
        <f>CRM!I12</f>
        <v>5813.76</v>
      </c>
      <c r="H73" s="1142">
        <f>CRM!J12</f>
        <v>5107.49</v>
      </c>
      <c r="I73" s="4068">
        <f>CRM!K12</f>
        <v>4902.4000000000005</v>
      </c>
      <c r="J73" s="4068">
        <f>CRM!L12</f>
        <v>4335.1299999999992</v>
      </c>
      <c r="K73" s="4267">
        <f>CRM!M12</f>
        <v>4168</v>
      </c>
      <c r="L73" s="4268">
        <f>CRM!N12</f>
        <v>416.8</v>
      </c>
      <c r="M73" s="4075">
        <f>CRM!O12</f>
        <v>0</v>
      </c>
      <c r="N73" s="4562">
        <f>CRM!P12</f>
        <v>3.85</v>
      </c>
      <c r="O73" s="4562">
        <f>CRM!Q12</f>
        <v>314.25</v>
      </c>
      <c r="P73" s="4562">
        <f>CRM!R12</f>
        <v>0</v>
      </c>
      <c r="Q73" s="4562">
        <f>CRM!S12</f>
        <v>0</v>
      </c>
      <c r="R73" s="4562">
        <f>CRM!T12</f>
        <v>0</v>
      </c>
      <c r="S73" s="4562">
        <f>CRM!U12</f>
        <v>0</v>
      </c>
      <c r="T73" s="4562">
        <f>CRM!V12</f>
        <v>0</v>
      </c>
      <c r="U73" s="4562">
        <f>CRM!W12</f>
        <v>0</v>
      </c>
      <c r="V73" s="7609">
        <f>CRM!X12</f>
        <v>0</v>
      </c>
      <c r="W73" s="5535">
        <f>CRM!Y12</f>
        <v>0</v>
      </c>
      <c r="X73" s="2750">
        <f>CRM!Z12</f>
        <v>0</v>
      </c>
      <c r="Y73" s="2770">
        <f>CRM!AA12</f>
        <v>318.10000000000002</v>
      </c>
      <c r="Z73" s="4066"/>
      <c r="AA73" s="2213"/>
      <c r="AB73" s="2210"/>
      <c r="AC73" s="2210"/>
      <c r="AD73" s="2210"/>
      <c r="AE73" s="2210"/>
      <c r="AF73" s="2210"/>
      <c r="AG73" s="2210"/>
      <c r="AH73" s="2211"/>
      <c r="AI73" s="2211"/>
      <c r="AJ73" s="2211"/>
      <c r="AK73" s="2212"/>
      <c r="AL73" s="2213"/>
      <c r="AM73" s="2213"/>
      <c r="AN73" s="2214"/>
      <c r="AO73" s="7966"/>
      <c r="AP73" s="2274">
        <f>J73/10</f>
        <v>433.51299999999992</v>
      </c>
      <c r="AQ73" s="2274"/>
      <c r="AR73" s="683"/>
      <c r="AS73" s="683"/>
      <c r="AT73" s="1922"/>
      <c r="AU73" s="1923"/>
      <c r="AY73" s="1940"/>
      <c r="AZ73" s="1954"/>
      <c r="BA73" s="1955"/>
      <c r="BB73" s="1955"/>
      <c r="BC73" s="1955"/>
    </row>
    <row r="74" spans="1:65" ht="21.75" customHeight="1">
      <c r="A74" s="7796"/>
      <c r="B74" s="1939" t="s">
        <v>1028</v>
      </c>
      <c r="C74" s="1153" t="s">
        <v>448</v>
      </c>
      <c r="D74" s="1142">
        <f>CGL!F12</f>
        <v>608.03</v>
      </c>
      <c r="E74" s="1142">
        <f>CGL!G12</f>
        <v>505.16999999999996</v>
      </c>
      <c r="F74" s="1142">
        <f>CGL!H12</f>
        <v>594.27</v>
      </c>
      <c r="G74" s="1142">
        <f>CGL!I12</f>
        <v>506.82</v>
      </c>
      <c r="H74" s="1142">
        <f>CGL!J12</f>
        <v>387.63</v>
      </c>
      <c r="I74" s="4068">
        <f>CGL!K12</f>
        <v>349.56999999999994</v>
      </c>
      <c r="J74" s="4068">
        <f>CGL!L12</f>
        <v>370.96999999999997</v>
      </c>
      <c r="K74" s="4267">
        <f>CGL!M12</f>
        <v>250</v>
      </c>
      <c r="L74" s="4268">
        <f>CGL!N12</f>
        <v>25</v>
      </c>
      <c r="M74" s="4075">
        <f>CGL!O12</f>
        <v>3.5</v>
      </c>
      <c r="N74" s="4562">
        <f>CGL!P12</f>
        <v>0</v>
      </c>
      <c r="O74" s="4562">
        <f>CGL!Q12</f>
        <v>12.37</v>
      </c>
      <c r="P74" s="4562">
        <f>CGL!R12</f>
        <v>0</v>
      </c>
      <c r="Q74" s="4562">
        <f>CGL!S12</f>
        <v>0</v>
      </c>
      <c r="R74" s="4562">
        <f>CGL!T12</f>
        <v>0</v>
      </c>
      <c r="S74" s="4562">
        <f>CGL!U12</f>
        <v>0</v>
      </c>
      <c r="T74" s="4562">
        <f>CGL!V12</f>
        <v>0</v>
      </c>
      <c r="U74" s="4562">
        <f>CGL!W12</f>
        <v>0</v>
      </c>
      <c r="V74" s="7609">
        <f>CGL!X12</f>
        <v>0</v>
      </c>
      <c r="W74" s="5535">
        <f>CGL!Y12</f>
        <v>0</v>
      </c>
      <c r="X74" s="2750">
        <f>CGL!Z12</f>
        <v>0</v>
      </c>
      <c r="Y74" s="2770">
        <f>CGL!AA12</f>
        <v>15.87</v>
      </c>
      <c r="Z74" s="4066"/>
      <c r="AA74" s="2210"/>
      <c r="AB74" s="2210"/>
      <c r="AC74" s="2210"/>
      <c r="AD74" s="2210"/>
      <c r="AE74" s="2210"/>
      <c r="AF74" s="2210"/>
      <c r="AG74" s="2210"/>
      <c r="AH74" s="2211"/>
      <c r="AI74" s="2211"/>
      <c r="AJ74" s="2211"/>
      <c r="AK74" s="2211"/>
      <c r="AL74" s="2210"/>
      <c r="AM74" s="2210"/>
      <c r="AN74" s="2214"/>
      <c r="AO74" s="7966"/>
      <c r="AP74" s="2274">
        <f>J74/10</f>
        <v>37.096999999999994</v>
      </c>
      <c r="AQ74" s="2274"/>
      <c r="AR74" s="683"/>
      <c r="AS74" s="683"/>
      <c r="AT74" s="1922"/>
      <c r="AU74" s="1923"/>
      <c r="AY74" s="1940"/>
      <c r="AZ74" s="1954"/>
      <c r="BA74" s="1955"/>
      <c r="BB74" s="1955"/>
      <c r="BC74" s="1955"/>
    </row>
    <row r="75" spans="1:65" ht="21.75" customHeight="1">
      <c r="A75" s="7796"/>
      <c r="B75" s="1939" t="s">
        <v>501</v>
      </c>
      <c r="C75" s="1153" t="s">
        <v>448</v>
      </c>
      <c r="D75" s="1142"/>
      <c r="E75" s="1142"/>
      <c r="F75" s="1142">
        <f>'#1CCL'!H15</f>
        <v>832</v>
      </c>
      <c r="G75" s="1142">
        <f>'#1CCL'!I15</f>
        <v>422.05</v>
      </c>
      <c r="H75" s="1142">
        <f>'#1CCL'!J15</f>
        <v>492.53</v>
      </c>
      <c r="I75" s="4068">
        <f>'#1CCL'!K15</f>
        <v>542.02199999999993</v>
      </c>
      <c r="J75" s="4068">
        <f>'#1CCL'!L15</f>
        <v>502.80999999999995</v>
      </c>
      <c r="K75" s="4267">
        <f>'#1CCL'!M15</f>
        <v>481.05</v>
      </c>
      <c r="L75" s="4268">
        <f>'#1CCL'!N15</f>
        <v>40.087499999999999</v>
      </c>
      <c r="M75" s="4075">
        <f>'#1CCL'!O15</f>
        <v>41.34</v>
      </c>
      <c r="N75" s="4562">
        <f>'#1CCL'!P15</f>
        <v>45.2</v>
      </c>
      <c r="O75" s="4562">
        <f>'#1CCL'!Q15</f>
        <v>38.090000000000003</v>
      </c>
      <c r="P75" s="4562">
        <f>'#1CCL'!R15</f>
        <v>0</v>
      </c>
      <c r="Q75" s="4562">
        <f>'#1CCL'!S15</f>
        <v>0</v>
      </c>
      <c r="R75" s="4562">
        <f>'#1CCL'!T15</f>
        <v>0</v>
      </c>
      <c r="S75" s="4562">
        <f>'#1CCL'!U15</f>
        <v>0</v>
      </c>
      <c r="T75" s="4562">
        <f>'#1CCL'!V15</f>
        <v>0</v>
      </c>
      <c r="U75" s="4562">
        <f>'#1CCL'!W15</f>
        <v>0</v>
      </c>
      <c r="V75" s="7609">
        <f>'#1CCL'!X15</f>
        <v>0</v>
      </c>
      <c r="W75" s="4075">
        <f>'#1CCL'!Y15</f>
        <v>0</v>
      </c>
      <c r="X75" s="2618">
        <f>'#1CCL'!Z15</f>
        <v>0</v>
      </c>
      <c r="Y75" s="2770">
        <f>'#1CCL'!AA15</f>
        <v>124.63000000000001</v>
      </c>
      <c r="Z75" s="4066"/>
      <c r="AA75" s="2210"/>
      <c r="AB75" s="2210"/>
      <c r="AC75" s="2210"/>
      <c r="AD75" s="2210"/>
      <c r="AE75" s="2210"/>
      <c r="AF75" s="2210"/>
      <c r="AG75" s="2210"/>
      <c r="AH75" s="2211"/>
      <c r="AI75" s="2211"/>
      <c r="AJ75" s="2211"/>
      <c r="AK75" s="2211"/>
      <c r="AL75" s="2210"/>
      <c r="AM75" s="2210"/>
      <c r="AN75" s="2214"/>
      <c r="AO75" s="7966"/>
      <c r="AP75" s="2274">
        <f>J75/12</f>
        <v>41.900833333333331</v>
      </c>
      <c r="AQ75" s="2274"/>
      <c r="AR75" s="683"/>
      <c r="AS75" s="683"/>
      <c r="AT75" s="1922"/>
      <c r="AU75" s="1923"/>
      <c r="AY75" s="1940"/>
      <c r="AZ75" s="1954"/>
      <c r="BA75" s="1955"/>
      <c r="BB75" s="1955"/>
      <c r="BC75" s="1955"/>
    </row>
    <row r="76" spans="1:65" ht="21.75" customHeight="1">
      <c r="A76" s="7796"/>
      <c r="B76" s="1939" t="s">
        <v>439</v>
      </c>
      <c r="C76" s="1153" t="s">
        <v>448</v>
      </c>
      <c r="D76" s="1142"/>
      <c r="E76" s="1142"/>
      <c r="F76" s="1142">
        <f>'#2CCL'!H15</f>
        <v>490</v>
      </c>
      <c r="G76" s="1142">
        <f>'#2CCL'!I15</f>
        <v>304</v>
      </c>
      <c r="H76" s="1142">
        <f>'#2CCL'!J15</f>
        <v>305.80000000000007</v>
      </c>
      <c r="I76" s="4068">
        <f>'#2CCL'!K15</f>
        <v>265.07299999999998</v>
      </c>
      <c r="J76" s="4068">
        <f>'#2CCL'!L15</f>
        <v>256.37999999999994</v>
      </c>
      <c r="K76" s="4267">
        <f>'#2CCL'!M15</f>
        <v>272.84399999999999</v>
      </c>
      <c r="L76" s="4268">
        <f>'#2CCL'!N15</f>
        <v>22.736999999999998</v>
      </c>
      <c r="M76" s="4075">
        <f>'#2CCL'!O15</f>
        <v>19.22</v>
      </c>
      <c r="N76" s="4562">
        <f>'#2CCL'!P15</f>
        <v>20.56</v>
      </c>
      <c r="O76" s="4562">
        <f>'#2CCL'!Q15</f>
        <v>20.28</v>
      </c>
      <c r="P76" s="4562">
        <f>'#2CCL'!R15</f>
        <v>0</v>
      </c>
      <c r="Q76" s="4562">
        <f>'#2CCL'!S15</f>
        <v>0</v>
      </c>
      <c r="R76" s="4562">
        <f>'#2CCL'!T15</f>
        <v>0</v>
      </c>
      <c r="S76" s="4562">
        <f>'#2CCL'!U15</f>
        <v>0</v>
      </c>
      <c r="T76" s="4562">
        <f>'#2CCL'!V15</f>
        <v>0</v>
      </c>
      <c r="U76" s="4562">
        <f>'#2CCL'!W15</f>
        <v>0</v>
      </c>
      <c r="V76" s="7609">
        <f>'#2CCL'!X15</f>
        <v>0</v>
      </c>
      <c r="W76" s="4075">
        <f>'#2CCL'!Y15</f>
        <v>0</v>
      </c>
      <c r="X76" s="2618">
        <f>'#2CCL'!Z15</f>
        <v>0</v>
      </c>
      <c r="Y76" s="2770">
        <f>'#2CCL'!AA15</f>
        <v>60.06</v>
      </c>
      <c r="Z76" s="4067"/>
      <c r="AA76" s="2210"/>
      <c r="AB76" s="2210"/>
      <c r="AC76" s="2210"/>
      <c r="AD76" s="2210"/>
      <c r="AE76" s="2210"/>
      <c r="AF76" s="2210"/>
      <c r="AG76" s="2210"/>
      <c r="AH76" s="2210"/>
      <c r="AI76" s="2210"/>
      <c r="AJ76" s="2210"/>
      <c r="AK76" s="2210"/>
      <c r="AL76" s="2210"/>
      <c r="AM76" s="2215"/>
      <c r="AN76" s="2214"/>
      <c r="AO76" s="7967"/>
      <c r="AP76" s="2274">
        <f>J76/12</f>
        <v>21.364999999999995</v>
      </c>
      <c r="AQ76" s="2274"/>
      <c r="AR76" s="683"/>
      <c r="AS76" s="683"/>
      <c r="AT76" s="1922"/>
      <c r="AU76" s="1923"/>
      <c r="AY76" s="1940"/>
      <c r="AZ76" s="1954"/>
      <c r="BA76" s="1955"/>
      <c r="BB76" s="1955"/>
      <c r="BC76" s="1955"/>
    </row>
    <row r="77" spans="1:65" ht="21.75" customHeight="1" thickBot="1">
      <c r="A77" s="7796"/>
      <c r="B77" s="1937" t="s">
        <v>16</v>
      </c>
      <c r="C77" s="1160" t="s">
        <v>448</v>
      </c>
      <c r="D77" s="1143">
        <f>D72+D73+D74+D75+720</f>
        <v>9090.6</v>
      </c>
      <c r="E77" s="1663">
        <f t="shared" ref="E77:Y77" si="30">SUM(E72:E76)</f>
        <v>8194.25</v>
      </c>
      <c r="F77" s="1663">
        <f t="shared" si="30"/>
        <v>9459.2199999999993</v>
      </c>
      <c r="G77" s="1663">
        <f t="shared" si="30"/>
        <v>7859.04</v>
      </c>
      <c r="H77" s="2053">
        <f t="shared" si="30"/>
        <v>7188.19</v>
      </c>
      <c r="I77" s="4070">
        <f t="shared" si="30"/>
        <v>6978.165</v>
      </c>
      <c r="J77" s="4070">
        <f>SUM(J72:J76)</f>
        <v>6107.69</v>
      </c>
      <c r="K77" s="4187">
        <f t="shared" si="30"/>
        <v>5591.3407999999999</v>
      </c>
      <c r="L77" s="6481">
        <f t="shared" si="30"/>
        <v>546.56917999999996</v>
      </c>
      <c r="M77" s="3900">
        <f>SUM(M72:M76)</f>
        <v>68.300000000000011</v>
      </c>
      <c r="N77" s="4070">
        <f t="shared" si="30"/>
        <v>69.61</v>
      </c>
      <c r="O77" s="4070">
        <f t="shared" si="30"/>
        <v>437.96000000000004</v>
      </c>
      <c r="P77" s="4070">
        <f t="shared" si="30"/>
        <v>0</v>
      </c>
      <c r="Q77" s="4070">
        <f t="shared" si="30"/>
        <v>0</v>
      </c>
      <c r="R77" s="4070">
        <f t="shared" si="30"/>
        <v>0</v>
      </c>
      <c r="S77" s="4070">
        <f t="shared" si="30"/>
        <v>0</v>
      </c>
      <c r="T77" s="4070">
        <f t="shared" si="30"/>
        <v>0</v>
      </c>
      <c r="U77" s="4070">
        <f t="shared" si="30"/>
        <v>0</v>
      </c>
      <c r="V77" s="2250">
        <f t="shared" si="30"/>
        <v>0</v>
      </c>
      <c r="W77" s="5536">
        <f t="shared" si="30"/>
        <v>0</v>
      </c>
      <c r="X77" s="2496">
        <f t="shared" si="30"/>
        <v>0</v>
      </c>
      <c r="Y77" s="2053">
        <f t="shared" si="30"/>
        <v>575.87000000000012</v>
      </c>
      <c r="Z77" s="2771"/>
      <c r="AA77" s="1161"/>
      <c r="AB77" s="1161"/>
      <c r="AC77" s="1161"/>
      <c r="AD77" s="1161"/>
      <c r="AE77" s="1161"/>
      <c r="AF77" s="1161"/>
      <c r="AG77" s="1161"/>
      <c r="AH77" s="1161"/>
      <c r="AI77" s="1161"/>
      <c r="AJ77" s="1161"/>
      <c r="AK77" s="1161"/>
      <c r="AL77" s="1161"/>
      <c r="AM77" s="1161"/>
      <c r="AN77" s="1162"/>
      <c r="AO77" s="1163"/>
      <c r="AP77" s="683"/>
      <c r="AQ77" s="683"/>
      <c r="AR77" s="683"/>
      <c r="AS77" s="683"/>
      <c r="AT77" s="1922"/>
      <c r="AU77" s="1923"/>
      <c r="AY77" s="1940"/>
      <c r="AZ77" s="1954"/>
      <c r="BA77" s="1955"/>
      <c r="BB77" s="1955"/>
      <c r="BC77" s="1955"/>
    </row>
    <row r="78" spans="1:65" ht="21.75" hidden="1" customHeight="1" thickBot="1">
      <c r="A78" s="7822"/>
      <c r="B78" s="1147" t="s">
        <v>489</v>
      </c>
      <c r="C78" s="1151" t="s">
        <v>490</v>
      </c>
      <c r="D78" s="1168">
        <f t="shared" ref="D78:I78" si="31">D77/12</f>
        <v>757.55000000000007</v>
      </c>
      <c r="E78" s="1169">
        <f t="shared" si="31"/>
        <v>682.85416666666663</v>
      </c>
      <c r="F78" s="1664">
        <f t="shared" si="31"/>
        <v>788.26833333333332</v>
      </c>
      <c r="G78" s="1664">
        <f t="shared" si="31"/>
        <v>654.91999999999996</v>
      </c>
      <c r="H78" s="2229">
        <f t="shared" si="31"/>
        <v>599.01583333333326</v>
      </c>
      <c r="I78" s="2229">
        <f t="shared" si="31"/>
        <v>581.51374999999996</v>
      </c>
      <c r="J78" s="2229">
        <f>J77/12</f>
        <v>508.97416666666663</v>
      </c>
      <c r="K78" s="6480">
        <f>(((K72+K73+K74)/10)+((K75+K76)/12))</f>
        <v>546.56917999999996</v>
      </c>
      <c r="L78" s="4272"/>
      <c r="M78" s="3879"/>
      <c r="N78" s="2229"/>
      <c r="O78" s="2229"/>
      <c r="P78" s="2229"/>
      <c r="Q78" s="2229"/>
      <c r="R78" s="2229"/>
      <c r="S78" s="2229"/>
      <c r="T78" s="2229"/>
      <c r="U78" s="2229"/>
      <c r="V78" s="1942"/>
      <c r="W78" s="5537"/>
      <c r="X78" s="2250"/>
      <c r="Y78" s="1664"/>
      <c r="Z78" s="1416"/>
      <c r="AA78" s="1170"/>
      <c r="AB78" s="1170"/>
      <c r="AC78" s="1170"/>
      <c r="AD78" s="1170"/>
      <c r="AE78" s="1170"/>
      <c r="AF78" s="1148"/>
      <c r="AG78" s="1148"/>
      <c r="AH78" s="1148"/>
      <c r="AI78" s="1148"/>
      <c r="AJ78" s="1148"/>
      <c r="AK78" s="1148"/>
      <c r="AL78" s="1148"/>
      <c r="AM78" s="1148"/>
      <c r="AN78" s="1150"/>
      <c r="AO78" s="1149"/>
      <c r="AP78" s="683"/>
      <c r="AQ78" s="683"/>
      <c r="AR78" s="683"/>
      <c r="AS78" s="683"/>
      <c r="AT78" s="1922"/>
      <c r="AU78" s="1923"/>
      <c r="AY78" s="2273" t="s">
        <v>1151</v>
      </c>
      <c r="AZ78" s="665" t="s">
        <v>1568</v>
      </c>
      <c r="BA78" s="801" t="s">
        <v>15</v>
      </c>
      <c r="BB78" s="801" t="s">
        <v>108</v>
      </c>
      <c r="BC78" s="801" t="s">
        <v>83</v>
      </c>
      <c r="BD78" s="801" t="s">
        <v>85</v>
      </c>
      <c r="BE78" s="801" t="s">
        <v>7</v>
      </c>
      <c r="BF78" s="801" t="s">
        <v>8</v>
      </c>
      <c r="BG78" s="801" t="s">
        <v>9</v>
      </c>
      <c r="BH78" s="801" t="s">
        <v>10</v>
      </c>
      <c r="BI78" s="801" t="s">
        <v>11</v>
      </c>
      <c r="BJ78" s="801" t="s">
        <v>12</v>
      </c>
      <c r="BK78" s="801" t="s">
        <v>13</v>
      </c>
      <c r="BL78" s="801" t="s">
        <v>14</v>
      </c>
      <c r="BM78" s="801" t="s">
        <v>15</v>
      </c>
    </row>
    <row r="79" spans="1:65" ht="21.75" customHeight="1" thickBot="1">
      <c r="A79" s="7981" t="s">
        <v>1315</v>
      </c>
      <c r="B79" s="7982"/>
      <c r="C79" s="1850" t="s">
        <v>448</v>
      </c>
      <c r="D79" s="2773"/>
      <c r="E79" s="2361"/>
      <c r="F79" s="2628"/>
      <c r="G79" s="2628">
        <f t="shared" ref="G79:Y79" si="32">G59+G65+G71+G77</f>
        <v>10324.02</v>
      </c>
      <c r="H79" s="2628">
        <f t="shared" si="32"/>
        <v>8796.8829999999998</v>
      </c>
      <c r="I79" s="2628">
        <f t="shared" si="32"/>
        <v>9772.6959999999999</v>
      </c>
      <c r="J79" s="2628">
        <f>J59+J65+J71+J77</f>
        <v>7991.03</v>
      </c>
      <c r="K79" s="4273">
        <f t="shared" si="32"/>
        <v>6977.4034499999998</v>
      </c>
      <c r="L79" s="4271">
        <f t="shared" si="32"/>
        <v>673.79120749999993</v>
      </c>
      <c r="M79" s="4456">
        <f t="shared" si="32"/>
        <v>178.32400000000001</v>
      </c>
      <c r="N79" s="2575">
        <f t="shared" si="32"/>
        <v>138.41500000000002</v>
      </c>
      <c r="O79" s="2575">
        <f t="shared" si="32"/>
        <v>733.89200000000005</v>
      </c>
      <c r="P79" s="2575">
        <f t="shared" si="32"/>
        <v>0</v>
      </c>
      <c r="Q79" s="2575">
        <f t="shared" si="32"/>
        <v>0</v>
      </c>
      <c r="R79" s="2628">
        <f t="shared" si="32"/>
        <v>0</v>
      </c>
      <c r="S79" s="2575">
        <f t="shared" si="32"/>
        <v>0</v>
      </c>
      <c r="T79" s="2575">
        <f t="shared" si="32"/>
        <v>0</v>
      </c>
      <c r="U79" s="2575">
        <f t="shared" si="32"/>
        <v>0</v>
      </c>
      <c r="V79" s="2250">
        <f t="shared" si="32"/>
        <v>0</v>
      </c>
      <c r="W79" s="2778">
        <f t="shared" si="32"/>
        <v>0</v>
      </c>
      <c r="X79" s="2628">
        <f t="shared" si="32"/>
        <v>0</v>
      </c>
      <c r="Y79" s="2628">
        <f t="shared" si="32"/>
        <v>1022.0810000000001</v>
      </c>
      <c r="Z79" s="2779"/>
      <c r="AA79" s="2774"/>
      <c r="AB79" s="2774"/>
      <c r="AC79" s="2774"/>
      <c r="AD79" s="2774"/>
      <c r="AE79" s="2774"/>
      <c r="AF79" s="1856"/>
      <c r="AG79" s="1856"/>
      <c r="AH79" s="1856"/>
      <c r="AI79" s="1856"/>
      <c r="AJ79" s="1856"/>
      <c r="AK79" s="1856"/>
      <c r="AL79" s="1856"/>
      <c r="AM79" s="2780"/>
      <c r="AN79" s="2775"/>
      <c r="AO79" s="1857"/>
      <c r="AP79" s="683"/>
      <c r="AQ79" s="683"/>
      <c r="AR79" s="683"/>
      <c r="AS79" s="683"/>
      <c r="AT79" s="1922"/>
      <c r="AU79" s="1923"/>
      <c r="AY79" s="2273"/>
      <c r="AZ79" s="665"/>
      <c r="BA79" s="801"/>
      <c r="BB79" s="801"/>
      <c r="BC79" s="801"/>
      <c r="BD79" s="801"/>
      <c r="BE79" s="801"/>
      <c r="BF79" s="801"/>
      <c r="BG79" s="801"/>
      <c r="BH79" s="801"/>
      <c r="BI79" s="801"/>
      <c r="BJ79" s="801"/>
      <c r="BK79" s="801"/>
      <c r="BL79" s="801"/>
      <c r="BM79" s="801"/>
    </row>
    <row r="80" spans="1:65" ht="21.75" customHeight="1" thickBot="1">
      <c r="A80" s="292" t="s">
        <v>930</v>
      </c>
      <c r="B80" s="2064"/>
      <c r="C80" s="313"/>
      <c r="D80" s="313"/>
      <c r="E80" s="314"/>
      <c r="F80" s="314"/>
      <c r="G80" s="314"/>
      <c r="H80" s="314"/>
      <c r="I80" s="314"/>
      <c r="J80" s="314"/>
      <c r="K80" s="314"/>
      <c r="L80" s="314"/>
      <c r="M80" s="724"/>
      <c r="N80" s="724"/>
      <c r="O80" s="724"/>
      <c r="P80" s="724"/>
      <c r="Q80" s="724"/>
      <c r="R80" s="724"/>
      <c r="S80" s="724"/>
      <c r="T80" s="724"/>
      <c r="U80" s="724"/>
      <c r="V80" s="724"/>
      <c r="W80" s="724"/>
      <c r="X80" s="724"/>
      <c r="Y80" s="724"/>
      <c r="Z80" s="725"/>
      <c r="AA80" s="725"/>
      <c r="AB80" s="725"/>
      <c r="AC80" s="725"/>
      <c r="AD80" s="725"/>
      <c r="AE80" s="725"/>
      <c r="AF80" s="725"/>
      <c r="AG80" s="725"/>
      <c r="AH80" s="725"/>
      <c r="AI80" s="725"/>
      <c r="AJ80" s="725"/>
      <c r="AK80" s="725"/>
      <c r="AL80" s="725"/>
      <c r="AM80" s="725"/>
      <c r="AN80" s="726"/>
      <c r="AO80" s="726"/>
      <c r="AP80" s="669"/>
      <c r="AR80" s="320"/>
      <c r="AY80" s="677" t="s">
        <v>642</v>
      </c>
      <c r="AZ80" s="436"/>
      <c r="BA80" s="1268"/>
      <c r="BB80" s="2025"/>
      <c r="BC80" s="1268"/>
      <c r="BD80" s="1268"/>
      <c r="BE80" s="2058"/>
      <c r="BF80" s="2106"/>
      <c r="BG80" s="2106"/>
      <c r="BH80" s="2106"/>
      <c r="BI80" s="2272">
        <v>7.04</v>
      </c>
      <c r="BJ80" s="2272">
        <v>0</v>
      </c>
      <c r="BK80" s="2272"/>
      <c r="BL80" s="2272"/>
      <c r="BM80" s="2272"/>
    </row>
    <row r="81" spans="1:67" ht="21.75" customHeight="1">
      <c r="A81" s="7980" t="s">
        <v>1738</v>
      </c>
      <c r="B81" s="7975" t="s">
        <v>249</v>
      </c>
      <c r="C81" s="7975" t="s">
        <v>250</v>
      </c>
      <c r="D81" s="7955" t="s">
        <v>814</v>
      </c>
      <c r="E81" s="7955" t="s">
        <v>440</v>
      </c>
      <c r="F81" s="7955" t="s">
        <v>543</v>
      </c>
      <c r="G81" s="7955" t="s">
        <v>718</v>
      </c>
      <c r="H81" s="7950" t="s">
        <v>979</v>
      </c>
      <c r="I81" s="7950" t="s">
        <v>1245</v>
      </c>
      <c r="J81" s="7968" t="s">
        <v>1889</v>
      </c>
      <c r="K81" s="7952" t="s">
        <v>1958</v>
      </c>
      <c r="L81" s="7983" t="s">
        <v>895</v>
      </c>
      <c r="M81" s="7954" t="s">
        <v>2269</v>
      </c>
      <c r="N81" s="7954"/>
      <c r="O81" s="7954"/>
      <c r="P81" s="7954"/>
      <c r="Q81" s="7954"/>
      <c r="R81" s="7954"/>
      <c r="S81" s="7954"/>
      <c r="T81" s="7954"/>
      <c r="U81" s="7954"/>
      <c r="V81" s="7954"/>
      <c r="W81" s="7954"/>
      <c r="X81" s="7954"/>
      <c r="Y81" s="7954"/>
      <c r="Z81" s="8004"/>
      <c r="AA81" s="8004"/>
      <c r="AB81" s="8004"/>
      <c r="AC81" s="8004"/>
      <c r="AD81" s="8004"/>
      <c r="AE81" s="8004"/>
      <c r="AF81" s="8004"/>
      <c r="AG81" s="8004"/>
      <c r="AH81" s="8004"/>
      <c r="AI81" s="8004"/>
      <c r="AJ81" s="8004"/>
      <c r="AK81" s="8005"/>
      <c r="AL81" s="7844" t="s">
        <v>1296</v>
      </c>
      <c r="AM81" s="7955" t="s">
        <v>1136</v>
      </c>
      <c r="AN81" s="7955" t="s">
        <v>361</v>
      </c>
      <c r="AO81" s="7968" t="s">
        <v>624</v>
      </c>
      <c r="AP81" s="669"/>
      <c r="AR81" s="320"/>
      <c r="AY81" s="677" t="s">
        <v>643</v>
      </c>
      <c r="AZ81" s="436"/>
      <c r="BA81" s="1268"/>
      <c r="BB81" s="2025"/>
      <c r="BC81" s="1268"/>
      <c r="BD81" s="1268"/>
      <c r="BE81" s="2058"/>
      <c r="BF81" s="2106"/>
      <c r="BG81" s="2106"/>
      <c r="BH81" s="2106"/>
      <c r="BI81" s="2272">
        <v>3.43</v>
      </c>
      <c r="BJ81" s="2272">
        <v>0</v>
      </c>
      <c r="BK81" s="2272"/>
      <c r="BL81" s="2272"/>
      <c r="BM81" s="2272"/>
    </row>
    <row r="82" spans="1:67" ht="21.75" customHeight="1" thickBot="1">
      <c r="A82" s="7953"/>
      <c r="B82" s="7976"/>
      <c r="C82" s="7976"/>
      <c r="D82" s="7956"/>
      <c r="E82" s="7956"/>
      <c r="F82" s="7956"/>
      <c r="G82" s="7956"/>
      <c r="H82" s="7951"/>
      <c r="I82" s="7951"/>
      <c r="J82" s="7970"/>
      <c r="K82" s="7953"/>
      <c r="L82" s="7984"/>
      <c r="M82" s="4078" t="s">
        <v>396</v>
      </c>
      <c r="N82" s="2228" t="s">
        <v>368</v>
      </c>
      <c r="O82" s="2228" t="s">
        <v>369</v>
      </c>
      <c r="P82" s="2228" t="s">
        <v>370</v>
      </c>
      <c r="Q82" s="2228" t="s">
        <v>371</v>
      </c>
      <c r="R82" s="2228" t="s">
        <v>372</v>
      </c>
      <c r="S82" s="2228" t="s">
        <v>373</v>
      </c>
      <c r="T82" s="2228" t="s">
        <v>374</v>
      </c>
      <c r="U82" s="2228" t="s">
        <v>375</v>
      </c>
      <c r="V82" s="3236" t="s">
        <v>376</v>
      </c>
      <c r="W82" s="2516" t="s">
        <v>377</v>
      </c>
      <c r="X82" s="2516" t="s">
        <v>378</v>
      </c>
      <c r="Y82" s="1843" t="s">
        <v>1024</v>
      </c>
      <c r="Z82" s="1844" t="s">
        <v>367</v>
      </c>
      <c r="AA82" s="2065" t="s">
        <v>379</v>
      </c>
      <c r="AB82" s="2065" t="s">
        <v>380</v>
      </c>
      <c r="AC82" s="2065" t="s">
        <v>381</v>
      </c>
      <c r="AD82" s="2065" t="s">
        <v>382</v>
      </c>
      <c r="AE82" s="2065" t="s">
        <v>383</v>
      </c>
      <c r="AF82" s="2065" t="s">
        <v>384</v>
      </c>
      <c r="AG82" s="2065" t="s">
        <v>385</v>
      </c>
      <c r="AH82" s="2065" t="s">
        <v>386</v>
      </c>
      <c r="AI82" s="2065" t="s">
        <v>387</v>
      </c>
      <c r="AJ82" s="2065" t="s">
        <v>388</v>
      </c>
      <c r="AK82" s="2065" t="s">
        <v>389</v>
      </c>
      <c r="AL82" s="7958"/>
      <c r="AM82" s="7956"/>
      <c r="AN82" s="7956"/>
      <c r="AO82" s="7970"/>
      <c r="AP82" s="669"/>
      <c r="AR82" s="801" t="s">
        <v>254</v>
      </c>
      <c r="AS82" s="801" t="s">
        <v>255</v>
      </c>
      <c r="AT82" s="801" t="s">
        <v>697</v>
      </c>
      <c r="AU82" s="801" t="s">
        <v>1375</v>
      </c>
      <c r="AV82" s="801" t="s">
        <v>1374</v>
      </c>
      <c r="AW82" s="801" t="s">
        <v>2313</v>
      </c>
      <c r="AZ82" s="801" t="s">
        <v>1685</v>
      </c>
      <c r="BA82" s="801" t="s">
        <v>2267</v>
      </c>
      <c r="BB82" s="801" t="s">
        <v>108</v>
      </c>
      <c r="BC82" s="801" t="s">
        <v>83</v>
      </c>
      <c r="BD82" s="801" t="s">
        <v>85</v>
      </c>
      <c r="BE82" s="801" t="s">
        <v>7</v>
      </c>
      <c r="BF82" s="801" t="s">
        <v>8</v>
      </c>
      <c r="BG82" s="801" t="s">
        <v>9</v>
      </c>
      <c r="BH82" s="801" t="s">
        <v>10</v>
      </c>
      <c r="BI82" s="801" t="s">
        <v>11</v>
      </c>
      <c r="BJ82" s="801" t="s">
        <v>12</v>
      </c>
      <c r="BK82" s="801" t="s">
        <v>13</v>
      </c>
      <c r="BL82" s="801" t="s">
        <v>14</v>
      </c>
      <c r="BM82" s="801" t="s">
        <v>15</v>
      </c>
      <c r="BN82" s="801" t="s">
        <v>2268</v>
      </c>
      <c r="BO82" s="801" t="s">
        <v>1685</v>
      </c>
    </row>
    <row r="83" spans="1:67" ht="21.75" customHeight="1">
      <c r="A83" s="7795" t="s">
        <v>451</v>
      </c>
      <c r="B83" s="1938" t="s">
        <v>437</v>
      </c>
      <c r="C83" s="1154" t="s">
        <v>452</v>
      </c>
      <c r="D83" s="1178">
        <f>CPL!F26</f>
        <v>3.5936481824072213</v>
      </c>
      <c r="E83" s="1178">
        <f>CPL!G26</f>
        <v>3.18</v>
      </c>
      <c r="F83" s="1178">
        <f>CPL!H26</f>
        <v>3.7</v>
      </c>
      <c r="G83" s="1178">
        <f>CPL!I26</f>
        <v>3.48</v>
      </c>
      <c r="H83" s="1178">
        <f>CPL!J26</f>
        <v>6</v>
      </c>
      <c r="I83" s="1269">
        <f>CPL!K26</f>
        <v>7.1107920973624523</v>
      </c>
      <c r="J83" s="1269">
        <f>CPL!L26</f>
        <v>6.1230810370318052</v>
      </c>
      <c r="K83" s="1835">
        <f>CPL!M26</f>
        <v>5.8169269851802143</v>
      </c>
      <c r="L83" s="4285">
        <f>K83</f>
        <v>5.8169269851802143</v>
      </c>
      <c r="M83" s="7380"/>
      <c r="N83" s="7381"/>
      <c r="O83" s="1179">
        <f>CPL!Q26</f>
        <v>6.3064038956499386</v>
      </c>
      <c r="P83" s="1179">
        <f>CPL!R26</f>
        <v>0</v>
      </c>
      <c r="Q83" s="1179">
        <f>CPL!S26</f>
        <v>0</v>
      </c>
      <c r="R83" s="1179">
        <f>CPL!T26</f>
        <v>0</v>
      </c>
      <c r="S83" s="1179">
        <f>CPL!U26</f>
        <v>0</v>
      </c>
      <c r="T83" s="1179">
        <f>CPL!V26</f>
        <v>0</v>
      </c>
      <c r="U83" s="1179">
        <f>CPL!W26</f>
        <v>0</v>
      </c>
      <c r="V83" s="7610">
        <f>CPL!X26</f>
        <v>0</v>
      </c>
      <c r="W83" s="5538">
        <f>CPL!Y26</f>
        <v>0</v>
      </c>
      <c r="X83" s="1598">
        <f>CPL!Z26</f>
        <v>0</v>
      </c>
      <c r="Y83" s="2195">
        <f>CPL!AA26</f>
        <v>7.2375593070792732</v>
      </c>
      <c r="Z83" s="7388"/>
      <c r="AA83" s="7389"/>
      <c r="AB83" s="1180">
        <f>CPL!AD26</f>
        <v>11188.768900306119</v>
      </c>
      <c r="AC83" s="1180">
        <f>CPL!AE26</f>
        <v>0</v>
      </c>
      <c r="AD83" s="1180">
        <f>CPL!AF26</f>
        <v>0</v>
      </c>
      <c r="AE83" s="1180">
        <f>CPL!AG26</f>
        <v>0</v>
      </c>
      <c r="AF83" s="1180">
        <f>CPL!AH26</f>
        <v>0</v>
      </c>
      <c r="AG83" s="1180">
        <f>CPL!AI26</f>
        <v>0</v>
      </c>
      <c r="AH83" s="1180">
        <f>CPL!AJ26</f>
        <v>0</v>
      </c>
      <c r="AI83" s="1180">
        <f>CPL!AK26</f>
        <v>0</v>
      </c>
      <c r="AJ83" s="1180">
        <f>CPL!AL26</f>
        <v>0</v>
      </c>
      <c r="AK83" s="1180">
        <f>CPL!AM26</f>
        <v>0</v>
      </c>
      <c r="AL83" s="1180">
        <f>CPL!AN26</f>
        <v>43602.882618525939</v>
      </c>
      <c r="AM83" s="722">
        <f>SUM(Z83:AK83)</f>
        <v>11188.768900306119</v>
      </c>
      <c r="AN83" s="1145">
        <f t="shared" ref="AN83:AN93" si="33">AM83/AL83</f>
        <v>0.25660617437142214</v>
      </c>
      <c r="AO83" s="7946" t="s">
        <v>2236</v>
      </c>
      <c r="AQ83" s="683"/>
      <c r="AR83" s="2869">
        <v>1973.88</v>
      </c>
      <c r="AS83" s="7275">
        <v>820.61999999999978</v>
      </c>
      <c r="AT83" s="7275">
        <v>320</v>
      </c>
      <c r="AU83" s="7276">
        <f>H19</f>
        <v>307.49</v>
      </c>
      <c r="AV83" s="7276">
        <f t="shared" ref="AV83:AW85" si="34">I19</f>
        <v>363.24000000000007</v>
      </c>
      <c r="AW83" s="7276">
        <f t="shared" si="34"/>
        <v>205.53</v>
      </c>
      <c r="AY83" s="677" t="s">
        <v>641</v>
      </c>
      <c r="AZ83" s="436">
        <f t="shared" ref="AZ83:BA85" si="35">AV86</f>
        <v>30.270000000000007</v>
      </c>
      <c r="BA83" s="1268">
        <f t="shared" si="35"/>
        <v>17.127500000000001</v>
      </c>
      <c r="BB83" s="2272">
        <f t="shared" ref="BB83:BM85" si="36">M19</f>
        <v>0</v>
      </c>
      <c r="BC83" s="2272">
        <f t="shared" si="36"/>
        <v>0</v>
      </c>
      <c r="BD83" s="2272">
        <f t="shared" si="36"/>
        <v>0</v>
      </c>
      <c r="BE83" s="2272">
        <f t="shared" si="36"/>
        <v>0</v>
      </c>
      <c r="BF83" s="2272">
        <f t="shared" si="36"/>
        <v>0</v>
      </c>
      <c r="BG83" s="2272">
        <f t="shared" si="36"/>
        <v>0</v>
      </c>
      <c r="BH83" s="2272">
        <f t="shared" si="36"/>
        <v>0</v>
      </c>
      <c r="BI83" s="2272">
        <f t="shared" si="36"/>
        <v>0</v>
      </c>
      <c r="BJ83" s="2272">
        <f t="shared" si="36"/>
        <v>0</v>
      </c>
      <c r="BK83" s="2272">
        <f t="shared" si="36"/>
        <v>0</v>
      </c>
      <c r="BL83" s="2272">
        <f t="shared" si="36"/>
        <v>0</v>
      </c>
      <c r="BM83" s="2272">
        <f t="shared" si="36"/>
        <v>0</v>
      </c>
      <c r="BN83" s="7134">
        <f>SUM(BB83:BM83)</f>
        <v>0</v>
      </c>
      <c r="BO83" s="436">
        <f>BL83/12</f>
        <v>0</v>
      </c>
    </row>
    <row r="84" spans="1:67" ht="21.75" customHeight="1">
      <c r="A84" s="7796"/>
      <c r="B84" s="1858" t="s">
        <v>43</v>
      </c>
      <c r="C84" s="1859" t="s">
        <v>452</v>
      </c>
      <c r="D84" s="1828">
        <f>CGL!F27</f>
        <v>18.96</v>
      </c>
      <c r="E84" s="1828">
        <f>CGL!G27</f>
        <v>19.028502392263018</v>
      </c>
      <c r="F84" s="1828">
        <f>CGL!H27</f>
        <v>19.101947616711083</v>
      </c>
      <c r="G84" s="1828">
        <f>CGL!I27</f>
        <v>20.55</v>
      </c>
      <c r="H84" s="1828">
        <f>CGL!J27</f>
        <v>20.22</v>
      </c>
      <c r="I84" s="5702">
        <f>CGL!K27</f>
        <v>19.778588486790369</v>
      </c>
      <c r="J84" s="5702">
        <f>CGL!L27</f>
        <v>19.756643880855766</v>
      </c>
      <c r="K84" s="4286">
        <f>CGL!M27</f>
        <v>19.03</v>
      </c>
      <c r="L84" s="4287">
        <f>K84</f>
        <v>19.03</v>
      </c>
      <c r="M84" s="7382"/>
      <c r="N84" s="7383"/>
      <c r="O84" s="4794">
        <f>CGL!Q27</f>
        <v>20.529526364536427</v>
      </c>
      <c r="P84" s="4794">
        <f>CGL!R27</f>
        <v>0</v>
      </c>
      <c r="Q84" s="4794">
        <f>CGL!S27</f>
        <v>0</v>
      </c>
      <c r="R84" s="4794">
        <f>CGL!T27</f>
        <v>0</v>
      </c>
      <c r="S84" s="4794">
        <f>CGL!U27</f>
        <v>0</v>
      </c>
      <c r="T84" s="4794">
        <f>CGL!V27</f>
        <v>0</v>
      </c>
      <c r="U84" s="4794">
        <f>CGL!W27</f>
        <v>0</v>
      </c>
      <c r="V84" s="7610">
        <f>CGL!X27</f>
        <v>0</v>
      </c>
      <c r="W84" s="5539">
        <f>CGL!Y27</f>
        <v>0</v>
      </c>
      <c r="X84" s="2751">
        <f>CGL!Z27</f>
        <v>0</v>
      </c>
      <c r="Y84" s="2194">
        <f>CGL!AA27</f>
        <v>2.0529526364536426</v>
      </c>
      <c r="Z84" s="7390"/>
      <c r="AA84" s="7392"/>
      <c r="AB84" s="1880">
        <f>CGL!AD27</f>
        <v>-8908.8619898803317</v>
      </c>
      <c r="AC84" s="1880">
        <f>CGL!AE27</f>
        <v>0</v>
      </c>
      <c r="AD84" s="1880">
        <f>CGL!AF27</f>
        <v>0</v>
      </c>
      <c r="AE84" s="1880">
        <f>CGL!AG27</f>
        <v>0</v>
      </c>
      <c r="AF84" s="1880">
        <f>CGL!AH27</f>
        <v>0</v>
      </c>
      <c r="AG84" s="1880">
        <f>CGL!AI27</f>
        <v>0</v>
      </c>
      <c r="AH84" s="1880">
        <f>CGL!AJ27</f>
        <v>0</v>
      </c>
      <c r="AI84" s="1880">
        <f>CGL!AK27</f>
        <v>0</v>
      </c>
      <c r="AJ84" s="1880">
        <f>CGL!AL27</f>
        <v>0</v>
      </c>
      <c r="AK84" s="1880">
        <f>CGL!AM27</f>
        <v>0</v>
      </c>
      <c r="AL84" s="1880">
        <f>CGL!AN27</f>
        <v>98229.65123351755</v>
      </c>
      <c r="AM84" s="723">
        <f>SUM(Z84:AK84)</f>
        <v>-8908.8619898803317</v>
      </c>
      <c r="AN84" s="4548">
        <f t="shared" si="33"/>
        <v>-9.0694223974201418E-2</v>
      </c>
      <c r="AO84" s="7947"/>
      <c r="AQ84" s="683"/>
      <c r="AR84" s="2869">
        <v>118.37</v>
      </c>
      <c r="AS84" s="7275">
        <v>139.78</v>
      </c>
      <c r="AT84" s="7275">
        <v>125.91</v>
      </c>
      <c r="AU84" s="7276">
        <f>H20</f>
        <v>92.647999999999996</v>
      </c>
      <c r="AV84" s="7276">
        <f t="shared" si="34"/>
        <v>83.9</v>
      </c>
      <c r="AW84" s="7276">
        <f t="shared" si="34"/>
        <v>50.17</v>
      </c>
      <c r="AY84" s="677" t="s">
        <v>642</v>
      </c>
      <c r="AZ84" s="436">
        <f t="shared" si="35"/>
        <v>6.9916666666666671</v>
      </c>
      <c r="BA84" s="1268">
        <f t="shared" si="35"/>
        <v>4.1808333333333332</v>
      </c>
      <c r="BB84" s="2272">
        <f t="shared" si="36"/>
        <v>11.54</v>
      </c>
      <c r="BC84" s="2272">
        <f t="shared" si="36"/>
        <v>0</v>
      </c>
      <c r="BD84" s="2272">
        <f t="shared" si="36"/>
        <v>9.27</v>
      </c>
      <c r="BE84" s="2272">
        <f t="shared" si="36"/>
        <v>0</v>
      </c>
      <c r="BF84" s="2272">
        <f t="shared" si="36"/>
        <v>0</v>
      </c>
      <c r="BG84" s="2272">
        <f t="shared" si="36"/>
        <v>0</v>
      </c>
      <c r="BH84" s="2272">
        <f t="shared" si="36"/>
        <v>0</v>
      </c>
      <c r="BI84" s="2272">
        <f t="shared" si="36"/>
        <v>0</v>
      </c>
      <c r="BJ84" s="2272">
        <f t="shared" si="36"/>
        <v>0</v>
      </c>
      <c r="BK84" s="2272">
        <f t="shared" si="36"/>
        <v>0</v>
      </c>
      <c r="BL84" s="2272">
        <f t="shared" si="36"/>
        <v>0</v>
      </c>
      <c r="BM84" s="2272">
        <f t="shared" si="36"/>
        <v>0</v>
      </c>
      <c r="BN84" s="7134">
        <f>SUM(BB84:BM84)</f>
        <v>20.81</v>
      </c>
      <c r="BO84" s="436">
        <f>BL84/12</f>
        <v>0</v>
      </c>
    </row>
    <row r="85" spans="1:67" ht="21.75" customHeight="1">
      <c r="A85" s="7796"/>
      <c r="B85" s="1858" t="s">
        <v>438</v>
      </c>
      <c r="C85" s="1859" t="s">
        <v>452</v>
      </c>
      <c r="D85" s="1828">
        <f>'#1CCL'!F40</f>
        <v>30.594565248919942</v>
      </c>
      <c r="E85" s="1828">
        <f>'#1CCL'!G40</f>
        <v>34.94</v>
      </c>
      <c r="F85" s="1828">
        <f>'#1CCL'!H40</f>
        <v>36.084247210762676</v>
      </c>
      <c r="G85" s="1828">
        <f>'#1CCL'!I40</f>
        <v>27.81</v>
      </c>
      <c r="H85" s="1828">
        <f>'#1CCL'!J40</f>
        <v>24.83</v>
      </c>
      <c r="I85" s="5702">
        <f>'#1CCL'!K40</f>
        <v>23.751775128874105</v>
      </c>
      <c r="J85" s="5702">
        <f>'#1CCL'!L40</f>
        <v>25.514762264233507</v>
      </c>
      <c r="K85" s="4286">
        <f>'#1CCL'!M40</f>
        <v>24</v>
      </c>
      <c r="L85" s="4287">
        <f>K85</f>
        <v>24</v>
      </c>
      <c r="M85" s="4079">
        <f>'#1CCL'!O40</f>
        <v>26.291804217001022</v>
      </c>
      <c r="N85" s="4794">
        <f>'#1CCL'!P40</f>
        <v>27.79980825122102</v>
      </c>
      <c r="O85" s="4794">
        <f>'#1CCL'!Q40</f>
        <v>30.39789426832731</v>
      </c>
      <c r="P85" s="4794">
        <f>'#1CCL'!R40</f>
        <v>0</v>
      </c>
      <c r="Q85" s="4794">
        <f>'#1CCL'!S40</f>
        <v>0</v>
      </c>
      <c r="R85" s="4794">
        <f>'#1CCL'!T40</f>
        <v>0</v>
      </c>
      <c r="S85" s="4794">
        <f>'#1CCL'!U40</f>
        <v>0</v>
      </c>
      <c r="T85" s="4794">
        <f>'#1CCL'!V40</f>
        <v>0</v>
      </c>
      <c r="U85" s="4794">
        <f>'#1CCL'!W40</f>
        <v>0</v>
      </c>
      <c r="V85" s="7610">
        <f>'#1CCL'!X40</f>
        <v>0</v>
      </c>
      <c r="W85" s="5539">
        <f>'#1CCL'!Y40</f>
        <v>0</v>
      </c>
      <c r="X85" s="2751">
        <f>'#1CCL'!Z40</f>
        <v>0</v>
      </c>
      <c r="Y85" s="2194">
        <f>'#1CCL'!AA40</f>
        <v>8.4489506736549345</v>
      </c>
      <c r="Z85" s="1879">
        <f>'#1CCL'!AB40</f>
        <v>-4860.8749573485102</v>
      </c>
      <c r="AA85" s="1880">
        <f>'#1CCL'!AC40</f>
        <v>-13774.185235182225</v>
      </c>
      <c r="AB85" s="1880">
        <f>'#1CCL'!AD40</f>
        <v>-38456.350604472726</v>
      </c>
      <c r="AC85" s="1880">
        <f>'#1CCL'!AE40</f>
        <v>0</v>
      </c>
      <c r="AD85" s="1880">
        <f>'#1CCL'!AF40</f>
        <v>0</v>
      </c>
      <c r="AE85" s="1880">
        <f>'#1CCL'!AG40</f>
        <v>0</v>
      </c>
      <c r="AF85" s="1880">
        <f>'#1CCL'!AH40</f>
        <v>0</v>
      </c>
      <c r="AG85" s="1880">
        <f>'#1CCL'!AI40</f>
        <v>0</v>
      </c>
      <c r="AH85" s="1880">
        <f>'#1CCL'!AJ40</f>
        <v>0</v>
      </c>
      <c r="AI85" s="1880">
        <f>'#1CCL'!AK40</f>
        <v>0</v>
      </c>
      <c r="AJ85" s="1880">
        <f>'#1CCL'!AL40</f>
        <v>0</v>
      </c>
      <c r="AK85" s="1880">
        <f>'#1CCL'!AM40</f>
        <v>0</v>
      </c>
      <c r="AL85" s="1880">
        <f>'#1CCL'!AN40</f>
        <v>123783.01036979299</v>
      </c>
      <c r="AM85" s="723">
        <f>SUM(Z85:AK85)</f>
        <v>-57091.41079700346</v>
      </c>
      <c r="AN85" s="4548">
        <f t="shared" si="33"/>
        <v>-0.46122170261045442</v>
      </c>
      <c r="AO85" s="7947"/>
      <c r="AQ85" s="683"/>
      <c r="AR85" s="7277">
        <v>68.98</v>
      </c>
      <c r="AS85" s="7278">
        <v>53.02000000000001</v>
      </c>
      <c r="AT85" s="7278">
        <v>95</v>
      </c>
      <c r="AU85" s="7279">
        <f>H21</f>
        <v>73.749999999999986</v>
      </c>
      <c r="AV85" s="7279">
        <f t="shared" si="34"/>
        <v>73.5</v>
      </c>
      <c r="AW85" s="7279">
        <f t="shared" si="34"/>
        <v>37.17</v>
      </c>
      <c r="AY85" s="677" t="s">
        <v>643</v>
      </c>
      <c r="AZ85" s="436">
        <f t="shared" si="35"/>
        <v>6.125</v>
      </c>
      <c r="BA85" s="1268">
        <f t="shared" si="35"/>
        <v>3.0975000000000001</v>
      </c>
      <c r="BB85" s="2272">
        <f t="shared" si="36"/>
        <v>3.47</v>
      </c>
      <c r="BC85" s="2272">
        <f t="shared" si="36"/>
        <v>0.96</v>
      </c>
      <c r="BD85" s="2272">
        <f t="shared" si="36"/>
        <v>5.6</v>
      </c>
      <c r="BE85" s="2272">
        <f t="shared" si="36"/>
        <v>0</v>
      </c>
      <c r="BF85" s="2272">
        <f t="shared" si="36"/>
        <v>0</v>
      </c>
      <c r="BG85" s="2272">
        <f t="shared" si="36"/>
        <v>0</v>
      </c>
      <c r="BH85" s="2272">
        <f t="shared" si="36"/>
        <v>0</v>
      </c>
      <c r="BI85" s="2272">
        <f t="shared" si="36"/>
        <v>0</v>
      </c>
      <c r="BJ85" s="2272">
        <f t="shared" si="36"/>
        <v>0</v>
      </c>
      <c r="BK85" s="2272">
        <f t="shared" si="36"/>
        <v>0</v>
      </c>
      <c r="BL85" s="2272">
        <f t="shared" si="36"/>
        <v>0</v>
      </c>
      <c r="BM85" s="2272">
        <f t="shared" si="36"/>
        <v>0</v>
      </c>
      <c r="BN85" s="7134">
        <f>SUM(BB85:BM85)</f>
        <v>10.029999999999999</v>
      </c>
      <c r="BO85" s="436">
        <f>BL85/12</f>
        <v>0</v>
      </c>
    </row>
    <row r="86" spans="1:67" ht="21.75" customHeight="1">
      <c r="A86" s="7796"/>
      <c r="B86" s="1858" t="s">
        <v>439</v>
      </c>
      <c r="C86" s="1859" t="s">
        <v>452</v>
      </c>
      <c r="D86" s="1828">
        <f>'#2CCL'!F37</f>
        <v>48.587586323475612</v>
      </c>
      <c r="E86" s="1828">
        <f>'#2CCL'!G37</f>
        <v>42.61</v>
      </c>
      <c r="F86" s="1828">
        <f>'#2CCL'!H37</f>
        <v>42.62</v>
      </c>
      <c r="G86" s="1828">
        <f>'#2CCL'!I37</f>
        <v>48.67</v>
      </c>
      <c r="H86" s="1828">
        <f>'#2CCL'!J37</f>
        <v>52.269771847106512</v>
      </c>
      <c r="I86" s="5702">
        <f>'#2CCL'!K37</f>
        <v>61.248628266089717</v>
      </c>
      <c r="J86" s="5702">
        <f>'#2CCL'!L37</f>
        <v>61.837961468484707</v>
      </c>
      <c r="K86" s="4286">
        <f>'#2CCL'!M37</f>
        <v>59.298818010126638</v>
      </c>
      <c r="L86" s="4287">
        <f>K86</f>
        <v>59.298818010126638</v>
      </c>
      <c r="M86" s="4079">
        <f>'#2CCL'!O37</f>
        <v>61.085392846963899</v>
      </c>
      <c r="N86" s="4794">
        <f>'#2CCL'!P37</f>
        <v>69.439136382552405</v>
      </c>
      <c r="O86" s="4794">
        <f>'#2CCL'!Q37</f>
        <v>62.254912617202976</v>
      </c>
      <c r="P86" s="4794">
        <f>'#2CCL'!R37</f>
        <v>0</v>
      </c>
      <c r="Q86" s="4794">
        <f>'#2CCL'!S37</f>
        <v>0</v>
      </c>
      <c r="R86" s="4794">
        <f>'#2CCL'!T37</f>
        <v>0</v>
      </c>
      <c r="S86" s="4794">
        <f>'#2CCL'!U37</f>
        <v>0</v>
      </c>
      <c r="T86" s="4794">
        <f>'#2CCL'!V37</f>
        <v>0</v>
      </c>
      <c r="U86" s="4794">
        <f>'#2CCL'!W37</f>
        <v>0</v>
      </c>
      <c r="V86" s="7610">
        <f>'#2CCL'!X37</f>
        <v>0</v>
      </c>
      <c r="W86" s="4079">
        <f>'#2CCL'!Y37</f>
        <v>0</v>
      </c>
      <c r="X86" s="2751">
        <f>'#2CCL'!Z37</f>
        <v>0</v>
      </c>
      <c r="Y86" s="2194">
        <f>'#2CCL'!AA37</f>
        <v>19.277944184671931</v>
      </c>
      <c r="Z86" s="1879">
        <f>'#2CCL'!AB37</f>
        <v>1872.5989781224437</v>
      </c>
      <c r="AA86" s="1880">
        <f>'#2CCL'!AC37</f>
        <v>-18543.839090333415</v>
      </c>
      <c r="AB86" s="1880">
        <f>'#2CCL'!AD37</f>
        <v>-1257.4075191904085</v>
      </c>
      <c r="AC86" s="1880">
        <f>'#2CCL'!AE37</f>
        <v>0</v>
      </c>
      <c r="AD86" s="1880">
        <f>'#2CCL'!AF37</f>
        <v>0</v>
      </c>
      <c r="AE86" s="1880">
        <f>'#2CCL'!AG37</f>
        <v>0</v>
      </c>
      <c r="AF86" s="1880">
        <f>'#2CCL'!AH37</f>
        <v>0</v>
      </c>
      <c r="AG86" s="1880">
        <f>'#2CCL'!AI37</f>
        <v>0</v>
      </c>
      <c r="AH86" s="1880">
        <f>'#2CCL'!AJ37</f>
        <v>0</v>
      </c>
      <c r="AI86" s="1880">
        <f>'#2CCL'!AK37</f>
        <v>0</v>
      </c>
      <c r="AJ86" s="1880">
        <f>'#2CCL'!AL37</f>
        <v>0</v>
      </c>
      <c r="AK86" s="1880">
        <f>'#2CCL'!AM37</f>
        <v>0</v>
      </c>
      <c r="AL86" s="1880">
        <f>'#2CCL'!AN37</f>
        <v>77325.216191769272</v>
      </c>
      <c r="AM86" s="723">
        <f>SUM(Z86:AK86)</f>
        <v>-17928.647631401378</v>
      </c>
      <c r="AN86" s="1861">
        <f t="shared" si="33"/>
        <v>-0.23186029751197459</v>
      </c>
      <c r="AO86" s="7948"/>
      <c r="AQ86" s="683"/>
      <c r="AR86" s="2274">
        <f t="shared" ref="AR86:AW86" si="37">AR83/12</f>
        <v>164.49</v>
      </c>
      <c r="AS86" s="2274">
        <f t="shared" si="37"/>
        <v>68.384999999999977</v>
      </c>
      <c r="AT86" s="2274">
        <f t="shared" si="37"/>
        <v>26.666666666666668</v>
      </c>
      <c r="AU86" s="7280">
        <f t="shared" si="37"/>
        <v>25.624166666666667</v>
      </c>
      <c r="AV86" s="7280">
        <f t="shared" si="37"/>
        <v>30.270000000000007</v>
      </c>
      <c r="AW86" s="7280">
        <f t="shared" si="37"/>
        <v>17.127500000000001</v>
      </c>
    </row>
    <row r="87" spans="1:67" ht="21.75" customHeight="1" thickBot="1">
      <c r="A87" s="7796"/>
      <c r="B87" s="2897" t="s">
        <v>444</v>
      </c>
      <c r="C87" s="1881" t="s">
        <v>452</v>
      </c>
      <c r="D87" s="1882">
        <v>25.142994592000413</v>
      </c>
      <c r="E87" s="2927">
        <f t="shared" ref="E87:Y87" si="38">(E83+E84+E85+E86)/4</f>
        <v>24.939625598065753</v>
      </c>
      <c r="F87" s="2927">
        <f t="shared" si="38"/>
        <v>25.376548706868441</v>
      </c>
      <c r="G87" s="2927">
        <f t="shared" si="38"/>
        <v>25.127500000000001</v>
      </c>
      <c r="H87" s="2927">
        <f t="shared" si="38"/>
        <v>25.829942961776627</v>
      </c>
      <c r="I87" s="4556">
        <f t="shared" si="38"/>
        <v>27.972445994779161</v>
      </c>
      <c r="J87" s="4556">
        <f>(J83+J84+J85+J86)/4</f>
        <v>28.308112162651447</v>
      </c>
      <c r="K87" s="4288">
        <f t="shared" si="38"/>
        <v>27.036436248826714</v>
      </c>
      <c r="L87" s="4289">
        <f t="shared" si="38"/>
        <v>27.036436248826714</v>
      </c>
      <c r="M87" s="4080">
        <f t="shared" si="38"/>
        <v>21.844299265991232</v>
      </c>
      <c r="N87" s="4556">
        <f t="shared" si="38"/>
        <v>24.309736158443357</v>
      </c>
      <c r="O87" s="4556">
        <f t="shared" si="38"/>
        <v>29.872184286429164</v>
      </c>
      <c r="P87" s="4556">
        <f t="shared" si="38"/>
        <v>0</v>
      </c>
      <c r="Q87" s="4556">
        <f t="shared" si="38"/>
        <v>0</v>
      </c>
      <c r="R87" s="4556">
        <f t="shared" si="38"/>
        <v>0</v>
      </c>
      <c r="S87" s="4556">
        <f t="shared" si="38"/>
        <v>0</v>
      </c>
      <c r="T87" s="4556">
        <f t="shared" si="38"/>
        <v>0</v>
      </c>
      <c r="U87" s="4556">
        <f t="shared" si="38"/>
        <v>0</v>
      </c>
      <c r="V87" s="7611">
        <f t="shared" si="38"/>
        <v>0</v>
      </c>
      <c r="W87" s="5540">
        <f t="shared" si="38"/>
        <v>0</v>
      </c>
      <c r="X87" s="2927">
        <f t="shared" si="38"/>
        <v>0</v>
      </c>
      <c r="Y87" s="2927">
        <f t="shared" si="38"/>
        <v>9.2543517004649445</v>
      </c>
      <c r="Z87" s="1883">
        <f t="shared" ref="Z87:AM87" si="39">SUM(Z83:Z86)</f>
        <v>-2988.2759792260667</v>
      </c>
      <c r="AA87" s="1884">
        <f t="shared" si="39"/>
        <v>-32318.024325515638</v>
      </c>
      <c r="AB87" s="1884">
        <f t="shared" si="39"/>
        <v>-37433.851213237343</v>
      </c>
      <c r="AC87" s="1884">
        <f t="shared" si="39"/>
        <v>0</v>
      </c>
      <c r="AD87" s="1884">
        <f t="shared" si="39"/>
        <v>0</v>
      </c>
      <c r="AE87" s="1884">
        <f t="shared" si="39"/>
        <v>0</v>
      </c>
      <c r="AF87" s="1884">
        <f t="shared" si="39"/>
        <v>0</v>
      </c>
      <c r="AG87" s="1884">
        <f t="shared" si="39"/>
        <v>0</v>
      </c>
      <c r="AH87" s="1884">
        <f t="shared" si="39"/>
        <v>0</v>
      </c>
      <c r="AI87" s="1884">
        <f t="shared" si="39"/>
        <v>0</v>
      </c>
      <c r="AJ87" s="1884">
        <f t="shared" si="39"/>
        <v>0</v>
      </c>
      <c r="AK87" s="1884">
        <f t="shared" si="39"/>
        <v>0</v>
      </c>
      <c r="AL87" s="1884">
        <f t="shared" si="39"/>
        <v>342940.76041360578</v>
      </c>
      <c r="AM87" s="1884">
        <f t="shared" si="39"/>
        <v>-72740.151517979044</v>
      </c>
      <c r="AN87" s="2209">
        <f t="shared" si="33"/>
        <v>-0.21210704563158472</v>
      </c>
      <c r="AO87" s="1886"/>
      <c r="AQ87" s="683"/>
      <c r="AR87" s="2274">
        <f t="shared" ref="AR87:AV88" si="40">AR84/12</f>
        <v>9.8641666666666676</v>
      </c>
      <c r="AS87" s="2274">
        <f t="shared" si="40"/>
        <v>11.648333333333333</v>
      </c>
      <c r="AT87" s="2274">
        <f t="shared" si="40"/>
        <v>10.4925</v>
      </c>
      <c r="AU87" s="7280">
        <f t="shared" si="40"/>
        <v>7.7206666666666663</v>
      </c>
      <c r="AV87" s="7280">
        <f t="shared" si="40"/>
        <v>6.9916666666666671</v>
      </c>
      <c r="AW87" s="7280">
        <f>AW84/12</f>
        <v>4.1808333333333332</v>
      </c>
      <c r="AY87" s="2273" t="s">
        <v>1150</v>
      </c>
      <c r="AZ87" s="801" t="s">
        <v>1685</v>
      </c>
      <c r="BA87" s="801" t="s">
        <v>2267</v>
      </c>
      <c r="BB87" s="801" t="s">
        <v>108</v>
      </c>
      <c r="BC87" s="801" t="s">
        <v>83</v>
      </c>
      <c r="BD87" s="801" t="s">
        <v>85</v>
      </c>
      <c r="BE87" s="801" t="s">
        <v>7</v>
      </c>
      <c r="BF87" s="801" t="s">
        <v>8</v>
      </c>
      <c r="BG87" s="801" t="s">
        <v>9</v>
      </c>
      <c r="BH87" s="801" t="s">
        <v>10</v>
      </c>
      <c r="BI87" s="801" t="s">
        <v>11</v>
      </c>
      <c r="BJ87" s="801" t="s">
        <v>12</v>
      </c>
      <c r="BK87" s="801" t="s">
        <v>13</v>
      </c>
      <c r="BL87" s="801" t="s">
        <v>14</v>
      </c>
      <c r="BM87" s="801" t="s">
        <v>15</v>
      </c>
    </row>
    <row r="88" spans="1:67" ht="21.75" customHeight="1">
      <c r="A88" s="7795" t="s">
        <v>450</v>
      </c>
      <c r="B88" s="2886" t="s">
        <v>437</v>
      </c>
      <c r="C88" s="1154" t="s">
        <v>453</v>
      </c>
      <c r="D88" s="1178">
        <f>CPL!F28</f>
        <v>15.439654361120386</v>
      </c>
      <c r="E88" s="1178">
        <f>CPL!G28</f>
        <v>15.3</v>
      </c>
      <c r="F88" s="1178">
        <f>CPL!H28</f>
        <v>14.92</v>
      </c>
      <c r="G88" s="1178">
        <f>CPL!I28</f>
        <v>14.55</v>
      </c>
      <c r="H88" s="1269">
        <f>CPL!J28</f>
        <v>13.6</v>
      </c>
      <c r="I88" s="1269">
        <f>CPL!K28</f>
        <v>13.953402383827582</v>
      </c>
      <c r="J88" s="1269">
        <f>CPL!L28</f>
        <v>14.209374742678701</v>
      </c>
      <c r="K88" s="1835">
        <f>CPL!M28</f>
        <v>13.498906005544766</v>
      </c>
      <c r="L88" s="4290">
        <f>K88</f>
        <v>13.498906005544766</v>
      </c>
      <c r="M88" s="7380"/>
      <c r="N88" s="7381"/>
      <c r="O88" s="1179">
        <f>CPL!Q28</f>
        <v>9.0470203160598253</v>
      </c>
      <c r="P88" s="1179">
        <f>CPL!R28</f>
        <v>0</v>
      </c>
      <c r="Q88" s="1179">
        <f>CPL!S28</f>
        <v>0</v>
      </c>
      <c r="R88" s="1179">
        <f>CPL!T28</f>
        <v>0</v>
      </c>
      <c r="S88" s="1179">
        <f>CPL!U28</f>
        <v>0</v>
      </c>
      <c r="T88" s="1179">
        <f>CPL!V28</f>
        <v>0</v>
      </c>
      <c r="U88" s="1179">
        <f>CPL!W28</f>
        <v>0</v>
      </c>
      <c r="V88" s="7610">
        <f>CPL!X28</f>
        <v>0</v>
      </c>
      <c r="W88" s="5538">
        <f>CPL!Y28</f>
        <v>0</v>
      </c>
      <c r="X88" s="1598">
        <f>CPL!Z28</f>
        <v>0</v>
      </c>
      <c r="Y88" s="2195">
        <f>CPL!AA28</f>
        <v>63.296614525238176</v>
      </c>
      <c r="Z88" s="7388"/>
      <c r="AA88" s="7389"/>
      <c r="AB88" s="1180">
        <f>CPL!AD28</f>
        <v>15662.754720528632</v>
      </c>
      <c r="AC88" s="1180">
        <f>CPL!AE28</f>
        <v>0</v>
      </c>
      <c r="AD88" s="1180">
        <f>CPL!AF28</f>
        <v>0</v>
      </c>
      <c r="AE88" s="1180">
        <f>CPL!AG28</f>
        <v>0</v>
      </c>
      <c r="AF88" s="1180">
        <f>CPL!AH28</f>
        <v>0</v>
      </c>
      <c r="AG88" s="1180">
        <f>CPL!AI28</f>
        <v>0</v>
      </c>
      <c r="AH88" s="1180">
        <f>CPL!AJ28</f>
        <v>0</v>
      </c>
      <c r="AI88" s="1180">
        <f>CPL!AK28</f>
        <v>0</v>
      </c>
      <c r="AJ88" s="1180">
        <f>CPL!AL28</f>
        <v>0</v>
      </c>
      <c r="AK88" s="1180">
        <f>CPL!AM28</f>
        <v>0</v>
      </c>
      <c r="AL88" s="1180">
        <f>CPL!AN28</f>
        <v>22071.094972183739</v>
      </c>
      <c r="AM88" s="722">
        <f>SUM(Z88:AK88)</f>
        <v>15662.754720528632</v>
      </c>
      <c r="AN88" s="4549">
        <f t="shared" si="33"/>
        <v>0.70965009847805216</v>
      </c>
      <c r="AO88" s="7946" t="s">
        <v>2233</v>
      </c>
      <c r="AR88" s="2274">
        <f t="shared" si="40"/>
        <v>5.748333333333334</v>
      </c>
      <c r="AS88" s="2274">
        <f t="shared" si="40"/>
        <v>4.4183333333333339</v>
      </c>
      <c r="AT88" s="2274">
        <f t="shared" si="40"/>
        <v>7.916666666666667</v>
      </c>
      <c r="AU88" s="7280">
        <f t="shared" si="40"/>
        <v>6.1458333333333321</v>
      </c>
      <c r="AV88" s="7280">
        <f t="shared" si="40"/>
        <v>6.125</v>
      </c>
      <c r="AW88" s="7280">
        <f>AW85/12</f>
        <v>3.0975000000000001</v>
      </c>
      <c r="AY88" s="677" t="s">
        <v>641</v>
      </c>
      <c r="AZ88" s="436"/>
      <c r="BA88" s="1268"/>
      <c r="BB88" s="2025"/>
      <c r="BC88" s="1268"/>
      <c r="BD88" s="1268"/>
      <c r="BE88" s="2058"/>
      <c r="BF88" s="2106"/>
      <c r="BG88" s="2106"/>
      <c r="BH88" s="2106"/>
      <c r="BI88" s="2272"/>
      <c r="BJ88" s="2272"/>
      <c r="BK88" s="2272"/>
      <c r="BL88" s="2272"/>
      <c r="BM88" s="2272"/>
    </row>
    <row r="89" spans="1:67" ht="21.75" customHeight="1">
      <c r="A89" s="7796"/>
      <c r="B89" s="2889" t="s">
        <v>237</v>
      </c>
      <c r="C89" s="2493" t="s">
        <v>453</v>
      </c>
      <c r="D89" s="2928">
        <f>CRM!F27</f>
        <v>75.248907066369782</v>
      </c>
      <c r="E89" s="2928">
        <f>CRM!G27</f>
        <v>77.760000000000005</v>
      </c>
      <c r="F89" s="2928">
        <f>CRM!H27</f>
        <v>78.94</v>
      </c>
      <c r="G89" s="2928">
        <f>CRM!I27</f>
        <v>77.63</v>
      </c>
      <c r="H89" s="2253">
        <f>CRM!J27</f>
        <v>77.150000000000006</v>
      </c>
      <c r="I89" s="5702">
        <f>CRM!K27</f>
        <v>76.986409573006</v>
      </c>
      <c r="J89" s="5702">
        <f>CRM!L27</f>
        <v>76.756615697789272</v>
      </c>
      <c r="K89" s="4286">
        <f>CRM!M27</f>
        <v>74.453917226855594</v>
      </c>
      <c r="L89" s="4291">
        <f>K89</f>
        <v>74.453917226855594</v>
      </c>
      <c r="M89" s="7382"/>
      <c r="N89" s="7383"/>
      <c r="O89" s="4794">
        <f>CRM!Q27</f>
        <v>70.741252460757167</v>
      </c>
      <c r="P89" s="4794">
        <f>CRM!R27</f>
        <v>0</v>
      </c>
      <c r="Q89" s="4794">
        <f>CRM!S27</f>
        <v>0</v>
      </c>
      <c r="R89" s="4794">
        <f>CRM!T27</f>
        <v>0</v>
      </c>
      <c r="S89" s="4794">
        <f>CRM!U27</f>
        <v>0</v>
      </c>
      <c r="T89" s="4794">
        <f>CRM!V27</f>
        <v>0</v>
      </c>
      <c r="U89" s="4794">
        <f>CRM!W27</f>
        <v>0</v>
      </c>
      <c r="V89" s="7610">
        <f>CRM!X27</f>
        <v>0</v>
      </c>
      <c r="W89" s="5539">
        <f>CRM!Y27</f>
        <v>0</v>
      </c>
      <c r="X89" s="2751">
        <f>CRM!Z27</f>
        <v>0</v>
      </c>
      <c r="Y89" s="2929">
        <f>CRM!AA27</f>
        <v>92.035957048086431</v>
      </c>
      <c r="Z89" s="7390"/>
      <c r="AA89" s="7391"/>
      <c r="AB89" s="2930">
        <f>CRM!AD27</f>
        <v>15354.012546319685</v>
      </c>
      <c r="AC89" s="2930">
        <f>CRM!AE27</f>
        <v>0</v>
      </c>
      <c r="AD89" s="2930">
        <f>CRM!AF27</f>
        <v>0</v>
      </c>
      <c r="AE89" s="2930">
        <f>CRM!AG27</f>
        <v>0</v>
      </c>
      <c r="AF89" s="2930">
        <f>CRM!AH27</f>
        <v>0</v>
      </c>
      <c r="AG89" s="2930">
        <f>CRM!AI27</f>
        <v>0</v>
      </c>
      <c r="AH89" s="2930">
        <f>CRM!AJ27</f>
        <v>0</v>
      </c>
      <c r="AI89" s="2930">
        <f>CRM!AK27</f>
        <v>0</v>
      </c>
      <c r="AJ89" s="2930">
        <f>CRM!AL27</f>
        <v>0</v>
      </c>
      <c r="AK89" s="2930">
        <f>CRM!AM27</f>
        <v>0</v>
      </c>
      <c r="AL89" s="2930">
        <f>CRM!AN27</f>
        <v>67860.754208262559</v>
      </c>
      <c r="AM89" s="723">
        <f>SUM(Z89:AK89)</f>
        <v>15354.012546319685</v>
      </c>
      <c r="AN89" s="4333">
        <f t="shared" si="33"/>
        <v>0.22625761716704024</v>
      </c>
      <c r="AO89" s="7947"/>
      <c r="AR89" s="320"/>
      <c r="AY89" s="677" t="s">
        <v>642</v>
      </c>
      <c r="AZ89" s="436"/>
      <c r="BA89" s="1268"/>
      <c r="BB89" s="2025"/>
      <c r="BC89" s="1268"/>
      <c r="BD89" s="1268"/>
      <c r="BE89" s="2058"/>
      <c r="BF89" s="2106"/>
      <c r="BG89" s="2106"/>
      <c r="BH89" s="2106"/>
      <c r="BI89" s="2272"/>
      <c r="BJ89" s="2272"/>
      <c r="BK89" s="2272"/>
      <c r="BL89" s="2272"/>
      <c r="BM89" s="2272"/>
    </row>
    <row r="90" spans="1:67" ht="21.75" customHeight="1">
      <c r="A90" s="7796"/>
      <c r="B90" s="2889" t="s">
        <v>43</v>
      </c>
      <c r="C90" s="2493" t="s">
        <v>453</v>
      </c>
      <c r="D90" s="2928">
        <f>CGL!F29</f>
        <v>75.72</v>
      </c>
      <c r="E90" s="2928">
        <f>CGL!G29</f>
        <v>80.17</v>
      </c>
      <c r="F90" s="2928">
        <f>CGL!H29</f>
        <v>81.21731478694231</v>
      </c>
      <c r="G90" s="2928">
        <f>CGL!I29</f>
        <v>85.08</v>
      </c>
      <c r="H90" s="2253">
        <f>CGL!J29</f>
        <v>82.8</v>
      </c>
      <c r="I90" s="5702">
        <f>CGL!K29</f>
        <v>82.462816674231007</v>
      </c>
      <c r="J90" s="5702">
        <f>CGL!L29</f>
        <v>75.174145548344455</v>
      </c>
      <c r="K90" s="4286">
        <f>CGL!M29</f>
        <v>82.8</v>
      </c>
      <c r="L90" s="4291">
        <f>K90</f>
        <v>82.8</v>
      </c>
      <c r="M90" s="7382"/>
      <c r="N90" s="7383"/>
      <c r="O90" s="4794">
        <f>CGL!Q29</f>
        <v>111.11981740409844</v>
      </c>
      <c r="P90" s="4794">
        <f>CGL!R29</f>
        <v>0</v>
      </c>
      <c r="Q90" s="4794">
        <f>CGL!S29</f>
        <v>0</v>
      </c>
      <c r="R90" s="4794">
        <f>CGL!T29</f>
        <v>0</v>
      </c>
      <c r="S90" s="4794">
        <f>CGL!U29</f>
        <v>0</v>
      </c>
      <c r="T90" s="4794">
        <f>CGL!V29</f>
        <v>0</v>
      </c>
      <c r="U90" s="4794">
        <f>CGL!W29</f>
        <v>0</v>
      </c>
      <c r="V90" s="7610">
        <f>CGL!X29</f>
        <v>0</v>
      </c>
      <c r="W90" s="5539">
        <f>CGL!Y29</f>
        <v>0</v>
      </c>
      <c r="X90" s="2751">
        <f>CGL!Z29</f>
        <v>0</v>
      </c>
      <c r="Y90" s="2929">
        <f>CGL!AA29</f>
        <v>11.111981740409844</v>
      </c>
      <c r="Z90" s="7390"/>
      <c r="AA90" s="7391"/>
      <c r="AB90" s="2930">
        <f>CGL!AD29</f>
        <v>-90377.242997483685</v>
      </c>
      <c r="AC90" s="2930">
        <f>CGL!AE29</f>
        <v>0</v>
      </c>
      <c r="AD90" s="2930">
        <f>CGL!AF29</f>
        <v>0</v>
      </c>
      <c r="AE90" s="2930">
        <f>CGL!AG29</f>
        <v>0</v>
      </c>
      <c r="AF90" s="2930">
        <f>CGL!AH29</f>
        <v>0</v>
      </c>
      <c r="AG90" s="2930">
        <f>CGL!AI29</f>
        <v>0</v>
      </c>
      <c r="AH90" s="2930">
        <f>CGL!AJ29</f>
        <v>0</v>
      </c>
      <c r="AI90" s="2930">
        <f>CGL!AK29</f>
        <v>0</v>
      </c>
      <c r="AJ90" s="2930">
        <f>CGL!AL29</f>
        <v>0</v>
      </c>
      <c r="AK90" s="2930">
        <f>CGL!AM29</f>
        <v>0</v>
      </c>
      <c r="AL90" s="2930">
        <f>CGL!AN29</f>
        <v>-224860.51987418631</v>
      </c>
      <c r="AM90" s="723">
        <f>SUM(Z90:AK90)</f>
        <v>-90377.242997483685</v>
      </c>
      <c r="AN90" s="2735">
        <f t="shared" si="33"/>
        <v>0.40192579403468182</v>
      </c>
      <c r="AO90" s="7947"/>
      <c r="AR90" s="320">
        <f>500/119</f>
        <v>4.2016806722689077</v>
      </c>
      <c r="AY90" s="677" t="s">
        <v>643</v>
      </c>
      <c r="AZ90" s="436"/>
      <c r="BA90" s="1268"/>
      <c r="BB90" s="2025"/>
      <c r="BC90" s="1268"/>
      <c r="BD90" s="1268"/>
      <c r="BE90" s="2058"/>
      <c r="BF90" s="2106"/>
      <c r="BG90" s="2106"/>
      <c r="BH90" s="2106"/>
      <c r="BI90" s="2272"/>
      <c r="BJ90" s="2272"/>
      <c r="BK90" s="2272"/>
      <c r="BL90" s="2272"/>
      <c r="BM90" s="2272"/>
    </row>
    <row r="91" spans="1:67" ht="21.75" customHeight="1">
      <c r="A91" s="7796"/>
      <c r="B91" s="2889" t="s">
        <v>438</v>
      </c>
      <c r="C91" s="2493" t="s">
        <v>453</v>
      </c>
      <c r="D91" s="2928">
        <f>'#1CCL'!F42</f>
        <v>77.702166010315011</v>
      </c>
      <c r="E91" s="2928">
        <f>'#1CCL'!G42</f>
        <v>84.58</v>
      </c>
      <c r="F91" s="2928">
        <f>'#1CCL'!H42</f>
        <v>79.070682134390594</v>
      </c>
      <c r="G91" s="2928">
        <f>'#1CCL'!I42</f>
        <v>72.349999999999994</v>
      </c>
      <c r="H91" s="2253">
        <f>'#1CCL'!J42</f>
        <v>65.83</v>
      </c>
      <c r="I91" s="5702">
        <f>'#1CCL'!K42</f>
        <v>67.750527960591967</v>
      </c>
      <c r="J91" s="5702">
        <f>'#1CCL'!L42</f>
        <v>59.494253790444112</v>
      </c>
      <c r="K91" s="4286">
        <f>'#1CCL'!M42</f>
        <v>58</v>
      </c>
      <c r="L91" s="4291">
        <f>K91</f>
        <v>58</v>
      </c>
      <c r="M91" s="4079">
        <f>'#1CCL'!O42</f>
        <v>62.393154124896355</v>
      </c>
      <c r="N91" s="4794">
        <f>'#1CCL'!P42</f>
        <v>51.158942336490668</v>
      </c>
      <c r="O91" s="4794">
        <f>'#1CCL'!Q42</f>
        <v>72.947717383797226</v>
      </c>
      <c r="P91" s="4794">
        <f>'#1CCL'!R42</f>
        <v>0</v>
      </c>
      <c r="Q91" s="4794">
        <f>'#1CCL'!S42</f>
        <v>0</v>
      </c>
      <c r="R91" s="4794">
        <f>'#1CCL'!T42</f>
        <v>0</v>
      </c>
      <c r="S91" s="4794">
        <f>'#1CCL'!U42</f>
        <v>0</v>
      </c>
      <c r="T91" s="4794">
        <f>'#1CCL'!V42</f>
        <v>0</v>
      </c>
      <c r="U91" s="4794">
        <f>'#1CCL'!W42</f>
        <v>0</v>
      </c>
      <c r="V91" s="7610">
        <f>'#1CCL'!X42</f>
        <v>0</v>
      </c>
      <c r="W91" s="5539">
        <f>'#1CCL'!Y42</f>
        <v>0</v>
      </c>
      <c r="X91" s="2751">
        <f>'#1CCL'!Z42</f>
        <v>0</v>
      </c>
      <c r="Y91" s="2929">
        <f>'#1CCL'!AA42</f>
        <v>18.649981384518423</v>
      </c>
      <c r="Z91" s="1879">
        <f>'#1CCL'!AB42</f>
        <v>-3955.5509558102535</v>
      </c>
      <c r="AA91" s="2930">
        <f>'#1CCL'!AC42</f>
        <v>10959.645922797996</v>
      </c>
      <c r="AB91" s="2930">
        <f>'#1CCL'!AD42</f>
        <v>-17780.288012926889</v>
      </c>
      <c r="AC91" s="2930">
        <f>'#1CCL'!AE42</f>
        <v>0</v>
      </c>
      <c r="AD91" s="2930">
        <f>'#1CCL'!AF42</f>
        <v>0</v>
      </c>
      <c r="AE91" s="2930">
        <f>'#1CCL'!AG42</f>
        <v>0</v>
      </c>
      <c r="AF91" s="2930">
        <f>'#1CCL'!AH42</f>
        <v>0</v>
      </c>
      <c r="AG91" s="2930">
        <f>'#1CCL'!AI42</f>
        <v>0</v>
      </c>
      <c r="AH91" s="2930">
        <f>'#1CCL'!AJ42</f>
        <v>0</v>
      </c>
      <c r="AI91" s="2930">
        <f>'#1CCL'!AK42</f>
        <v>0</v>
      </c>
      <c r="AJ91" s="2930">
        <f>'#1CCL'!AL42</f>
        <v>0</v>
      </c>
      <c r="AK91" s="2930">
        <f>'#1CCL'!AM42</f>
        <v>0</v>
      </c>
      <c r="AL91" s="2930">
        <f>'#1CCL'!AN42</f>
        <v>26634.505998225937</v>
      </c>
      <c r="AM91" s="723">
        <f>SUM(Z91:AK91)</f>
        <v>-10776.193045939146</v>
      </c>
      <c r="AN91" s="2735">
        <f t="shared" si="33"/>
        <v>-0.40459519116505949</v>
      </c>
      <c r="AO91" s="7947"/>
      <c r="AR91" s="56">
        <v>4.05</v>
      </c>
      <c r="AS91" s="49" t="s">
        <v>696</v>
      </c>
    </row>
    <row r="92" spans="1:67" ht="21.75" customHeight="1">
      <c r="A92" s="7796"/>
      <c r="B92" s="2889" t="s">
        <v>439</v>
      </c>
      <c r="C92" s="2493" t="s">
        <v>453</v>
      </c>
      <c r="D92" s="2928">
        <f>'#2CCL'!F39</f>
        <v>127.9226131142583</v>
      </c>
      <c r="E92" s="2928">
        <f>'#2CCL'!G39</f>
        <v>127.69</v>
      </c>
      <c r="F92" s="2928">
        <f>'#2CCL'!H39</f>
        <v>114.7</v>
      </c>
      <c r="G92" s="2928">
        <f>'#2CCL'!I39</f>
        <v>144.24</v>
      </c>
      <c r="H92" s="2253">
        <f>'#2CCL'!J39</f>
        <v>126.50420240387075</v>
      </c>
      <c r="I92" s="5702">
        <f>'#2CCL'!K39</f>
        <v>130.19365474477331</v>
      </c>
      <c r="J92" s="5702">
        <f>'#2CCL'!L39</f>
        <v>123.24098635253669</v>
      </c>
      <c r="K92" s="4286">
        <f>'#2CCL'!M39</f>
        <v>123.22805842053852</v>
      </c>
      <c r="L92" s="4287">
        <f>K92</f>
        <v>123.22805842053852</v>
      </c>
      <c r="M92" s="4079">
        <f>'#2CCL'!O39</f>
        <v>108.12140766742601</v>
      </c>
      <c r="N92" s="4794">
        <f>'#2CCL'!P39</f>
        <v>102.11045468377807</v>
      </c>
      <c r="O92" s="4794">
        <f>'#2CCL'!Q39</f>
        <v>117.50482022605313</v>
      </c>
      <c r="P92" s="4794">
        <f>'#2CCL'!R39</f>
        <v>0</v>
      </c>
      <c r="Q92" s="4794">
        <f>'#2CCL'!S39</f>
        <v>0</v>
      </c>
      <c r="R92" s="4794">
        <f>'#2CCL'!T39</f>
        <v>0</v>
      </c>
      <c r="S92" s="4794">
        <f>'#2CCL'!U39</f>
        <v>0</v>
      </c>
      <c r="T92" s="4794">
        <f>'#2CCL'!V39</f>
        <v>0</v>
      </c>
      <c r="U92" s="4794">
        <f>'#2CCL'!W39</f>
        <v>0</v>
      </c>
      <c r="V92" s="7610">
        <f>'#2CCL'!X39</f>
        <v>0</v>
      </c>
      <c r="W92" s="5539">
        <f>'#2CCL'!Y39</f>
        <v>0</v>
      </c>
      <c r="X92" s="2751">
        <f>'#2CCL'!Z39</f>
        <v>0</v>
      </c>
      <c r="Y92" s="2929">
        <f>'#2CCL'!AA39</f>
        <v>32.773668257725724</v>
      </c>
      <c r="Z92" s="1879">
        <f>'#2CCL'!AB39</f>
        <v>8206.1997139956147</v>
      </c>
      <c r="AA92" s="2930">
        <f>'#2CCL'!AC39</f>
        <v>11244.316600086539</v>
      </c>
      <c r="AB92" s="2930">
        <f>'#2CCL'!AD39</f>
        <v>3773.2563877836296</v>
      </c>
      <c r="AC92" s="2930">
        <f>'#2CCL'!AE39</f>
        <v>0</v>
      </c>
      <c r="AD92" s="2930">
        <f>'#2CCL'!AF39</f>
        <v>0</v>
      </c>
      <c r="AE92" s="2930">
        <f>'#2CCL'!AG39</f>
        <v>0</v>
      </c>
      <c r="AF92" s="2930">
        <f>'#2CCL'!AH39</f>
        <v>0</v>
      </c>
      <c r="AG92" s="2930">
        <f>'#2CCL'!AI39</f>
        <v>0</v>
      </c>
      <c r="AH92" s="2930">
        <f>'#2CCL'!AJ39</f>
        <v>0</v>
      </c>
      <c r="AI92" s="2930">
        <f>'#2CCL'!AK39</f>
        <v>0</v>
      </c>
      <c r="AJ92" s="2930">
        <f>'#2CCL'!AL39</f>
        <v>0</v>
      </c>
      <c r="AK92" s="2930">
        <f>'#2CCL'!AM39</f>
        <v>0</v>
      </c>
      <c r="AL92" s="2930">
        <f>'#2CCL'!AN39</f>
        <v>85.874986200074019</v>
      </c>
      <c r="AM92" s="723">
        <f>SUM(Z92:AK92)</f>
        <v>23223.772701865782</v>
      </c>
      <c r="AN92" s="2735">
        <f t="shared" si="33"/>
        <v>270.43698904077104</v>
      </c>
      <c r="AO92" s="7948"/>
      <c r="AQ92" s="318">
        <f>16.35-0.4</f>
        <v>15.950000000000001</v>
      </c>
      <c r="AR92" s="320"/>
      <c r="AY92" s="2273" t="s">
        <v>1149</v>
      </c>
      <c r="AZ92" s="801" t="s">
        <v>1685</v>
      </c>
      <c r="BA92" s="801" t="s">
        <v>2267</v>
      </c>
      <c r="BB92" s="801" t="s">
        <v>108</v>
      </c>
      <c r="BC92" s="801" t="s">
        <v>83</v>
      </c>
      <c r="BD92" s="801" t="s">
        <v>85</v>
      </c>
      <c r="BE92" s="801" t="s">
        <v>7</v>
      </c>
      <c r="BF92" s="801" t="s">
        <v>8</v>
      </c>
      <c r="BG92" s="801" t="s">
        <v>9</v>
      </c>
      <c r="BH92" s="801" t="s">
        <v>10</v>
      </c>
      <c r="BI92" s="801" t="s">
        <v>11</v>
      </c>
      <c r="BJ92" s="801" t="s">
        <v>12</v>
      </c>
      <c r="BK92" s="801" t="s">
        <v>13</v>
      </c>
      <c r="BL92" s="801" t="s">
        <v>14</v>
      </c>
      <c r="BM92" s="801" t="s">
        <v>15</v>
      </c>
    </row>
    <row r="93" spans="1:67" ht="21.75" customHeight="1" thickBot="1">
      <c r="A93" s="7822"/>
      <c r="B93" s="2900" t="s">
        <v>444</v>
      </c>
      <c r="C93" s="2129" t="s">
        <v>453</v>
      </c>
      <c r="D93" s="2254">
        <v>76.561818663149694</v>
      </c>
      <c r="E93" s="2131">
        <f t="shared" ref="E93:N93" si="41">(E88+E89+E90+E91+E92)/5</f>
        <v>77.099999999999994</v>
      </c>
      <c r="F93" s="2131">
        <f t="shared" si="41"/>
        <v>73.76959938426657</v>
      </c>
      <c r="G93" s="2131">
        <f t="shared" si="41"/>
        <v>78.77000000000001</v>
      </c>
      <c r="H93" s="2132">
        <f>(H88+H89+H90+H91+H92)/5</f>
        <v>73.176840480774146</v>
      </c>
      <c r="I93" s="2132">
        <f>(I88+I89+I90+I91+I92)/5</f>
        <v>74.26936226728597</v>
      </c>
      <c r="J93" s="2132">
        <f>(J88+J89+J90+J91+J92)/5</f>
        <v>69.775075226358652</v>
      </c>
      <c r="K93" s="1837">
        <f t="shared" si="41"/>
        <v>70.396176330587778</v>
      </c>
      <c r="L93" s="2133">
        <f t="shared" si="41"/>
        <v>70.396176330587778</v>
      </c>
      <c r="M93" s="2050">
        <f t="shared" si="41"/>
        <v>34.102912358464472</v>
      </c>
      <c r="N93" s="2132">
        <f t="shared" si="41"/>
        <v>30.653879404053747</v>
      </c>
      <c r="O93" s="2132">
        <f t="shared" ref="O93:Y93" si="42">(O88+O89+O90+O91+O92)/5</f>
        <v>76.272125558153164</v>
      </c>
      <c r="P93" s="2132">
        <f t="shared" si="42"/>
        <v>0</v>
      </c>
      <c r="Q93" s="2132">
        <f t="shared" si="42"/>
        <v>0</v>
      </c>
      <c r="R93" s="2132">
        <f t="shared" si="42"/>
        <v>0</v>
      </c>
      <c r="S93" s="2132">
        <f t="shared" si="42"/>
        <v>0</v>
      </c>
      <c r="T93" s="2132">
        <f t="shared" si="42"/>
        <v>0</v>
      </c>
      <c r="U93" s="2132">
        <f t="shared" si="42"/>
        <v>0</v>
      </c>
      <c r="V93" s="7605">
        <f t="shared" si="42"/>
        <v>0</v>
      </c>
      <c r="W93" s="4891">
        <f t="shared" si="42"/>
        <v>0</v>
      </c>
      <c r="X93" s="2131">
        <f t="shared" si="42"/>
        <v>0</v>
      </c>
      <c r="Y93" s="2131">
        <f t="shared" si="42"/>
        <v>43.573640591195712</v>
      </c>
      <c r="Z93" s="2134">
        <f t="shared" ref="Z93:AL93" si="43">SUM(Z88:Z92)</f>
        <v>4250.6487581853617</v>
      </c>
      <c r="AA93" s="2135">
        <f t="shared" si="43"/>
        <v>22203.962522884533</v>
      </c>
      <c r="AB93" s="2135">
        <f t="shared" si="43"/>
        <v>-73367.507355778624</v>
      </c>
      <c r="AC93" s="2135">
        <f t="shared" si="43"/>
        <v>0</v>
      </c>
      <c r="AD93" s="2135">
        <f t="shared" si="43"/>
        <v>0</v>
      </c>
      <c r="AE93" s="2135">
        <f t="shared" si="43"/>
        <v>0</v>
      </c>
      <c r="AF93" s="2135">
        <f t="shared" si="43"/>
        <v>0</v>
      </c>
      <c r="AG93" s="2135">
        <f t="shared" si="43"/>
        <v>0</v>
      </c>
      <c r="AH93" s="2135">
        <f t="shared" si="43"/>
        <v>0</v>
      </c>
      <c r="AI93" s="2135">
        <f t="shared" si="43"/>
        <v>0</v>
      </c>
      <c r="AJ93" s="2135">
        <f t="shared" si="43"/>
        <v>0</v>
      </c>
      <c r="AK93" s="2135">
        <f t="shared" si="43"/>
        <v>0</v>
      </c>
      <c r="AL93" s="2135">
        <f t="shared" si="43"/>
        <v>-108208.28970931401</v>
      </c>
      <c r="AM93" s="2135">
        <f>SUM(AM88:AM92)</f>
        <v>-46912.896074708733</v>
      </c>
      <c r="AN93" s="2931">
        <f t="shared" si="33"/>
        <v>0.43354253357791234</v>
      </c>
      <c r="AO93" s="2137"/>
      <c r="AP93" s="669"/>
      <c r="AR93" s="320"/>
      <c r="AY93" s="677" t="s">
        <v>641</v>
      </c>
      <c r="AZ93" s="436"/>
      <c r="BA93" s="1268"/>
      <c r="BB93" s="2025"/>
      <c r="BC93" s="1268"/>
      <c r="BD93" s="1268"/>
      <c r="BE93" s="2058"/>
      <c r="BF93" s="2106"/>
      <c r="BG93" s="2106"/>
      <c r="BH93" s="2106"/>
      <c r="BI93" s="2272">
        <v>0</v>
      </c>
      <c r="BJ93" s="2272">
        <v>0</v>
      </c>
      <c r="BK93" s="2272"/>
      <c r="BL93" s="2272"/>
      <c r="BM93" s="2272"/>
    </row>
    <row r="94" spans="1:67" ht="21.75" customHeight="1">
      <c r="A94" s="7974" t="s">
        <v>1316</v>
      </c>
      <c r="B94" s="2071" t="s">
        <v>1317</v>
      </c>
      <c r="C94" s="1152" t="s">
        <v>317</v>
      </c>
      <c r="D94" s="666">
        <f>CPL!F31</f>
        <v>0</v>
      </c>
      <c r="E94" s="666">
        <f>CPL!G31</f>
        <v>3.01</v>
      </c>
      <c r="F94" s="666">
        <f>CPL!H31</f>
        <v>2.1</v>
      </c>
      <c r="G94" s="666">
        <f>CPL!I31</f>
        <v>1.87</v>
      </c>
      <c r="H94" s="666">
        <f>CPL!J31</f>
        <v>1.7517361678383541</v>
      </c>
      <c r="I94" s="1237">
        <f>CPL!K31</f>
        <v>1.5030626334880381</v>
      </c>
      <c r="J94" s="1237">
        <f>CPL!L31</f>
        <v>1.5836171442787532</v>
      </c>
      <c r="K94" s="1840">
        <f>CPL!M31</f>
        <v>1.5</v>
      </c>
      <c r="L94" s="4280">
        <f>CPL!N31</f>
        <v>1.5</v>
      </c>
      <c r="M94" s="7371"/>
      <c r="N94" s="7372"/>
      <c r="O94" s="1078">
        <f>CPL!Q31</f>
        <v>1.9722921950887025</v>
      </c>
      <c r="P94" s="1078">
        <f>CPL!R31</f>
        <v>0</v>
      </c>
      <c r="Q94" s="1078">
        <f>CPL!S31</f>
        <v>0</v>
      </c>
      <c r="R94" s="1078">
        <f>CPL!T31</f>
        <v>0</v>
      </c>
      <c r="S94" s="1078">
        <f>CPL!U31</f>
        <v>0</v>
      </c>
      <c r="T94" s="1078">
        <f>CPL!V31</f>
        <v>0</v>
      </c>
      <c r="U94" s="1078">
        <f>CPL!W31</f>
        <v>0</v>
      </c>
      <c r="V94" s="7604">
        <f>CPL!X31</f>
        <v>0</v>
      </c>
      <c r="W94" s="4081">
        <f>CPL!Y31</f>
        <v>0</v>
      </c>
      <c r="X94" s="1457">
        <f>CPL!Z31</f>
        <v>0</v>
      </c>
      <c r="Y94" s="3867">
        <f>CPL!AA31</f>
        <v>3.4385347740554124</v>
      </c>
      <c r="Z94" s="7386"/>
      <c r="AA94" s="7386"/>
      <c r="AB94" s="3869">
        <f>CPL!AD31</f>
        <v>-1147.0915624917345</v>
      </c>
      <c r="AC94" s="3869">
        <f>CPL!AE31</f>
        <v>0</v>
      </c>
      <c r="AD94" s="3869">
        <f>CPL!AF31</f>
        <v>0</v>
      </c>
      <c r="AE94" s="3869">
        <f>CPL!AG31</f>
        <v>0</v>
      </c>
      <c r="AF94" s="3869">
        <f>CPL!AH31</f>
        <v>0</v>
      </c>
      <c r="AG94" s="5550">
        <f>CPL!AI31</f>
        <v>0</v>
      </c>
      <c r="AH94" s="5550">
        <f>CPL!AJ31</f>
        <v>0</v>
      </c>
      <c r="AI94" s="5550">
        <f>CPL!AK31</f>
        <v>0</v>
      </c>
      <c r="AJ94" s="5550">
        <f>CPL!AL31</f>
        <v>0</v>
      </c>
      <c r="AK94" s="5550">
        <f>CPL!AM31</f>
        <v>0</v>
      </c>
      <c r="AL94" s="5550">
        <f>CPL!AN31</f>
        <v>2526.7677837243596</v>
      </c>
      <c r="AM94" s="723">
        <f t="shared" ref="AM94:AM99" si="44">SUM(Z94:AK94)</f>
        <v>-1147.0915624917345</v>
      </c>
      <c r="AN94" s="4334">
        <f t="shared" ref="AN94:AN99" si="45">AM94/AL94</f>
        <v>-0.45397585400624557</v>
      </c>
      <c r="AO94" s="1842" t="s">
        <v>2239</v>
      </c>
      <c r="AR94" s="320"/>
    </row>
    <row r="95" spans="1:67" ht="21.75" customHeight="1">
      <c r="A95" s="7650"/>
      <c r="B95" s="1157" t="s">
        <v>1318</v>
      </c>
      <c r="C95" s="1158" t="s">
        <v>325</v>
      </c>
      <c r="D95" s="828">
        <v>169</v>
      </c>
      <c r="E95" s="828">
        <v>170</v>
      </c>
      <c r="F95" s="828">
        <f>CRM!H31</f>
        <v>1298</v>
      </c>
      <c r="G95" s="828">
        <f>CRM!I31</f>
        <v>1232</v>
      </c>
      <c r="H95" s="828">
        <f>CRM!J31</f>
        <v>2157.8430560543561</v>
      </c>
      <c r="I95" s="4068">
        <f>CRM!K31</f>
        <v>1232.6363636363637</v>
      </c>
      <c r="J95" s="4068">
        <f>CRM!L31</f>
        <v>1144.5999999999999</v>
      </c>
      <c r="K95" s="4267">
        <f>CRM!M31</f>
        <v>881</v>
      </c>
      <c r="L95" s="4268">
        <f>CRM!N31</f>
        <v>881</v>
      </c>
      <c r="M95" s="7379"/>
      <c r="N95" s="7384"/>
      <c r="O95" s="4562">
        <f>CRM!Q31</f>
        <v>293</v>
      </c>
      <c r="P95" s="4562">
        <f>CRM!R31</f>
        <v>0</v>
      </c>
      <c r="Q95" s="4562">
        <f>CRM!S31</f>
        <v>0</v>
      </c>
      <c r="R95" s="4562">
        <f>CRM!T31</f>
        <v>0</v>
      </c>
      <c r="S95" s="4562">
        <f>CRM!U31</f>
        <v>0</v>
      </c>
      <c r="T95" s="4562">
        <f>CRM!V31</f>
        <v>0</v>
      </c>
      <c r="U95" s="4562">
        <f>CRM!W31</f>
        <v>0</v>
      </c>
      <c r="V95" s="7609">
        <f>CRM!X31</f>
        <v>0</v>
      </c>
      <c r="W95" s="4082">
        <f>CRM!Y31</f>
        <v>0</v>
      </c>
      <c r="X95" s="3357">
        <f>CRM!Z31</f>
        <v>0</v>
      </c>
      <c r="Y95" s="3685">
        <f>CRM!AA31</f>
        <v>1727.7</v>
      </c>
      <c r="Z95" s="7387"/>
      <c r="AA95" s="7387"/>
      <c r="AB95" s="3870">
        <f>CRM!AD32</f>
        <v>17932.640425776</v>
      </c>
      <c r="AC95" s="3870">
        <f>CRM!AE32</f>
        <v>0</v>
      </c>
      <c r="AD95" s="3870">
        <f>CRM!AF32</f>
        <v>0</v>
      </c>
      <c r="AE95" s="3870">
        <f>CRM!AG32</f>
        <v>0</v>
      </c>
      <c r="AF95" s="3870">
        <f>CRM!AH32</f>
        <v>0</v>
      </c>
      <c r="AG95" s="5551">
        <f>CRM!AI32</f>
        <v>0</v>
      </c>
      <c r="AH95" s="5551">
        <f>CRM!AJ32</f>
        <v>0</v>
      </c>
      <c r="AI95" s="5551">
        <f>CRM!AK32</f>
        <v>0</v>
      </c>
      <c r="AJ95" s="5551">
        <f>CRM!AL32</f>
        <v>0</v>
      </c>
      <c r="AK95" s="5551">
        <f>CRM!AM32</f>
        <v>0</v>
      </c>
      <c r="AL95" s="5551">
        <f>CRM!AN32</f>
        <v>26042.298714</v>
      </c>
      <c r="AM95" s="723">
        <f t="shared" si="44"/>
        <v>17932.640425776</v>
      </c>
      <c r="AN95" s="4333">
        <f t="shared" si="45"/>
        <v>0.68859667968310523</v>
      </c>
      <c r="AO95" s="802" t="s">
        <v>2241</v>
      </c>
      <c r="AR95" s="320"/>
    </row>
    <row r="96" spans="1:67" ht="21.75" customHeight="1">
      <c r="A96" s="7650"/>
      <c r="B96" s="1155" t="s">
        <v>1319</v>
      </c>
      <c r="C96" s="1156" t="s">
        <v>1620</v>
      </c>
      <c r="D96" s="308">
        <f>CRM!F32</f>
        <v>0.5</v>
      </c>
      <c r="E96" s="308">
        <f>CRM!G32</f>
        <v>0.57999999999999996</v>
      </c>
      <c r="F96" s="308">
        <f>CGL!H25</f>
        <v>102.28</v>
      </c>
      <c r="G96" s="308">
        <f>CGL!I25</f>
        <v>101.81</v>
      </c>
      <c r="H96" s="308">
        <f>CGL!J25</f>
        <v>101.58</v>
      </c>
      <c r="I96" s="3233">
        <f>CGL!K25</f>
        <v>99.984010721754942</v>
      </c>
      <c r="J96" s="3233">
        <f>CGL!L25</f>
        <v>100.3372491265694</v>
      </c>
      <c r="K96" s="4076">
        <f>CGL!M25</f>
        <v>99.99</v>
      </c>
      <c r="L96" s="3798">
        <f>CGL!N25</f>
        <v>99.99</v>
      </c>
      <c r="M96" s="7385"/>
      <c r="N96" s="6159"/>
      <c r="O96" s="4275">
        <f>CGL!Q25</f>
        <v>101.0991167</v>
      </c>
      <c r="P96" s="4275">
        <f>CGL!R25</f>
        <v>0</v>
      </c>
      <c r="Q96" s="4275">
        <f>CGL!S25</f>
        <v>0</v>
      </c>
      <c r="R96" s="4275">
        <f>CGL!T25</f>
        <v>0</v>
      </c>
      <c r="S96" s="4275">
        <f>CGL!U25</f>
        <v>0</v>
      </c>
      <c r="T96" s="4275">
        <f>CGL!V25</f>
        <v>0</v>
      </c>
      <c r="U96" s="4275">
        <f>CGL!W25</f>
        <v>0</v>
      </c>
      <c r="V96" s="3784">
        <f>CGL!X25</f>
        <v>0</v>
      </c>
      <c r="W96" s="4083">
        <f>CGL!Y25</f>
        <v>0</v>
      </c>
      <c r="X96" s="3241">
        <f>CGL!Z25</f>
        <v>0</v>
      </c>
      <c r="Y96" s="3809">
        <f>CGL!AA25</f>
        <v>10.109911669999999</v>
      </c>
      <c r="Z96" s="7387"/>
      <c r="AA96" s="7387"/>
      <c r="AB96" s="3870">
        <f>CGL!AD25</f>
        <v>-18489.662154162197</v>
      </c>
      <c r="AC96" s="3870">
        <f>CGL!AE25</f>
        <v>0</v>
      </c>
      <c r="AD96" s="3870">
        <f>CGL!AF25</f>
        <v>0</v>
      </c>
      <c r="AE96" s="3870">
        <f>CGL!AG25</f>
        <v>0</v>
      </c>
      <c r="AF96" s="3870">
        <f>CGL!AH25</f>
        <v>0</v>
      </c>
      <c r="AG96" s="5551">
        <f>CGL!AI25</f>
        <v>0</v>
      </c>
      <c r="AH96" s="5551">
        <f>CGL!AJ25</f>
        <v>0</v>
      </c>
      <c r="AI96" s="5551">
        <f>CGL!AK25</f>
        <v>0</v>
      </c>
      <c r="AJ96" s="5551">
        <f>CGL!AL25</f>
        <v>0</v>
      </c>
      <c r="AK96" s="5551">
        <f>CGL!AM25</f>
        <v>0</v>
      </c>
      <c r="AL96" s="5551">
        <f>CGL!AN25</f>
        <v>98833.201385992157</v>
      </c>
      <c r="AM96" s="723">
        <f t="shared" si="44"/>
        <v>-18489.662154162197</v>
      </c>
      <c r="AN96" s="4333">
        <f>1-(AM96/AL96)</f>
        <v>1.1870794621126457</v>
      </c>
      <c r="AO96" s="727" t="s">
        <v>2243</v>
      </c>
      <c r="AR96" s="320"/>
    </row>
    <row r="97" spans="1:63" ht="21.75" customHeight="1">
      <c r="A97" s="7650"/>
      <c r="B97" s="1155" t="s">
        <v>1320</v>
      </c>
      <c r="C97" s="1156" t="s">
        <v>330</v>
      </c>
      <c r="D97" s="307">
        <f>CGL!F38</f>
        <v>0</v>
      </c>
      <c r="E97" s="307">
        <f>CGL!G38</f>
        <v>0</v>
      </c>
      <c r="F97" s="307">
        <f>CGL!H26</f>
        <v>5.35</v>
      </c>
      <c r="G97" s="307">
        <f>CGL!I26</f>
        <v>4.5</v>
      </c>
      <c r="H97" s="307">
        <f>CGL!J26</f>
        <v>4.18</v>
      </c>
      <c r="I97" s="3861">
        <f>CGL!K26</f>
        <v>4.1374715776825299</v>
      </c>
      <c r="J97" s="3861">
        <f>CGL!L26</f>
        <v>4.275902450111003</v>
      </c>
      <c r="K97" s="3830">
        <f>CGL!M26</f>
        <v>3.5</v>
      </c>
      <c r="L97" s="3286">
        <f>CGL!N26</f>
        <v>3.5</v>
      </c>
      <c r="M97" s="3863">
        <f>CGL!O26</f>
        <v>0</v>
      </c>
      <c r="N97" s="4274">
        <f>CGL!P26</f>
        <v>0</v>
      </c>
      <c r="O97" s="4274">
        <f>CGL!Q26</f>
        <v>2.1656356928262332</v>
      </c>
      <c r="P97" s="4274">
        <f>CGL!R26</f>
        <v>0</v>
      </c>
      <c r="Q97" s="4274">
        <f>CGL!S26</f>
        <v>0</v>
      </c>
      <c r="R97" s="4274">
        <f>CGL!T26</f>
        <v>0</v>
      </c>
      <c r="S97" s="4274">
        <f>CGL!U26</f>
        <v>0</v>
      </c>
      <c r="T97" s="4274">
        <f>CGL!V26</f>
        <v>0</v>
      </c>
      <c r="U97" s="4274">
        <f>CGL!W26</f>
        <v>0</v>
      </c>
      <c r="V97" s="7604">
        <f>CGL!X26</f>
        <v>0</v>
      </c>
      <c r="W97" s="3864">
        <f>CGL!Y26</f>
        <v>0</v>
      </c>
      <c r="X97" s="3866">
        <f>CGL!Z26</f>
        <v>0</v>
      </c>
      <c r="Y97" s="3868">
        <f>CGL!AA26</f>
        <v>0.21656356928262332</v>
      </c>
      <c r="Z97" s="3870">
        <f>CGL!AB26</f>
        <v>0</v>
      </c>
      <c r="AA97" s="3870">
        <f>CGL!AC26</f>
        <v>0</v>
      </c>
      <c r="AB97" s="3870">
        <f>CGL!AD26</f>
        <v>31142.463634638516</v>
      </c>
      <c r="AC97" s="3870">
        <f>CGL!AE26</f>
        <v>0</v>
      </c>
      <c r="AD97" s="3870">
        <f>CGL!AF26</f>
        <v>0</v>
      </c>
      <c r="AE97" s="3870">
        <f>CGL!AG26</f>
        <v>0</v>
      </c>
      <c r="AF97" s="3870">
        <f>CGL!AH26</f>
        <v>0</v>
      </c>
      <c r="AG97" s="5551">
        <f>CGL!AI26</f>
        <v>0</v>
      </c>
      <c r="AH97" s="5551">
        <f>CGL!AJ26</f>
        <v>0</v>
      </c>
      <c r="AI97" s="5551">
        <f>CGL!AK26</f>
        <v>0</v>
      </c>
      <c r="AJ97" s="5551">
        <f>CGL!AL26</f>
        <v>0</v>
      </c>
      <c r="AK97" s="5551">
        <f>CGL!AM26</f>
        <v>0</v>
      </c>
      <c r="AL97" s="5551">
        <f>CGL!AN26</f>
        <v>134287.30144119062</v>
      </c>
      <c r="AM97" s="723">
        <f t="shared" si="44"/>
        <v>31142.463634638516</v>
      </c>
      <c r="AN97" s="4333">
        <f t="shared" si="45"/>
        <v>0.23190922224523927</v>
      </c>
      <c r="AO97" s="727" t="s">
        <v>2245</v>
      </c>
      <c r="AR97" s="320"/>
    </row>
    <row r="98" spans="1:63" ht="21.75" customHeight="1">
      <c r="A98" s="7650"/>
      <c r="B98" s="2754" t="s">
        <v>1322</v>
      </c>
      <c r="C98" s="2493" t="s">
        <v>1321</v>
      </c>
      <c r="D98" s="2733"/>
      <c r="E98" s="2733"/>
      <c r="F98" s="2733">
        <f>'#1CCL'!H31</f>
        <v>26.925635918047181</v>
      </c>
      <c r="G98" s="2733">
        <f>'#1CCL'!I31</f>
        <v>24.51</v>
      </c>
      <c r="H98" s="2733">
        <f>'#1CCL'!J31</f>
        <v>25.5164081871166</v>
      </c>
      <c r="I98" s="3861">
        <f>'#1CCL'!K31</f>
        <v>24.863893783777399</v>
      </c>
      <c r="J98" s="3861">
        <f>'#1CCL'!L31</f>
        <v>24.336999999999996</v>
      </c>
      <c r="K98" s="3830">
        <f>'#1CCL'!M31</f>
        <v>24.336999999999996</v>
      </c>
      <c r="L98" s="3286">
        <f>'#1CCL'!N31</f>
        <v>24.336999999999996</v>
      </c>
      <c r="M98" s="3863">
        <f>'#1CCL'!O31</f>
        <v>24.97</v>
      </c>
      <c r="N98" s="4274">
        <f>'#1CCL'!P31</f>
        <v>25.808281338627342</v>
      </c>
      <c r="O98" s="4274">
        <f>'#1CCL'!Q31</f>
        <v>24.73</v>
      </c>
      <c r="P98" s="4274">
        <f>'#1CCL'!R31</f>
        <v>0</v>
      </c>
      <c r="Q98" s="4274">
        <f>'#1CCL'!S31</f>
        <v>0</v>
      </c>
      <c r="R98" s="4274">
        <f>'#1CCL'!T31</f>
        <v>0</v>
      </c>
      <c r="S98" s="4274">
        <f>'#1CCL'!U31</f>
        <v>0</v>
      </c>
      <c r="T98" s="4274">
        <f>'#1CCL'!V31</f>
        <v>0</v>
      </c>
      <c r="U98" s="4274">
        <f>'#1CCL'!W31</f>
        <v>0</v>
      </c>
      <c r="V98" s="7604">
        <f>'#1CCL'!X31</f>
        <v>0</v>
      </c>
      <c r="W98" s="3864">
        <f>'#1CCL'!Y31</f>
        <v>0</v>
      </c>
      <c r="X98" s="3866">
        <f>'#1CCL'!Z31</f>
        <v>0</v>
      </c>
      <c r="Y98" s="3868">
        <f>'#1CCL'!AA31</f>
        <v>7.5508281338627343</v>
      </c>
      <c r="Z98" s="3870">
        <f>'#1CCL'!AB31</f>
        <v>-30725.18962695013</v>
      </c>
      <c r="AA98" s="3870">
        <f>'#1CCL'!AC31</f>
        <v>-68815.707711660289</v>
      </c>
      <c r="AB98" s="3870">
        <f>'#1CCL'!AD31</f>
        <v>-20039.342859900215</v>
      </c>
      <c r="AC98" s="3870">
        <f>'#1CCL'!AE31</f>
        <v>0</v>
      </c>
      <c r="AD98" s="3870">
        <f>'#1CCL'!AF31</f>
        <v>0</v>
      </c>
      <c r="AE98" s="3870">
        <f>'#1CCL'!AG31</f>
        <v>0</v>
      </c>
      <c r="AF98" s="3870">
        <f>'#1CCL'!AH31</f>
        <v>0</v>
      </c>
      <c r="AG98" s="5551">
        <f>'#1CCL'!AI31</f>
        <v>0</v>
      </c>
      <c r="AH98" s="5551">
        <f>'#1CCL'!AJ31</f>
        <v>0</v>
      </c>
      <c r="AI98" s="5551">
        <f>'#1CCL'!AK31</f>
        <v>0</v>
      </c>
      <c r="AJ98" s="5551">
        <f>'#1CCL'!AL31</f>
        <v>0</v>
      </c>
      <c r="AK98" s="5551">
        <f>'#1CCL'!AM31</f>
        <v>0</v>
      </c>
      <c r="AL98" s="5551">
        <f>'#1CCL'!AN31</f>
        <v>0</v>
      </c>
      <c r="AM98" s="723">
        <f t="shared" si="44"/>
        <v>-119580.24019851064</v>
      </c>
      <c r="AN98" s="2735" t="e">
        <f t="shared" si="45"/>
        <v>#DIV/0!</v>
      </c>
      <c r="AO98" s="2735" t="s">
        <v>2248</v>
      </c>
      <c r="AR98" s="320"/>
    </row>
    <row r="99" spans="1:63" ht="21.75" customHeight="1" thickBot="1">
      <c r="A99" s="7651"/>
      <c r="B99" s="2754" t="s">
        <v>1323</v>
      </c>
      <c r="C99" s="2493" t="s">
        <v>1321</v>
      </c>
      <c r="D99" s="2733"/>
      <c r="E99" s="2733"/>
      <c r="F99" s="2733">
        <f>'#2CCL'!H31</f>
        <v>32.450000000000003</v>
      </c>
      <c r="G99" s="2733">
        <f>'#2CCL'!I31</f>
        <v>33.229999999999997</v>
      </c>
      <c r="H99" s="2733">
        <f>'#2CCL'!J31</f>
        <v>38.068566825581534</v>
      </c>
      <c r="I99" s="3861">
        <f>'#2CCL'!K31</f>
        <v>36.189847966144271</v>
      </c>
      <c r="J99" s="3861">
        <f>'#2CCL'!L31</f>
        <v>35.862266270897663</v>
      </c>
      <c r="K99" s="3830">
        <f>'#2CCL'!M31</f>
        <v>35.324332276834198</v>
      </c>
      <c r="L99" s="3286">
        <f>'#2CCL'!N31</f>
        <v>35.324332276834198</v>
      </c>
      <c r="M99" s="3863">
        <f>'#2CCL'!O31</f>
        <v>34.950507891984792</v>
      </c>
      <c r="N99" s="7354">
        <f>'#2CCL'!P31</f>
        <v>33.766743839920622</v>
      </c>
      <c r="O99" s="4274">
        <f>'#2CCL'!Q31</f>
        <v>34.266665105911194</v>
      </c>
      <c r="P99" s="4274">
        <f>'#2CCL'!R31</f>
        <v>0</v>
      </c>
      <c r="Q99" s="7354">
        <f>'#2CCL'!S31</f>
        <v>0</v>
      </c>
      <c r="R99" s="4274">
        <f>'#2CCL'!T31</f>
        <v>0</v>
      </c>
      <c r="S99" s="4274">
        <f>'#2CCL'!U31</f>
        <v>0</v>
      </c>
      <c r="T99" s="4274">
        <f>'#2CCL'!V31</f>
        <v>0</v>
      </c>
      <c r="U99" s="4274">
        <f>'#2CCL'!W31</f>
        <v>0</v>
      </c>
      <c r="V99" s="7613">
        <f>'#2CCL'!X31</f>
        <v>0</v>
      </c>
      <c r="W99" s="3864">
        <f>'#2CCL'!Y31</f>
        <v>0</v>
      </c>
      <c r="X99" s="3866">
        <f>'#2CCL'!Z31</f>
        <v>0</v>
      </c>
      <c r="Y99" s="3868">
        <f>'#2CCL'!AA31</f>
        <v>10.298391683781659</v>
      </c>
      <c r="Z99" s="3870">
        <f>'#2CCL'!AB31</f>
        <v>24630.520757774637</v>
      </c>
      <c r="AA99" s="3870">
        <f>'#2CCL'!AC31</f>
        <v>55501.713733717595</v>
      </c>
      <c r="AB99" s="3870">
        <f>'#2CCL'!AD31</f>
        <v>52240.867301403283</v>
      </c>
      <c r="AC99" s="3870">
        <f>'#2CCL'!AE31</f>
        <v>0</v>
      </c>
      <c r="AD99" s="3870">
        <f>'#2CCL'!AF31</f>
        <v>0</v>
      </c>
      <c r="AE99" s="3870">
        <f>'#2CCL'!AG31</f>
        <v>0</v>
      </c>
      <c r="AF99" s="3870">
        <f>'#2CCL'!AH31</f>
        <v>0</v>
      </c>
      <c r="AG99" s="5551">
        <f>'#2CCL'!AI31</f>
        <v>0</v>
      </c>
      <c r="AH99" s="5551">
        <f>'#2CCL'!AJ31</f>
        <v>0</v>
      </c>
      <c r="AI99" s="5551">
        <f>'#2CCL'!AK31</f>
        <v>0</v>
      </c>
      <c r="AJ99" s="5551">
        <f>'#2CCL'!AL31</f>
        <v>0</v>
      </c>
      <c r="AK99" s="5551">
        <f>'#2CCL'!AM31</f>
        <v>0</v>
      </c>
      <c r="AL99" s="5551">
        <f>'#2CCL'!AN31</f>
        <v>177851.71175367502</v>
      </c>
      <c r="AM99" s="723">
        <f t="shared" si="44"/>
        <v>132373.10179289553</v>
      </c>
      <c r="AN99" s="2735">
        <f t="shared" si="45"/>
        <v>0.74428916363893394</v>
      </c>
      <c r="AO99" s="2735" t="s">
        <v>2249</v>
      </c>
      <c r="AR99" s="320"/>
    </row>
    <row r="100" spans="1:63" ht="17.45" hidden="1" customHeight="1">
      <c r="A100" s="7752" t="s">
        <v>999</v>
      </c>
      <c r="B100" s="1669" t="s">
        <v>1005</v>
      </c>
      <c r="C100" s="1529" t="s">
        <v>1006</v>
      </c>
      <c r="D100" s="827"/>
      <c r="E100" s="1666"/>
      <c r="F100" s="1666"/>
      <c r="G100" s="1666"/>
      <c r="H100" s="2017">
        <v>78802</v>
      </c>
      <c r="I100" s="3235"/>
      <c r="J100" s="3281">
        <v>0</v>
      </c>
      <c r="K100" s="3280">
        <v>75000</v>
      </c>
      <c r="L100" s="3281">
        <v>75000</v>
      </c>
      <c r="M100" s="4084">
        <f>'#1CCL'!O33</f>
        <v>1950</v>
      </c>
      <c r="N100" s="2268">
        <f>'#1CCL'!P33</f>
        <v>3180</v>
      </c>
      <c r="O100" s="4557">
        <f>'#1CCL'!Q33</f>
        <v>2380</v>
      </c>
      <c r="P100" s="4557">
        <f>'#1CCL'!R33</f>
        <v>0</v>
      </c>
      <c r="Q100" s="2268">
        <f>'#1CCL'!S33</f>
        <v>0</v>
      </c>
      <c r="R100" s="2268">
        <f>'#1CCL'!T33</f>
        <v>0</v>
      </c>
      <c r="S100" s="4557">
        <f>'#1CCL'!U33</f>
        <v>0</v>
      </c>
      <c r="T100" s="4557">
        <f>'#1CCL'!V33</f>
        <v>0</v>
      </c>
      <c r="U100" s="4557">
        <f>'#1CCL'!W33</f>
        <v>0</v>
      </c>
      <c r="V100" s="7612">
        <f>'#1CCL'!X33</f>
        <v>0</v>
      </c>
      <c r="W100" s="5541">
        <f>'#1CCL'!Y33</f>
        <v>0</v>
      </c>
      <c r="X100" s="2517">
        <f>'#1CCL'!Z33</f>
        <v>0</v>
      </c>
      <c r="Y100" s="1600">
        <f>AVERAGE(M100:X100)</f>
        <v>625.83333333333337</v>
      </c>
      <c r="Z100" s="3871"/>
      <c r="AA100" s="3872"/>
      <c r="AB100" s="3872"/>
      <c r="AC100" s="3872"/>
      <c r="AD100" s="3872"/>
      <c r="AE100" s="3872"/>
      <c r="AF100" s="3872"/>
      <c r="AG100" s="3872"/>
      <c r="AH100" s="3872"/>
      <c r="AI100" s="3872"/>
      <c r="AJ100" s="3872"/>
      <c r="AK100" s="3872"/>
      <c r="AL100" s="3872"/>
      <c r="AM100" s="764"/>
      <c r="AN100" s="764"/>
      <c r="AO100" s="1934" t="s">
        <v>815</v>
      </c>
      <c r="AP100" s="669">
        <v>1.7949999999999999</v>
      </c>
      <c r="AR100" s="320"/>
    </row>
    <row r="101" spans="1:63" ht="15.6" hidden="1" customHeight="1">
      <c r="A101" s="7796"/>
      <c r="B101" s="1669" t="s">
        <v>1000</v>
      </c>
      <c r="C101" s="1529" t="s">
        <v>779</v>
      </c>
      <c r="D101" s="827"/>
      <c r="E101" s="1667"/>
      <c r="F101" s="1667"/>
      <c r="G101" s="1667"/>
      <c r="H101" s="2017">
        <v>390300</v>
      </c>
      <c r="I101" s="3235"/>
      <c r="J101" s="3281">
        <v>0</v>
      </c>
      <c r="K101" s="3280">
        <v>290000</v>
      </c>
      <c r="L101" s="3281">
        <v>290000</v>
      </c>
      <c r="M101" s="4084">
        <f>'#1CCL'!O35</f>
        <v>2650</v>
      </c>
      <c r="N101" s="4557">
        <f>'#1CCL'!P35</f>
        <v>1200</v>
      </c>
      <c r="O101" s="4557">
        <f>'#1CCL'!Q35</f>
        <v>1350</v>
      </c>
      <c r="P101" s="4557">
        <f>'#1CCL'!R35</f>
        <v>0</v>
      </c>
      <c r="Q101" s="4557">
        <f>'#1CCL'!S35</f>
        <v>0</v>
      </c>
      <c r="R101" s="4557">
        <f>'#1CCL'!T35</f>
        <v>0</v>
      </c>
      <c r="S101" s="4557">
        <f>'#1CCL'!U35</f>
        <v>0</v>
      </c>
      <c r="T101" s="4557">
        <f>'#1CCL'!V35</f>
        <v>0</v>
      </c>
      <c r="U101" s="4557">
        <f>'#1CCL'!W35</f>
        <v>0</v>
      </c>
      <c r="V101" s="6701">
        <f>'#1CCL'!X35</f>
        <v>0</v>
      </c>
      <c r="W101" s="5541">
        <f>'#1CCL'!Y35</f>
        <v>0</v>
      </c>
      <c r="X101" s="2517">
        <f>'#1CCL'!Z35</f>
        <v>0</v>
      </c>
      <c r="Y101" s="1600">
        <f>AVERAGE(M101:X101)</f>
        <v>433.33333333333331</v>
      </c>
      <c r="Z101" s="3871"/>
      <c r="AA101" s="3872"/>
      <c r="AB101" s="3872"/>
      <c r="AC101" s="3872"/>
      <c r="AD101" s="3872"/>
      <c r="AE101" s="3872"/>
      <c r="AF101" s="3872"/>
      <c r="AG101" s="3872"/>
      <c r="AH101" s="3872"/>
      <c r="AI101" s="3872"/>
      <c r="AJ101" s="3872"/>
      <c r="AK101" s="3872"/>
      <c r="AL101" s="3872"/>
      <c r="AM101" s="764"/>
      <c r="AN101" s="764"/>
      <c r="AO101" s="1935"/>
      <c r="AP101" s="669">
        <v>4.8650000000000002</v>
      </c>
      <c r="AR101" s="320"/>
    </row>
    <row r="102" spans="1:63" ht="18" hidden="1" customHeight="1" thickBot="1">
      <c r="A102" s="7796"/>
      <c r="B102" s="1670" t="s">
        <v>1001</v>
      </c>
      <c r="C102" s="1671" t="s">
        <v>1003</v>
      </c>
      <c r="D102" s="827"/>
      <c r="E102" s="1667"/>
      <c r="F102" s="1667"/>
      <c r="G102" s="1667"/>
      <c r="H102" s="1210">
        <v>360</v>
      </c>
      <c r="I102" s="1210"/>
      <c r="J102" s="5703">
        <v>0</v>
      </c>
      <c r="K102" s="3280">
        <v>160</v>
      </c>
      <c r="L102" s="3281">
        <v>160</v>
      </c>
      <c r="M102" s="4084">
        <f>'#1CCL'!O37</f>
        <v>96.219931271477662</v>
      </c>
      <c r="N102" s="4557">
        <f>'#1CCL'!P37</f>
        <v>123</v>
      </c>
      <c r="O102" s="4557">
        <f>'#1CCL'!Q37</f>
        <v>107</v>
      </c>
      <c r="P102" s="4557">
        <f>'#1CCL'!R37</f>
        <v>0</v>
      </c>
      <c r="Q102" s="4557">
        <f>'#1CCL'!S37</f>
        <v>0</v>
      </c>
      <c r="R102" s="4557">
        <f>'#1CCL'!T37</f>
        <v>0</v>
      </c>
      <c r="S102" s="4557">
        <f>'#1CCL'!U37</f>
        <v>0</v>
      </c>
      <c r="T102" s="4557">
        <f>'#1CCL'!V37</f>
        <v>0</v>
      </c>
      <c r="U102" s="4557">
        <f>'#1CCL'!W37</f>
        <v>0</v>
      </c>
      <c r="V102" s="6701">
        <f>'#1CCL'!X37</f>
        <v>0</v>
      </c>
      <c r="W102" s="5541">
        <f>'#1CCL'!Y37</f>
        <v>0</v>
      </c>
      <c r="X102" s="2517">
        <f>'#1CCL'!Z37</f>
        <v>0</v>
      </c>
      <c r="Y102" s="1600">
        <f>AVERAGE(M102:X102)</f>
        <v>27.18499427262314</v>
      </c>
      <c r="Z102" s="3871"/>
      <c r="AA102" s="3872"/>
      <c r="AB102" s="3872"/>
      <c r="AC102" s="3872"/>
      <c r="AD102" s="3872"/>
      <c r="AE102" s="3872"/>
      <c r="AF102" s="3872"/>
      <c r="AG102" s="3872"/>
      <c r="AH102" s="3872"/>
      <c r="AI102" s="3872"/>
      <c r="AJ102" s="3872"/>
      <c r="AK102" s="3872"/>
      <c r="AL102" s="3872"/>
      <c r="AM102" s="764"/>
      <c r="AN102" s="764"/>
      <c r="AO102" s="1935"/>
      <c r="AP102" s="669">
        <v>1.19</v>
      </c>
      <c r="AR102" s="320"/>
    </row>
    <row r="103" spans="1:63" ht="21.6" hidden="1" customHeight="1" thickBot="1">
      <c r="A103" s="7822"/>
      <c r="B103" s="1845" t="s">
        <v>1002</v>
      </c>
      <c r="C103" s="1846" t="s">
        <v>1003</v>
      </c>
      <c r="D103" s="1847"/>
      <c r="E103" s="1848"/>
      <c r="F103" s="1848"/>
      <c r="G103" s="1848"/>
      <c r="H103" s="1565">
        <v>170</v>
      </c>
      <c r="I103" s="3151"/>
      <c r="J103" s="4293">
        <v>0</v>
      </c>
      <c r="K103" s="4292">
        <v>120</v>
      </c>
      <c r="L103" s="4293">
        <v>120</v>
      </c>
      <c r="M103" s="4085" t="e">
        <f>'#1CCL'!#REF!</f>
        <v>#REF!</v>
      </c>
      <c r="N103" s="4558" t="e">
        <f>'#1CCL'!#REF!</f>
        <v>#REF!</v>
      </c>
      <c r="O103" s="4558" t="e">
        <f>'#1CCL'!#REF!</f>
        <v>#REF!</v>
      </c>
      <c r="P103" s="4558" t="e">
        <f>'#1CCL'!#REF!</f>
        <v>#REF!</v>
      </c>
      <c r="Q103" s="4558" t="e">
        <f>'#1CCL'!#REF!</f>
        <v>#REF!</v>
      </c>
      <c r="R103" s="4558" t="e">
        <f>'#1CCL'!#REF!</f>
        <v>#REF!</v>
      </c>
      <c r="S103" s="4558" t="e">
        <f>'#1CCL'!#REF!</f>
        <v>#REF!</v>
      </c>
      <c r="T103" s="4558" t="e">
        <f>'#1CCL'!#REF!</f>
        <v>#REF!</v>
      </c>
      <c r="U103" s="4558" t="e">
        <f>'#1CCL'!#REF!</f>
        <v>#REF!</v>
      </c>
      <c r="V103" s="6701" t="e">
        <f>'#1CCL'!#REF!</f>
        <v>#REF!</v>
      </c>
      <c r="W103" s="5542" t="e">
        <f>'#1CCL'!#REF!</f>
        <v>#REF!</v>
      </c>
      <c r="X103" s="2518" t="e">
        <f>'#1CCL'!#REF!</f>
        <v>#REF!</v>
      </c>
      <c r="Y103" s="1913" t="e">
        <f>AVERAGE(M103:X103)</f>
        <v>#REF!</v>
      </c>
      <c r="Z103" s="3873"/>
      <c r="AA103" s="3874"/>
      <c r="AB103" s="3874"/>
      <c r="AC103" s="3874"/>
      <c r="AD103" s="3874"/>
      <c r="AE103" s="3874"/>
      <c r="AF103" s="3874"/>
      <c r="AG103" s="3874"/>
      <c r="AH103" s="3874"/>
      <c r="AI103" s="3874"/>
      <c r="AJ103" s="3874"/>
      <c r="AK103" s="3874"/>
      <c r="AL103" s="3874"/>
      <c r="AM103" s="1849"/>
      <c r="AN103" s="1849"/>
      <c r="AO103" s="1935"/>
      <c r="AR103" s="320"/>
    </row>
    <row r="104" spans="1:63" ht="21.75" customHeight="1" thickBot="1">
      <c r="A104" s="7829" t="s">
        <v>444</v>
      </c>
      <c r="B104" s="7973"/>
      <c r="C104" s="1850" t="s">
        <v>441</v>
      </c>
      <c r="D104" s="1851"/>
      <c r="E104" s="1852"/>
      <c r="F104" s="1852"/>
      <c r="G104" s="1852"/>
      <c r="H104" s="1853"/>
      <c r="I104" s="1853"/>
      <c r="J104" s="4294"/>
      <c r="K104" s="1854"/>
      <c r="L104" s="4294"/>
      <c r="M104" s="7614"/>
      <c r="N104" s="1853"/>
      <c r="O104" s="1853"/>
      <c r="P104" s="1853"/>
      <c r="Q104" s="1853"/>
      <c r="R104" s="1853"/>
      <c r="S104" s="1853"/>
      <c r="T104" s="1853"/>
      <c r="U104" s="1853"/>
      <c r="V104" s="2131"/>
      <c r="W104" s="1855"/>
      <c r="X104" s="1855"/>
      <c r="Y104" s="1855"/>
      <c r="Z104" s="3875">
        <f t="shared" ref="Z104:AN104" si="46">SUM(Z94:Z103)</f>
        <v>-6094.6688691754935</v>
      </c>
      <c r="AA104" s="3876">
        <f t="shared" si="46"/>
        <v>-13313.993977942693</v>
      </c>
      <c r="AB104" s="3876">
        <f t="shared" si="46"/>
        <v>61639.874785263652</v>
      </c>
      <c r="AC104" s="3876">
        <f t="shared" si="46"/>
        <v>0</v>
      </c>
      <c r="AD104" s="3876">
        <f t="shared" si="46"/>
        <v>0</v>
      </c>
      <c r="AE104" s="3876">
        <f t="shared" si="46"/>
        <v>0</v>
      </c>
      <c r="AF104" s="3876">
        <f t="shared" si="46"/>
        <v>0</v>
      </c>
      <c r="AG104" s="3876">
        <f t="shared" si="46"/>
        <v>0</v>
      </c>
      <c r="AH104" s="3876">
        <f t="shared" si="46"/>
        <v>0</v>
      </c>
      <c r="AI104" s="3876">
        <f t="shared" si="46"/>
        <v>0</v>
      </c>
      <c r="AJ104" s="3876">
        <f t="shared" si="46"/>
        <v>0</v>
      </c>
      <c r="AK104" s="3876">
        <f t="shared" si="46"/>
        <v>0</v>
      </c>
      <c r="AL104" s="3876">
        <f t="shared" si="46"/>
        <v>439541.28107858216</v>
      </c>
      <c r="AM104" s="1856">
        <f t="shared" si="46"/>
        <v>42231.211938145469</v>
      </c>
      <c r="AN104" s="4077" t="e">
        <f t="shared" si="46"/>
        <v>#DIV/0!</v>
      </c>
      <c r="AO104" s="1857"/>
      <c r="AR104" s="320"/>
    </row>
    <row r="105" spans="1:63" ht="21.75" customHeight="1">
      <c r="AQ105" s="318" t="s">
        <v>1298</v>
      </c>
      <c r="AR105" s="320"/>
    </row>
    <row r="106" spans="1:63" ht="21.75" customHeight="1">
      <c r="A106" s="2157"/>
      <c r="B106" s="2157"/>
      <c r="C106" s="2157"/>
      <c r="D106" s="2157"/>
      <c r="E106" s="2157"/>
      <c r="F106" s="2157"/>
      <c r="G106" s="2157"/>
      <c r="H106" s="2157"/>
      <c r="I106" s="2157"/>
      <c r="J106" s="2157"/>
      <c r="K106" s="2157"/>
      <c r="L106" s="2157"/>
      <c r="M106" s="2157"/>
      <c r="N106" s="2157"/>
      <c r="O106" s="2157"/>
      <c r="P106" s="2157"/>
      <c r="Q106" s="2157"/>
      <c r="R106" s="2157"/>
      <c r="S106" s="2157"/>
      <c r="T106" s="2157"/>
      <c r="U106" s="2157"/>
      <c r="V106" s="2157"/>
      <c r="W106" s="2157"/>
      <c r="X106" s="2157"/>
      <c r="Y106" s="2157"/>
      <c r="Z106" s="2157"/>
      <c r="AA106" s="2157"/>
      <c r="AB106" s="2157"/>
      <c r="AC106" s="2157"/>
      <c r="AD106" s="2157"/>
      <c r="AE106" s="2157"/>
      <c r="AF106" s="2157"/>
      <c r="AG106" s="2157"/>
      <c r="AH106" s="2157"/>
      <c r="AI106" s="2157"/>
      <c r="AJ106" s="2157"/>
      <c r="AK106" s="2157"/>
      <c r="AL106" s="2157"/>
      <c r="AM106" s="2157"/>
      <c r="AN106" s="2157"/>
      <c r="AO106" s="2157"/>
    </row>
    <row r="107" spans="1:63" ht="21.75" customHeight="1">
      <c r="A107" s="7972"/>
      <c r="B107" s="2155"/>
      <c r="C107" s="5117"/>
      <c r="D107" s="1427"/>
      <c r="E107" s="5118"/>
      <c r="F107" s="5118"/>
      <c r="G107" s="5118"/>
      <c r="H107" s="5118"/>
      <c r="I107" s="5118"/>
      <c r="J107" s="5118"/>
      <c r="K107" s="5118"/>
      <c r="L107" s="5119"/>
      <c r="M107" s="5119"/>
      <c r="N107" s="5120"/>
      <c r="O107" s="5120"/>
      <c r="P107" s="5121"/>
      <c r="Q107" s="5121"/>
      <c r="R107" s="5121"/>
      <c r="S107" s="5121"/>
      <c r="T107" s="5122"/>
      <c r="U107" s="5123"/>
      <c r="V107" s="5122"/>
      <c r="W107" s="5122"/>
      <c r="X107" s="5122"/>
      <c r="Y107" s="5122"/>
      <c r="Z107" s="5124"/>
      <c r="AA107" s="5124"/>
      <c r="AB107" s="5124"/>
      <c r="AC107" s="5124"/>
      <c r="AD107" s="5124"/>
      <c r="AE107" s="5124"/>
      <c r="AF107" s="5124"/>
      <c r="AG107" s="5124"/>
      <c r="AH107" s="5124"/>
      <c r="AI107" s="5124"/>
      <c r="AJ107" s="5124"/>
      <c r="AK107" s="5124"/>
      <c r="AL107" s="5124"/>
      <c r="AM107" s="5124"/>
      <c r="AN107" s="5125"/>
      <c r="AO107" s="5125"/>
    </row>
    <row r="108" spans="1:63" ht="21.75" customHeight="1">
      <c r="A108" s="7972"/>
      <c r="B108" s="2155"/>
      <c r="C108" s="5117"/>
      <c r="D108" s="1427"/>
      <c r="E108" s="5118"/>
      <c r="F108" s="5118"/>
      <c r="G108" s="5118"/>
      <c r="H108" s="5118"/>
      <c r="I108" s="5118"/>
      <c r="J108" s="5118"/>
      <c r="K108" s="5118"/>
      <c r="L108" s="5119"/>
      <c r="M108" s="5120"/>
      <c r="N108" s="5120"/>
      <c r="O108" s="5120"/>
      <c r="P108" s="5126"/>
      <c r="Q108" s="5121"/>
      <c r="R108" s="5121"/>
      <c r="S108" s="5121"/>
      <c r="T108" s="5122"/>
      <c r="U108" s="5123"/>
      <c r="V108" s="5122"/>
      <c r="W108" s="5122"/>
      <c r="X108" s="5122"/>
      <c r="Y108" s="5122"/>
      <c r="Z108" s="5127"/>
      <c r="AA108" s="5128"/>
      <c r="AB108" s="5124"/>
      <c r="AC108" s="5124"/>
      <c r="AD108" s="5124"/>
      <c r="AE108" s="5124"/>
      <c r="AF108" s="5124"/>
      <c r="AG108" s="5124"/>
      <c r="AH108" s="5129"/>
      <c r="AI108" s="5129"/>
      <c r="AJ108" s="5129"/>
      <c r="AK108" s="5130"/>
      <c r="AL108" s="5128"/>
      <c r="AM108" s="5128"/>
      <c r="AN108" s="5125"/>
      <c r="AO108" s="5125"/>
    </row>
    <row r="109" spans="1:63" ht="21.75" customHeight="1">
      <c r="A109" s="7972"/>
      <c r="B109" s="2155"/>
      <c r="C109" s="5117"/>
      <c r="D109" s="1427"/>
      <c r="E109" s="5118"/>
      <c r="F109" s="5118"/>
      <c r="G109" s="5118"/>
      <c r="H109" s="5118"/>
      <c r="I109" s="5118"/>
      <c r="J109" s="5118"/>
      <c r="K109" s="5118"/>
      <c r="L109" s="5118"/>
      <c r="M109" s="5118"/>
      <c r="N109" s="5120"/>
      <c r="O109" s="5120"/>
      <c r="P109" s="5126"/>
      <c r="Q109" s="5121"/>
      <c r="R109" s="5121"/>
      <c r="S109" s="5121"/>
      <c r="T109" s="5122"/>
      <c r="U109" s="5123"/>
      <c r="V109" s="5122"/>
      <c r="W109" s="5122"/>
      <c r="X109" s="5122"/>
      <c r="Y109" s="5122"/>
      <c r="Z109" s="5127"/>
      <c r="AA109" s="5124"/>
      <c r="AB109" s="5124"/>
      <c r="AC109" s="5124"/>
      <c r="AD109" s="5124"/>
      <c r="AE109" s="5124"/>
      <c r="AF109" s="5124"/>
      <c r="AG109" s="5124"/>
      <c r="AH109" s="5129"/>
      <c r="AI109" s="5129"/>
      <c r="AJ109" s="5129"/>
      <c r="AK109" s="5129"/>
      <c r="AL109" s="5124"/>
      <c r="AM109" s="5124"/>
      <c r="AN109" s="5125"/>
      <c r="AO109" s="5131"/>
    </row>
    <row r="110" spans="1:63" ht="21.75" customHeight="1">
      <c r="A110" s="7972"/>
      <c r="B110" s="2155"/>
      <c r="C110" s="5117"/>
      <c r="D110" s="1427"/>
      <c r="E110" s="5118"/>
      <c r="F110" s="5118"/>
      <c r="G110" s="5118"/>
      <c r="H110" s="5118"/>
      <c r="I110" s="5118"/>
      <c r="J110" s="5118"/>
      <c r="K110" s="5118"/>
      <c r="L110" s="5119"/>
      <c r="M110" s="5120"/>
      <c r="N110" s="5120"/>
      <c r="O110" s="5120"/>
      <c r="P110" s="5126"/>
      <c r="Q110" s="5121"/>
      <c r="R110" s="5121"/>
      <c r="S110" s="5121"/>
      <c r="T110" s="5122"/>
      <c r="U110" s="5123"/>
      <c r="V110" s="5122"/>
      <c r="W110" s="5122"/>
      <c r="X110" s="5122"/>
      <c r="Y110" s="5122"/>
      <c r="Z110" s="5127"/>
      <c r="AA110" s="5124"/>
      <c r="AB110" s="5124"/>
      <c r="AC110" s="5124"/>
      <c r="AD110" s="5124"/>
      <c r="AE110" s="5124"/>
      <c r="AF110" s="5124"/>
      <c r="AG110" s="5124"/>
      <c r="AH110" s="5129"/>
      <c r="AI110" s="5129"/>
      <c r="AJ110" s="5129"/>
      <c r="AK110" s="5129"/>
      <c r="AL110" s="5124"/>
      <c r="AM110" s="5124"/>
      <c r="AN110" s="5125"/>
      <c r="AO110" s="5125"/>
    </row>
    <row r="111" spans="1:63" ht="21.75" customHeight="1">
      <c r="A111" s="7972"/>
      <c r="B111" s="2155"/>
      <c r="C111" s="5117"/>
      <c r="D111" s="1427"/>
      <c r="E111" s="5118"/>
      <c r="F111" s="5118"/>
      <c r="G111" s="5118"/>
      <c r="H111" s="5118"/>
      <c r="I111" s="5118"/>
      <c r="J111" s="5118"/>
      <c r="K111" s="5118"/>
      <c r="L111" s="5119"/>
      <c r="M111" s="5132"/>
      <c r="N111" s="5132"/>
      <c r="O111" s="5132"/>
      <c r="P111" s="5121"/>
      <c r="Q111" s="5121"/>
      <c r="R111" s="5121"/>
      <c r="S111" s="5121"/>
      <c r="T111" s="5122"/>
      <c r="U111" s="5123"/>
      <c r="V111" s="5122"/>
      <c r="W111" s="5122"/>
      <c r="X111" s="5122"/>
      <c r="Y111" s="5122"/>
      <c r="Z111" s="5124"/>
      <c r="AA111" s="5124"/>
      <c r="AB111" s="5124"/>
      <c r="AC111" s="5124"/>
      <c r="AD111" s="5124"/>
      <c r="AE111" s="5124"/>
      <c r="AF111" s="5124"/>
      <c r="AG111" s="5124"/>
      <c r="AH111" s="5124"/>
      <c r="AI111" s="5124"/>
      <c r="AJ111" s="5124"/>
      <c r="AK111" s="5124"/>
      <c r="AL111" s="5124"/>
      <c r="AM111" s="5124"/>
      <c r="AN111" s="5125"/>
      <c r="AO111" s="5125"/>
    </row>
    <row r="112" spans="1:63" ht="21.75" customHeight="1">
      <c r="A112" s="7972"/>
      <c r="B112" s="2155"/>
      <c r="C112" s="5117"/>
      <c r="D112" s="1427"/>
      <c r="E112" s="1427"/>
      <c r="F112" s="1427"/>
      <c r="G112" s="1427"/>
      <c r="H112" s="1427"/>
      <c r="I112" s="1427"/>
      <c r="J112" s="1427"/>
      <c r="K112" s="1427"/>
      <c r="L112" s="5119"/>
      <c r="M112" s="5133"/>
      <c r="N112" s="5132"/>
      <c r="O112" s="5132"/>
      <c r="P112" s="5134"/>
      <c r="Q112" s="5132"/>
      <c r="R112" s="5132"/>
      <c r="S112" s="5132"/>
      <c r="T112" s="5135"/>
      <c r="U112" s="5133"/>
      <c r="V112" s="5135"/>
      <c r="W112" s="5135"/>
      <c r="X112" s="5135"/>
      <c r="Y112" s="5135"/>
      <c r="Z112" s="5135"/>
      <c r="AA112" s="5135"/>
      <c r="AB112" s="5135"/>
      <c r="AC112" s="5135"/>
      <c r="AD112" s="5135"/>
      <c r="AE112" s="5135"/>
      <c r="AF112" s="5135"/>
      <c r="AG112" s="5135"/>
      <c r="AH112" s="5135"/>
      <c r="AI112" s="5135"/>
      <c r="AJ112" s="5135"/>
      <c r="AK112" s="5135"/>
      <c r="AL112" s="5135"/>
      <c r="AM112" s="5124"/>
      <c r="AN112" s="5135"/>
      <c r="AO112" s="5125"/>
      <c r="AS112" s="318" t="s">
        <v>645</v>
      </c>
      <c r="AT112" s="318" t="s">
        <v>667</v>
      </c>
      <c r="AU112" s="318" t="s">
        <v>524</v>
      </c>
      <c r="AV112" s="318" t="s">
        <v>924</v>
      </c>
      <c r="AW112" s="318" t="s">
        <v>702</v>
      </c>
      <c r="BJ112" s="801"/>
      <c r="BK112" s="801"/>
    </row>
    <row r="113" spans="1:82" ht="21.75" customHeight="1">
      <c r="A113" s="7972"/>
      <c r="B113" s="2155"/>
      <c r="C113" s="2156"/>
      <c r="D113" s="5136"/>
      <c r="E113" s="5137"/>
      <c r="F113" s="2258"/>
      <c r="G113" s="2258"/>
      <c r="H113" s="2258"/>
      <c r="I113" s="2258"/>
      <c r="J113" s="2258"/>
      <c r="K113" s="2258"/>
      <c r="L113" s="5138"/>
      <c r="M113" s="5139"/>
      <c r="N113" s="5139"/>
      <c r="O113" s="5139"/>
      <c r="P113" s="5139"/>
      <c r="Q113" s="5139"/>
      <c r="R113" s="5139"/>
      <c r="S113" s="5139"/>
      <c r="T113" s="5139"/>
      <c r="U113" s="5139"/>
      <c r="V113" s="5139"/>
      <c r="W113" s="5139"/>
      <c r="X113" s="5139"/>
      <c r="Y113" s="5139"/>
      <c r="Z113" s="5140"/>
      <c r="AA113" s="5140"/>
      <c r="AB113" s="5140"/>
      <c r="AC113" s="5140"/>
      <c r="AD113" s="5140"/>
      <c r="AE113" s="5140"/>
      <c r="AF113" s="5140"/>
      <c r="AG113" s="5140"/>
      <c r="AH113" s="5140"/>
      <c r="AI113" s="5140"/>
      <c r="AJ113" s="5140"/>
      <c r="AK113" s="5140"/>
      <c r="AL113" s="5140"/>
      <c r="AM113" s="5140"/>
      <c r="AN113" s="5141"/>
      <c r="AO113" s="5141"/>
      <c r="AS113" s="678" t="s">
        <v>647</v>
      </c>
      <c r="AT113" s="318">
        <v>5</v>
      </c>
      <c r="AV113" s="318">
        <f>BF212</f>
        <v>0</v>
      </c>
      <c r="AW113" s="318">
        <v>4</v>
      </c>
      <c r="BJ113" s="1225"/>
      <c r="BK113" s="801"/>
    </row>
    <row r="114" spans="1:82">
      <c r="A114" s="7972"/>
      <c r="B114" s="2155"/>
      <c r="C114" s="2156"/>
      <c r="D114" s="3959"/>
      <c r="E114" s="2258"/>
      <c r="F114" s="2258"/>
      <c r="G114" s="2258"/>
      <c r="H114" s="2258"/>
      <c r="I114" s="2258"/>
      <c r="J114" s="2258"/>
      <c r="K114" s="2258"/>
      <c r="L114" s="5138"/>
      <c r="M114" s="5139"/>
      <c r="N114" s="5139"/>
      <c r="O114" s="5139"/>
      <c r="P114" s="5139"/>
      <c r="Q114" s="5139"/>
      <c r="R114" s="5139"/>
      <c r="S114" s="5139"/>
      <c r="T114" s="5139"/>
      <c r="U114" s="5139"/>
      <c r="V114" s="5139"/>
      <c r="W114" s="5139"/>
      <c r="X114" s="5139"/>
      <c r="Y114" s="5139"/>
      <c r="Z114" s="5142"/>
      <c r="AA114" s="5142"/>
      <c r="AB114" s="5142"/>
      <c r="AC114" s="5142"/>
      <c r="AD114" s="5142"/>
      <c r="AE114" s="5142"/>
      <c r="AF114" s="5140"/>
      <c r="AG114" s="5140"/>
      <c r="AH114" s="5140"/>
      <c r="AI114" s="5140"/>
      <c r="AJ114" s="5140"/>
      <c r="AK114" s="5140"/>
      <c r="AL114" s="5140"/>
      <c r="AM114" s="5140"/>
      <c r="AN114" s="5141"/>
      <c r="AO114" s="5141"/>
      <c r="AS114" s="678" t="s">
        <v>648</v>
      </c>
      <c r="AT114" s="318">
        <v>16</v>
      </c>
      <c r="AV114" s="318">
        <f>BF214</f>
        <v>0</v>
      </c>
      <c r="AW114" s="318">
        <v>7</v>
      </c>
      <c r="BJ114" s="1225"/>
      <c r="BK114" s="801"/>
    </row>
    <row r="115" spans="1:82">
      <c r="A115" s="2157"/>
      <c r="B115" s="2157"/>
      <c r="C115" s="2157"/>
      <c r="D115" s="2157"/>
      <c r="E115" s="2157"/>
      <c r="F115" s="2157"/>
      <c r="G115" s="2157"/>
      <c r="H115" s="2157"/>
      <c r="I115" s="2157"/>
      <c r="J115" s="2157"/>
      <c r="K115" s="2157"/>
      <c r="L115" s="2157"/>
      <c r="M115" s="2157"/>
      <c r="N115" s="2157"/>
      <c r="O115" s="2157"/>
      <c r="P115" s="2157"/>
      <c r="Q115" s="2157"/>
      <c r="R115" s="2157"/>
      <c r="S115" s="2157"/>
      <c r="T115" s="2157"/>
      <c r="U115" s="2157"/>
      <c r="V115" s="2157"/>
      <c r="W115" s="2157"/>
      <c r="X115" s="2157"/>
      <c r="Y115" s="2157"/>
      <c r="Z115" s="2157"/>
      <c r="AA115" s="2157"/>
      <c r="AB115" s="2157"/>
      <c r="AC115" s="2157"/>
      <c r="AD115" s="2157"/>
      <c r="AE115" s="2157"/>
      <c r="AF115" s="2157"/>
      <c r="AG115" s="2157"/>
      <c r="AH115" s="2157"/>
      <c r="AI115" s="2157"/>
      <c r="AJ115" s="2157"/>
      <c r="AK115" s="2157"/>
      <c r="AL115" s="2157"/>
      <c r="AM115" s="2157"/>
      <c r="AN115" s="2157"/>
      <c r="AO115" s="2157"/>
      <c r="AS115" s="678" t="s">
        <v>649</v>
      </c>
      <c r="AT115" s="318">
        <v>20</v>
      </c>
      <c r="AV115" s="318">
        <f>BF215</f>
        <v>0</v>
      </c>
      <c r="AW115" s="318">
        <v>6</v>
      </c>
      <c r="BJ115" s="1225"/>
      <c r="BK115" s="801"/>
    </row>
    <row r="116" spans="1:82" ht="17.25" customHeight="1">
      <c r="A116" s="2157"/>
      <c r="B116" s="2157"/>
      <c r="C116" s="2157"/>
      <c r="D116" s="2157"/>
      <c r="E116" s="2157"/>
      <c r="F116" s="2157"/>
      <c r="G116" s="2157"/>
      <c r="H116" s="2157"/>
      <c r="I116" s="2157"/>
      <c r="J116" s="2157"/>
      <c r="K116" s="2157"/>
      <c r="L116" s="2157"/>
      <c r="M116" s="2157"/>
      <c r="N116" s="2157"/>
      <c r="O116" s="2157"/>
      <c r="P116" s="2157"/>
      <c r="Q116" s="2157"/>
      <c r="R116" s="2157"/>
      <c r="S116" s="2157"/>
      <c r="T116" s="2157"/>
      <c r="U116" s="2157"/>
      <c r="V116" s="2157"/>
      <c r="W116" s="2157"/>
      <c r="X116" s="2157"/>
      <c r="Y116" s="2157"/>
      <c r="Z116" s="2157"/>
      <c r="AA116" s="2157"/>
      <c r="AB116" s="2157"/>
      <c r="AC116" s="2157"/>
      <c r="AD116" s="2157"/>
      <c r="AE116" s="2157"/>
      <c r="AF116" s="2157"/>
      <c r="AG116" s="2157"/>
      <c r="AH116" s="2157"/>
      <c r="AI116" s="2157"/>
      <c r="AJ116" s="2157"/>
      <c r="AK116" s="2157"/>
      <c r="AL116" s="2157"/>
      <c r="AM116" s="2157"/>
      <c r="AN116" s="2157"/>
      <c r="AO116" s="2157"/>
      <c r="AS116" s="1768"/>
      <c r="BJ116" s="1225"/>
      <c r="BK116" s="801"/>
    </row>
    <row r="117" spans="1:82">
      <c r="A117" s="7971"/>
      <c r="B117" s="2155"/>
      <c r="C117" s="5117"/>
      <c r="D117" s="2157"/>
      <c r="E117" s="2157"/>
      <c r="F117" s="3956"/>
      <c r="G117" s="3956"/>
      <c r="H117" s="3956"/>
      <c r="I117" s="3956"/>
      <c r="J117" s="3956"/>
      <c r="K117" s="3956"/>
      <c r="L117" s="3956"/>
      <c r="M117" s="5143"/>
      <c r="N117" s="5143"/>
      <c r="O117" s="5143"/>
      <c r="P117" s="5143"/>
      <c r="Q117" s="5143"/>
      <c r="R117" s="5143"/>
      <c r="S117" s="5143"/>
      <c r="T117" s="5143"/>
      <c r="U117" s="5143"/>
      <c r="V117" s="5143"/>
      <c r="W117" s="5143"/>
      <c r="X117" s="5143"/>
      <c r="Y117" s="5143"/>
      <c r="Z117" s="3956"/>
      <c r="AA117" s="3958"/>
      <c r="AB117" s="3958"/>
      <c r="AC117" s="3958"/>
      <c r="AD117" s="3958"/>
      <c r="AE117" s="3958"/>
      <c r="AF117" s="3958"/>
      <c r="AG117" s="3958"/>
      <c r="AH117" s="3958"/>
      <c r="AI117" s="3958"/>
      <c r="AJ117" s="3958"/>
      <c r="AK117" s="3958"/>
      <c r="AL117" s="3958"/>
      <c r="AM117" s="3958"/>
      <c r="AN117" s="5144"/>
      <c r="AO117" s="2157"/>
      <c r="AS117" s="1768"/>
      <c r="BJ117" s="1225"/>
      <c r="BK117" s="801"/>
    </row>
    <row r="118" spans="1:82">
      <c r="A118" s="7971"/>
      <c r="B118" s="2155"/>
      <c r="C118" s="5117"/>
      <c r="D118" s="2157"/>
      <c r="E118" s="2157"/>
      <c r="F118" s="3956"/>
      <c r="G118" s="3956"/>
      <c r="H118" s="3956"/>
      <c r="I118" s="3956"/>
      <c r="J118" s="3956"/>
      <c r="K118" s="3956"/>
      <c r="L118" s="3956"/>
      <c r="M118" s="5145"/>
      <c r="N118" s="5145"/>
      <c r="O118" s="5145"/>
      <c r="P118" s="5145"/>
      <c r="Q118" s="5145"/>
      <c r="R118" s="5145"/>
      <c r="S118" s="5145"/>
      <c r="T118" s="5145"/>
      <c r="U118" s="5145"/>
      <c r="V118" s="5145"/>
      <c r="W118" s="5145"/>
      <c r="X118" s="5145"/>
      <c r="Y118" s="5145"/>
      <c r="Z118" s="3956"/>
      <c r="AA118" s="3958"/>
      <c r="AB118" s="3958"/>
      <c r="AC118" s="3958"/>
      <c r="AD118" s="3958"/>
      <c r="AE118" s="3958"/>
      <c r="AF118" s="3958"/>
      <c r="AG118" s="3958"/>
      <c r="AH118" s="3958"/>
      <c r="AI118" s="3958"/>
      <c r="AJ118" s="3958"/>
      <c r="AK118" s="3958"/>
      <c r="AL118" s="3958"/>
      <c r="AM118" s="3958"/>
      <c r="AN118" s="5146"/>
      <c r="AO118" s="2157"/>
      <c r="AS118" s="1768"/>
      <c r="BJ118" s="1225"/>
      <c r="BK118" s="801"/>
    </row>
    <row r="119" spans="1:82">
      <c r="A119" s="7971"/>
      <c r="B119" s="2155"/>
      <c r="C119" s="5117"/>
      <c r="D119" s="2157"/>
      <c r="E119" s="2157"/>
      <c r="F119" s="1905"/>
      <c r="G119" s="1905"/>
      <c r="H119" s="1905"/>
      <c r="I119" s="1905"/>
      <c r="J119" s="5653"/>
      <c r="K119" s="1905"/>
      <c r="L119" s="1905"/>
      <c r="M119" s="1905"/>
      <c r="N119" s="1905"/>
      <c r="O119" s="1905"/>
      <c r="P119" s="1905"/>
      <c r="Q119" s="1905"/>
      <c r="R119" s="1905"/>
      <c r="S119" s="1905"/>
      <c r="T119" s="1905"/>
      <c r="U119" s="1905"/>
      <c r="V119" s="1905"/>
      <c r="W119" s="1905"/>
      <c r="X119" s="1905"/>
      <c r="Y119" s="1905"/>
      <c r="Z119" s="3956"/>
      <c r="AA119" s="3958"/>
      <c r="AB119" s="3958"/>
      <c r="AC119" s="3958"/>
      <c r="AD119" s="3958"/>
      <c r="AE119" s="3958"/>
      <c r="AF119" s="3958"/>
      <c r="AG119" s="3958"/>
      <c r="AH119" s="3958"/>
      <c r="AI119" s="3958"/>
      <c r="AJ119" s="3958"/>
      <c r="AK119" s="3958"/>
      <c r="AL119" s="3958"/>
      <c r="AM119" s="3958"/>
      <c r="AN119" s="5144"/>
      <c r="AO119" s="2157"/>
      <c r="AS119" s="1768"/>
      <c r="BJ119" s="1225"/>
      <c r="BK119" s="801"/>
    </row>
    <row r="120" spans="1:82">
      <c r="A120" s="7971"/>
      <c r="B120" s="2155"/>
      <c r="C120" s="5117"/>
      <c r="D120" s="2157"/>
      <c r="E120" s="2157"/>
      <c r="F120" s="3956"/>
      <c r="G120" s="3956"/>
      <c r="H120" s="3956"/>
      <c r="I120" s="3956"/>
      <c r="J120" s="3956"/>
      <c r="K120" s="1905"/>
      <c r="L120" s="1905"/>
      <c r="M120" s="1905"/>
      <c r="N120" s="1905"/>
      <c r="O120" s="1905"/>
      <c r="P120" s="1905"/>
      <c r="Q120" s="1905"/>
      <c r="R120" s="1905"/>
      <c r="S120" s="1905"/>
      <c r="T120" s="1905"/>
      <c r="U120" s="1905"/>
      <c r="V120" s="1905"/>
      <c r="W120" s="1905"/>
      <c r="X120" s="1905"/>
      <c r="Y120" s="1905"/>
      <c r="Z120" s="3958"/>
      <c r="AA120" s="3958"/>
      <c r="AB120" s="3958"/>
      <c r="AC120" s="3958"/>
      <c r="AD120" s="3958"/>
      <c r="AE120" s="3958"/>
      <c r="AF120" s="3958"/>
      <c r="AG120" s="3958"/>
      <c r="AH120" s="3958"/>
      <c r="AI120" s="3958"/>
      <c r="AJ120" s="3958"/>
      <c r="AK120" s="3958"/>
      <c r="AL120" s="3958"/>
      <c r="AM120" s="3958"/>
      <c r="AN120" s="5146"/>
      <c r="AO120" s="2157"/>
      <c r="AS120" s="1768"/>
      <c r="BJ120" s="1225"/>
      <c r="BK120" s="801"/>
    </row>
    <row r="121" spans="1:82">
      <c r="A121" s="7971"/>
      <c r="B121" s="5147"/>
      <c r="C121" s="5117"/>
      <c r="D121" s="2157"/>
      <c r="E121" s="2157"/>
      <c r="F121" s="5148"/>
      <c r="G121" s="5148"/>
      <c r="H121" s="5148"/>
      <c r="I121" s="5148"/>
      <c r="J121" s="5148"/>
      <c r="K121" s="5148"/>
      <c r="L121" s="5148"/>
      <c r="M121" s="5148"/>
      <c r="N121" s="5148"/>
      <c r="O121" s="5148"/>
      <c r="P121" s="5148"/>
      <c r="Q121" s="5148"/>
      <c r="R121" s="5148"/>
      <c r="S121" s="5148"/>
      <c r="T121" s="5148"/>
      <c r="U121" s="5148"/>
      <c r="V121" s="5148"/>
      <c r="W121" s="5148"/>
      <c r="X121" s="5148"/>
      <c r="Y121" s="5148"/>
      <c r="Z121" s="5149"/>
      <c r="AA121" s="5149"/>
      <c r="AB121" s="5149"/>
      <c r="AC121" s="5149"/>
      <c r="AD121" s="5149"/>
      <c r="AE121" s="5149"/>
      <c r="AF121" s="5149"/>
      <c r="AG121" s="5149"/>
      <c r="AH121" s="5149"/>
      <c r="AI121" s="5149"/>
      <c r="AJ121" s="5149"/>
      <c r="AK121" s="5149"/>
      <c r="AL121" s="5149"/>
      <c r="AM121" s="5149"/>
      <c r="AN121" s="5149"/>
      <c r="AO121" s="5149"/>
      <c r="AS121" s="1768"/>
      <c r="BJ121" s="1225"/>
      <c r="BK121" s="801"/>
    </row>
    <row r="122" spans="1:82">
      <c r="A122" s="7971"/>
      <c r="B122" s="5147"/>
      <c r="C122" s="5117"/>
      <c r="D122" s="2157"/>
      <c r="E122" s="2157"/>
      <c r="F122" s="5148"/>
      <c r="G122" s="5148"/>
      <c r="H122" s="5148"/>
      <c r="I122" s="5148"/>
      <c r="J122" s="5148"/>
      <c r="K122" s="7949"/>
      <c r="L122" s="7949"/>
      <c r="M122" s="7949"/>
      <c r="N122" s="7949"/>
      <c r="O122" s="7949"/>
      <c r="P122" s="7949"/>
      <c r="Q122" s="7949"/>
      <c r="R122" s="7949"/>
      <c r="S122" s="7949"/>
      <c r="T122" s="7949"/>
      <c r="U122" s="7949"/>
      <c r="V122" s="7949"/>
      <c r="W122" s="7949"/>
      <c r="X122" s="7949"/>
      <c r="Y122" s="7949"/>
      <c r="Z122" s="5149"/>
      <c r="AA122" s="5149"/>
      <c r="AB122" s="5149"/>
      <c r="AC122" s="5149"/>
      <c r="AD122" s="5149"/>
      <c r="AE122" s="5149"/>
      <c r="AF122" s="5149"/>
      <c r="AG122" s="5149"/>
      <c r="AH122" s="5149"/>
      <c r="AI122" s="5149"/>
      <c r="AJ122" s="5149"/>
      <c r="AK122" s="5149"/>
      <c r="AL122" s="5149"/>
      <c r="AM122" s="5149"/>
      <c r="AN122" s="5149"/>
      <c r="AO122" s="5149"/>
      <c r="AS122" s="2149"/>
      <c r="BJ122" s="1225"/>
      <c r="BK122" s="801"/>
    </row>
    <row r="123" spans="1:82">
      <c r="A123" s="7971"/>
      <c r="B123" s="2155"/>
      <c r="C123" s="5117"/>
      <c r="D123" s="2157"/>
      <c r="E123" s="2157"/>
      <c r="F123" s="3956"/>
      <c r="G123" s="3956"/>
      <c r="H123" s="3956"/>
      <c r="I123" s="3956"/>
      <c r="J123" s="3956"/>
      <c r="K123" s="3956"/>
      <c r="L123" s="3956"/>
      <c r="M123" s="3956"/>
      <c r="N123" s="3956"/>
      <c r="O123" s="3956"/>
      <c r="P123" s="3956"/>
      <c r="Q123" s="3956"/>
      <c r="R123" s="3956"/>
      <c r="S123" s="3956"/>
      <c r="T123" s="3956"/>
      <c r="U123" s="3956"/>
      <c r="V123" s="3956"/>
      <c r="W123" s="3956"/>
      <c r="X123" s="3956"/>
      <c r="Y123" s="3956"/>
      <c r="Z123" s="3958"/>
      <c r="AA123" s="3958"/>
      <c r="AB123" s="3958"/>
      <c r="AC123" s="3958"/>
      <c r="AD123" s="3958"/>
      <c r="AE123" s="3958"/>
      <c r="AF123" s="3958"/>
      <c r="AG123" s="3958"/>
      <c r="AH123" s="3958"/>
      <c r="AI123" s="3958"/>
      <c r="AJ123" s="3958"/>
      <c r="AK123" s="3958"/>
      <c r="AL123" s="3958"/>
      <c r="AM123" s="3958"/>
      <c r="AN123" s="5144"/>
      <c r="AO123" s="2157"/>
      <c r="AS123" s="2149"/>
      <c r="BJ123" s="1225"/>
      <c r="BK123" s="801"/>
    </row>
    <row r="124" spans="1:82">
      <c r="A124" s="7971"/>
      <c r="B124" s="2155"/>
      <c r="C124" s="5117"/>
      <c r="D124" s="2157"/>
      <c r="E124" s="2157"/>
      <c r="F124" s="3956"/>
      <c r="G124" s="3956"/>
      <c r="H124" s="3956"/>
      <c r="I124" s="3956"/>
      <c r="J124" s="3956"/>
      <c r="K124" s="3956"/>
      <c r="L124" s="3956"/>
      <c r="M124" s="3956"/>
      <c r="N124" s="3956"/>
      <c r="O124" s="3956"/>
      <c r="P124" s="3956"/>
      <c r="Q124" s="3956"/>
      <c r="R124" s="3956"/>
      <c r="S124" s="3956"/>
      <c r="T124" s="3956"/>
      <c r="U124" s="3956"/>
      <c r="V124" s="3956"/>
      <c r="W124" s="3956"/>
      <c r="X124" s="3956"/>
      <c r="Y124" s="3956"/>
      <c r="Z124" s="3958"/>
      <c r="AA124" s="3958"/>
      <c r="AB124" s="3958"/>
      <c r="AC124" s="3958"/>
      <c r="AD124" s="3958"/>
      <c r="AE124" s="3958"/>
      <c r="AF124" s="3958"/>
      <c r="AG124" s="3958"/>
      <c r="AH124" s="3958"/>
      <c r="AI124" s="3958"/>
      <c r="AJ124" s="3958"/>
      <c r="AK124" s="3958"/>
      <c r="AL124" s="3958"/>
      <c r="AM124" s="3958"/>
      <c r="AN124" s="5144"/>
      <c r="AO124" s="2157"/>
      <c r="AS124" s="1768"/>
      <c r="BJ124" s="1225"/>
      <c r="BK124" s="801"/>
    </row>
    <row r="125" spans="1:82">
      <c r="A125" s="7971"/>
      <c r="B125" s="2155"/>
      <c r="C125" s="5117"/>
      <c r="D125" s="2157"/>
      <c r="E125" s="2157"/>
      <c r="F125" s="5150"/>
      <c r="G125" s="5150"/>
      <c r="H125" s="5150"/>
      <c r="I125" s="5150"/>
      <c r="J125" s="5150"/>
      <c r="K125" s="5150"/>
      <c r="L125" s="5150"/>
      <c r="M125" s="5150"/>
      <c r="N125" s="5150"/>
      <c r="O125" s="5150"/>
      <c r="P125" s="5150"/>
      <c r="Q125" s="5150"/>
      <c r="R125" s="5150"/>
      <c r="S125" s="5150"/>
      <c r="T125" s="5150"/>
      <c r="U125" s="5150"/>
      <c r="V125" s="5150"/>
      <c r="W125" s="5150"/>
      <c r="X125" s="5150"/>
      <c r="Y125" s="5150"/>
      <c r="Z125" s="3958"/>
      <c r="AA125" s="3958"/>
      <c r="AB125" s="3958"/>
      <c r="AC125" s="3958"/>
      <c r="AD125" s="3958"/>
      <c r="AE125" s="3958"/>
      <c r="AF125" s="3958"/>
      <c r="AG125" s="3958"/>
      <c r="AH125" s="3958"/>
      <c r="AI125" s="3958"/>
      <c r="AJ125" s="3958"/>
      <c r="AK125" s="3958"/>
      <c r="AL125" s="3958"/>
      <c r="AM125" s="3958"/>
      <c r="AN125" s="5146"/>
      <c r="AO125" s="2157"/>
      <c r="AS125" s="1768"/>
      <c r="BJ125" s="1225"/>
      <c r="BK125" s="801"/>
    </row>
    <row r="126" spans="1:82">
      <c r="A126" s="7971"/>
      <c r="B126" s="2155"/>
      <c r="C126" s="5117"/>
      <c r="D126" s="2157"/>
      <c r="E126" s="2157"/>
      <c r="F126" s="3956"/>
      <c r="G126" s="3956"/>
      <c r="H126" s="3956"/>
      <c r="I126" s="3956"/>
      <c r="J126" s="3956"/>
      <c r="K126" s="3956"/>
      <c r="L126" s="3956"/>
      <c r="M126" s="3956"/>
      <c r="N126" s="3956"/>
      <c r="O126" s="3956"/>
      <c r="P126" s="3956"/>
      <c r="Q126" s="3956"/>
      <c r="R126" s="3956"/>
      <c r="S126" s="3956"/>
      <c r="T126" s="3956"/>
      <c r="U126" s="3956"/>
      <c r="V126" s="3956"/>
      <c r="W126" s="3956"/>
      <c r="X126" s="3956"/>
      <c r="Y126" s="3956"/>
      <c r="Z126" s="3958"/>
      <c r="AA126" s="3958"/>
      <c r="AB126" s="3958"/>
      <c r="AC126" s="3958"/>
      <c r="AD126" s="3958"/>
      <c r="AE126" s="3958"/>
      <c r="AF126" s="3958"/>
      <c r="AG126" s="3958"/>
      <c r="AH126" s="3958"/>
      <c r="AI126" s="3958"/>
      <c r="AJ126" s="3958"/>
      <c r="AK126" s="3958"/>
      <c r="AL126" s="3958"/>
      <c r="AM126" s="3958"/>
      <c r="AN126" s="5144"/>
      <c r="AO126" s="2157"/>
      <c r="AS126" s="1768"/>
      <c r="BJ126" s="1225"/>
      <c r="BK126" s="801"/>
    </row>
    <row r="127" spans="1:82">
      <c r="A127" s="7971"/>
      <c r="B127" s="2155"/>
      <c r="C127" s="5117"/>
      <c r="D127" s="2157"/>
      <c r="E127" s="2157"/>
      <c r="F127" s="3956"/>
      <c r="G127" s="3956"/>
      <c r="H127" s="3956"/>
      <c r="I127" s="3956"/>
      <c r="J127" s="3956"/>
      <c r="K127" s="3956"/>
      <c r="L127" s="3956"/>
      <c r="M127" s="3956"/>
      <c r="N127" s="3956"/>
      <c r="O127" s="3956"/>
      <c r="P127" s="3956"/>
      <c r="Q127" s="3956"/>
      <c r="R127" s="3956"/>
      <c r="S127" s="3956"/>
      <c r="T127" s="3956"/>
      <c r="U127" s="3956"/>
      <c r="V127" s="3956"/>
      <c r="W127" s="3956"/>
      <c r="X127" s="3956"/>
      <c r="Y127" s="3956"/>
      <c r="Z127" s="3958"/>
      <c r="AA127" s="3958"/>
      <c r="AB127" s="3958"/>
      <c r="AC127" s="3958"/>
      <c r="AD127" s="3958"/>
      <c r="AE127" s="3958"/>
      <c r="AF127" s="3958"/>
      <c r="AG127" s="3958"/>
      <c r="AH127" s="3958"/>
      <c r="AI127" s="3958"/>
      <c r="AJ127" s="3958"/>
      <c r="AK127" s="3958"/>
      <c r="AL127" s="3958"/>
      <c r="AM127" s="3958"/>
      <c r="AN127" s="5146"/>
      <c r="AO127" s="2157"/>
      <c r="AS127" s="678" t="s">
        <v>650</v>
      </c>
      <c r="AT127" s="318">
        <v>44</v>
      </c>
      <c r="AV127" s="318">
        <f>BF216</f>
        <v>2</v>
      </c>
      <c r="AW127" s="318">
        <v>13</v>
      </c>
      <c r="BJ127" s="1225"/>
      <c r="BK127" s="801"/>
    </row>
    <row r="128" spans="1:82" ht="21.75" customHeight="1">
      <c r="A128" s="7971"/>
      <c r="B128" s="2155"/>
      <c r="C128" s="2156"/>
      <c r="D128" s="2157"/>
      <c r="E128" s="2157"/>
      <c r="F128" s="5151"/>
      <c r="G128" s="5151"/>
      <c r="H128" s="5151"/>
      <c r="I128" s="5151"/>
      <c r="J128" s="5151"/>
      <c r="K128" s="5151"/>
      <c r="L128" s="5151"/>
      <c r="M128" s="5151"/>
      <c r="N128" s="5151"/>
      <c r="O128" s="5151"/>
      <c r="P128" s="5151"/>
      <c r="Q128" s="5151"/>
      <c r="R128" s="5151"/>
      <c r="S128" s="5151"/>
      <c r="T128" s="5151"/>
      <c r="U128" s="5151"/>
      <c r="V128" s="5151"/>
      <c r="W128" s="5151"/>
      <c r="X128" s="5151"/>
      <c r="Y128" s="5151"/>
      <c r="Z128" s="2157"/>
      <c r="AA128" s="2157"/>
      <c r="AB128" s="2157"/>
      <c r="AC128" s="2157"/>
      <c r="AD128" s="2157"/>
      <c r="AE128" s="2157"/>
      <c r="AF128" s="2157"/>
      <c r="AG128" s="2157"/>
      <c r="AH128" s="2157"/>
      <c r="AI128" s="2157"/>
      <c r="AJ128" s="2157"/>
      <c r="AK128" s="2157"/>
      <c r="AL128" s="2157"/>
      <c r="AM128" s="2157"/>
      <c r="AN128" s="2157"/>
      <c r="AO128" s="2157"/>
      <c r="AP128" s="821">
        <f>H72/12</f>
        <v>74.561666666666667</v>
      </c>
      <c r="AR128" s="320"/>
      <c r="AX128" s="318">
        <v>6.69</v>
      </c>
      <c r="AZ128" s="318" t="s">
        <v>668</v>
      </c>
      <c r="BA128" s="318">
        <v>5.19</v>
      </c>
      <c r="BB128" s="318">
        <v>1.5</v>
      </c>
      <c r="CD128" s="1325">
        <v>85.67</v>
      </c>
    </row>
    <row r="129" spans="1:82" ht="21.75" customHeight="1">
      <c r="A129" s="2154"/>
      <c r="B129" s="2155"/>
      <c r="C129" s="2156"/>
      <c r="D129" s="2157"/>
      <c r="E129" s="2157"/>
      <c r="F129" s="2157"/>
      <c r="G129" s="2157"/>
      <c r="H129" s="2157"/>
      <c r="I129" s="2157"/>
      <c r="J129" s="2157"/>
      <c r="K129" s="2157"/>
      <c r="L129" s="2157"/>
      <c r="M129" s="2157"/>
      <c r="N129" s="2157"/>
      <c r="O129" s="2157"/>
      <c r="P129" s="2157"/>
      <c r="Q129" s="2157"/>
      <c r="R129" s="2157"/>
      <c r="S129" s="2157"/>
      <c r="T129" s="2157"/>
      <c r="U129" s="2157"/>
      <c r="V129" s="2157"/>
      <c r="W129" s="2157"/>
      <c r="X129" s="2157"/>
      <c r="Y129" s="2157"/>
      <c r="Z129" s="2157"/>
      <c r="AA129" s="2157"/>
      <c r="AB129" s="2157"/>
      <c r="AC129" s="2157"/>
      <c r="AD129" s="2157"/>
      <c r="AE129" s="2157"/>
      <c r="AF129" s="2157"/>
      <c r="AG129" s="2157"/>
      <c r="AH129" s="2157"/>
      <c r="AI129" s="2157"/>
      <c r="AJ129" s="2157"/>
      <c r="AK129" s="2157"/>
      <c r="AL129" s="2157"/>
      <c r="AM129" s="2157"/>
      <c r="AN129" s="2157"/>
      <c r="AO129" s="2157"/>
      <c r="AP129" s="821">
        <f>H73/12</f>
        <v>425.62416666666667</v>
      </c>
      <c r="AQ129" s="1076" t="s">
        <v>848</v>
      </c>
      <c r="AZ129" s="318" t="s">
        <v>673</v>
      </c>
      <c r="BA129" s="318">
        <v>0.9</v>
      </c>
      <c r="BB129" s="318">
        <v>1.1299999999999999</v>
      </c>
      <c r="CD129" s="1325">
        <v>68.930000000000007</v>
      </c>
    </row>
    <row r="130" spans="1:82" ht="21.75" customHeight="1">
      <c r="A130" s="2154"/>
      <c r="B130" s="2157"/>
      <c r="C130" s="2157"/>
      <c r="D130" s="2157"/>
      <c r="E130" s="2157"/>
      <c r="F130" s="2157"/>
      <c r="G130" s="2157"/>
      <c r="H130" s="2157"/>
      <c r="I130" s="2157"/>
      <c r="J130" s="2157"/>
      <c r="K130" s="2157"/>
      <c r="L130" s="2157"/>
      <c r="M130" s="2157"/>
      <c r="N130" s="2157"/>
      <c r="O130" s="2157"/>
      <c r="P130" s="2157"/>
      <c r="Q130" s="2157"/>
      <c r="R130" s="2157"/>
      <c r="S130" s="2157"/>
      <c r="T130" s="2157"/>
      <c r="U130" s="2157"/>
      <c r="V130" s="2157"/>
      <c r="W130" s="2157"/>
      <c r="X130" s="2157"/>
      <c r="Y130" s="2157"/>
      <c r="Z130" s="2157"/>
      <c r="AA130" s="2157"/>
      <c r="AB130" s="2157"/>
      <c r="AC130" s="2157"/>
      <c r="AD130" s="2157"/>
      <c r="AE130" s="2157"/>
      <c r="AF130" s="2157"/>
      <c r="AG130" s="2157"/>
      <c r="AH130" s="2157"/>
      <c r="AI130" s="2157"/>
      <c r="AJ130" s="2157"/>
      <c r="AK130" s="2157"/>
      <c r="AL130" s="2157"/>
      <c r="AM130" s="2157"/>
      <c r="AN130" s="2157"/>
      <c r="AO130" s="2157"/>
      <c r="AP130" s="821">
        <f>H74/12</f>
        <v>32.302500000000002</v>
      </c>
      <c r="AQ130" s="1545" t="s">
        <v>1</v>
      </c>
      <c r="AR130" s="1550" t="s">
        <v>997</v>
      </c>
      <c r="AS130" s="1548" t="s">
        <v>504</v>
      </c>
      <c r="AT130" s="431" t="s">
        <v>505</v>
      </c>
      <c r="AU130" s="431" t="s">
        <v>506</v>
      </c>
      <c r="AV130" s="431" t="s">
        <v>507</v>
      </c>
      <c r="AW130" s="431" t="s">
        <v>508</v>
      </c>
      <c r="AX130" s="431" t="s">
        <v>509</v>
      </c>
      <c r="AY130" s="431" t="s">
        <v>510</v>
      </c>
      <c r="AZ130" s="431" t="s">
        <v>511</v>
      </c>
      <c r="BA130" s="431" t="s">
        <v>512</v>
      </c>
      <c r="BB130" s="431" t="s">
        <v>513</v>
      </c>
      <c r="BC130" s="431" t="s">
        <v>515</v>
      </c>
      <c r="BD130" s="1761" t="s">
        <v>516</v>
      </c>
      <c r="BE130" s="1762" t="s">
        <v>1023</v>
      </c>
    </row>
    <row r="131" spans="1:82" ht="21.75" customHeight="1">
      <c r="A131" s="2157"/>
      <c r="B131" s="2157"/>
      <c r="C131" s="2157"/>
      <c r="D131" s="2157"/>
      <c r="E131" s="2157"/>
      <c r="F131" s="2157"/>
      <c r="G131" s="2157"/>
      <c r="H131" s="2157"/>
      <c r="I131" s="2157"/>
      <c r="J131" s="2157"/>
      <c r="K131" s="2157"/>
      <c r="L131" s="2157"/>
      <c r="M131" s="2157"/>
      <c r="N131" s="2157"/>
      <c r="O131" s="2157"/>
      <c r="P131" s="2157"/>
      <c r="Q131" s="2157"/>
      <c r="R131" s="2157"/>
      <c r="S131" s="2157"/>
      <c r="T131" s="2157"/>
      <c r="U131" s="2157"/>
      <c r="V131" s="2157"/>
      <c r="W131" s="2157"/>
      <c r="X131" s="2157"/>
      <c r="Y131" s="2157"/>
      <c r="Z131" s="2157"/>
      <c r="AA131" s="2157"/>
      <c r="AB131" s="2157"/>
      <c r="AC131" s="2157"/>
      <c r="AD131" s="2157"/>
      <c r="AE131" s="2157"/>
      <c r="AF131" s="2157"/>
      <c r="AG131" s="2157"/>
      <c r="AH131" s="2157"/>
      <c r="AI131" s="2157"/>
      <c r="AJ131" s="2157"/>
      <c r="AK131" s="2157"/>
      <c r="AL131" s="2157"/>
      <c r="AM131" s="2157"/>
      <c r="AN131" s="2157"/>
      <c r="AO131" s="2157"/>
      <c r="AP131" s="821">
        <f>H75/12</f>
        <v>41.044166666666662</v>
      </c>
      <c r="AQ131" s="1546" t="s">
        <v>501</v>
      </c>
      <c r="AR131" s="1754">
        <v>77.479915433403818</v>
      </c>
      <c r="AS131" s="1549"/>
      <c r="AT131" s="626"/>
      <c r="AU131" s="626"/>
      <c r="AV131" s="626"/>
      <c r="AW131" s="626"/>
      <c r="AX131" s="626"/>
      <c r="AY131" s="626"/>
      <c r="AZ131" s="626"/>
      <c r="BA131" s="626"/>
      <c r="BB131" s="626"/>
      <c r="BC131" s="626"/>
      <c r="BD131" s="1763"/>
      <c r="BE131" s="1764">
        <f>SUM(AS131:BD131)</f>
        <v>0</v>
      </c>
    </row>
    <row r="132" spans="1:82" ht="21.75" customHeight="1">
      <c r="A132" s="2157"/>
      <c r="B132" s="2157"/>
      <c r="C132" s="2157"/>
      <c r="D132" s="2157"/>
      <c r="E132" s="2157"/>
      <c r="F132" s="2157"/>
      <c r="G132" s="2157"/>
      <c r="H132" s="2157"/>
      <c r="I132" s="2157"/>
      <c r="J132" s="2157"/>
      <c r="K132" s="2157"/>
      <c r="L132" s="2157"/>
      <c r="M132" s="2157"/>
      <c r="N132" s="2157"/>
      <c r="O132" s="2157"/>
      <c r="P132" s="2157"/>
      <c r="Q132" s="2157"/>
      <c r="R132" s="2157"/>
      <c r="S132" s="2157"/>
      <c r="T132" s="2157"/>
      <c r="U132" s="2157"/>
      <c r="V132" s="2157"/>
      <c r="W132" s="2157"/>
      <c r="X132" s="2157"/>
      <c r="Y132" s="2157"/>
      <c r="Z132" s="2157"/>
      <c r="AA132" s="2157"/>
      <c r="AB132" s="2157"/>
      <c r="AC132" s="2157"/>
      <c r="AD132" s="2157"/>
      <c r="AE132" s="2157"/>
      <c r="AF132" s="2157"/>
      <c r="AG132" s="2157"/>
      <c r="AH132" s="2157"/>
      <c r="AI132" s="2157"/>
      <c r="AJ132" s="2157"/>
      <c r="AK132" s="2157"/>
      <c r="AL132" s="2157"/>
      <c r="AM132" s="2157"/>
      <c r="AN132" s="2157"/>
      <c r="AO132" s="2157"/>
      <c r="AP132" s="821">
        <f>H76/12</f>
        <v>25.483333333333338</v>
      </c>
      <c r="AQ132" s="1547" t="s">
        <v>488</v>
      </c>
      <c r="AR132" s="1754">
        <v>42.520084566596182</v>
      </c>
      <c r="AS132" s="1549"/>
      <c r="AT132" s="626"/>
      <c r="AU132" s="626"/>
      <c r="AV132" s="626"/>
      <c r="AW132" s="626"/>
      <c r="AX132" s="626"/>
      <c r="AY132" s="626"/>
      <c r="AZ132" s="626"/>
      <c r="BA132" s="626"/>
      <c r="BB132" s="626"/>
      <c r="BC132" s="626"/>
      <c r="BD132" s="1763"/>
      <c r="BE132" s="1764">
        <f>SUM(AS132:BD132)</f>
        <v>0</v>
      </c>
    </row>
    <row r="133" spans="1:82" ht="21.75" customHeight="1">
      <c r="A133" s="2157"/>
      <c r="B133" s="2157"/>
      <c r="C133" s="2157"/>
      <c r="D133" s="2157"/>
      <c r="E133" s="2157"/>
      <c r="F133" s="2157"/>
      <c r="G133" s="2157"/>
      <c r="H133" s="2157"/>
      <c r="I133" s="2157"/>
      <c r="J133" s="2157"/>
      <c r="K133" s="2157"/>
      <c r="L133" s="2157"/>
      <c r="M133" s="2157"/>
      <c r="N133" s="2157"/>
      <c r="O133" s="2157"/>
      <c r="P133" s="2157"/>
      <c r="Q133" s="2157"/>
      <c r="R133" s="2157"/>
      <c r="S133" s="2157"/>
      <c r="T133" s="2157"/>
      <c r="U133" s="2157"/>
      <c r="V133" s="2157"/>
      <c r="W133" s="2157"/>
      <c r="X133" s="2157"/>
      <c r="Y133" s="2157"/>
      <c r="Z133" s="2157"/>
      <c r="AA133" s="2157"/>
      <c r="AB133" s="2157"/>
      <c r="AC133" s="2157"/>
      <c r="AD133" s="2157"/>
      <c r="AE133" s="2157"/>
      <c r="AF133" s="2157"/>
      <c r="AG133" s="2157"/>
      <c r="AH133" s="2157"/>
      <c r="AI133" s="2157"/>
      <c r="AJ133" s="2157"/>
      <c r="AK133" s="2157"/>
      <c r="AL133" s="2157"/>
      <c r="AM133" s="2157"/>
      <c r="AN133" s="2157"/>
      <c r="AO133" s="2157"/>
      <c r="AP133" s="821" t="e">
        <f>#REF!/12</f>
        <v>#REF!</v>
      </c>
      <c r="AR133" s="320"/>
    </row>
    <row r="134" spans="1:82" ht="21.75" customHeight="1">
      <c r="A134" s="2155"/>
      <c r="B134" s="2155"/>
      <c r="C134" s="2155"/>
      <c r="D134" s="5152"/>
      <c r="E134" s="5152"/>
      <c r="F134" s="5152"/>
      <c r="G134" s="5152"/>
      <c r="H134" s="5152"/>
      <c r="I134" s="5152"/>
      <c r="J134" s="5655"/>
      <c r="K134" s="2155"/>
      <c r="L134" s="2155"/>
      <c r="M134" s="2155"/>
      <c r="N134" s="2155"/>
      <c r="O134" s="2155"/>
      <c r="P134" s="2155"/>
      <c r="Q134" s="2155"/>
      <c r="R134" s="2155"/>
      <c r="S134" s="2155"/>
      <c r="T134" s="2155"/>
      <c r="U134" s="2155"/>
      <c r="V134" s="2155"/>
      <c r="W134" s="2155"/>
      <c r="X134" s="2155"/>
      <c r="Y134" s="2155"/>
      <c r="Z134" s="2155"/>
      <c r="AA134" s="2155"/>
      <c r="AB134" s="2155"/>
      <c r="AC134" s="2155"/>
      <c r="AD134" s="2155"/>
      <c r="AE134" s="2155"/>
      <c r="AF134" s="2155"/>
      <c r="AG134" s="2155"/>
      <c r="AH134" s="2155"/>
      <c r="AI134" s="2155"/>
      <c r="AJ134" s="2155"/>
      <c r="AK134" s="2155"/>
      <c r="AL134" s="5152"/>
      <c r="AM134" s="5152"/>
      <c r="AN134" s="5152"/>
      <c r="AO134" s="5152"/>
      <c r="AQ134" s="683">
        <v>5.09</v>
      </c>
      <c r="AR134" s="683">
        <v>68.83</v>
      </c>
      <c r="AS134" s="683">
        <v>7.17</v>
      </c>
      <c r="AT134" s="684"/>
      <c r="AU134" s="685" t="s">
        <v>659</v>
      </c>
      <c r="AY134" s="318" t="s">
        <v>640</v>
      </c>
      <c r="AZ134" s="665" t="s">
        <v>672</v>
      </c>
      <c r="BA134" s="801" t="s">
        <v>961</v>
      </c>
      <c r="BB134" s="801" t="s">
        <v>960</v>
      </c>
      <c r="BC134" s="801" t="s">
        <v>962</v>
      </c>
    </row>
    <row r="135" spans="1:82" ht="21.75" customHeight="1">
      <c r="A135" s="2155"/>
      <c r="B135" s="2155"/>
      <c r="C135" s="2155"/>
      <c r="D135" s="5152"/>
      <c r="E135" s="5152"/>
      <c r="F135" s="5152"/>
      <c r="G135" s="5152"/>
      <c r="H135" s="5152"/>
      <c r="I135" s="5152"/>
      <c r="J135" s="5655"/>
      <c r="K135" s="2155"/>
      <c r="L135" s="2155"/>
      <c r="M135" s="1621"/>
      <c r="N135" s="1621"/>
      <c r="O135" s="1621"/>
      <c r="P135" s="1621"/>
      <c r="Q135" s="1621"/>
      <c r="R135" s="1621"/>
      <c r="S135" s="1621"/>
      <c r="T135" s="1621"/>
      <c r="U135" s="1621"/>
      <c r="V135" s="1621"/>
      <c r="W135" s="1621"/>
      <c r="X135" s="1621"/>
      <c r="Y135" s="1621"/>
      <c r="Z135" s="2155"/>
      <c r="AA135" s="2155"/>
      <c r="AB135" s="2155"/>
      <c r="AC135" s="2155"/>
      <c r="AD135" s="2155"/>
      <c r="AE135" s="2155"/>
      <c r="AF135" s="2155"/>
      <c r="AG135" s="2155"/>
      <c r="AH135" s="2155"/>
      <c r="AI135" s="2155"/>
      <c r="AJ135" s="2155"/>
      <c r="AK135" s="2155"/>
      <c r="AL135" s="2155"/>
      <c r="AM135" s="2155"/>
      <c r="AN135" s="5152"/>
      <c r="AO135" s="5152"/>
      <c r="AP135" s="683"/>
      <c r="AQ135" s="683"/>
      <c r="AR135" s="683"/>
      <c r="AS135" s="683"/>
      <c r="AT135" s="684">
        <v>1.43</v>
      </c>
      <c r="AU135" s="685" t="s">
        <v>623</v>
      </c>
      <c r="AY135" s="677" t="s">
        <v>641</v>
      </c>
      <c r="AZ135" s="436">
        <f>(SUM(E91:G91)/3)/12</f>
        <v>6.5555745037330722</v>
      </c>
      <c r="BA135" s="1268">
        <v>19.59</v>
      </c>
      <c r="BB135" s="1268">
        <v>14.37</v>
      </c>
      <c r="BC135" s="1268">
        <v>6.69</v>
      </c>
    </row>
    <row r="136" spans="1:82">
      <c r="A136" s="1905"/>
      <c r="B136" s="1905"/>
      <c r="C136" s="1905"/>
      <c r="D136" s="1905"/>
      <c r="E136" s="1905"/>
      <c r="F136" s="1905"/>
      <c r="G136" s="1905"/>
      <c r="H136" s="1905"/>
      <c r="I136" s="1905"/>
      <c r="J136" s="5653"/>
      <c r="K136" s="5153"/>
      <c r="L136" s="5153"/>
      <c r="M136" s="1905"/>
      <c r="N136" s="1905"/>
      <c r="O136" s="1905"/>
      <c r="P136" s="1905"/>
      <c r="Q136" s="1905"/>
      <c r="R136" s="1905"/>
      <c r="S136" s="1905"/>
      <c r="T136" s="1905"/>
      <c r="U136" s="1905"/>
      <c r="V136" s="1905"/>
      <c r="W136" s="1905"/>
      <c r="X136" s="1905"/>
      <c r="Y136" s="1905"/>
      <c r="Z136" s="1905"/>
      <c r="AA136" s="1905"/>
      <c r="AB136" s="1905"/>
      <c r="AC136" s="1905"/>
      <c r="AD136" s="1905"/>
      <c r="AE136" s="1905"/>
      <c r="AF136" s="1905"/>
      <c r="AG136" s="1905"/>
      <c r="AH136" s="1905"/>
      <c r="AI136" s="1905"/>
      <c r="AJ136" s="1905"/>
      <c r="AK136" s="1905"/>
      <c r="AL136" s="1905"/>
      <c r="AM136" s="1905"/>
      <c r="AN136" s="1905"/>
      <c r="AO136" s="1905"/>
      <c r="AS136" s="1768"/>
      <c r="BF136" s="1262"/>
      <c r="BG136" s="1262"/>
      <c r="BH136" s="1262"/>
      <c r="BI136" s="1225"/>
      <c r="BJ136" s="1225"/>
      <c r="BK136" s="801"/>
    </row>
    <row r="137" spans="1:82">
      <c r="A137" s="1905"/>
      <c r="B137" s="1905"/>
      <c r="C137" s="1905"/>
      <c r="D137" s="1905"/>
      <c r="E137" s="1905"/>
      <c r="F137" s="1905"/>
      <c r="G137" s="1905"/>
      <c r="H137" s="1905"/>
      <c r="I137" s="1905"/>
      <c r="J137" s="5653"/>
      <c r="K137" s="5153"/>
      <c r="L137" s="5153"/>
      <c r="M137" s="1905"/>
      <c r="N137" s="1905"/>
      <c r="O137" s="1905"/>
      <c r="P137" s="1905"/>
      <c r="Q137" s="1905"/>
      <c r="R137" s="1905"/>
      <c r="S137" s="1905"/>
      <c r="T137" s="1905"/>
      <c r="U137" s="1905"/>
      <c r="V137" s="1905"/>
      <c r="W137" s="1905"/>
      <c r="X137" s="1905"/>
      <c r="Y137" s="1905"/>
      <c r="Z137" s="1905"/>
      <c r="AA137" s="1905"/>
      <c r="AB137" s="1905"/>
      <c r="AC137" s="1905"/>
      <c r="AD137" s="1905"/>
      <c r="AE137" s="1905"/>
      <c r="AF137" s="1905"/>
      <c r="AG137" s="1905"/>
      <c r="AH137" s="1905"/>
      <c r="AI137" s="1905"/>
      <c r="AJ137" s="1905"/>
      <c r="AK137" s="1905"/>
      <c r="AL137" s="1905"/>
      <c r="AM137" s="1905"/>
      <c r="AN137" s="1905"/>
      <c r="AO137" s="1905"/>
      <c r="AS137" s="1768"/>
      <c r="BF137" s="1262"/>
      <c r="BG137" s="1262"/>
      <c r="BH137" s="1262"/>
      <c r="BI137" s="1225"/>
      <c r="BJ137" s="1225"/>
      <c r="BK137" s="801"/>
    </row>
    <row r="138" spans="1:82" ht="16.5" customHeight="1">
      <c r="A138" s="1905"/>
      <c r="B138" s="1905"/>
      <c r="C138" s="1905"/>
      <c r="D138" s="1905"/>
      <c r="E138" s="1905"/>
      <c r="F138" s="1905"/>
      <c r="G138" s="1905"/>
      <c r="H138" s="3957"/>
      <c r="I138" s="3957"/>
      <c r="J138" s="3957"/>
      <c r="K138" s="5153"/>
      <c r="L138" s="5153"/>
      <c r="M138" s="5154"/>
      <c r="N138" s="1905"/>
      <c r="O138" s="1905"/>
      <c r="P138" s="1905"/>
      <c r="Q138" s="1905"/>
      <c r="R138" s="1905"/>
      <c r="S138" s="1905"/>
      <c r="T138" s="1905"/>
      <c r="U138" s="1905"/>
      <c r="V138" s="1905"/>
      <c r="W138" s="1905"/>
      <c r="X138" s="1905"/>
      <c r="Y138" s="1905"/>
      <c r="Z138" s="1905"/>
      <c r="AA138" s="1905"/>
      <c r="AB138" s="1905"/>
      <c r="AC138" s="1905"/>
      <c r="AD138" s="1905"/>
      <c r="AE138" s="1905"/>
      <c r="AF138" s="1905"/>
      <c r="AG138" s="1905"/>
      <c r="AH138" s="1905"/>
      <c r="AI138" s="1905"/>
      <c r="AJ138" s="1905"/>
      <c r="AK138" s="1905"/>
      <c r="AL138" s="1905"/>
      <c r="AM138" s="1905"/>
      <c r="AN138" s="1905"/>
      <c r="AO138" s="1905"/>
      <c r="AP138" s="669"/>
      <c r="AR138" s="320"/>
    </row>
    <row r="139" spans="1:82">
      <c r="A139" s="1905"/>
      <c r="B139" s="1905"/>
      <c r="C139" s="1905"/>
      <c r="D139" s="1905"/>
      <c r="E139" s="1905"/>
      <c r="F139" s="1905"/>
      <c r="G139" s="1905"/>
      <c r="H139" s="1905"/>
      <c r="I139" s="1905"/>
      <c r="J139" s="5653"/>
      <c r="K139" s="5153"/>
      <c r="L139" s="5153"/>
      <c r="M139" s="1905"/>
      <c r="N139" s="1905"/>
      <c r="O139" s="1905"/>
      <c r="P139" s="1905"/>
      <c r="Q139" s="1905"/>
      <c r="R139" s="1905"/>
      <c r="S139" s="1905"/>
      <c r="T139" s="1905"/>
      <c r="U139" s="1905"/>
      <c r="V139" s="1905"/>
      <c r="W139" s="1905"/>
      <c r="X139" s="1905"/>
      <c r="Y139" s="1905"/>
      <c r="Z139" s="1905"/>
      <c r="AA139" s="1905"/>
      <c r="AB139" s="1905"/>
      <c r="AC139" s="1905"/>
      <c r="AD139" s="1905"/>
      <c r="AE139" s="1905"/>
      <c r="AF139" s="1905"/>
      <c r="AG139" s="1905"/>
      <c r="AH139" s="1905"/>
      <c r="AI139" s="1905"/>
      <c r="AJ139" s="1905"/>
      <c r="AK139" s="1905"/>
      <c r="AL139" s="1905"/>
      <c r="AM139" s="1905"/>
      <c r="AN139" s="1905"/>
      <c r="AO139" s="1905"/>
      <c r="AP139" s="669"/>
      <c r="AR139" s="320"/>
    </row>
    <row r="140" spans="1:82">
      <c r="A140" s="1905"/>
      <c r="B140" s="1905"/>
      <c r="C140" s="1905"/>
      <c r="D140" s="1905"/>
      <c r="E140" s="1905"/>
      <c r="F140" s="1905"/>
      <c r="G140" s="1905"/>
      <c r="H140" s="5155"/>
      <c r="I140" s="5155"/>
      <c r="J140" s="5155"/>
      <c r="K140" s="5155"/>
      <c r="L140" s="5155"/>
      <c r="M140" s="1905"/>
      <c r="N140" s="5155"/>
      <c r="O140" s="5155"/>
      <c r="P140" s="5155"/>
      <c r="Q140" s="5155"/>
      <c r="R140" s="5155"/>
      <c r="S140" s="5155"/>
      <c r="T140" s="5155"/>
      <c r="U140" s="5155"/>
      <c r="V140" s="5155"/>
      <c r="W140" s="5155"/>
      <c r="X140" s="5155"/>
      <c r="Y140" s="1905"/>
      <c r="Z140" s="1905"/>
      <c r="AA140" s="1905"/>
      <c r="AB140" s="1905"/>
      <c r="AC140" s="1905"/>
      <c r="AD140" s="1905"/>
      <c r="AE140" s="1905"/>
      <c r="AF140" s="1905"/>
      <c r="AG140" s="1905"/>
      <c r="AH140" s="1905"/>
      <c r="AI140" s="1905"/>
      <c r="AJ140" s="1905"/>
      <c r="AK140" s="1905"/>
      <c r="AL140" s="1905"/>
      <c r="AM140" s="1905"/>
      <c r="AN140" s="1905"/>
      <c r="AO140" s="1905"/>
      <c r="AS140" s="1768"/>
      <c r="BF140" s="1262"/>
      <c r="BG140" s="1262"/>
      <c r="BH140" s="1262"/>
      <c r="BI140" s="1225"/>
      <c r="BJ140" s="1225"/>
      <c r="BK140" s="801"/>
    </row>
    <row r="141" spans="1:82">
      <c r="A141" s="1905"/>
      <c r="B141" s="1905"/>
      <c r="C141" s="1905"/>
      <c r="D141" s="1905"/>
      <c r="E141" s="1905"/>
      <c r="F141" s="1905"/>
      <c r="G141" s="1905"/>
      <c r="H141" s="5150"/>
      <c r="I141" s="5150"/>
      <c r="J141" s="5150"/>
      <c r="K141" s="5153"/>
      <c r="L141" s="5153"/>
      <c r="M141" s="5154"/>
      <c r="N141" s="1905"/>
      <c r="O141" s="1905"/>
      <c r="P141" s="1905"/>
      <c r="Q141" s="1905"/>
      <c r="R141" s="1905"/>
      <c r="S141" s="1905"/>
      <c r="T141" s="1905"/>
      <c r="U141" s="1905"/>
      <c r="V141" s="1905"/>
      <c r="W141" s="1905"/>
      <c r="X141" s="1905"/>
      <c r="Y141" s="1905"/>
      <c r="Z141" s="1905"/>
      <c r="AA141" s="1905"/>
      <c r="AB141" s="1905"/>
      <c r="AC141" s="1905"/>
      <c r="AD141" s="1905"/>
      <c r="AE141" s="1905"/>
      <c r="AF141" s="1905"/>
      <c r="AG141" s="1905"/>
      <c r="AH141" s="1905"/>
      <c r="AI141" s="1905"/>
      <c r="AJ141" s="1905"/>
      <c r="AK141" s="1905"/>
      <c r="AL141" s="1905"/>
      <c r="AM141" s="1905"/>
      <c r="AN141" s="1905"/>
      <c r="AO141" s="1905"/>
      <c r="AS141" s="1768"/>
      <c r="BF141" s="1262"/>
      <c r="BG141" s="1262"/>
      <c r="BH141" s="1262"/>
      <c r="BI141" s="1225"/>
      <c r="BJ141" s="1225"/>
      <c r="BK141" s="801"/>
    </row>
    <row r="142" spans="1:82">
      <c r="A142" s="1905"/>
      <c r="B142" s="1905"/>
      <c r="C142" s="1905"/>
      <c r="D142" s="1905"/>
      <c r="E142" s="1905"/>
      <c r="F142" s="1905"/>
      <c r="G142" s="1905"/>
      <c r="H142" s="5150"/>
      <c r="I142" s="5150"/>
      <c r="J142" s="5150"/>
      <c r="K142" s="5153"/>
      <c r="L142" s="5153"/>
      <c r="M142" s="5150"/>
      <c r="N142" s="1905"/>
      <c r="O142" s="1905"/>
      <c r="P142" s="1905"/>
      <c r="Q142" s="1905"/>
      <c r="R142" s="1905"/>
      <c r="S142" s="1905"/>
      <c r="T142" s="1905"/>
      <c r="U142" s="1905"/>
      <c r="V142" s="1905"/>
      <c r="W142" s="1905"/>
      <c r="X142" s="1905"/>
      <c r="Y142" s="1905"/>
      <c r="Z142" s="1905"/>
      <c r="AA142" s="1905"/>
      <c r="AB142" s="1905"/>
      <c r="AC142" s="1905"/>
      <c r="AD142" s="1905"/>
      <c r="AE142" s="1905"/>
      <c r="AF142" s="1905"/>
      <c r="AG142" s="1905"/>
      <c r="AH142" s="1905"/>
      <c r="AI142" s="1905"/>
      <c r="AJ142" s="1905"/>
      <c r="AK142" s="1905"/>
      <c r="AL142" s="1905"/>
      <c r="AM142" s="1905"/>
      <c r="AN142" s="1905"/>
      <c r="AO142" s="1905"/>
      <c r="AS142" s="1768"/>
      <c r="BF142" s="1262"/>
      <c r="BG142" s="1262"/>
      <c r="BH142" s="1262"/>
      <c r="BI142" s="1225"/>
      <c r="BJ142" s="1225"/>
      <c r="BK142" s="801"/>
    </row>
    <row r="143" spans="1:82">
      <c r="A143" s="1905"/>
      <c r="B143" s="1905"/>
      <c r="C143" s="1905"/>
      <c r="D143" s="1905"/>
      <c r="E143" s="1905"/>
      <c r="F143" s="1905"/>
      <c r="G143" s="1905"/>
      <c r="H143" s="1905"/>
      <c r="I143" s="1905"/>
      <c r="J143" s="5653"/>
      <c r="K143" s="1905"/>
      <c r="L143" s="1905"/>
      <c r="M143" s="1905"/>
      <c r="N143" s="1905"/>
      <c r="O143" s="1905"/>
      <c r="P143" s="1905"/>
      <c r="Q143" s="1905"/>
      <c r="R143" s="1905"/>
      <c r="S143" s="1905"/>
      <c r="T143" s="1905"/>
      <c r="U143" s="1905"/>
      <c r="V143" s="1905"/>
      <c r="W143" s="1905"/>
      <c r="X143" s="1905"/>
      <c r="Y143" s="1905"/>
      <c r="Z143" s="1905"/>
      <c r="AA143" s="1905"/>
      <c r="AB143" s="1905"/>
      <c r="AC143" s="1905"/>
      <c r="AD143" s="1905"/>
      <c r="AE143" s="1905"/>
      <c r="AF143" s="1905"/>
      <c r="AG143" s="1905"/>
      <c r="AH143" s="1905"/>
      <c r="AI143" s="1905"/>
      <c r="AJ143" s="1905"/>
      <c r="AK143" s="1905"/>
      <c r="AL143" s="1905"/>
      <c r="AM143" s="1905"/>
      <c r="AN143" s="1905"/>
      <c r="AO143" s="1905"/>
      <c r="AS143" s="1768"/>
      <c r="BF143" s="1262"/>
      <c r="BG143" s="1262"/>
      <c r="BH143" s="1262"/>
      <c r="BI143" s="1225"/>
      <c r="BJ143" s="1225"/>
      <c r="BK143" s="801"/>
    </row>
    <row r="144" spans="1:82">
      <c r="A144" s="1905"/>
      <c r="B144" s="1905"/>
      <c r="C144" s="1905"/>
      <c r="D144" s="1905"/>
      <c r="E144" s="1905"/>
      <c r="F144" s="1905"/>
      <c r="G144" s="1905"/>
      <c r="H144" s="5154"/>
      <c r="I144" s="5154"/>
      <c r="J144" s="5154"/>
      <c r="K144" s="5154"/>
      <c r="L144" s="5154"/>
      <c r="M144" s="5154"/>
      <c r="N144" s="1905"/>
      <c r="O144" s="1905"/>
      <c r="P144" s="1905"/>
      <c r="Q144" s="1905"/>
      <c r="R144" s="1905"/>
      <c r="S144" s="1905"/>
      <c r="T144" s="1905"/>
      <c r="U144" s="1905"/>
      <c r="V144" s="1905"/>
      <c r="W144" s="1905"/>
      <c r="X144" s="1905"/>
      <c r="Y144" s="1905"/>
      <c r="Z144" s="1905"/>
      <c r="AA144" s="1905"/>
      <c r="AB144" s="1905"/>
      <c r="AC144" s="1905"/>
      <c r="AD144" s="1905"/>
      <c r="AE144" s="1905"/>
      <c r="AF144" s="1905"/>
      <c r="AG144" s="1905"/>
      <c r="AH144" s="1905"/>
      <c r="AI144" s="1905"/>
      <c r="AJ144" s="1905"/>
      <c r="AK144" s="1905"/>
      <c r="AL144" s="1905"/>
      <c r="AM144" s="1905"/>
      <c r="AN144" s="1905"/>
      <c r="AO144" s="1905"/>
      <c r="AS144" s="1768"/>
      <c r="BF144" s="1262"/>
      <c r="BG144" s="1262"/>
      <c r="BH144" s="1262"/>
      <c r="BI144" s="1225"/>
      <c r="BJ144" s="1225"/>
      <c r="BK144" s="801"/>
    </row>
    <row r="145" spans="1:63">
      <c r="A145" s="1905"/>
      <c r="B145" s="1905"/>
      <c r="C145" s="1905"/>
      <c r="D145" s="1905"/>
      <c r="E145" s="1905"/>
      <c r="F145" s="1905"/>
      <c r="G145" s="1905"/>
      <c r="H145" s="5154"/>
      <c r="I145" s="5154"/>
      <c r="J145" s="5154"/>
      <c r="K145" s="5154"/>
      <c r="L145" s="5154"/>
      <c r="M145" s="5154"/>
      <c r="N145" s="1905"/>
      <c r="O145" s="1905"/>
      <c r="P145" s="1905"/>
      <c r="Q145" s="1905"/>
      <c r="R145" s="1905"/>
      <c r="S145" s="1905"/>
      <c r="T145" s="1905"/>
      <c r="U145" s="1905"/>
      <c r="V145" s="1905"/>
      <c r="W145" s="1905"/>
      <c r="X145" s="1905"/>
      <c r="Y145" s="1905"/>
      <c r="Z145" s="1905"/>
      <c r="AA145" s="1905"/>
      <c r="AB145" s="1905"/>
      <c r="AC145" s="1905"/>
      <c r="AD145" s="1905"/>
      <c r="AE145" s="1905"/>
      <c r="AF145" s="1905"/>
      <c r="AG145" s="1905"/>
      <c r="AH145" s="1905"/>
      <c r="AI145" s="1905"/>
      <c r="AJ145" s="1905"/>
      <c r="AK145" s="1905"/>
      <c r="AL145" s="1905"/>
      <c r="AM145" s="1905"/>
      <c r="AN145" s="1905"/>
      <c r="AO145" s="1905"/>
      <c r="AS145" s="1768"/>
      <c r="BF145" s="1262"/>
      <c r="BG145" s="1262"/>
      <c r="BH145" s="1262"/>
      <c r="BI145" s="1225"/>
      <c r="BJ145" s="1225"/>
      <c r="BK145" s="801"/>
    </row>
    <row r="146" spans="1:63">
      <c r="A146" s="1905"/>
      <c r="B146" s="1905"/>
      <c r="C146" s="1905"/>
      <c r="D146" s="1905"/>
      <c r="E146" s="1905"/>
      <c r="F146" s="1905"/>
      <c r="G146" s="1905"/>
      <c r="H146" s="5154"/>
      <c r="I146" s="5154"/>
      <c r="J146" s="5154"/>
      <c r="K146" s="5154"/>
      <c r="L146" s="5154"/>
      <c r="M146" s="5154"/>
      <c r="N146" s="1905"/>
      <c r="O146" s="1905"/>
      <c r="P146" s="1905"/>
      <c r="Q146" s="1905"/>
      <c r="R146" s="1905"/>
      <c r="S146" s="1905"/>
      <c r="T146" s="1905"/>
      <c r="U146" s="1905"/>
      <c r="V146" s="1905"/>
      <c r="W146" s="1905"/>
      <c r="X146" s="1905"/>
      <c r="Y146" s="1905"/>
      <c r="Z146" s="1905"/>
      <c r="AA146" s="1905"/>
      <c r="AB146" s="1905"/>
      <c r="AC146" s="1905"/>
      <c r="AD146" s="1905"/>
      <c r="AE146" s="1905"/>
      <c r="AF146" s="1905"/>
      <c r="AG146" s="1905"/>
      <c r="AH146" s="1905"/>
      <c r="AI146" s="1905"/>
      <c r="AJ146" s="1905"/>
      <c r="AK146" s="1905"/>
      <c r="AL146" s="1905"/>
      <c r="AM146" s="1905"/>
      <c r="AN146" s="1905"/>
      <c r="AO146" s="1905"/>
      <c r="AS146" s="1768"/>
      <c r="BF146" s="1262"/>
      <c r="BG146" s="1262"/>
      <c r="BH146" s="1262"/>
      <c r="BI146" s="1225"/>
      <c r="BJ146" s="1225"/>
      <c r="BK146" s="801"/>
    </row>
    <row r="147" spans="1:63">
      <c r="A147" s="7990"/>
      <c r="B147" s="1905"/>
      <c r="C147" s="1905"/>
      <c r="D147" s="1905"/>
      <c r="E147" s="1905"/>
      <c r="F147" s="1905"/>
      <c r="G147" s="1905"/>
      <c r="H147" s="5154"/>
      <c r="I147" s="5154"/>
      <c r="J147" s="5154"/>
      <c r="K147" s="5154"/>
      <c r="L147" s="5154"/>
      <c r="M147" s="5154"/>
      <c r="N147" s="1905"/>
      <c r="O147" s="1905"/>
      <c r="P147" s="1905"/>
      <c r="Q147" s="1905"/>
      <c r="R147" s="1905"/>
      <c r="S147" s="1905"/>
      <c r="T147" s="1905"/>
      <c r="U147" s="1905"/>
      <c r="V147" s="1905"/>
      <c r="W147" s="1905"/>
      <c r="X147" s="1905"/>
      <c r="Y147" s="1905"/>
      <c r="Z147" s="1905"/>
      <c r="AA147" s="1905"/>
      <c r="AB147" s="1905"/>
      <c r="AC147" s="1905"/>
      <c r="AD147" s="1905"/>
      <c r="AE147" s="1905"/>
      <c r="AF147" s="1905"/>
      <c r="AG147" s="1905"/>
      <c r="AH147" s="1905"/>
      <c r="AI147" s="1905"/>
      <c r="AJ147" s="1905"/>
      <c r="AK147" s="1905"/>
      <c r="AL147" s="1905"/>
      <c r="AM147" s="1905"/>
      <c r="AN147" s="1905"/>
      <c r="AO147" s="1905"/>
      <c r="AS147" s="1768"/>
      <c r="BF147" s="1262"/>
      <c r="BG147" s="1262"/>
      <c r="BH147" s="1262"/>
      <c r="BI147" s="1225"/>
      <c r="BJ147" s="1225"/>
      <c r="BK147" s="801"/>
    </row>
    <row r="148" spans="1:63">
      <c r="A148" s="7990"/>
      <c r="B148" s="1905"/>
      <c r="C148" s="1905"/>
      <c r="D148" s="1905"/>
      <c r="E148" s="1905"/>
      <c r="F148" s="1905"/>
      <c r="G148" s="1905"/>
      <c r="H148" s="5154"/>
      <c r="I148" s="5154"/>
      <c r="J148" s="5154"/>
      <c r="K148" s="5154"/>
      <c r="L148" s="5154"/>
      <c r="M148" s="5154"/>
      <c r="N148" s="1905"/>
      <c r="O148" s="1905"/>
      <c r="P148" s="1905"/>
      <c r="Q148" s="1905"/>
      <c r="R148" s="1905"/>
      <c r="S148" s="1905"/>
      <c r="T148" s="1905"/>
      <c r="U148" s="1905"/>
      <c r="V148" s="1905"/>
      <c r="W148" s="1905"/>
      <c r="X148" s="1905"/>
      <c r="Y148" s="1905"/>
      <c r="Z148" s="1905"/>
      <c r="AA148" s="1905"/>
      <c r="AB148" s="1905"/>
      <c r="AC148" s="1905"/>
      <c r="AD148" s="1905"/>
      <c r="AE148" s="1905"/>
      <c r="AF148" s="1905"/>
      <c r="AG148" s="1905"/>
      <c r="AH148" s="1905"/>
      <c r="AI148" s="1905"/>
      <c r="AJ148" s="1905"/>
      <c r="AK148" s="1905"/>
      <c r="AL148" s="1905"/>
      <c r="AM148" s="1905"/>
      <c r="AN148" s="1905"/>
      <c r="AO148" s="1905"/>
      <c r="AS148" s="1768"/>
      <c r="BF148" s="1262"/>
      <c r="BG148" s="1262"/>
      <c r="BH148" s="1262"/>
      <c r="BI148" s="1225"/>
      <c r="BJ148" s="1225"/>
      <c r="BK148" s="801"/>
    </row>
    <row r="149" spans="1:63">
      <c r="A149" s="2157"/>
      <c r="B149" s="1905"/>
      <c r="C149" s="1905"/>
      <c r="D149" s="1905"/>
      <c r="E149" s="1905"/>
      <c r="F149" s="1905"/>
      <c r="G149" s="1905"/>
      <c r="H149" s="1905"/>
      <c r="I149" s="1905"/>
      <c r="J149" s="5653"/>
      <c r="K149" s="1905"/>
      <c r="L149" s="1905"/>
      <c r="M149" s="1905"/>
      <c r="N149" s="1905"/>
      <c r="O149" s="1905"/>
      <c r="P149" s="1905"/>
      <c r="Q149" s="1905"/>
      <c r="R149" s="1905"/>
      <c r="S149" s="1905"/>
      <c r="T149" s="1905"/>
      <c r="U149" s="1905"/>
      <c r="V149" s="1905"/>
      <c r="W149" s="1905"/>
      <c r="X149" s="1905"/>
      <c r="Y149" s="1905"/>
      <c r="Z149" s="1905"/>
      <c r="AA149" s="1905"/>
      <c r="AB149" s="1905"/>
      <c r="AC149" s="1905"/>
      <c r="AD149" s="1905"/>
      <c r="AE149" s="1905"/>
      <c r="AF149" s="1905"/>
      <c r="AG149" s="1905"/>
      <c r="AH149" s="1905"/>
      <c r="AI149" s="1905"/>
      <c r="AJ149" s="1905"/>
      <c r="AK149" s="1905"/>
      <c r="AL149" s="1905"/>
      <c r="AM149" s="1905"/>
      <c r="AN149" s="1905"/>
      <c r="AO149" s="1905"/>
      <c r="AS149" s="1768"/>
      <c r="BF149" s="1262"/>
      <c r="BG149" s="1262"/>
      <c r="BH149" s="1262"/>
      <c r="BI149" s="1225"/>
      <c r="BJ149" s="1225"/>
      <c r="BK149" s="801"/>
    </row>
    <row r="150" spans="1:63">
      <c r="A150" s="2157"/>
      <c r="B150" s="2157"/>
      <c r="C150" s="2157"/>
      <c r="D150" s="2157"/>
      <c r="E150" s="2157"/>
      <c r="F150" s="2157"/>
      <c r="G150" s="2157"/>
      <c r="H150" s="2157"/>
      <c r="I150" s="2157"/>
      <c r="J150" s="2157"/>
      <c r="K150" s="2157"/>
      <c r="L150" s="2157"/>
      <c r="M150" s="2157"/>
      <c r="N150" s="2157"/>
      <c r="O150" s="2157"/>
      <c r="P150" s="2157"/>
      <c r="Q150" s="2157"/>
      <c r="R150" s="2157"/>
      <c r="S150" s="2157"/>
      <c r="T150" s="2157"/>
      <c r="U150" s="2157"/>
      <c r="V150" s="2157"/>
      <c r="W150" s="2157"/>
      <c r="X150" s="2157"/>
      <c r="Y150" s="2157"/>
      <c r="Z150" s="2157"/>
      <c r="AA150" s="2157"/>
      <c r="AB150" s="2157"/>
      <c r="AC150" s="2157"/>
      <c r="AD150" s="2157"/>
      <c r="AE150" s="2157"/>
      <c r="AF150" s="2157"/>
      <c r="AG150" s="2157"/>
      <c r="AH150" s="2157"/>
      <c r="AI150" s="2157"/>
      <c r="AJ150" s="2157"/>
      <c r="AK150" s="2157"/>
      <c r="AL150" s="2157"/>
      <c r="AM150" s="2157"/>
      <c r="AN150" s="2157"/>
      <c r="AO150" s="2157"/>
      <c r="AS150" s="1768"/>
      <c r="BF150" s="1262"/>
      <c r="BG150" s="1262"/>
      <c r="BH150" s="1262"/>
      <c r="BI150" s="1225"/>
      <c r="BJ150" s="1225"/>
      <c r="BK150" s="801"/>
    </row>
    <row r="151" spans="1:63">
      <c r="AS151" s="1768"/>
      <c r="BF151" s="1262"/>
      <c r="BG151" s="1262"/>
      <c r="BH151" s="1262"/>
      <c r="BI151" s="1225"/>
      <c r="BJ151" s="1225"/>
      <c r="BK151" s="801"/>
    </row>
    <row r="152" spans="1:63">
      <c r="AS152" s="1768"/>
      <c r="BF152" s="1262"/>
      <c r="BG152" s="1262"/>
      <c r="BH152" s="1262"/>
      <c r="BI152" s="1225"/>
      <c r="BJ152" s="1225"/>
      <c r="BK152" s="801"/>
    </row>
    <row r="153" spans="1:63">
      <c r="AS153" s="1768"/>
      <c r="BF153" s="1262"/>
      <c r="BG153" s="1262"/>
      <c r="BH153" s="1262"/>
      <c r="BI153" s="1225"/>
      <c r="BJ153" s="1225"/>
      <c r="BK153" s="801"/>
    </row>
    <row r="154" spans="1:63">
      <c r="AS154" s="1768"/>
      <c r="BF154" s="1262"/>
      <c r="BG154" s="1262"/>
      <c r="BH154" s="1262"/>
      <c r="BI154" s="1225"/>
      <c r="BJ154" s="1225"/>
      <c r="BK154" s="801"/>
    </row>
    <row r="155" spans="1:63">
      <c r="AS155" s="1768"/>
      <c r="BF155" s="1262"/>
      <c r="BG155" s="1262"/>
      <c r="BH155" s="1262"/>
      <c r="BI155" s="1225"/>
      <c r="BJ155" s="1225"/>
      <c r="BK155" s="801"/>
    </row>
    <row r="156" spans="1:63">
      <c r="AS156" s="1768"/>
      <c r="BF156" s="1262"/>
      <c r="BG156" s="1262"/>
      <c r="BH156" s="1262"/>
      <c r="BI156" s="1225"/>
      <c r="BJ156" s="1225"/>
      <c r="BK156" s="801"/>
    </row>
    <row r="157" spans="1:63">
      <c r="AS157" s="1768"/>
      <c r="BF157" s="801"/>
      <c r="BG157" s="801"/>
      <c r="BH157" s="801"/>
      <c r="BI157" s="801"/>
      <c r="BJ157" s="1225"/>
      <c r="BK157" s="801"/>
    </row>
    <row r="158" spans="1:63">
      <c r="AS158" s="1768"/>
      <c r="BF158" s="1262"/>
      <c r="BG158" s="1262"/>
      <c r="BH158" s="1262"/>
      <c r="BI158" s="1225"/>
      <c r="BJ158" s="1225"/>
      <c r="BK158" s="801"/>
    </row>
    <row r="159" spans="1:63">
      <c r="AS159" s="1768"/>
      <c r="BF159" s="1262"/>
      <c r="BG159" s="1262"/>
      <c r="BH159" s="1262"/>
      <c r="BI159" s="1225"/>
      <c r="BJ159" s="1225"/>
      <c r="BK159" s="801"/>
    </row>
    <row r="160" spans="1:63">
      <c r="AS160" s="1768"/>
      <c r="BF160" s="1262"/>
      <c r="BG160" s="1262"/>
      <c r="BH160" s="1262"/>
      <c r="BI160" s="1225"/>
      <c r="BJ160" s="1225"/>
      <c r="BK160" s="801"/>
    </row>
    <row r="161" spans="3:70">
      <c r="AS161" s="1768"/>
      <c r="BF161" s="1262"/>
      <c r="BG161" s="1262"/>
      <c r="BH161" s="1262"/>
      <c r="BI161" s="1225"/>
      <c r="BJ161" s="1225"/>
      <c r="BK161" s="801"/>
    </row>
    <row r="162" spans="3:70">
      <c r="AS162" s="678" t="s">
        <v>646</v>
      </c>
      <c r="AT162" s="318">
        <f>(145+172+85)/3</f>
        <v>134</v>
      </c>
      <c r="AV162" s="318">
        <f>BF217</f>
        <v>2</v>
      </c>
      <c r="AW162" s="318">
        <f>SUM(AW113:AW127)</f>
        <v>30</v>
      </c>
      <c r="BF162" s="1262"/>
      <c r="BG162" s="1262"/>
      <c r="BH162" s="1262"/>
      <c r="BI162" s="1225"/>
      <c r="BJ162" s="1225"/>
      <c r="BK162" s="801"/>
    </row>
    <row r="163" spans="3:70" ht="17.25" thickBot="1">
      <c r="BF163" s="1262"/>
      <c r="BG163" s="1262"/>
      <c r="BH163" s="1262"/>
      <c r="BI163" s="1225"/>
      <c r="BJ163" s="1225"/>
      <c r="BK163" s="801"/>
    </row>
    <row r="164" spans="3:70" ht="18" thickBot="1">
      <c r="F164" s="320"/>
      <c r="Q164" s="318">
        <v>148</v>
      </c>
      <c r="BB164" s="687">
        <v>10.36</v>
      </c>
      <c r="BC164" s="688" t="s">
        <v>661</v>
      </c>
      <c r="BD164" s="689" t="s">
        <v>662</v>
      </c>
    </row>
    <row r="165" spans="3:70" ht="18" thickBot="1">
      <c r="C165" s="822" t="s">
        <v>807</v>
      </c>
      <c r="D165" s="7987" t="s">
        <v>808</v>
      </c>
      <c r="E165" s="7988"/>
      <c r="F165" s="7989"/>
      <c r="G165" s="822" t="s">
        <v>809</v>
      </c>
      <c r="H165" s="1435"/>
      <c r="I165" s="1435"/>
      <c r="J165" s="1435"/>
      <c r="Q165" s="318">
        <f>Q164-Q166</f>
        <v>135</v>
      </c>
      <c r="AS165" s="318" t="s">
        <v>644</v>
      </c>
      <c r="AT165" s="318" t="s">
        <v>651</v>
      </c>
      <c r="AU165" s="318" t="s">
        <v>653</v>
      </c>
      <c r="AV165" s="318" t="s">
        <v>660</v>
      </c>
      <c r="BB165" s="687">
        <v>5.68</v>
      </c>
      <c r="BC165" s="688" t="s">
        <v>663</v>
      </c>
      <c r="BD165" s="689" t="s">
        <v>662</v>
      </c>
    </row>
    <row r="166" spans="3:70" ht="18" thickBot="1">
      <c r="C166" s="802" t="s">
        <v>3</v>
      </c>
      <c r="D166" s="823" t="s">
        <v>812</v>
      </c>
      <c r="E166" s="824"/>
      <c r="F166" s="825"/>
      <c r="G166" s="802">
        <v>17.5</v>
      </c>
      <c r="H166" s="1428"/>
      <c r="I166" s="2530"/>
      <c r="J166" s="5654"/>
      <c r="Q166" s="318">
        <f>117/9</f>
        <v>13</v>
      </c>
      <c r="AS166" s="678" t="s">
        <v>652</v>
      </c>
      <c r="AT166" s="318">
        <v>5</v>
      </c>
      <c r="AU166" s="318">
        <v>2</v>
      </c>
      <c r="AV166" s="318">
        <v>0</v>
      </c>
      <c r="BB166" s="687">
        <v>3.78</v>
      </c>
      <c r="BC166" s="688" t="s">
        <v>661</v>
      </c>
      <c r="BD166" s="689" t="s">
        <v>662</v>
      </c>
    </row>
    <row r="167" spans="3:70" ht="18" thickBot="1">
      <c r="C167" s="802" t="s">
        <v>805</v>
      </c>
      <c r="D167" s="823" t="s">
        <v>813</v>
      </c>
      <c r="E167" s="824"/>
      <c r="F167" s="825"/>
      <c r="G167" s="802">
        <v>69.22</v>
      </c>
      <c r="H167" s="1428"/>
      <c r="I167" s="2530"/>
      <c r="J167" s="5654"/>
      <c r="R167" s="318">
        <f>Q165/Q164</f>
        <v>0.91216216216216217</v>
      </c>
      <c r="AS167" s="318" t="s">
        <v>660</v>
      </c>
      <c r="AU167" s="318">
        <v>0</v>
      </c>
      <c r="BB167" s="687">
        <v>3.03</v>
      </c>
      <c r="BC167" s="688" t="s">
        <v>661</v>
      </c>
      <c r="BD167" s="689" t="s">
        <v>664</v>
      </c>
    </row>
    <row r="168" spans="3:70" ht="18" thickBot="1">
      <c r="C168" s="802" t="s">
        <v>806</v>
      </c>
      <c r="D168" s="823" t="s">
        <v>810</v>
      </c>
      <c r="E168" s="824"/>
      <c r="F168" s="825"/>
      <c r="G168" s="802">
        <v>46.5</v>
      </c>
      <c r="H168" s="1428"/>
      <c r="I168" s="2530"/>
      <c r="J168" s="5654"/>
      <c r="BB168" s="687">
        <v>4.41</v>
      </c>
      <c r="BC168" s="688" t="s">
        <v>661</v>
      </c>
      <c r="BD168" s="689" t="s">
        <v>665</v>
      </c>
    </row>
    <row r="169" spans="3:70" ht="18" thickBot="1">
      <c r="C169" s="7987" t="s">
        <v>811</v>
      </c>
      <c r="D169" s="7988"/>
      <c r="E169" s="7988"/>
      <c r="F169" s="7989"/>
      <c r="G169" s="822">
        <v>133.22</v>
      </c>
      <c r="H169" s="1435"/>
      <c r="I169" s="1435"/>
      <c r="J169" s="1435"/>
      <c r="BB169" s="687">
        <v>2.41</v>
      </c>
      <c r="BC169" s="688" t="s">
        <v>661</v>
      </c>
      <c r="BD169" s="689" t="s">
        <v>665</v>
      </c>
    </row>
    <row r="170" spans="3:70" ht="18" thickBot="1">
      <c r="AS170" s="318" t="s">
        <v>644</v>
      </c>
      <c r="AT170" s="318" t="s">
        <v>651</v>
      </c>
      <c r="AU170" s="318" t="s">
        <v>654</v>
      </c>
      <c r="BB170" s="687">
        <v>3.24</v>
      </c>
      <c r="BC170" s="688" t="s">
        <v>663</v>
      </c>
      <c r="BD170" s="689" t="s">
        <v>664</v>
      </c>
    </row>
    <row r="171" spans="3:70">
      <c r="AS171" s="678" t="s">
        <v>652</v>
      </c>
      <c r="AT171" s="318">
        <v>16</v>
      </c>
    </row>
    <row r="172" spans="3:70">
      <c r="AS172" s="318" t="s">
        <v>660</v>
      </c>
      <c r="AU172" s="318">
        <v>4</v>
      </c>
    </row>
    <row r="174" spans="3:70">
      <c r="AS174" s="318" t="s">
        <v>644</v>
      </c>
      <c r="AT174" s="318" t="s">
        <v>651</v>
      </c>
      <c r="AU174" s="318" t="s">
        <v>654</v>
      </c>
      <c r="AX174" s="318">
        <v>1.22</v>
      </c>
      <c r="BR174" s="1226">
        <v>59.700917184612805</v>
      </c>
    </row>
    <row r="175" spans="3:70">
      <c r="AS175" s="678" t="s">
        <v>652</v>
      </c>
      <c r="AT175" s="318">
        <v>20</v>
      </c>
      <c r="AU175" s="318">
        <v>1</v>
      </c>
      <c r="AX175" s="318">
        <v>1</v>
      </c>
      <c r="BR175" s="1226">
        <v>46.84488295827208</v>
      </c>
    </row>
    <row r="176" spans="3:70">
      <c r="AS176" s="318" t="s">
        <v>660</v>
      </c>
      <c r="AU176" s="318">
        <v>1</v>
      </c>
      <c r="AX176" s="318">
        <v>0.5</v>
      </c>
      <c r="BR176" s="1226">
        <v>40.42788369222329</v>
      </c>
    </row>
    <row r="177" spans="3:70">
      <c r="AX177" s="318">
        <v>1.67</v>
      </c>
      <c r="BR177" s="1226">
        <v>24.243376830728607</v>
      </c>
    </row>
    <row r="178" spans="3:70">
      <c r="AX178" s="318">
        <v>1.68</v>
      </c>
      <c r="BR178" s="1226">
        <v>9.6190944167793422</v>
      </c>
    </row>
    <row r="179" spans="3:70">
      <c r="AS179" s="318" t="s">
        <v>644</v>
      </c>
      <c r="AT179" s="318" t="s">
        <v>651</v>
      </c>
      <c r="AU179" s="318" t="s">
        <v>654</v>
      </c>
      <c r="AX179" s="318">
        <f>SUM(AX174:AX178)</f>
        <v>6.0699999999999994</v>
      </c>
    </row>
    <row r="180" spans="3:70">
      <c r="AS180" s="678" t="s">
        <v>652</v>
      </c>
      <c r="AT180" s="318">
        <v>44</v>
      </c>
      <c r="AU180" s="318">
        <v>6</v>
      </c>
    </row>
    <row r="181" spans="3:70">
      <c r="AS181" s="318" t="s">
        <v>660</v>
      </c>
      <c r="AU181" s="318">
        <v>2</v>
      </c>
    </row>
    <row r="184" spans="3:70">
      <c r="AT184" s="318" t="s">
        <v>699</v>
      </c>
      <c r="AU184" s="801" t="s">
        <v>5</v>
      </c>
      <c r="AV184" s="801" t="s">
        <v>6</v>
      </c>
      <c r="AW184" s="801" t="s">
        <v>1104</v>
      </c>
    </row>
    <row r="185" spans="3:70">
      <c r="AS185" s="318" t="s">
        <v>655</v>
      </c>
      <c r="AT185" s="487">
        <v>222.89699999999999</v>
      </c>
      <c r="AU185" s="1272">
        <v>8.25</v>
      </c>
      <c r="AV185" s="1272">
        <v>134.38</v>
      </c>
      <c r="AW185" s="821">
        <f>BF203</f>
        <v>0</v>
      </c>
    </row>
    <row r="186" spans="3:70">
      <c r="C186" s="318">
        <f>67-36-5.65</f>
        <v>25.35</v>
      </c>
      <c r="AU186" s="821"/>
      <c r="AV186" s="487"/>
      <c r="AW186" s="487"/>
    </row>
    <row r="188" spans="3:70">
      <c r="R188" s="318">
        <v>1</v>
      </c>
    </row>
    <row r="189" spans="3:70">
      <c r="R189" s="318">
        <v>0.5</v>
      </c>
      <c r="AE189" s="318">
        <v>1.1000000000000001</v>
      </c>
      <c r="AT189" s="821"/>
    </row>
    <row r="190" spans="3:70">
      <c r="C190" s="318">
        <v>0.4</v>
      </c>
      <c r="E190" s="318">
        <v>2.21</v>
      </c>
      <c r="P190" s="318">
        <f>526/2</f>
        <v>263</v>
      </c>
      <c r="R190" s="318">
        <v>1.67</v>
      </c>
    </row>
    <row r="191" spans="3:70">
      <c r="C191" s="318">
        <v>1.34</v>
      </c>
      <c r="E191" s="318">
        <v>5.12</v>
      </c>
      <c r="R191" s="318">
        <v>1.68</v>
      </c>
      <c r="AS191" s="801" t="s">
        <v>645</v>
      </c>
      <c r="AT191" s="801" t="s">
        <v>699</v>
      </c>
      <c r="AU191" s="801" t="s">
        <v>5</v>
      </c>
      <c r="AV191" s="801" t="s">
        <v>6</v>
      </c>
      <c r="AW191" s="801" t="s">
        <v>1055</v>
      </c>
    </row>
    <row r="192" spans="3:70" ht="17.25" thickBot="1">
      <c r="C192" s="318">
        <v>0.5</v>
      </c>
      <c r="E192" s="318">
        <v>3.92</v>
      </c>
      <c r="R192" s="318">
        <f>SUM(R188:R191)</f>
        <v>4.8499999999999996</v>
      </c>
      <c r="AS192" s="693" t="s">
        <v>873</v>
      </c>
      <c r="AT192" s="821">
        <v>40</v>
      </c>
      <c r="AU192" s="318">
        <v>2</v>
      </c>
      <c r="AV192" s="318">
        <v>4</v>
      </c>
      <c r="AW192" s="318">
        <f>BF202</f>
        <v>0</v>
      </c>
    </row>
    <row r="193" spans="3:75" ht="24" thickBot="1">
      <c r="C193" s="318">
        <v>2.27</v>
      </c>
      <c r="E193" s="318">
        <v>4</v>
      </c>
      <c r="AS193" s="801" t="s">
        <v>872</v>
      </c>
      <c r="BB193" s="1263" t="s">
        <v>922</v>
      </c>
      <c r="BC193" s="7126"/>
      <c r="BD193" s="7315" t="s">
        <v>40</v>
      </c>
      <c r="BE193" s="7129" t="s">
        <v>254</v>
      </c>
      <c r="BF193" s="7129" t="s">
        <v>255</v>
      </c>
      <c r="BG193" s="7129" t="s">
        <v>1372</v>
      </c>
      <c r="BH193" s="7129" t="s">
        <v>1051</v>
      </c>
      <c r="BI193" s="7129" t="s">
        <v>1008</v>
      </c>
      <c r="BJ193" s="7129" t="s">
        <v>1883</v>
      </c>
      <c r="BK193" s="7129" t="s">
        <v>18</v>
      </c>
      <c r="BL193" s="7129" t="s">
        <v>5</v>
      </c>
      <c r="BM193" s="7129" t="s">
        <v>6</v>
      </c>
      <c r="BN193" s="7129" t="s">
        <v>904</v>
      </c>
      <c r="BO193" s="7129" t="s">
        <v>8</v>
      </c>
      <c r="BP193" s="7129" t="s">
        <v>9</v>
      </c>
      <c r="BQ193" s="7129" t="s">
        <v>10</v>
      </c>
      <c r="BR193" s="7129" t="s">
        <v>11</v>
      </c>
      <c r="BS193" s="7129" t="s">
        <v>12</v>
      </c>
      <c r="BT193" s="7129" t="s">
        <v>13</v>
      </c>
      <c r="BU193" s="7129" t="s">
        <v>14</v>
      </c>
      <c r="BV193" s="7129" t="s">
        <v>15</v>
      </c>
      <c r="BW193" s="7130" t="s">
        <v>1373</v>
      </c>
    </row>
    <row r="194" spans="3:75" ht="24" thickBot="1">
      <c r="C194" s="318">
        <f>SUM(C190:C193)</f>
        <v>4.51</v>
      </c>
      <c r="E194" s="318">
        <f>SUM(E190:E193)</f>
        <v>15.25</v>
      </c>
      <c r="F194" s="318">
        <f>SUM(F190:F193)</f>
        <v>0</v>
      </c>
      <c r="BB194" s="1264" t="s">
        <v>923</v>
      </c>
      <c r="BC194" s="7127"/>
      <c r="BD194" s="7119" t="s">
        <v>879</v>
      </c>
      <c r="BE194" s="6737">
        <v>51.24</v>
      </c>
      <c r="BF194" s="6737">
        <v>54.062042613628726</v>
      </c>
      <c r="BG194" s="6737">
        <v>58.04</v>
      </c>
      <c r="BH194" s="6737">
        <v>60.206775876441782</v>
      </c>
      <c r="BI194" s="6737">
        <v>58.694362011852697</v>
      </c>
      <c r="BJ194" s="7120">
        <v>60.293596370134942</v>
      </c>
      <c r="BK194" s="6737">
        <v>0</v>
      </c>
      <c r="BL194" s="6737">
        <v>0</v>
      </c>
      <c r="BM194" s="6737">
        <v>59.686486096584552</v>
      </c>
      <c r="BN194" s="7128"/>
      <c r="BO194" s="7128"/>
      <c r="BP194" s="7128"/>
      <c r="BQ194" s="7120"/>
      <c r="BR194" s="7128"/>
      <c r="BS194" s="7128"/>
      <c r="BT194" s="7128"/>
      <c r="BU194" s="7128"/>
      <c r="BV194" s="7128"/>
      <c r="BW194" s="7131"/>
    </row>
    <row r="195" spans="3:75">
      <c r="AV195" s="318">
        <v>4</v>
      </c>
      <c r="BD195" s="7119" t="s">
        <v>880</v>
      </c>
      <c r="BE195" s="6737">
        <v>46.19</v>
      </c>
      <c r="BF195" s="6737">
        <v>45.65</v>
      </c>
      <c r="BG195" s="6737">
        <v>44.71</v>
      </c>
      <c r="BH195" s="6737">
        <v>46.04272455659865</v>
      </c>
      <c r="BI195" s="6737">
        <v>46.906486455981941</v>
      </c>
      <c r="BJ195" s="7120">
        <v>49.260056236092275</v>
      </c>
      <c r="BK195" s="6737">
        <v>0</v>
      </c>
      <c r="BL195" s="6737">
        <v>0</v>
      </c>
      <c r="BM195" s="6737">
        <v>48.552899738448126</v>
      </c>
      <c r="BN195" s="7128"/>
      <c r="BO195" s="7128"/>
      <c r="BP195" s="7128"/>
      <c r="BQ195" s="7120"/>
      <c r="BR195" s="7128"/>
      <c r="BS195" s="7128"/>
      <c r="BT195" s="7128"/>
      <c r="BU195" s="7128"/>
      <c r="BV195" s="7128"/>
      <c r="BW195" s="7131"/>
    </row>
    <row r="196" spans="3:75">
      <c r="AV196" s="318">
        <v>2</v>
      </c>
      <c r="BD196" s="7119" t="s">
        <v>881</v>
      </c>
      <c r="BE196" s="6737">
        <v>40.952245905022799</v>
      </c>
      <c r="BF196" s="6737">
        <v>39.301413955784739</v>
      </c>
      <c r="BG196" s="6737">
        <v>39.29</v>
      </c>
      <c r="BH196" s="6737">
        <v>39.056847287531163</v>
      </c>
      <c r="BI196" s="6737">
        <v>39.078220717254119</v>
      </c>
      <c r="BJ196" s="7120">
        <v>39.517993080100446</v>
      </c>
      <c r="BK196" s="6737">
        <v>0</v>
      </c>
      <c r="BL196" s="6737">
        <v>0</v>
      </c>
      <c r="BM196" s="6737">
        <v>37.159860185335717</v>
      </c>
      <c r="BN196" s="7128"/>
      <c r="BO196" s="7128"/>
      <c r="BP196" s="7128"/>
      <c r="BQ196" s="7120"/>
      <c r="BR196" s="7128"/>
      <c r="BS196" s="7128"/>
      <c r="BT196" s="7128"/>
      <c r="BU196" s="7128"/>
      <c r="BV196" s="7128"/>
      <c r="BW196" s="7131"/>
    </row>
    <row r="197" spans="3:75">
      <c r="BD197" s="7119" t="s">
        <v>882</v>
      </c>
      <c r="BE197" s="6737">
        <v>21.43</v>
      </c>
      <c r="BF197" s="6737">
        <v>20.03</v>
      </c>
      <c r="BG197" s="6737">
        <v>22.3</v>
      </c>
      <c r="BH197" s="6737">
        <v>23.635136290988044</v>
      </c>
      <c r="BI197" s="6737">
        <v>23.126629659404287</v>
      </c>
      <c r="BJ197" s="7120">
        <v>22.529190340300048</v>
      </c>
      <c r="BK197" s="6737">
        <v>21.081832087015638</v>
      </c>
      <c r="BL197" s="6737">
        <v>21.265148550080056</v>
      </c>
      <c r="BM197" s="6737">
        <v>21.541975478716076</v>
      </c>
      <c r="BN197" s="7128"/>
      <c r="BO197" s="7128"/>
      <c r="BP197" s="7128"/>
      <c r="BQ197" s="7120"/>
      <c r="BR197" s="7128"/>
      <c r="BS197" s="7128"/>
      <c r="BT197" s="7128"/>
      <c r="BU197" s="7128"/>
      <c r="BV197" s="7128"/>
      <c r="BW197" s="7131"/>
    </row>
    <row r="198" spans="3:75">
      <c r="BD198" s="7119" t="s">
        <v>883</v>
      </c>
      <c r="BE198" s="6737">
        <v>11.56</v>
      </c>
      <c r="BF198" s="6737">
        <v>11.59</v>
      </c>
      <c r="BG198" s="6737">
        <v>9.3511203248380532</v>
      </c>
      <c r="BH198" s="6737">
        <v>9.9899535671630861</v>
      </c>
      <c r="BI198" s="6737">
        <v>9.3511203248380532</v>
      </c>
      <c r="BJ198" s="7120">
        <v>9.5212979035692769</v>
      </c>
      <c r="BK198" s="6737">
        <v>9.2332969466363082</v>
      </c>
      <c r="BL198" s="6737">
        <v>9.9368709346114343</v>
      </c>
      <c r="BM198" s="6737">
        <v>10.335309367438645</v>
      </c>
      <c r="BN198" s="7128"/>
      <c r="BO198" s="7128"/>
      <c r="BP198" s="7128"/>
      <c r="BQ198" s="7120"/>
      <c r="BR198" s="7128"/>
      <c r="BS198" s="7128"/>
      <c r="BT198" s="7128"/>
      <c r="BU198" s="7128"/>
      <c r="BV198" s="7128"/>
      <c r="BW198" s="7131"/>
    </row>
    <row r="199" spans="3:75">
      <c r="BD199" s="7119" t="s">
        <v>884</v>
      </c>
      <c r="BE199" s="6737">
        <v>34.274449181004563</v>
      </c>
      <c r="BF199" s="6737">
        <v>34.126691313882688</v>
      </c>
      <c r="BG199" s="6737">
        <v>34.738224064967611</v>
      </c>
      <c r="BH199" s="6737">
        <v>35.786287515744547</v>
      </c>
      <c r="BI199" s="6737">
        <v>35.431363833866229</v>
      </c>
      <c r="BJ199" s="7120">
        <v>36.224426786039395</v>
      </c>
      <c r="BK199" s="7120">
        <f>(BK197+BK198)/2</f>
        <v>15.157564516825973</v>
      </c>
      <c r="BL199" s="7120">
        <f>(BL197+BL198)/2</f>
        <v>15.601009742345745</v>
      </c>
      <c r="BM199" s="7120">
        <f>(BM194+BM195+BM196+BM197+BM198)/5</f>
        <v>35.455306173304621</v>
      </c>
      <c r="BN199" s="7128"/>
      <c r="BO199" s="7128"/>
      <c r="BP199" s="7128"/>
      <c r="BQ199" s="7120"/>
      <c r="BR199" s="7128"/>
      <c r="BS199" s="7128"/>
      <c r="BT199" s="7128"/>
      <c r="BU199" s="7128"/>
      <c r="BV199" s="7128"/>
      <c r="BW199" s="7131"/>
    </row>
    <row r="200" spans="3:75" ht="17.25" thickBot="1">
      <c r="AO200" s="801"/>
      <c r="AP200" s="801"/>
      <c r="AQ200" s="801"/>
      <c r="BD200" s="7132"/>
      <c r="BE200" s="7124"/>
      <c r="BF200" s="7124"/>
      <c r="BG200" s="7124"/>
      <c r="BH200" s="7124"/>
      <c r="BI200" s="7124"/>
      <c r="BJ200" s="6066"/>
      <c r="BK200" s="7124"/>
      <c r="BL200" s="7124"/>
      <c r="BM200" s="7124"/>
      <c r="BN200" s="7124"/>
      <c r="BO200" s="7124"/>
      <c r="BP200" s="7124"/>
      <c r="BQ200" s="7124"/>
      <c r="BR200" s="7124"/>
      <c r="BS200" s="7124"/>
      <c r="BT200" s="7124"/>
      <c r="BU200" s="7124"/>
      <c r="BV200" s="7124"/>
      <c r="BW200" s="7133"/>
    </row>
    <row r="201" spans="3:75">
      <c r="AN201" s="318" t="s">
        <v>1153</v>
      </c>
      <c r="AO201" s="764"/>
      <c r="AP201" s="2025" t="s">
        <v>1209</v>
      </c>
      <c r="AQ201" s="2025" t="s">
        <v>1210</v>
      </c>
      <c r="AR201" s="2025" t="s">
        <v>1211</v>
      </c>
      <c r="AS201" s="2534" t="s">
        <v>1305</v>
      </c>
      <c r="AT201" s="6700" t="s">
        <v>1883</v>
      </c>
      <c r="AU201" s="6066" t="s">
        <v>2138</v>
      </c>
      <c r="AV201" s="6066" t="s">
        <v>5</v>
      </c>
      <c r="AW201" s="6066" t="s">
        <v>6</v>
      </c>
      <c r="AX201" s="6066" t="s">
        <v>7</v>
      </c>
      <c r="AY201" s="6066" t="s">
        <v>8</v>
      </c>
      <c r="AZ201" s="6066" t="s">
        <v>9</v>
      </c>
      <c r="BA201" s="6066" t="s">
        <v>10</v>
      </c>
      <c r="BB201" s="6066" t="s">
        <v>11</v>
      </c>
      <c r="BC201" s="6066" t="s">
        <v>12</v>
      </c>
      <c r="BD201" s="7125" t="s">
        <v>13</v>
      </c>
      <c r="BE201" s="7125" t="s">
        <v>14</v>
      </c>
      <c r="BF201" s="7125" t="s">
        <v>15</v>
      </c>
      <c r="BG201" s="1907" t="s">
        <v>2139</v>
      </c>
      <c r="BH201" s="801" t="s">
        <v>2140</v>
      </c>
      <c r="BI201" s="801" t="s">
        <v>2141</v>
      </c>
      <c r="BJ201" s="801" t="s">
        <v>2142</v>
      </c>
      <c r="BK201" s="318" t="s">
        <v>2220</v>
      </c>
    </row>
    <row r="202" spans="3:75">
      <c r="AO202" s="764" t="s">
        <v>780</v>
      </c>
      <c r="AP202" s="2025">
        <v>57</v>
      </c>
      <c r="AQ202" s="2025">
        <v>35</v>
      </c>
      <c r="AR202" s="2025">
        <v>30</v>
      </c>
      <c r="AS202" s="2534">
        <v>53</v>
      </c>
      <c r="AT202" s="6700">
        <v>24</v>
      </c>
      <c r="AU202" s="6066">
        <f t="shared" ref="AU202:BF202" si="47">AT217</f>
        <v>0</v>
      </c>
      <c r="AV202" s="6066">
        <f t="shared" si="47"/>
        <v>1</v>
      </c>
      <c r="AW202" s="6066">
        <f t="shared" si="47"/>
        <v>1</v>
      </c>
      <c r="AX202" s="6066">
        <f t="shared" si="47"/>
        <v>0</v>
      </c>
      <c r="AY202" s="6066">
        <f t="shared" si="47"/>
        <v>0</v>
      </c>
      <c r="AZ202" s="6066">
        <f t="shared" si="47"/>
        <v>0</v>
      </c>
      <c r="BA202" s="6066">
        <f t="shared" si="47"/>
        <v>0</v>
      </c>
      <c r="BB202" s="6066">
        <f t="shared" si="47"/>
        <v>0</v>
      </c>
      <c r="BC202" s="6066">
        <f t="shared" si="47"/>
        <v>0</v>
      </c>
      <c r="BD202" s="6066">
        <f t="shared" si="47"/>
        <v>0</v>
      </c>
      <c r="BE202" s="6066">
        <f t="shared" si="47"/>
        <v>0</v>
      </c>
      <c r="BF202" s="6066">
        <f t="shared" si="47"/>
        <v>0</v>
      </c>
      <c r="BG202" s="6700">
        <f>SUM(AU202:BF202)</f>
        <v>2</v>
      </c>
      <c r="BH202" s="6700">
        <v>30</v>
      </c>
      <c r="BI202" s="801">
        <v>53</v>
      </c>
      <c r="BJ202" s="318">
        <f>AS202*0.9</f>
        <v>47.7</v>
      </c>
      <c r="BK202" s="318">
        <f>AT202*0.9</f>
        <v>21.6</v>
      </c>
    </row>
    <row r="203" spans="3:75">
      <c r="AO203" s="764" t="s">
        <v>781</v>
      </c>
      <c r="AP203" s="2025">
        <v>967</v>
      </c>
      <c r="AQ203" s="2025">
        <v>242</v>
      </c>
      <c r="AR203" s="2152">
        <v>222.89699999999999</v>
      </c>
      <c r="AS203" s="2533">
        <v>605.98</v>
      </c>
      <c r="AT203" s="6701">
        <v>183.21099999999998</v>
      </c>
      <c r="AU203" s="6066">
        <f>AT232</f>
        <v>0</v>
      </c>
      <c r="AV203" s="6066">
        <f t="shared" ref="AV203:BF203" si="48">AU232</f>
        <v>1.66</v>
      </c>
      <c r="AW203" s="6066">
        <f t="shared" si="48"/>
        <v>71.199999999999989</v>
      </c>
      <c r="AX203" s="6066">
        <f t="shared" si="48"/>
        <v>0</v>
      </c>
      <c r="AY203" s="6066">
        <f t="shared" si="48"/>
        <v>0</v>
      </c>
      <c r="AZ203" s="6066">
        <f t="shared" si="48"/>
        <v>0</v>
      </c>
      <c r="BA203" s="6066">
        <f t="shared" si="48"/>
        <v>0</v>
      </c>
      <c r="BB203" s="6066">
        <f t="shared" si="48"/>
        <v>0</v>
      </c>
      <c r="BC203" s="6066">
        <f t="shared" si="48"/>
        <v>0</v>
      </c>
      <c r="BD203" s="6066">
        <f t="shared" si="48"/>
        <v>0</v>
      </c>
      <c r="BE203" s="6066">
        <f t="shared" si="48"/>
        <v>0</v>
      </c>
      <c r="BF203" s="6066">
        <f t="shared" si="48"/>
        <v>0</v>
      </c>
      <c r="BG203" s="6700">
        <f>SUM(AU203:BF203)</f>
        <v>72.859999999999985</v>
      </c>
      <c r="BH203" s="6700">
        <v>222.9</v>
      </c>
      <c r="BI203" s="801">
        <v>605.98</v>
      </c>
      <c r="BJ203" s="318">
        <f>AS203*0.9</f>
        <v>545.38200000000006</v>
      </c>
      <c r="BK203" s="318">
        <f>AT203*0.9</f>
        <v>164.88989999999998</v>
      </c>
    </row>
    <row r="204" spans="3:75">
      <c r="AO204" s="765" t="s">
        <v>921</v>
      </c>
      <c r="AU204" s="765">
        <f>AU203</f>
        <v>0</v>
      </c>
      <c r="AV204" s="765">
        <f>AU204+AV203</f>
        <v>1.66</v>
      </c>
      <c r="AW204" s="765">
        <f t="shared" ref="AW204:BF204" si="49">AV204+AW203</f>
        <v>72.859999999999985</v>
      </c>
      <c r="AX204" s="765">
        <f t="shared" si="49"/>
        <v>72.859999999999985</v>
      </c>
      <c r="AY204" s="765">
        <f t="shared" si="49"/>
        <v>72.859999999999985</v>
      </c>
      <c r="AZ204" s="765">
        <f t="shared" si="49"/>
        <v>72.859999999999985</v>
      </c>
      <c r="BA204" s="765">
        <f t="shared" si="49"/>
        <v>72.859999999999985</v>
      </c>
      <c r="BB204" s="765">
        <f t="shared" si="49"/>
        <v>72.859999999999985</v>
      </c>
      <c r="BC204" s="765">
        <f t="shared" si="49"/>
        <v>72.859999999999985</v>
      </c>
      <c r="BD204" s="765">
        <f t="shared" si="49"/>
        <v>72.859999999999985</v>
      </c>
      <c r="BE204" s="765">
        <f t="shared" si="49"/>
        <v>72.859999999999985</v>
      </c>
      <c r="BF204" s="765">
        <f t="shared" si="49"/>
        <v>72.859999999999985</v>
      </c>
      <c r="BG204" s="6700" t="s">
        <v>194</v>
      </c>
      <c r="BI204" s="801" t="s">
        <v>963</v>
      </c>
    </row>
    <row r="205" spans="3:75">
      <c r="AN205" s="318" t="s">
        <v>1152</v>
      </c>
      <c r="AO205" s="2058" t="s">
        <v>780</v>
      </c>
      <c r="AP205" s="2534">
        <v>57</v>
      </c>
      <c r="AQ205" s="2534">
        <v>35</v>
      </c>
      <c r="AR205" s="2534">
        <v>30</v>
      </c>
      <c r="AS205" s="2534">
        <v>61</v>
      </c>
      <c r="AT205" s="6700">
        <v>24</v>
      </c>
      <c r="AU205" s="6066"/>
      <c r="AV205" s="6066"/>
      <c r="AW205" s="6066"/>
      <c r="AX205" s="6066"/>
      <c r="AY205" s="6066"/>
      <c r="AZ205" s="6066"/>
      <c r="BA205" s="6066"/>
      <c r="BB205" s="6066"/>
      <c r="BC205" s="6066"/>
      <c r="BD205" s="6066"/>
      <c r="BE205" s="6066"/>
      <c r="BF205" s="6066"/>
      <c r="BG205" s="6700">
        <f>SUM(AU205:BF205)</f>
        <v>0</v>
      </c>
      <c r="BH205" s="6066"/>
      <c r="BI205" s="801">
        <v>55</v>
      </c>
    </row>
    <row r="206" spans="3:75">
      <c r="AO206" s="2058" t="s">
        <v>680</v>
      </c>
      <c r="AP206" s="2534">
        <v>967</v>
      </c>
      <c r="AQ206" s="2534">
        <v>242</v>
      </c>
      <c r="AR206" s="2534">
        <v>222.89699999999999</v>
      </c>
      <c r="AS206" s="2534">
        <v>605.98</v>
      </c>
      <c r="AT206" s="6700">
        <v>183.21099999999998</v>
      </c>
      <c r="AU206" s="6066"/>
      <c r="AV206" s="6066"/>
      <c r="AW206" s="6066"/>
      <c r="AX206" s="6066"/>
      <c r="AY206" s="6066"/>
      <c r="AZ206" s="6066"/>
      <c r="BA206" s="6066"/>
      <c r="BB206" s="6066"/>
      <c r="BC206" s="6066"/>
      <c r="BD206" s="6066"/>
      <c r="BE206" s="6066"/>
      <c r="BF206" s="6066"/>
      <c r="BG206" s="6700">
        <f>SUM(AU206:BF206)</f>
        <v>0</v>
      </c>
      <c r="BH206" s="6066"/>
      <c r="BI206" s="801">
        <v>457.84000000000003</v>
      </c>
    </row>
    <row r="207" spans="3:75">
      <c r="AO207" s="318" t="s">
        <v>1569</v>
      </c>
      <c r="AP207" s="2025" t="s">
        <v>544</v>
      </c>
      <c r="AQ207" s="2025" t="s">
        <v>524</v>
      </c>
      <c r="AR207" s="2025" t="s">
        <v>701</v>
      </c>
      <c r="AS207" s="2534" t="s">
        <v>978</v>
      </c>
      <c r="AT207" s="6700" t="s">
        <v>1883</v>
      </c>
    </row>
    <row r="208" spans="3:75">
      <c r="AO208" s="764" t="s">
        <v>780</v>
      </c>
      <c r="AP208" s="3832">
        <f>AP202/12</f>
        <v>4.75</v>
      </c>
      <c r="AQ208" s="3832">
        <f t="shared" ref="AQ208:AS209" si="50">AQ202/12</f>
        <v>2.9166666666666665</v>
      </c>
      <c r="AR208" s="3832">
        <f t="shared" si="50"/>
        <v>2.5</v>
      </c>
      <c r="AS208" s="3832">
        <f t="shared" si="50"/>
        <v>4.416666666666667</v>
      </c>
      <c r="AT208" s="3832">
        <f>AT202/12</f>
        <v>2</v>
      </c>
    </row>
    <row r="209" spans="32:79">
      <c r="AO209" s="764" t="s">
        <v>680</v>
      </c>
      <c r="AP209" s="3833">
        <f>AP203/12</f>
        <v>80.583333333333329</v>
      </c>
      <c r="AQ209" s="3833">
        <f t="shared" si="50"/>
        <v>20.166666666666668</v>
      </c>
      <c r="AR209" s="3833">
        <f t="shared" si="50"/>
        <v>18.574749999999998</v>
      </c>
      <c r="AS209" s="3833">
        <f t="shared" si="50"/>
        <v>50.498333333333335</v>
      </c>
      <c r="AT209" s="3833">
        <f>AT203/12</f>
        <v>15.267583333333333</v>
      </c>
    </row>
    <row r="210" spans="32:79">
      <c r="AS210" s="3878" t="s">
        <v>1570</v>
      </c>
      <c r="BK210" s="3877" t="s">
        <v>2143</v>
      </c>
    </row>
    <row r="211" spans="32:79">
      <c r="AO211" s="318" t="s">
        <v>1209</v>
      </c>
      <c r="AP211" s="318" t="s">
        <v>1210</v>
      </c>
      <c r="AQ211" s="318" t="s">
        <v>1211</v>
      </c>
      <c r="AS211" s="1916" t="s">
        <v>783</v>
      </c>
      <c r="AT211" s="802" t="s">
        <v>782</v>
      </c>
      <c r="AU211" s="802" t="s">
        <v>5</v>
      </c>
      <c r="AV211" s="802" t="s">
        <v>6</v>
      </c>
      <c r="AW211" s="802" t="s">
        <v>7</v>
      </c>
      <c r="AX211" s="802" t="s">
        <v>8</v>
      </c>
      <c r="AY211" s="802" t="s">
        <v>9</v>
      </c>
      <c r="AZ211" s="802" t="s">
        <v>10</v>
      </c>
      <c r="BA211" s="802" t="s">
        <v>11</v>
      </c>
      <c r="BB211" s="802" t="s">
        <v>12</v>
      </c>
      <c r="BC211" s="802" t="s">
        <v>13</v>
      </c>
      <c r="BD211" s="802" t="s">
        <v>14</v>
      </c>
      <c r="BE211" s="802" t="s">
        <v>15</v>
      </c>
      <c r="BF211" s="1221" t="s">
        <v>870</v>
      </c>
      <c r="BG211" s="801" t="s">
        <v>1051</v>
      </c>
      <c r="BH211" s="801" t="s">
        <v>1369</v>
      </c>
      <c r="BI211" s="801" t="s">
        <v>1368</v>
      </c>
      <c r="BK211" s="6702" t="s">
        <v>780</v>
      </c>
      <c r="BL211" s="6700" t="s">
        <v>38</v>
      </c>
      <c r="BM211" s="6700" t="s">
        <v>5</v>
      </c>
      <c r="BN211" s="6700" t="s">
        <v>6</v>
      </c>
      <c r="BO211" s="6700" t="s">
        <v>7</v>
      </c>
      <c r="BP211" s="6700" t="s">
        <v>8</v>
      </c>
      <c r="BQ211" s="6700" t="s">
        <v>9</v>
      </c>
      <c r="BR211" s="6700" t="s">
        <v>10</v>
      </c>
      <c r="BS211" s="6700" t="s">
        <v>11</v>
      </c>
      <c r="BT211" s="6700" t="s">
        <v>12</v>
      </c>
      <c r="BU211" s="6700" t="s">
        <v>13</v>
      </c>
      <c r="BV211" s="6700" t="s">
        <v>14</v>
      </c>
      <c r="BW211" s="6700" t="s">
        <v>15</v>
      </c>
      <c r="BX211" s="6703" t="s">
        <v>194</v>
      </c>
      <c r="BY211" s="4557" t="s">
        <v>2146</v>
      </c>
      <c r="BZ211" s="6700" t="s">
        <v>2147</v>
      </c>
      <c r="CA211" s="6700" t="s">
        <v>2148</v>
      </c>
    </row>
    <row r="212" spans="32:79">
      <c r="AS212" s="802" t="s">
        <v>522</v>
      </c>
      <c r="AT212" s="802">
        <v>0</v>
      </c>
      <c r="AU212" s="802">
        <v>0</v>
      </c>
      <c r="AV212" s="802">
        <v>0</v>
      </c>
      <c r="AW212" s="802">
        <v>0</v>
      </c>
      <c r="AX212" s="802">
        <v>0</v>
      </c>
      <c r="AY212" s="802">
        <v>0</v>
      </c>
      <c r="AZ212" s="802">
        <v>0</v>
      </c>
      <c r="BA212" s="802">
        <v>0</v>
      </c>
      <c r="BB212" s="802">
        <v>0</v>
      </c>
      <c r="BC212" s="802">
        <v>0</v>
      </c>
      <c r="BD212" s="802">
        <v>0</v>
      </c>
      <c r="BE212" s="802"/>
      <c r="BF212" s="1222">
        <f>SUM(AT212:BE212)</f>
        <v>0</v>
      </c>
      <c r="BH212" s="801">
        <v>3</v>
      </c>
      <c r="BI212" s="318">
        <v>1</v>
      </c>
      <c r="BK212" s="6700" t="s">
        <v>39</v>
      </c>
      <c r="BL212" s="6701">
        <v>0</v>
      </c>
      <c r="BM212" s="6701">
        <v>0</v>
      </c>
      <c r="BN212" s="6701">
        <v>0</v>
      </c>
      <c r="BO212" s="6701">
        <v>0</v>
      </c>
      <c r="BP212" s="6701">
        <v>0</v>
      </c>
      <c r="BQ212" s="6701">
        <v>0</v>
      </c>
      <c r="BR212" s="6701">
        <v>0</v>
      </c>
      <c r="BS212" s="6701">
        <v>0</v>
      </c>
      <c r="BT212" s="6701">
        <v>0</v>
      </c>
      <c r="BU212" s="6701">
        <v>0</v>
      </c>
      <c r="BV212" s="6701">
        <v>0</v>
      </c>
      <c r="BW212" s="6701">
        <v>0</v>
      </c>
      <c r="BX212" s="6704">
        <f>SUM(BL212:BW212)</f>
        <v>0</v>
      </c>
      <c r="BY212" s="4557">
        <v>2402000</v>
      </c>
      <c r="BZ212" s="6700"/>
      <c r="CA212" s="6700"/>
    </row>
    <row r="213" spans="32:79">
      <c r="AS213" s="802" t="s">
        <v>558</v>
      </c>
      <c r="AT213" s="802">
        <v>0</v>
      </c>
      <c r="AU213" s="802">
        <v>0</v>
      </c>
      <c r="AV213" s="802">
        <v>0</v>
      </c>
      <c r="AW213" s="802">
        <v>0</v>
      </c>
      <c r="AX213" s="802">
        <v>0</v>
      </c>
      <c r="AY213" s="802">
        <v>0</v>
      </c>
      <c r="AZ213" s="802">
        <v>0</v>
      </c>
      <c r="BA213" s="802">
        <v>0</v>
      </c>
      <c r="BB213" s="802">
        <v>0</v>
      </c>
      <c r="BC213" s="802">
        <v>0</v>
      </c>
      <c r="BD213" s="802">
        <v>0</v>
      </c>
      <c r="BE213" s="802"/>
      <c r="BF213" s="1222">
        <f>SUM(AT213:BE213)</f>
        <v>0</v>
      </c>
      <c r="BH213" s="801">
        <v>0</v>
      </c>
      <c r="BI213" s="318">
        <v>0</v>
      </c>
      <c r="BK213" s="6700" t="s">
        <v>42</v>
      </c>
      <c r="BL213" s="6701">
        <v>0</v>
      </c>
      <c r="BM213" s="6701">
        <v>0</v>
      </c>
      <c r="BN213" s="6701">
        <v>0</v>
      </c>
      <c r="BO213" s="6701">
        <v>0</v>
      </c>
      <c r="BP213" s="6701">
        <v>0</v>
      </c>
      <c r="BQ213" s="6701">
        <v>0</v>
      </c>
      <c r="BR213" s="6701">
        <v>0</v>
      </c>
      <c r="BS213" s="6701">
        <v>0</v>
      </c>
      <c r="BT213" s="6701">
        <v>0</v>
      </c>
      <c r="BU213" s="6701">
        <v>0</v>
      </c>
      <c r="BV213" s="6701">
        <v>0</v>
      </c>
      <c r="BW213" s="6701">
        <v>0</v>
      </c>
      <c r="BX213" s="6704">
        <f>SUM(BL213:BW213)</f>
        <v>0</v>
      </c>
      <c r="BY213" s="4557">
        <v>0</v>
      </c>
      <c r="BZ213" s="6700"/>
      <c r="CA213" s="6700"/>
    </row>
    <row r="214" spans="32:79">
      <c r="AS214" s="802" t="s">
        <v>925</v>
      </c>
      <c r="AT214" s="802">
        <v>0</v>
      </c>
      <c r="AU214" s="802">
        <v>0</v>
      </c>
      <c r="AV214" s="802">
        <v>0</v>
      </c>
      <c r="AW214" s="802">
        <v>0</v>
      </c>
      <c r="AX214" s="802">
        <v>0</v>
      </c>
      <c r="AY214" s="802">
        <v>0</v>
      </c>
      <c r="AZ214" s="802">
        <v>0</v>
      </c>
      <c r="BA214" s="802">
        <v>0</v>
      </c>
      <c r="BB214" s="802">
        <v>0</v>
      </c>
      <c r="BC214" s="802">
        <v>0</v>
      </c>
      <c r="BD214" s="802">
        <v>0</v>
      </c>
      <c r="BE214" s="802"/>
      <c r="BF214" s="1222">
        <f>SUM(AT214:BE214)</f>
        <v>0</v>
      </c>
      <c r="BH214" s="801">
        <v>9</v>
      </c>
      <c r="BI214" s="318">
        <v>6</v>
      </c>
      <c r="BK214" s="6700" t="s">
        <v>29</v>
      </c>
      <c r="BL214" s="6701">
        <v>0</v>
      </c>
      <c r="BM214" s="6701">
        <v>0</v>
      </c>
      <c r="BN214" s="6701">
        <v>0</v>
      </c>
      <c r="BO214" s="6701">
        <v>0</v>
      </c>
      <c r="BP214" s="6701">
        <v>0</v>
      </c>
      <c r="BQ214" s="6701">
        <v>0</v>
      </c>
      <c r="BR214" s="6701">
        <v>0</v>
      </c>
      <c r="BS214" s="6701">
        <v>0</v>
      </c>
      <c r="BT214" s="6701">
        <v>0</v>
      </c>
      <c r="BU214" s="6701">
        <v>0</v>
      </c>
      <c r="BV214" s="6701">
        <v>0</v>
      </c>
      <c r="BW214" s="6701">
        <v>0</v>
      </c>
      <c r="BX214" s="6704">
        <f>SUM(BL214:BW214)</f>
        <v>0</v>
      </c>
      <c r="BY214" s="4557">
        <v>14111396</v>
      </c>
      <c r="BZ214" s="6700"/>
      <c r="CA214" s="6700"/>
    </row>
    <row r="215" spans="32:79">
      <c r="AS215" s="802" t="s">
        <v>764</v>
      </c>
      <c r="AT215" s="802">
        <v>0</v>
      </c>
      <c r="AU215" s="802">
        <v>0</v>
      </c>
      <c r="AV215" s="802">
        <v>0</v>
      </c>
      <c r="AW215" s="802">
        <v>0</v>
      </c>
      <c r="AX215" s="802">
        <v>0</v>
      </c>
      <c r="AY215" s="802">
        <v>0</v>
      </c>
      <c r="AZ215" s="802">
        <v>0</v>
      </c>
      <c r="BA215" s="802">
        <v>0</v>
      </c>
      <c r="BB215" s="802">
        <v>0</v>
      </c>
      <c r="BC215" s="802">
        <v>0</v>
      </c>
      <c r="BD215" s="802">
        <v>0</v>
      </c>
      <c r="BE215" s="802"/>
      <c r="BF215" s="1222">
        <f>SUM(AT215:BE215)</f>
        <v>0</v>
      </c>
      <c r="BH215" s="801">
        <v>20</v>
      </c>
      <c r="BI215" s="318">
        <v>8</v>
      </c>
      <c r="BK215" s="6700" t="s">
        <v>764</v>
      </c>
      <c r="BL215" s="6701">
        <v>0</v>
      </c>
      <c r="BM215" s="6701">
        <v>0</v>
      </c>
      <c r="BN215" s="6701">
        <v>0</v>
      </c>
      <c r="BO215" s="6701">
        <v>0</v>
      </c>
      <c r="BP215" s="6701">
        <v>0</v>
      </c>
      <c r="BQ215" s="6701">
        <v>0</v>
      </c>
      <c r="BR215" s="6701">
        <v>0</v>
      </c>
      <c r="BS215" s="6701">
        <v>0</v>
      </c>
      <c r="BT215" s="6701">
        <v>0</v>
      </c>
      <c r="BU215" s="6701">
        <v>0</v>
      </c>
      <c r="BV215" s="6701">
        <v>0</v>
      </c>
      <c r="BW215" s="6701">
        <v>0</v>
      </c>
      <c r="BX215" s="6704">
        <f>SUM(BL215:BW215)</f>
        <v>0</v>
      </c>
      <c r="BY215" s="4557">
        <v>22259450</v>
      </c>
      <c r="BZ215" s="6700"/>
      <c r="CA215" s="6700"/>
    </row>
    <row r="216" spans="32:79">
      <c r="AS216" s="802" t="s">
        <v>1038</v>
      </c>
      <c r="AT216" s="802">
        <v>0</v>
      </c>
      <c r="AU216" s="802">
        <v>1</v>
      </c>
      <c r="AV216" s="802">
        <v>1</v>
      </c>
      <c r="AW216" s="802">
        <v>0</v>
      </c>
      <c r="AX216" s="802">
        <v>0</v>
      </c>
      <c r="AY216" s="802">
        <v>0</v>
      </c>
      <c r="AZ216" s="802">
        <v>0</v>
      </c>
      <c r="BA216" s="802">
        <v>0</v>
      </c>
      <c r="BB216" s="802">
        <v>0</v>
      </c>
      <c r="BC216" s="802">
        <v>0</v>
      </c>
      <c r="BD216" s="802">
        <v>0</v>
      </c>
      <c r="BE216" s="802"/>
      <c r="BF216" s="1222">
        <f>SUM(AT216:BE216)</f>
        <v>2</v>
      </c>
      <c r="BH216" s="801">
        <v>21</v>
      </c>
      <c r="BI216" s="318">
        <v>9</v>
      </c>
      <c r="BK216" s="6700" t="s">
        <v>823</v>
      </c>
      <c r="BL216" s="6701">
        <v>0</v>
      </c>
      <c r="BM216" s="6701">
        <v>0</v>
      </c>
      <c r="BN216" s="6701">
        <v>0</v>
      </c>
      <c r="BO216" s="6701">
        <v>0</v>
      </c>
      <c r="BP216" s="6701">
        <v>0</v>
      </c>
      <c r="BQ216" s="6701">
        <v>0</v>
      </c>
      <c r="BR216" s="6701">
        <v>0</v>
      </c>
      <c r="BS216" s="6701">
        <v>0</v>
      </c>
      <c r="BT216" s="6701">
        <v>0</v>
      </c>
      <c r="BU216" s="6701">
        <v>0</v>
      </c>
      <c r="BV216" s="6701">
        <v>0</v>
      </c>
      <c r="BW216" s="6701">
        <v>0</v>
      </c>
      <c r="BX216" s="6704">
        <f>SUM(BL216:BW216)</f>
        <v>0</v>
      </c>
      <c r="BY216" s="4557">
        <v>21521556</v>
      </c>
      <c r="BZ216" s="6700"/>
      <c r="CA216" s="6700"/>
    </row>
    <row r="217" spans="32:79">
      <c r="AS217" s="801" t="s">
        <v>1068</v>
      </c>
      <c r="AT217" s="801">
        <f>SUM(AT212:AT216)</f>
        <v>0</v>
      </c>
      <c r="AU217" s="801">
        <f t="shared" ref="AU217:BE217" si="51">SUM(AU212:AU216)</f>
        <v>1</v>
      </c>
      <c r="AV217" s="801">
        <f t="shared" si="51"/>
        <v>1</v>
      </c>
      <c r="AW217" s="801">
        <f t="shared" si="51"/>
        <v>0</v>
      </c>
      <c r="AX217" s="801">
        <f t="shared" si="51"/>
        <v>0</v>
      </c>
      <c r="AY217" s="801">
        <f t="shared" si="51"/>
        <v>0</v>
      </c>
      <c r="AZ217" s="801">
        <f t="shared" si="51"/>
        <v>0</v>
      </c>
      <c r="BA217" s="801">
        <f t="shared" si="51"/>
        <v>0</v>
      </c>
      <c r="BB217" s="801">
        <f t="shared" si="51"/>
        <v>0</v>
      </c>
      <c r="BC217" s="801">
        <f t="shared" si="51"/>
        <v>0</v>
      </c>
      <c r="BD217" s="801">
        <f t="shared" si="51"/>
        <v>0</v>
      </c>
      <c r="BE217" s="801">
        <f t="shared" si="51"/>
        <v>0</v>
      </c>
      <c r="BF217" s="1906">
        <f>SUM(BF212:BF216)</f>
        <v>2</v>
      </c>
      <c r="BG217" s="1906" t="s">
        <v>871</v>
      </c>
      <c r="BH217" s="801">
        <v>53</v>
      </c>
      <c r="BI217" s="318">
        <f>SUM(BI212:BI216)</f>
        <v>24</v>
      </c>
      <c r="BL217" s="6705">
        <f>SUM(BL212:BL216)</f>
        <v>0</v>
      </c>
      <c r="BM217" s="6705">
        <f t="shared" ref="BM217:BW217" si="52">SUM(BM212:BM216)</f>
        <v>0</v>
      </c>
      <c r="BN217" s="6705">
        <f t="shared" si="52"/>
        <v>0</v>
      </c>
      <c r="BO217" s="6705">
        <f t="shared" si="52"/>
        <v>0</v>
      </c>
      <c r="BP217" s="6705">
        <f t="shared" si="52"/>
        <v>0</v>
      </c>
      <c r="BQ217" s="6705">
        <f t="shared" si="52"/>
        <v>0</v>
      </c>
      <c r="BR217" s="6705">
        <f t="shared" si="52"/>
        <v>0</v>
      </c>
      <c r="BS217" s="6705">
        <f t="shared" si="52"/>
        <v>0</v>
      </c>
      <c r="BT217" s="6705">
        <f t="shared" si="52"/>
        <v>0</v>
      </c>
      <c r="BU217" s="6705">
        <f t="shared" si="52"/>
        <v>0</v>
      </c>
      <c r="BV217" s="6705">
        <f t="shared" si="52"/>
        <v>0</v>
      </c>
      <c r="BW217" s="6705">
        <f t="shared" si="52"/>
        <v>0</v>
      </c>
      <c r="BX217" s="6706">
        <f>SUM(BX212:BX216)</f>
        <v>0</v>
      </c>
      <c r="BY217" s="4557">
        <v>60294402</v>
      </c>
      <c r="BZ217" s="6066"/>
      <c r="CA217" s="6066"/>
    </row>
    <row r="218" spans="32:79">
      <c r="AF218" s="318">
        <v>1.63</v>
      </c>
      <c r="AS218" s="1823" t="s">
        <v>1041</v>
      </c>
      <c r="AT218" s="1823">
        <v>0</v>
      </c>
      <c r="AU218" s="1823">
        <v>0</v>
      </c>
      <c r="AV218" s="1823">
        <v>0</v>
      </c>
      <c r="AW218" s="1823">
        <v>0</v>
      </c>
      <c r="AX218" s="1823">
        <v>0</v>
      </c>
      <c r="AY218" s="1823">
        <v>0</v>
      </c>
      <c r="AZ218" s="1823">
        <v>0</v>
      </c>
      <c r="BA218" s="1823">
        <v>0</v>
      </c>
      <c r="BB218" s="1823">
        <v>0</v>
      </c>
      <c r="BC218" s="1823">
        <v>0</v>
      </c>
      <c r="BD218" s="1823">
        <v>0</v>
      </c>
      <c r="BE218" s="1823"/>
      <c r="BF218" s="1823">
        <f>SUM(AT218:BE218)</f>
        <v>0</v>
      </c>
      <c r="BG218" s="1904"/>
      <c r="BH218" s="801">
        <v>3</v>
      </c>
      <c r="BI218" s="318">
        <v>1</v>
      </c>
      <c r="BK218" s="3877" t="s">
        <v>2145</v>
      </c>
    </row>
    <row r="219" spans="32:79">
      <c r="AF219" s="318">
        <v>1.06</v>
      </c>
      <c r="AS219" s="1823" t="s">
        <v>1040</v>
      </c>
      <c r="AT219" s="1823">
        <v>0</v>
      </c>
      <c r="AU219" s="1823">
        <v>0</v>
      </c>
      <c r="AV219" s="1823">
        <v>0</v>
      </c>
      <c r="AW219" s="1823">
        <v>0</v>
      </c>
      <c r="AX219" s="1823">
        <v>0</v>
      </c>
      <c r="AY219" s="1823">
        <v>0</v>
      </c>
      <c r="AZ219" s="1823">
        <v>0</v>
      </c>
      <c r="BA219" s="1823">
        <v>0</v>
      </c>
      <c r="BB219" s="1823">
        <v>0</v>
      </c>
      <c r="BC219" s="1823">
        <v>0</v>
      </c>
      <c r="BD219" s="1823">
        <v>0</v>
      </c>
      <c r="BE219" s="1823"/>
      <c r="BF219" s="1823">
        <f t="shared" ref="BF219:BF224" si="53">SUM(AT219:BE219)</f>
        <v>0</v>
      </c>
      <c r="BG219" s="1904"/>
      <c r="BH219" s="801">
        <v>9</v>
      </c>
      <c r="BI219" s="318">
        <v>6</v>
      </c>
      <c r="BK219" s="6702" t="s">
        <v>780</v>
      </c>
      <c r="BL219" s="6700" t="s">
        <v>38</v>
      </c>
      <c r="BM219" s="6700" t="s">
        <v>5</v>
      </c>
      <c r="BN219" s="6700" t="s">
        <v>6</v>
      </c>
      <c r="BO219" s="6700" t="s">
        <v>7</v>
      </c>
      <c r="BP219" s="6700" t="s">
        <v>8</v>
      </c>
      <c r="BQ219" s="6700" t="s">
        <v>9</v>
      </c>
      <c r="BR219" s="6700" t="s">
        <v>10</v>
      </c>
      <c r="BS219" s="6700" t="s">
        <v>11</v>
      </c>
      <c r="BT219" s="6700" t="s">
        <v>12</v>
      </c>
      <c r="BU219" s="6700" t="s">
        <v>13</v>
      </c>
      <c r="BV219" s="6700" t="s">
        <v>14</v>
      </c>
      <c r="BW219" s="6700" t="s">
        <v>15</v>
      </c>
      <c r="BX219" s="6700" t="s">
        <v>194</v>
      </c>
      <c r="BY219" s="6701" t="s">
        <v>2144</v>
      </c>
      <c r="BZ219" s="6700" t="s">
        <v>2147</v>
      </c>
    </row>
    <row r="220" spans="32:79">
      <c r="AF220" s="318">
        <v>2.44</v>
      </c>
      <c r="AS220" s="1823" t="s">
        <v>1042</v>
      </c>
      <c r="AT220" s="1823">
        <v>0</v>
      </c>
      <c r="AU220" s="1823">
        <v>0</v>
      </c>
      <c r="AV220" s="1823">
        <v>0</v>
      </c>
      <c r="AW220" s="1823">
        <v>0</v>
      </c>
      <c r="AX220" s="1823">
        <v>0</v>
      </c>
      <c r="AY220" s="1823">
        <v>0</v>
      </c>
      <c r="AZ220" s="1823">
        <v>0</v>
      </c>
      <c r="BA220" s="1823">
        <v>0</v>
      </c>
      <c r="BB220" s="1823">
        <v>0</v>
      </c>
      <c r="BC220" s="1823">
        <v>0</v>
      </c>
      <c r="BD220" s="1823">
        <v>0</v>
      </c>
      <c r="BE220" s="1823"/>
      <c r="BF220" s="1823">
        <f t="shared" si="53"/>
        <v>0</v>
      </c>
      <c r="BG220" s="1904"/>
      <c r="BH220" s="801">
        <v>20</v>
      </c>
      <c r="BI220" s="318">
        <v>7</v>
      </c>
      <c r="BK220" s="6700" t="s">
        <v>39</v>
      </c>
      <c r="BL220" s="6700">
        <v>0</v>
      </c>
      <c r="BM220" s="6700">
        <v>0</v>
      </c>
      <c r="BN220" s="6700">
        <v>0</v>
      </c>
      <c r="BO220" s="6700">
        <v>0</v>
      </c>
      <c r="BP220" s="6700">
        <v>0</v>
      </c>
      <c r="BQ220" s="6700">
        <v>0</v>
      </c>
      <c r="BR220" s="6700">
        <v>0</v>
      </c>
      <c r="BS220" s="6700">
        <v>0</v>
      </c>
      <c r="BT220" s="6700">
        <v>0</v>
      </c>
      <c r="BU220" s="6700">
        <v>0</v>
      </c>
      <c r="BV220" s="6700">
        <v>0</v>
      </c>
      <c r="BW220" s="6700">
        <v>0</v>
      </c>
      <c r="BX220" s="6700">
        <f>SUM(BL220:BW220)</f>
        <v>0</v>
      </c>
      <c r="BY220" s="6701">
        <v>1</v>
      </c>
      <c r="BZ220" s="6700"/>
    </row>
    <row r="221" spans="32:79">
      <c r="AF221" s="318">
        <v>6.14</v>
      </c>
      <c r="AS221" s="1823" t="s">
        <v>1043</v>
      </c>
      <c r="AT221" s="1823">
        <v>0</v>
      </c>
      <c r="AU221" s="1823">
        <v>1</v>
      </c>
      <c r="AV221" s="1823">
        <v>0</v>
      </c>
      <c r="AW221" s="1823">
        <v>0</v>
      </c>
      <c r="AX221" s="1823">
        <v>0</v>
      </c>
      <c r="AY221" s="1823">
        <v>0</v>
      </c>
      <c r="AZ221" s="1823">
        <v>0</v>
      </c>
      <c r="BA221" s="1823">
        <v>0</v>
      </c>
      <c r="BB221" s="1823">
        <v>0</v>
      </c>
      <c r="BC221" s="1823">
        <v>0</v>
      </c>
      <c r="BD221" s="1823">
        <v>0</v>
      </c>
      <c r="BE221" s="1823"/>
      <c r="BF221" s="1823">
        <f t="shared" si="53"/>
        <v>1</v>
      </c>
      <c r="BG221" s="1904"/>
      <c r="BH221" s="801">
        <v>7</v>
      </c>
      <c r="BI221" s="318">
        <v>2</v>
      </c>
      <c r="BK221" s="6700" t="s">
        <v>42</v>
      </c>
      <c r="BL221" s="6700">
        <v>0</v>
      </c>
      <c r="BM221" s="6700">
        <v>0</v>
      </c>
      <c r="BN221" s="6700">
        <v>0</v>
      </c>
      <c r="BO221" s="6700">
        <v>0</v>
      </c>
      <c r="BP221" s="6700">
        <v>0</v>
      </c>
      <c r="BQ221" s="6700">
        <v>0</v>
      </c>
      <c r="BR221" s="6700">
        <v>0</v>
      </c>
      <c r="BS221" s="6700">
        <v>0</v>
      </c>
      <c r="BT221" s="6700">
        <v>0</v>
      </c>
      <c r="BU221" s="6700">
        <v>0</v>
      </c>
      <c r="BV221" s="6700">
        <v>0</v>
      </c>
      <c r="BW221" s="6700">
        <v>0</v>
      </c>
      <c r="BX221" s="6700">
        <f>SUM(BL221:BW221)</f>
        <v>0</v>
      </c>
      <c r="BY221" s="6701">
        <v>0</v>
      </c>
      <c r="BZ221" s="6700"/>
    </row>
    <row r="222" spans="32:79">
      <c r="AS222" s="1823" t="s">
        <v>1044</v>
      </c>
      <c r="AT222" s="1823">
        <v>0</v>
      </c>
      <c r="AU222" s="1823">
        <v>0</v>
      </c>
      <c r="AV222" s="1823">
        <v>0</v>
      </c>
      <c r="AW222" s="1823">
        <v>0</v>
      </c>
      <c r="AX222" s="1823">
        <v>0</v>
      </c>
      <c r="AY222" s="1823">
        <v>0</v>
      </c>
      <c r="AZ222" s="1823">
        <v>0</v>
      </c>
      <c r="BA222" s="1823">
        <v>0</v>
      </c>
      <c r="BB222" s="1823">
        <v>0</v>
      </c>
      <c r="BC222" s="1823">
        <v>0</v>
      </c>
      <c r="BD222" s="1823">
        <v>0</v>
      </c>
      <c r="BE222" s="1823"/>
      <c r="BF222" s="1823">
        <f t="shared" si="53"/>
        <v>0</v>
      </c>
      <c r="BG222" s="1904"/>
      <c r="BH222" s="801">
        <v>2</v>
      </c>
      <c r="BI222" s="318">
        <v>2</v>
      </c>
      <c r="BK222" s="6700" t="s">
        <v>29</v>
      </c>
      <c r="BL222" s="6700">
        <v>0</v>
      </c>
      <c r="BM222" s="6700">
        <v>0</v>
      </c>
      <c r="BN222" s="6700">
        <v>0</v>
      </c>
      <c r="BO222" s="6700">
        <v>0</v>
      </c>
      <c r="BP222" s="6700">
        <v>0</v>
      </c>
      <c r="BQ222" s="6700">
        <v>0</v>
      </c>
      <c r="BR222" s="6700">
        <v>0</v>
      </c>
      <c r="BS222" s="6700">
        <v>0</v>
      </c>
      <c r="BT222" s="6700">
        <v>0</v>
      </c>
      <c r="BU222" s="6700">
        <v>0</v>
      </c>
      <c r="BV222" s="6700">
        <v>0</v>
      </c>
      <c r="BW222" s="6700">
        <v>0</v>
      </c>
      <c r="BX222" s="6700">
        <f>SUM(BL222:BW222)</f>
        <v>0</v>
      </c>
      <c r="BY222" s="6701">
        <v>6</v>
      </c>
      <c r="BZ222" s="6700"/>
    </row>
    <row r="223" spans="32:79">
      <c r="AS223" s="1823" t="s">
        <v>1046</v>
      </c>
      <c r="AT223" s="1823">
        <v>0</v>
      </c>
      <c r="AU223" s="1823">
        <v>0</v>
      </c>
      <c r="AV223" s="1823">
        <v>0</v>
      </c>
      <c r="AW223" s="1823">
        <v>0</v>
      </c>
      <c r="AX223" s="1823">
        <v>0</v>
      </c>
      <c r="AY223" s="1823">
        <v>0</v>
      </c>
      <c r="AZ223" s="1823">
        <v>0</v>
      </c>
      <c r="BA223" s="1823">
        <v>0</v>
      </c>
      <c r="BB223" s="1823">
        <v>0</v>
      </c>
      <c r="BC223" s="1823">
        <v>0</v>
      </c>
      <c r="BD223" s="1823">
        <v>0</v>
      </c>
      <c r="BE223" s="1823"/>
      <c r="BF223" s="1823">
        <f t="shared" si="53"/>
        <v>0</v>
      </c>
      <c r="BG223" s="1904"/>
      <c r="BH223" s="801">
        <v>1</v>
      </c>
      <c r="BI223" s="318">
        <v>0</v>
      </c>
      <c r="BK223" s="6700" t="s">
        <v>764</v>
      </c>
      <c r="BL223" s="6700">
        <v>0</v>
      </c>
      <c r="BM223" s="6700">
        <v>0</v>
      </c>
      <c r="BN223" s="6700">
        <v>0</v>
      </c>
      <c r="BO223" s="6700">
        <v>0</v>
      </c>
      <c r="BP223" s="6700">
        <v>0</v>
      </c>
      <c r="BQ223" s="6700">
        <v>0</v>
      </c>
      <c r="BR223" s="6700">
        <v>0</v>
      </c>
      <c r="BS223" s="6700">
        <v>0</v>
      </c>
      <c r="BT223" s="6700">
        <v>0</v>
      </c>
      <c r="BU223" s="6700">
        <v>0</v>
      </c>
      <c r="BV223" s="6700">
        <v>0</v>
      </c>
      <c r="BW223" s="6700">
        <v>0</v>
      </c>
      <c r="BX223" s="6700">
        <f>SUM(BL223:BW223)</f>
        <v>0</v>
      </c>
      <c r="BY223" s="6701">
        <v>8</v>
      </c>
      <c r="BZ223" s="6700"/>
    </row>
    <row r="224" spans="32:79">
      <c r="AS224" s="1823" t="s">
        <v>1045</v>
      </c>
      <c r="AT224" s="1823">
        <v>0</v>
      </c>
      <c r="AU224" s="1823">
        <v>0</v>
      </c>
      <c r="AV224" s="1823">
        <v>1</v>
      </c>
      <c r="AW224" s="1823">
        <v>0</v>
      </c>
      <c r="AX224" s="1823">
        <v>0</v>
      </c>
      <c r="AY224" s="1823">
        <v>0</v>
      </c>
      <c r="AZ224" s="1823">
        <v>0</v>
      </c>
      <c r="BA224" s="1823">
        <v>0</v>
      </c>
      <c r="BB224" s="1823">
        <v>0</v>
      </c>
      <c r="BC224" s="1823">
        <v>0</v>
      </c>
      <c r="BD224" s="1823">
        <v>0</v>
      </c>
      <c r="BE224" s="1823"/>
      <c r="BF224" s="1823">
        <f t="shared" si="53"/>
        <v>1</v>
      </c>
      <c r="BG224" s="1904"/>
      <c r="BH224" s="801">
        <v>15</v>
      </c>
      <c r="BI224" s="318">
        <v>6</v>
      </c>
      <c r="BK224" s="6700" t="s">
        <v>823</v>
      </c>
      <c r="BL224" s="6700">
        <v>0</v>
      </c>
      <c r="BM224" s="6700">
        <v>1</v>
      </c>
      <c r="BN224" s="6700">
        <v>2</v>
      </c>
      <c r="BO224" s="6700">
        <v>0</v>
      </c>
      <c r="BP224" s="6700">
        <v>0</v>
      </c>
      <c r="BQ224" s="6700">
        <v>0</v>
      </c>
      <c r="BR224" s="6700">
        <v>0</v>
      </c>
      <c r="BS224" s="6700">
        <v>0</v>
      </c>
      <c r="BT224" s="6700">
        <v>0</v>
      </c>
      <c r="BU224" s="6700">
        <v>0</v>
      </c>
      <c r="BV224" s="6700">
        <v>0</v>
      </c>
      <c r="BW224" s="6700">
        <v>0</v>
      </c>
      <c r="BX224" s="6700">
        <f>SUM(BL224:BW224)</f>
        <v>3</v>
      </c>
      <c r="BY224" s="6701">
        <v>9</v>
      </c>
      <c r="BZ224" s="6700"/>
    </row>
    <row r="225" spans="41:78">
      <c r="AS225" s="801" t="s">
        <v>1067</v>
      </c>
      <c r="AT225" s="801"/>
      <c r="AU225" s="801"/>
      <c r="AV225" s="801"/>
      <c r="AW225" s="801"/>
      <c r="AX225" s="801"/>
      <c r="AY225" s="801"/>
      <c r="AZ225" s="801"/>
      <c r="BA225" s="801"/>
      <c r="BB225" s="801"/>
      <c r="BC225" s="801"/>
      <c r="BD225" s="801"/>
      <c r="BE225" s="801"/>
      <c r="BF225" s="1905"/>
      <c r="BG225" s="1905"/>
      <c r="BH225" s="801"/>
      <c r="BZ225" s="6066"/>
    </row>
    <row r="226" spans="41:78">
      <c r="AO226" s="318" t="s">
        <v>1209</v>
      </c>
      <c r="AP226" s="318" t="s">
        <v>1210</v>
      </c>
      <c r="AQ226" s="318" t="s">
        <v>1211</v>
      </c>
      <c r="AS226" s="1916" t="s">
        <v>781</v>
      </c>
      <c r="AT226" s="802" t="s">
        <v>782</v>
      </c>
      <c r="AU226" s="802" t="s">
        <v>5</v>
      </c>
      <c r="AV226" s="802" t="s">
        <v>6</v>
      </c>
      <c r="AW226" s="802" t="s">
        <v>7</v>
      </c>
      <c r="AX226" s="802" t="s">
        <v>8</v>
      </c>
      <c r="AY226" s="802" t="s">
        <v>9</v>
      </c>
      <c r="AZ226" s="802" t="s">
        <v>10</v>
      </c>
      <c r="BA226" s="802" t="s">
        <v>11</v>
      </c>
      <c r="BB226" s="802" t="s">
        <v>12</v>
      </c>
      <c r="BC226" s="802" t="s">
        <v>13</v>
      </c>
      <c r="BD226" s="802" t="s">
        <v>14</v>
      </c>
      <c r="BE226" s="802" t="s">
        <v>15</v>
      </c>
      <c r="BF226" s="1907" t="s">
        <v>870</v>
      </c>
      <c r="BH226" s="801" t="s">
        <v>963</v>
      </c>
      <c r="BK226" s="3877" t="s">
        <v>2143</v>
      </c>
    </row>
    <row r="227" spans="41:78">
      <c r="AS227" s="802" t="s">
        <v>522</v>
      </c>
      <c r="AT227" s="802">
        <v>0</v>
      </c>
      <c r="AU227" s="802">
        <v>0</v>
      </c>
      <c r="AV227" s="802">
        <v>0</v>
      </c>
      <c r="AW227" s="802">
        <v>0</v>
      </c>
      <c r="AX227" s="802">
        <v>0</v>
      </c>
      <c r="AY227" s="802">
        <v>0</v>
      </c>
      <c r="AZ227" s="802">
        <v>0</v>
      </c>
      <c r="BA227" s="802">
        <v>0</v>
      </c>
      <c r="BB227" s="802">
        <v>0</v>
      </c>
      <c r="BC227" s="802">
        <v>0</v>
      </c>
      <c r="BD227" s="802">
        <v>0</v>
      </c>
      <c r="BE227" s="802">
        <v>0</v>
      </c>
      <c r="BF227" s="1222">
        <f>SUM(AT227:BE227)</f>
        <v>0</v>
      </c>
      <c r="BH227" s="801">
        <v>0</v>
      </c>
      <c r="BI227" s="318">
        <v>0</v>
      </c>
      <c r="BK227" s="6702" t="s">
        <v>680</v>
      </c>
      <c r="BL227" s="6700" t="s">
        <v>38</v>
      </c>
      <c r="BM227" s="6700" t="s">
        <v>5</v>
      </c>
      <c r="BN227" s="6700" t="s">
        <v>6</v>
      </c>
      <c r="BO227" s="6700" t="s">
        <v>7</v>
      </c>
      <c r="BP227" s="6700" t="s">
        <v>8</v>
      </c>
      <c r="BQ227" s="6700" t="s">
        <v>9</v>
      </c>
      <c r="BR227" s="6700" t="s">
        <v>10</v>
      </c>
      <c r="BS227" s="6700" t="s">
        <v>11</v>
      </c>
      <c r="BT227" s="6700" t="s">
        <v>12</v>
      </c>
      <c r="BU227" s="6700" t="s">
        <v>13</v>
      </c>
      <c r="BV227" s="6700" t="s">
        <v>14</v>
      </c>
      <c r="BW227" s="6700" t="s">
        <v>15</v>
      </c>
      <c r="BX227" s="6700" t="s">
        <v>194</v>
      </c>
      <c r="BY227" s="6701" t="s">
        <v>2144</v>
      </c>
      <c r="BZ227" s="6700" t="s">
        <v>2147</v>
      </c>
    </row>
    <row r="228" spans="41:78">
      <c r="AS228" s="802" t="s">
        <v>558</v>
      </c>
      <c r="AT228" s="802">
        <v>0</v>
      </c>
      <c r="AU228" s="802">
        <v>0</v>
      </c>
      <c r="AV228" s="802">
        <v>0</v>
      </c>
      <c r="AW228" s="802">
        <v>0</v>
      </c>
      <c r="AX228" s="802">
        <v>0</v>
      </c>
      <c r="AY228" s="802">
        <v>0</v>
      </c>
      <c r="AZ228" s="802">
        <v>0</v>
      </c>
      <c r="BA228" s="802">
        <v>0</v>
      </c>
      <c r="BB228" s="802">
        <v>0</v>
      </c>
      <c r="BC228" s="802">
        <v>0</v>
      </c>
      <c r="BD228" s="802">
        <v>0</v>
      </c>
      <c r="BE228" s="802">
        <v>0</v>
      </c>
      <c r="BF228" s="1222">
        <f>SUM(AT228:BE228)</f>
        <v>0</v>
      </c>
      <c r="BH228" s="801">
        <v>0</v>
      </c>
      <c r="BI228" s="318">
        <v>0</v>
      </c>
      <c r="BK228" s="6700" t="s">
        <v>39</v>
      </c>
      <c r="BL228" s="6701">
        <v>0</v>
      </c>
      <c r="BM228" s="6701">
        <v>0</v>
      </c>
      <c r="BN228" s="6701">
        <v>0</v>
      </c>
      <c r="BO228" s="6701">
        <v>0</v>
      </c>
      <c r="BP228" s="6701">
        <v>0</v>
      </c>
      <c r="BQ228" s="6701">
        <v>0</v>
      </c>
      <c r="BR228" s="6701">
        <v>0</v>
      </c>
      <c r="BS228" s="6701">
        <v>0</v>
      </c>
      <c r="BT228" s="6701">
        <v>0</v>
      </c>
      <c r="BU228" s="6701">
        <v>0</v>
      </c>
      <c r="BV228" s="6701">
        <v>0</v>
      </c>
      <c r="BW228" s="6701">
        <v>0</v>
      </c>
      <c r="BX228" s="6707">
        <v>0</v>
      </c>
      <c r="BY228" s="6701">
        <v>0</v>
      </c>
      <c r="BZ228" s="6700"/>
    </row>
    <row r="229" spans="41:78">
      <c r="AS229" s="802" t="s">
        <v>1039</v>
      </c>
      <c r="AT229" s="802">
        <v>0</v>
      </c>
      <c r="AU229" s="802">
        <v>0</v>
      </c>
      <c r="AV229" s="802">
        <v>0</v>
      </c>
      <c r="AW229" s="802">
        <v>0</v>
      </c>
      <c r="AX229" s="802">
        <v>0</v>
      </c>
      <c r="AY229" s="802">
        <v>0</v>
      </c>
      <c r="AZ229" s="802">
        <v>0</v>
      </c>
      <c r="BA229" s="802">
        <v>0</v>
      </c>
      <c r="BB229" s="802">
        <v>0</v>
      </c>
      <c r="BC229" s="802">
        <v>0</v>
      </c>
      <c r="BD229" s="802">
        <v>0</v>
      </c>
      <c r="BE229" s="802">
        <v>0</v>
      </c>
      <c r="BF229" s="1222">
        <f>SUM(AT229:BE229)</f>
        <v>0</v>
      </c>
      <c r="BH229" s="801">
        <v>68.194000000000003</v>
      </c>
      <c r="BI229" s="318">
        <v>72.98</v>
      </c>
      <c r="BK229" s="6700" t="s">
        <v>42</v>
      </c>
      <c r="BL229" s="6701">
        <v>0</v>
      </c>
      <c r="BM229" s="6701">
        <v>0</v>
      </c>
      <c r="BN229" s="6701">
        <v>0</v>
      </c>
      <c r="BO229" s="6701">
        <v>0</v>
      </c>
      <c r="BP229" s="6701">
        <v>0</v>
      </c>
      <c r="BQ229" s="6701">
        <v>0</v>
      </c>
      <c r="BR229" s="6701">
        <v>0</v>
      </c>
      <c r="BS229" s="6701">
        <v>0</v>
      </c>
      <c r="BT229" s="6701">
        <v>0</v>
      </c>
      <c r="BU229" s="6701">
        <v>0</v>
      </c>
      <c r="BV229" s="6701">
        <v>0</v>
      </c>
      <c r="BW229" s="6701">
        <v>0</v>
      </c>
      <c r="BX229" s="6707">
        <v>0</v>
      </c>
      <c r="BY229" s="6701">
        <v>0</v>
      </c>
      <c r="BZ229" s="6700"/>
    </row>
    <row r="230" spans="41:78">
      <c r="AS230" s="802" t="s">
        <v>764</v>
      </c>
      <c r="AT230" s="802">
        <v>0</v>
      </c>
      <c r="AU230" s="802">
        <v>0</v>
      </c>
      <c r="AV230" s="802">
        <v>0</v>
      </c>
      <c r="AW230" s="802">
        <v>0</v>
      </c>
      <c r="AX230" s="802">
        <v>0</v>
      </c>
      <c r="AY230" s="802">
        <v>0</v>
      </c>
      <c r="AZ230" s="802">
        <v>0</v>
      </c>
      <c r="BA230" s="802">
        <v>0</v>
      </c>
      <c r="BB230" s="802">
        <v>0</v>
      </c>
      <c r="BC230" s="802">
        <v>0</v>
      </c>
      <c r="BD230" s="802">
        <v>0</v>
      </c>
      <c r="BE230" s="802">
        <v>0</v>
      </c>
      <c r="BF230" s="1222">
        <f>SUM(AT230:BE230)</f>
        <v>0</v>
      </c>
      <c r="BH230" s="801">
        <v>308.73</v>
      </c>
      <c r="BI230" s="318">
        <v>44.61</v>
      </c>
      <c r="BK230" s="6700" t="s">
        <v>29</v>
      </c>
      <c r="BL230" s="6701">
        <v>0</v>
      </c>
      <c r="BM230" s="6701">
        <v>0</v>
      </c>
      <c r="BN230" s="6701">
        <v>0</v>
      </c>
      <c r="BO230" s="6701">
        <v>0</v>
      </c>
      <c r="BP230" s="6701">
        <v>0</v>
      </c>
      <c r="BQ230" s="6701">
        <v>0</v>
      </c>
      <c r="BR230" s="6701">
        <v>0</v>
      </c>
      <c r="BS230" s="6701">
        <v>0</v>
      </c>
      <c r="BT230" s="6701">
        <v>0</v>
      </c>
      <c r="BU230" s="6701">
        <v>0</v>
      </c>
      <c r="BV230" s="6701">
        <v>0</v>
      </c>
      <c r="BW230" s="6701">
        <v>0</v>
      </c>
      <c r="BX230" s="6707">
        <v>0</v>
      </c>
      <c r="BY230" s="6701">
        <v>2706000</v>
      </c>
      <c r="BZ230" s="6700"/>
    </row>
    <row r="231" spans="41:78">
      <c r="AS231" s="802" t="s">
        <v>1038</v>
      </c>
      <c r="AT231" s="802">
        <v>0</v>
      </c>
      <c r="AU231" s="802">
        <v>1.66</v>
      </c>
      <c r="AV231" s="802">
        <f>66.07+5.13</f>
        <v>71.199999999999989</v>
      </c>
      <c r="AW231" s="802">
        <v>0</v>
      </c>
      <c r="AX231" s="802">
        <v>0</v>
      </c>
      <c r="AY231" s="802">
        <v>0</v>
      </c>
      <c r="AZ231" s="802">
        <v>0</v>
      </c>
      <c r="BA231" s="802">
        <v>0</v>
      </c>
      <c r="BB231" s="802">
        <v>0</v>
      </c>
      <c r="BC231" s="802">
        <v>0</v>
      </c>
      <c r="BD231" s="802">
        <v>0</v>
      </c>
      <c r="BE231" s="802">
        <v>0</v>
      </c>
      <c r="BF231" s="1222">
        <f>SUM(AT231:BE231)</f>
        <v>72.859999999999985</v>
      </c>
      <c r="BH231" s="801">
        <v>229.05600000000001</v>
      </c>
      <c r="BI231" s="318">
        <v>65.621000000000009</v>
      </c>
      <c r="BK231" s="6700" t="s">
        <v>764</v>
      </c>
      <c r="BL231" s="6701">
        <v>0</v>
      </c>
      <c r="BM231" s="6701">
        <v>0</v>
      </c>
      <c r="BN231" s="6701">
        <v>0</v>
      </c>
      <c r="BO231" s="6701">
        <v>0</v>
      </c>
      <c r="BP231" s="6701">
        <v>0</v>
      </c>
      <c r="BQ231" s="6701">
        <v>0</v>
      </c>
      <c r="BR231" s="6701">
        <v>0</v>
      </c>
      <c r="BS231" s="6701">
        <v>0</v>
      </c>
      <c r="BT231" s="6701">
        <v>0</v>
      </c>
      <c r="BU231" s="6701">
        <v>0</v>
      </c>
      <c r="BV231" s="6701">
        <v>0</v>
      </c>
      <c r="BW231" s="6701">
        <v>0</v>
      </c>
      <c r="BX231" s="6707">
        <v>0</v>
      </c>
      <c r="BY231" s="6701">
        <v>1870750</v>
      </c>
      <c r="BZ231" s="6700"/>
    </row>
    <row r="232" spans="41:78">
      <c r="AT232" s="801">
        <f>SUM(AT227:AT231)</f>
        <v>0</v>
      </c>
      <c r="AU232" s="801">
        <f t="shared" ref="AU232:BE232" si="54">SUM(AU227:AU231)</f>
        <v>1.66</v>
      </c>
      <c r="AV232" s="801">
        <f t="shared" si="54"/>
        <v>71.199999999999989</v>
      </c>
      <c r="AW232" s="801">
        <f t="shared" si="54"/>
        <v>0</v>
      </c>
      <c r="AX232" s="801">
        <f t="shared" si="54"/>
        <v>0</v>
      </c>
      <c r="AY232" s="801">
        <f t="shared" si="54"/>
        <v>0</v>
      </c>
      <c r="AZ232" s="801">
        <f t="shared" si="54"/>
        <v>0</v>
      </c>
      <c r="BA232" s="801">
        <f t="shared" si="54"/>
        <v>0</v>
      </c>
      <c r="BB232" s="801">
        <f t="shared" si="54"/>
        <v>0</v>
      </c>
      <c r="BC232" s="801">
        <f t="shared" si="54"/>
        <v>0</v>
      </c>
      <c r="BD232" s="801">
        <f t="shared" si="54"/>
        <v>0</v>
      </c>
      <c r="BE232" s="801">
        <f t="shared" si="54"/>
        <v>0</v>
      </c>
      <c r="BF232" s="1223">
        <f>SUM(BF227:BF231)</f>
        <v>72.859999999999985</v>
      </c>
      <c r="BG232" s="1223" t="s">
        <v>871</v>
      </c>
      <c r="BH232" s="801">
        <v>605.98000000000013</v>
      </c>
      <c r="BI232" s="318">
        <f>SUM(BI227:BI231)</f>
        <v>183.21100000000001</v>
      </c>
      <c r="BK232" s="6700" t="s">
        <v>823</v>
      </c>
      <c r="BL232" s="6701">
        <v>0</v>
      </c>
      <c r="BM232" s="6701">
        <v>309500</v>
      </c>
      <c r="BN232" s="6701">
        <f>1395000+309500</f>
        <v>1704500</v>
      </c>
      <c r="BO232" s="6701">
        <v>0</v>
      </c>
      <c r="BP232" s="6701">
        <v>0</v>
      </c>
      <c r="BQ232" s="6701">
        <v>0</v>
      </c>
      <c r="BR232" s="6701">
        <v>0</v>
      </c>
      <c r="BS232" s="6701">
        <v>0</v>
      </c>
      <c r="BT232" s="6701">
        <v>0</v>
      </c>
      <c r="BU232" s="6701">
        <v>0</v>
      </c>
      <c r="BV232" s="6701">
        <v>0</v>
      </c>
      <c r="BW232" s="6701">
        <v>0</v>
      </c>
      <c r="BX232" s="6707">
        <v>0</v>
      </c>
      <c r="BY232" s="6701">
        <v>2561900</v>
      </c>
      <c r="BZ232" s="6700"/>
    </row>
    <row r="233" spans="41:78">
      <c r="AS233" s="1823" t="s">
        <v>1041</v>
      </c>
      <c r="AT233" s="2373">
        <v>0</v>
      </c>
      <c r="AU233" s="2373">
        <v>0</v>
      </c>
      <c r="AV233" s="2373">
        <v>0</v>
      </c>
      <c r="AW233" s="2373">
        <v>0</v>
      </c>
      <c r="AX233" s="2373">
        <v>0</v>
      </c>
      <c r="AY233" s="2373">
        <v>0</v>
      </c>
      <c r="AZ233" s="2373">
        <v>0</v>
      </c>
      <c r="BA233" s="2373">
        <v>0</v>
      </c>
      <c r="BB233" s="2373">
        <v>0</v>
      </c>
      <c r="BC233" s="2373">
        <v>0</v>
      </c>
      <c r="BD233" s="2373">
        <v>0</v>
      </c>
      <c r="BE233" s="2373"/>
      <c r="BF233" s="2374">
        <f t="shared" ref="BF233:BF239" si="55">SUM(AT233:BE233)</f>
        <v>0</v>
      </c>
      <c r="BG233" s="1904"/>
      <c r="BH233" s="801">
        <v>0</v>
      </c>
      <c r="BI233" s="318">
        <v>0</v>
      </c>
      <c r="BL233" s="6705">
        <f>SUM(BL228:BL232)</f>
        <v>0</v>
      </c>
      <c r="BM233" s="6705">
        <f t="shared" ref="BM233:BW233" si="56">SUM(BM228:BM232)</f>
        <v>309500</v>
      </c>
      <c r="BN233" s="6705">
        <f t="shared" si="56"/>
        <v>1704500</v>
      </c>
      <c r="BO233" s="6705">
        <f t="shared" si="56"/>
        <v>0</v>
      </c>
      <c r="BP233" s="6705">
        <f t="shared" si="56"/>
        <v>0</v>
      </c>
      <c r="BQ233" s="6705">
        <f t="shared" si="56"/>
        <v>0</v>
      </c>
      <c r="BR233" s="6705">
        <f t="shared" si="56"/>
        <v>0</v>
      </c>
      <c r="BS233" s="6705">
        <f t="shared" si="56"/>
        <v>0</v>
      </c>
      <c r="BT233" s="6705">
        <f t="shared" si="56"/>
        <v>0</v>
      </c>
      <c r="BU233" s="6705">
        <f t="shared" si="56"/>
        <v>0</v>
      </c>
      <c r="BV233" s="6705">
        <f t="shared" si="56"/>
        <v>0</v>
      </c>
      <c r="BW233" s="6705">
        <f t="shared" si="56"/>
        <v>0</v>
      </c>
      <c r="BX233" s="6706">
        <f>SUM(BX228:BX232)</f>
        <v>0</v>
      </c>
      <c r="BY233" s="6708">
        <v>7138650</v>
      </c>
      <c r="BZ233" s="6066"/>
    </row>
    <row r="234" spans="41:78">
      <c r="AS234" s="1823" t="s">
        <v>1040</v>
      </c>
      <c r="AT234" s="2373">
        <v>0</v>
      </c>
      <c r="AU234" s="2373">
        <v>0</v>
      </c>
      <c r="AV234" s="2373">
        <v>0</v>
      </c>
      <c r="AW234" s="2373">
        <v>0</v>
      </c>
      <c r="AX234" s="2373">
        <v>0</v>
      </c>
      <c r="AY234" s="2373">
        <v>0</v>
      </c>
      <c r="AZ234" s="2373">
        <v>0</v>
      </c>
      <c r="BA234" s="2373">
        <v>0</v>
      </c>
      <c r="BB234" s="2373">
        <v>0</v>
      </c>
      <c r="BC234" s="2373">
        <v>0</v>
      </c>
      <c r="BD234" s="2373">
        <v>0</v>
      </c>
      <c r="BE234" s="2373"/>
      <c r="BF234" s="2374">
        <f t="shared" si="55"/>
        <v>0</v>
      </c>
      <c r="BG234" s="1904"/>
      <c r="BH234" s="801">
        <v>45.478999999999999</v>
      </c>
      <c r="BI234" s="318">
        <v>72.98</v>
      </c>
    </row>
    <row r="235" spans="41:78">
      <c r="AS235" s="1823" t="s">
        <v>1042</v>
      </c>
      <c r="AT235" s="2373">
        <v>0</v>
      </c>
      <c r="AU235" s="2373">
        <v>0</v>
      </c>
      <c r="AV235" s="2373">
        <v>0</v>
      </c>
      <c r="AW235" s="2373">
        <v>0</v>
      </c>
      <c r="AX235" s="2373">
        <v>0</v>
      </c>
      <c r="AY235" s="2373">
        <v>0</v>
      </c>
      <c r="AZ235" s="2373">
        <v>0</v>
      </c>
      <c r="BA235" s="2373">
        <v>0</v>
      </c>
      <c r="BB235" s="2373">
        <v>0</v>
      </c>
      <c r="BC235" s="2373">
        <v>0</v>
      </c>
      <c r="BD235" s="2373">
        <v>0</v>
      </c>
      <c r="BE235" s="2373"/>
      <c r="BF235" s="2374">
        <f t="shared" si="55"/>
        <v>0</v>
      </c>
      <c r="BG235" s="1904"/>
      <c r="BH235" s="801">
        <v>200.87900000000002</v>
      </c>
      <c r="BI235" s="318">
        <v>65.59</v>
      </c>
    </row>
    <row r="236" spans="41:78">
      <c r="AS236" s="1823" t="s">
        <v>1043</v>
      </c>
      <c r="AT236" s="2373">
        <v>0</v>
      </c>
      <c r="AU236" s="2373">
        <v>0</v>
      </c>
      <c r="AV236" s="2373">
        <v>66.069999999999993</v>
      </c>
      <c r="AW236" s="2373">
        <v>0</v>
      </c>
      <c r="AX236" s="2373">
        <v>0</v>
      </c>
      <c r="AY236" s="2373">
        <v>0</v>
      </c>
      <c r="AZ236" s="2373">
        <v>0</v>
      </c>
      <c r="BA236" s="2373">
        <v>0</v>
      </c>
      <c r="BB236" s="2373">
        <v>0</v>
      </c>
      <c r="BC236" s="2373">
        <v>0</v>
      </c>
      <c r="BD236" s="2373">
        <v>0</v>
      </c>
      <c r="BE236" s="2373"/>
      <c r="BF236" s="2374">
        <f t="shared" si="55"/>
        <v>66.069999999999993</v>
      </c>
      <c r="BG236" s="1904"/>
      <c r="BH236" s="801">
        <v>260.64</v>
      </c>
      <c r="BI236" s="318">
        <v>0</v>
      </c>
    </row>
    <row r="237" spans="41:78">
      <c r="AS237" s="1823" t="s">
        <v>1044</v>
      </c>
      <c r="AT237" s="2373">
        <v>0</v>
      </c>
      <c r="AU237" s="2373">
        <v>0</v>
      </c>
      <c r="AV237" s="2373">
        <v>0</v>
      </c>
      <c r="AW237" s="2373">
        <v>0</v>
      </c>
      <c r="AX237" s="2373">
        <v>0</v>
      </c>
      <c r="AY237" s="2373">
        <v>0</v>
      </c>
      <c r="AZ237" s="2373">
        <v>0</v>
      </c>
      <c r="BA237" s="2373">
        <v>0</v>
      </c>
      <c r="BB237" s="2373">
        <v>0</v>
      </c>
      <c r="BC237" s="2373">
        <v>0</v>
      </c>
      <c r="BD237" s="2373">
        <v>0</v>
      </c>
      <c r="BE237" s="2373"/>
      <c r="BF237" s="2374">
        <f t="shared" si="55"/>
        <v>0</v>
      </c>
      <c r="BG237" s="1904"/>
      <c r="BH237" s="801">
        <v>0</v>
      </c>
      <c r="BI237" s="318">
        <v>0</v>
      </c>
    </row>
    <row r="238" spans="41:78">
      <c r="AS238" s="1823" t="s">
        <v>1046</v>
      </c>
      <c r="AT238" s="2373">
        <v>0</v>
      </c>
      <c r="AU238" s="2373">
        <v>0</v>
      </c>
      <c r="AV238" s="2373">
        <v>0</v>
      </c>
      <c r="AW238" s="2373">
        <v>0</v>
      </c>
      <c r="AX238" s="2373">
        <v>0</v>
      </c>
      <c r="AY238" s="2373">
        <v>0</v>
      </c>
      <c r="AZ238" s="2373">
        <v>0</v>
      </c>
      <c r="BA238" s="2373">
        <v>0</v>
      </c>
      <c r="BB238" s="2373">
        <v>0</v>
      </c>
      <c r="BC238" s="2373">
        <v>0</v>
      </c>
      <c r="BD238" s="2373">
        <v>0</v>
      </c>
      <c r="BE238" s="2373"/>
      <c r="BF238" s="2374">
        <f t="shared" si="55"/>
        <v>0</v>
      </c>
      <c r="BG238" s="1904"/>
      <c r="BH238" s="801">
        <v>0</v>
      </c>
      <c r="BI238" s="318">
        <v>0</v>
      </c>
    </row>
    <row r="239" spans="41:78">
      <c r="AS239" s="1823" t="s">
        <v>1045</v>
      </c>
      <c r="AT239" s="2373">
        <v>0</v>
      </c>
      <c r="AU239" s="2373">
        <v>1.66</v>
      </c>
      <c r="AV239" s="2373">
        <v>5.13</v>
      </c>
      <c r="AW239" s="2373">
        <v>0</v>
      </c>
      <c r="AX239" s="2373">
        <v>0</v>
      </c>
      <c r="AY239" s="2373">
        <v>0</v>
      </c>
      <c r="AZ239" s="2373">
        <v>0</v>
      </c>
      <c r="BA239" s="2373">
        <v>0</v>
      </c>
      <c r="BB239" s="2373">
        <v>0</v>
      </c>
      <c r="BC239" s="2373">
        <v>0</v>
      </c>
      <c r="BD239" s="2373">
        <v>0</v>
      </c>
      <c r="BE239" s="2373"/>
      <c r="BF239" s="2374">
        <f t="shared" si="55"/>
        <v>6.79</v>
      </c>
      <c r="BG239" s="1904"/>
      <c r="BH239" s="801">
        <v>84.001999999999981</v>
      </c>
      <c r="BI239" s="318">
        <v>49.903000000000006</v>
      </c>
    </row>
    <row r="240" spans="41:78">
      <c r="AS240" s="318" t="s">
        <v>1058</v>
      </c>
      <c r="BH240" s="801"/>
    </row>
    <row r="241" spans="43:61">
      <c r="AS241" s="802" t="s">
        <v>781</v>
      </c>
      <c r="AT241" s="802" t="s">
        <v>782</v>
      </c>
      <c r="AU241" s="802" t="s">
        <v>5</v>
      </c>
      <c r="AV241" s="802" t="s">
        <v>6</v>
      </c>
      <c r="AW241" s="802" t="s">
        <v>7</v>
      </c>
      <c r="AX241" s="802" t="s">
        <v>8</v>
      </c>
      <c r="AY241" s="802" t="s">
        <v>9</v>
      </c>
      <c r="AZ241" s="802" t="s">
        <v>10</v>
      </c>
      <c r="BA241" s="802" t="s">
        <v>11</v>
      </c>
      <c r="BB241" s="802" t="s">
        <v>12</v>
      </c>
      <c r="BC241" s="802" t="s">
        <v>13</v>
      </c>
      <c r="BD241" s="802" t="s">
        <v>14</v>
      </c>
      <c r="BE241" s="802" t="s">
        <v>15</v>
      </c>
      <c r="BF241" s="1907" t="s">
        <v>194</v>
      </c>
      <c r="BH241" s="801" t="s">
        <v>963</v>
      </c>
    </row>
    <row r="242" spans="43:61">
      <c r="AS242" s="802" t="s">
        <v>27</v>
      </c>
      <c r="AT242" s="802">
        <v>0</v>
      </c>
      <c r="AU242" s="802">
        <v>0</v>
      </c>
      <c r="AV242" s="802">
        <v>0</v>
      </c>
      <c r="AW242" s="802">
        <v>0</v>
      </c>
      <c r="AX242" s="802">
        <v>0</v>
      </c>
      <c r="AY242" s="802">
        <v>0</v>
      </c>
      <c r="AZ242" s="802">
        <v>0</v>
      </c>
      <c r="BA242" s="802">
        <v>0</v>
      </c>
      <c r="BB242" s="802">
        <v>0</v>
      </c>
      <c r="BC242" s="802">
        <v>0</v>
      </c>
      <c r="BD242" s="802">
        <v>0</v>
      </c>
      <c r="BE242" s="802"/>
      <c r="BF242" s="1222">
        <f>SUM(AT242:BE242)</f>
        <v>0</v>
      </c>
      <c r="BH242" s="801">
        <v>0</v>
      </c>
      <c r="BI242" s="318">
        <v>0</v>
      </c>
    </row>
    <row r="243" spans="43:61">
      <c r="AS243" s="802" t="s">
        <v>28</v>
      </c>
      <c r="AT243" s="802">
        <v>0</v>
      </c>
      <c r="AU243" s="802">
        <v>0</v>
      </c>
      <c r="AV243" s="802">
        <v>0</v>
      </c>
      <c r="AW243" s="802">
        <v>0</v>
      </c>
      <c r="AX243" s="802">
        <v>0</v>
      </c>
      <c r="AY243" s="802">
        <v>0</v>
      </c>
      <c r="AZ243" s="802">
        <v>0</v>
      </c>
      <c r="BA243" s="802">
        <v>0</v>
      </c>
      <c r="BB243" s="802">
        <v>0</v>
      </c>
      <c r="BC243" s="802">
        <v>0</v>
      </c>
      <c r="BD243" s="802">
        <v>0</v>
      </c>
      <c r="BE243" s="802"/>
      <c r="BF243" s="1222">
        <f>SUM(AT243:BE243)</f>
        <v>0</v>
      </c>
      <c r="BH243" s="801">
        <v>0</v>
      </c>
      <c r="BI243" s="318">
        <v>0</v>
      </c>
    </row>
    <row r="244" spans="43:61">
      <c r="AS244" s="802" t="s">
        <v>1039</v>
      </c>
      <c r="AT244" s="802">
        <v>0</v>
      </c>
      <c r="AU244" s="802">
        <v>0</v>
      </c>
      <c r="AV244" s="802">
        <v>0</v>
      </c>
      <c r="AW244" s="802">
        <v>0</v>
      </c>
      <c r="AX244" s="802">
        <v>0</v>
      </c>
      <c r="AY244" s="802">
        <v>0</v>
      </c>
      <c r="AZ244" s="802">
        <v>0</v>
      </c>
      <c r="BA244" s="802">
        <v>0</v>
      </c>
      <c r="BB244" s="802">
        <v>0</v>
      </c>
      <c r="BC244" s="802">
        <v>0</v>
      </c>
      <c r="BD244" s="802">
        <v>0</v>
      </c>
      <c r="BE244" s="802"/>
      <c r="BF244" s="1222">
        <f>SUM(AT244:BE244)</f>
        <v>0</v>
      </c>
      <c r="BH244" s="801">
        <v>6</v>
      </c>
      <c r="BI244" s="318">
        <v>6</v>
      </c>
    </row>
    <row r="245" spans="43:61">
      <c r="AS245" s="802" t="s">
        <v>764</v>
      </c>
      <c r="AT245" s="802">
        <v>0</v>
      </c>
      <c r="AU245" s="802">
        <v>0</v>
      </c>
      <c r="AV245" s="802">
        <v>0</v>
      </c>
      <c r="AW245" s="802">
        <v>0</v>
      </c>
      <c r="AX245" s="802">
        <v>0</v>
      </c>
      <c r="AY245" s="802">
        <v>0</v>
      </c>
      <c r="AZ245" s="802">
        <v>0</v>
      </c>
      <c r="BA245" s="802">
        <v>0</v>
      </c>
      <c r="BB245" s="802">
        <v>0</v>
      </c>
      <c r="BC245" s="802">
        <v>0</v>
      </c>
      <c r="BD245" s="802">
        <v>0</v>
      </c>
      <c r="BE245" s="802"/>
      <c r="BF245" s="1222">
        <f>SUM(AT245:BE245)</f>
        <v>0</v>
      </c>
      <c r="BH245" s="801">
        <v>11</v>
      </c>
      <c r="BI245" s="318">
        <v>5</v>
      </c>
    </row>
    <row r="246" spans="43:61">
      <c r="AS246" s="802" t="s">
        <v>1038</v>
      </c>
      <c r="AT246" s="802">
        <v>0</v>
      </c>
      <c r="AU246" s="802">
        <v>1</v>
      </c>
      <c r="AV246" s="802">
        <v>2</v>
      </c>
      <c r="AW246" s="802">
        <v>0</v>
      </c>
      <c r="AX246" s="802">
        <v>0</v>
      </c>
      <c r="AY246" s="802">
        <v>0</v>
      </c>
      <c r="AZ246" s="802">
        <v>0</v>
      </c>
      <c r="BA246" s="802">
        <v>0</v>
      </c>
      <c r="BB246" s="802">
        <v>0</v>
      </c>
      <c r="BC246" s="802">
        <v>0</v>
      </c>
      <c r="BD246" s="802">
        <v>0</v>
      </c>
      <c r="BE246" s="802"/>
      <c r="BF246" s="1222">
        <f>SUM(AT246:BE246)</f>
        <v>3</v>
      </c>
      <c r="BH246" s="801">
        <v>25</v>
      </c>
      <c r="BI246" s="318">
        <v>9</v>
      </c>
    </row>
    <row r="247" spans="43:61">
      <c r="AT247" s="318">
        <f t="shared" ref="AT247:BB247" si="57">SUM(AT242:AT246)</f>
        <v>0</v>
      </c>
      <c r="AU247" s="318">
        <f t="shared" si="57"/>
        <v>1</v>
      </c>
      <c r="AV247" s="318">
        <f t="shared" si="57"/>
        <v>2</v>
      </c>
      <c r="AW247" s="318">
        <f t="shared" si="57"/>
        <v>0</v>
      </c>
      <c r="AX247" s="318">
        <f t="shared" si="57"/>
        <v>0</v>
      </c>
      <c r="AY247" s="318">
        <f t="shared" si="57"/>
        <v>0</v>
      </c>
      <c r="AZ247" s="318">
        <f t="shared" si="57"/>
        <v>0</v>
      </c>
      <c r="BA247" s="318">
        <f t="shared" si="57"/>
        <v>0</v>
      </c>
      <c r="BB247" s="318">
        <f t="shared" si="57"/>
        <v>0</v>
      </c>
      <c r="BC247" s="318">
        <f>SUM(BC242:BC246)</f>
        <v>0</v>
      </c>
      <c r="BD247" s="318">
        <f>SUM(BD242:BD246)</f>
        <v>0</v>
      </c>
      <c r="BE247" s="318">
        <f>SUM(BE242:BE246)</f>
        <v>0</v>
      </c>
      <c r="BF247" s="1223">
        <f>SUM(BF242:BF246)</f>
        <v>3</v>
      </c>
      <c r="BG247" s="1223" t="s">
        <v>871</v>
      </c>
      <c r="BH247" s="801">
        <v>42</v>
      </c>
      <c r="BI247" s="318">
        <f t="shared" ref="BI247" si="58">BF247</f>
        <v>3</v>
      </c>
    </row>
    <row r="252" spans="43:61">
      <c r="AQ252" s="7993" t="s">
        <v>952</v>
      </c>
      <c r="AR252" s="7994"/>
      <c r="AS252" s="1333" t="s">
        <v>878</v>
      </c>
      <c r="AT252" s="1221" t="s">
        <v>108</v>
      </c>
      <c r="AU252" s="1221" t="s">
        <v>5</v>
      </c>
      <c r="AV252" s="1221" t="s">
        <v>6</v>
      </c>
      <c r="AW252" s="1221" t="s">
        <v>7</v>
      </c>
      <c r="AX252" s="1221" t="s">
        <v>8</v>
      </c>
      <c r="AY252" s="1221" t="s">
        <v>9</v>
      </c>
      <c r="AZ252" s="1221" t="s">
        <v>10</v>
      </c>
      <c r="BA252" s="1221" t="s">
        <v>11</v>
      </c>
      <c r="BB252" s="1221" t="s">
        <v>12</v>
      </c>
      <c r="BC252" s="1221" t="s">
        <v>13</v>
      </c>
      <c r="BD252" s="1221" t="s">
        <v>14</v>
      </c>
      <c r="BE252" s="1221" t="s">
        <v>15</v>
      </c>
      <c r="BF252" s="1221" t="s">
        <v>956</v>
      </c>
    </row>
    <row r="253" spans="43:61">
      <c r="AQ253" s="7991" t="s">
        <v>953</v>
      </c>
      <c r="AR253" s="7992"/>
      <c r="AS253" s="1141">
        <v>86.503888888888881</v>
      </c>
      <c r="AT253" s="1221">
        <v>40.33</v>
      </c>
      <c r="AU253" s="1221">
        <v>41.39</v>
      </c>
      <c r="AV253" s="1221">
        <v>42.29</v>
      </c>
      <c r="AW253" s="1221">
        <v>0</v>
      </c>
      <c r="AX253" s="1221">
        <v>8.6300000000000008</v>
      </c>
      <c r="AY253" s="1268">
        <v>27.37</v>
      </c>
      <c r="AZ253" s="1268">
        <v>3.81</v>
      </c>
      <c r="BA253" s="1268">
        <v>10.57</v>
      </c>
      <c r="BB253" s="1221">
        <v>19.59</v>
      </c>
      <c r="BC253" s="1221"/>
      <c r="BD253" s="1221"/>
      <c r="BE253" s="1221"/>
      <c r="BF253" s="1221">
        <f>SUM(AT253:BE253)</f>
        <v>193.98</v>
      </c>
    </row>
    <row r="254" spans="43:61">
      <c r="AQ254" s="7991" t="s">
        <v>954</v>
      </c>
      <c r="AR254" s="7992"/>
      <c r="AS254" s="1141">
        <v>10.668333333333331</v>
      </c>
      <c r="AT254" s="1221">
        <v>16.36</v>
      </c>
      <c r="AU254" s="1221">
        <v>14.04</v>
      </c>
      <c r="AV254" s="1221">
        <v>11.667999999999999</v>
      </c>
      <c r="AW254" s="1221">
        <v>1.5</v>
      </c>
      <c r="AX254" s="1221">
        <v>6.87</v>
      </c>
      <c r="AY254" s="1268">
        <v>11.88</v>
      </c>
      <c r="AZ254" s="1268">
        <v>1.39</v>
      </c>
      <c r="BA254" s="1268">
        <v>0</v>
      </c>
      <c r="BB254" s="1221">
        <v>8.81</v>
      </c>
      <c r="BC254" s="1221"/>
      <c r="BD254" s="1221"/>
      <c r="BE254" s="1221"/>
      <c r="BF254" s="1221">
        <f>SUM(AT254:BE254)</f>
        <v>72.518000000000001</v>
      </c>
    </row>
    <row r="255" spans="43:61">
      <c r="AQ255" s="7991" t="s">
        <v>955</v>
      </c>
      <c r="AR255" s="7992"/>
      <c r="AS255" s="1141">
        <v>6.0269444444444451</v>
      </c>
      <c r="AT255" s="1221">
        <v>15.77</v>
      </c>
      <c r="AU255" s="1221">
        <v>14.940000000000001</v>
      </c>
      <c r="AV255" s="1221">
        <v>7.35</v>
      </c>
      <c r="AW255" s="1221">
        <v>1.1599999999999999</v>
      </c>
      <c r="AX255" s="1221">
        <v>7.8</v>
      </c>
      <c r="AY255" s="1268">
        <v>6.23</v>
      </c>
      <c r="AZ255" s="1268">
        <v>4.16</v>
      </c>
      <c r="BA255" s="1268">
        <v>0</v>
      </c>
      <c r="BB255" s="1221">
        <v>0</v>
      </c>
      <c r="BC255" s="1221"/>
      <c r="BD255" s="1221"/>
      <c r="BE255" s="1221"/>
      <c r="BF255" s="1221">
        <f>SUM(AT255:BE255)</f>
        <v>57.41</v>
      </c>
    </row>
  </sheetData>
  <mergeCells count="93">
    <mergeCell ref="K81:K82"/>
    <mergeCell ref="A60:A65"/>
    <mergeCell ref="A40:A45"/>
    <mergeCell ref="A52:A58"/>
    <mergeCell ref="J3:J4"/>
    <mergeCell ref="J37:J38"/>
    <mergeCell ref="J81:J82"/>
    <mergeCell ref="E37:E38"/>
    <mergeCell ref="D37:D38"/>
    <mergeCell ref="E81:E82"/>
    <mergeCell ref="D81:D82"/>
    <mergeCell ref="I3:I4"/>
    <mergeCell ref="H81:H82"/>
    <mergeCell ref="G81:G82"/>
    <mergeCell ref="F81:F82"/>
    <mergeCell ref="A81:A82"/>
    <mergeCell ref="AM81:AM82"/>
    <mergeCell ref="AL81:AL82"/>
    <mergeCell ref="L81:L82"/>
    <mergeCell ref="M81:AK81"/>
    <mergeCell ref="AO72:AO76"/>
    <mergeCell ref="BT1:BT2"/>
    <mergeCell ref="AM3:AM4"/>
    <mergeCell ref="AT1:BQ1"/>
    <mergeCell ref="BR1:BR2"/>
    <mergeCell ref="BS1:BS2"/>
    <mergeCell ref="A1:AN1"/>
    <mergeCell ref="G3:G4"/>
    <mergeCell ref="AL3:AL4"/>
    <mergeCell ref="F3:F4"/>
    <mergeCell ref="AO3:AO4"/>
    <mergeCell ref="A3:A4"/>
    <mergeCell ref="B3:B4"/>
    <mergeCell ref="AR1:AR2"/>
    <mergeCell ref="AN3:AN4"/>
    <mergeCell ref="M3:AK3"/>
    <mergeCell ref="C3:C4"/>
    <mergeCell ref="D165:F165"/>
    <mergeCell ref="C169:F169"/>
    <mergeCell ref="A147:A148"/>
    <mergeCell ref="AQ255:AR255"/>
    <mergeCell ref="AQ254:AR254"/>
    <mergeCell ref="AQ253:AR253"/>
    <mergeCell ref="AQ252:AR252"/>
    <mergeCell ref="L3:L4"/>
    <mergeCell ref="L37:L38"/>
    <mergeCell ref="H3:H4"/>
    <mergeCell ref="E3:E4"/>
    <mergeCell ref="D3:D4"/>
    <mergeCell ref="G37:G38"/>
    <mergeCell ref="F37:F38"/>
    <mergeCell ref="K3:K4"/>
    <mergeCell ref="H37:H38"/>
    <mergeCell ref="I37:I38"/>
    <mergeCell ref="A46:A51"/>
    <mergeCell ref="C81:C82"/>
    <mergeCell ref="B81:B82"/>
    <mergeCell ref="A66:A71"/>
    <mergeCell ref="A5:A10"/>
    <mergeCell ref="A11:A16"/>
    <mergeCell ref="A17:A23"/>
    <mergeCell ref="B37:B38"/>
    <mergeCell ref="A30:A35"/>
    <mergeCell ref="A24:A29"/>
    <mergeCell ref="A37:A38"/>
    <mergeCell ref="C37:C38"/>
    <mergeCell ref="A59:B59"/>
    <mergeCell ref="A79:B79"/>
    <mergeCell ref="A72:A78"/>
    <mergeCell ref="A123:A128"/>
    <mergeCell ref="A117:A122"/>
    <mergeCell ref="A83:A87"/>
    <mergeCell ref="A107:A114"/>
    <mergeCell ref="A104:B104"/>
    <mergeCell ref="A94:A99"/>
    <mergeCell ref="A100:A103"/>
    <mergeCell ref="A88:A93"/>
    <mergeCell ref="AO83:AO86"/>
    <mergeCell ref="AO88:AO92"/>
    <mergeCell ref="K122:Y122"/>
    <mergeCell ref="I81:I82"/>
    <mergeCell ref="K37:K38"/>
    <mergeCell ref="M37:AA37"/>
    <mergeCell ref="AL37:AL38"/>
    <mergeCell ref="AN37:AN38"/>
    <mergeCell ref="AM37:AM38"/>
    <mergeCell ref="AO52:AO57"/>
    <mergeCell ref="AO46:AO50"/>
    <mergeCell ref="AO66:AO68"/>
    <mergeCell ref="AO37:AO38"/>
    <mergeCell ref="AO60:AO64"/>
    <mergeCell ref="AO81:AO82"/>
    <mergeCell ref="AN81:AN82"/>
  </mergeCells>
  <phoneticPr fontId="23" type="noConversion"/>
  <pageMargins left="0" right="0" top="0" bottom="0" header="0.31496062992125984" footer="0.31496062992125984"/>
  <pageSetup paperSize="9" scale="75" orientation="landscape"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BC69"/>
  <sheetViews>
    <sheetView tabSelected="1" zoomScale="70" zoomScaleNormal="70" workbookViewId="0">
      <pane xSplit="8" ySplit="4" topLeftCell="I8" activePane="bottomRight" state="frozen"/>
      <selection pane="topRight" activeCell="I1" sqref="I1"/>
      <selection pane="bottomLeft" activeCell="A5" sqref="A5"/>
      <selection pane="bottomRight" activeCell="N17" sqref="N17"/>
    </sheetView>
  </sheetViews>
  <sheetFormatPr defaultColWidth="8.88671875" defaultRowHeight="21.75" customHeight="1"/>
  <cols>
    <col min="1" max="1" width="8.44140625" style="330" customWidth="1"/>
    <col min="2" max="2" width="12.33203125" style="330" customWidth="1"/>
    <col min="3" max="3" width="7.77734375" style="330" customWidth="1"/>
    <col min="4" max="7" width="7.77734375" style="330" hidden="1" customWidth="1"/>
    <col min="8" max="8" width="7.77734375" style="330" customWidth="1"/>
    <col min="9" max="9" width="7.77734375" style="1452" customWidth="1"/>
    <col min="10" max="10" width="7.88671875" style="1452" customWidth="1"/>
    <col min="11" max="11" width="7.88671875" style="330" customWidth="1"/>
    <col min="12" max="12" width="7.88671875" style="1452" customWidth="1"/>
    <col min="13" max="13" width="7.88671875" style="330" customWidth="1"/>
    <col min="14" max="14" width="7.77734375" style="330" bestFit="1" customWidth="1"/>
    <col min="15" max="15" width="8.21875" style="330" customWidth="1"/>
    <col min="16" max="16" width="8.21875" style="340" customWidth="1"/>
    <col min="17" max="17" width="8.33203125" style="340" customWidth="1"/>
    <col min="18" max="21" width="8.33203125" style="330" hidden="1" customWidth="1"/>
    <col min="22" max="23" width="8.88671875" style="330" hidden="1" customWidth="1"/>
    <col min="24" max="25" width="9.77734375" style="330" hidden="1" customWidth="1"/>
    <col min="26" max="26" width="9.77734375" style="330" customWidth="1"/>
    <col min="27" max="27" width="9.21875" style="330" customWidth="1"/>
    <col min="28" max="28" width="9.5546875" style="330" customWidth="1"/>
    <col min="29" max="29" width="8.88671875" style="330" customWidth="1"/>
    <col min="30" max="30" width="9.44140625" style="330" customWidth="1"/>
    <col min="31" max="31" width="8.88671875" style="330" hidden="1" customWidth="1"/>
    <col min="32" max="34" width="8.77734375" style="330" hidden="1" customWidth="1"/>
    <col min="35" max="35" width="8.88671875" style="330" hidden="1" customWidth="1"/>
    <col min="36" max="36" width="9.6640625" style="330" hidden="1" customWidth="1"/>
    <col min="37" max="38" width="9.77734375" style="330" hidden="1" customWidth="1"/>
    <col min="39" max="39" width="9.77734375" style="330" customWidth="1"/>
    <col min="40" max="41" width="8.77734375" style="330" customWidth="1"/>
    <col min="42" max="42" width="7.77734375" style="340" customWidth="1"/>
    <col min="43" max="43" width="12.77734375" style="330" bestFit="1" customWidth="1"/>
    <col min="44" max="45" width="12.77734375" style="330" customWidth="1"/>
    <col min="46" max="47" width="8.88671875" style="330"/>
    <col min="48" max="48" width="11.5546875" style="330" bestFit="1" customWidth="1"/>
    <col min="49" max="49" width="8.88671875" style="330"/>
    <col min="50" max="50" width="9" style="330" bestFit="1" customWidth="1"/>
    <col min="51" max="51" width="12" style="330" bestFit="1" customWidth="1"/>
    <col min="52" max="52" width="9" style="330" bestFit="1" customWidth="1"/>
    <col min="53" max="53" width="9.33203125" style="330" bestFit="1" customWidth="1"/>
    <col min="54" max="16384" width="8.88671875" style="330"/>
  </cols>
  <sheetData>
    <row r="1" spans="1:55" ht="21.75" customHeight="1">
      <c r="A1" s="8009" t="s">
        <v>1304</v>
      </c>
      <c r="B1" s="8009"/>
      <c r="C1" s="8009"/>
      <c r="D1" s="8009"/>
      <c r="E1" s="8009"/>
      <c r="F1" s="8009"/>
      <c r="G1" s="8009"/>
      <c r="H1" s="8009"/>
      <c r="I1" s="8009"/>
      <c r="J1" s="8009"/>
      <c r="K1" s="8009"/>
      <c r="L1" s="8009"/>
      <c r="M1" s="8009"/>
      <c r="N1" s="8009"/>
      <c r="O1" s="8009"/>
      <c r="P1" s="8009"/>
      <c r="Q1" s="8009"/>
      <c r="R1" s="8009"/>
      <c r="S1" s="8009"/>
      <c r="T1" s="8009"/>
      <c r="U1" s="8009"/>
      <c r="V1" s="8009"/>
      <c r="W1" s="8009"/>
      <c r="X1" s="8009"/>
      <c r="Y1" s="8009"/>
      <c r="Z1" s="8009"/>
      <c r="AA1" s="8009"/>
      <c r="AB1" s="8009"/>
      <c r="AC1" s="8009"/>
      <c r="AD1" s="8009"/>
      <c r="AE1" s="8009"/>
      <c r="AF1" s="8009"/>
      <c r="AG1" s="8009"/>
      <c r="AH1" s="8009"/>
      <c r="AI1" s="8009"/>
      <c r="AJ1" s="8009"/>
      <c r="AK1" s="8009"/>
      <c r="AL1" s="8009"/>
      <c r="AM1" s="8009"/>
      <c r="AN1" s="8009"/>
      <c r="AO1" s="8009"/>
      <c r="AP1" s="8009"/>
      <c r="AQ1" s="8009"/>
      <c r="AR1" s="748"/>
      <c r="AS1" s="748"/>
    </row>
    <row r="2" spans="1:55" ht="21.75" customHeight="1" thickBot="1">
      <c r="M2" s="8020" t="s">
        <v>398</v>
      </c>
      <c r="N2" s="8020"/>
      <c r="O2" s="8021"/>
      <c r="P2" s="8021"/>
      <c r="Q2" s="8021"/>
      <c r="R2" s="8021"/>
      <c r="S2" s="8021"/>
      <c r="T2" s="8021"/>
      <c r="U2" s="8021"/>
      <c r="V2" s="8021"/>
      <c r="W2" s="8021"/>
      <c r="X2" s="8021"/>
      <c r="Y2" s="8021"/>
      <c r="Z2" s="8021"/>
      <c r="AA2" s="8021"/>
      <c r="AB2" s="8021"/>
      <c r="AC2" s="8021"/>
      <c r="AD2" s="8021"/>
      <c r="AE2" s="8021"/>
      <c r="AF2" s="8021"/>
      <c r="AG2" s="8021"/>
      <c r="AH2" s="8021"/>
      <c r="AI2" s="8021"/>
      <c r="AJ2" s="8021"/>
      <c r="AK2" s="8021"/>
      <c r="AL2" s="8021"/>
      <c r="AM2" s="8021"/>
      <c r="AN2" s="8021"/>
      <c r="AO2" s="8021"/>
      <c r="AP2" s="8021"/>
      <c r="AQ2" s="8022"/>
      <c r="AR2" s="751"/>
      <c r="AS2" s="1273"/>
    </row>
    <row r="3" spans="1:55" ht="21.75" customHeight="1" thickBot="1">
      <c r="A3" s="7750" t="s">
        <v>248</v>
      </c>
      <c r="B3" s="7838" t="s">
        <v>249</v>
      </c>
      <c r="C3" s="7840" t="s">
        <v>250</v>
      </c>
      <c r="D3" s="8010" t="s">
        <v>251</v>
      </c>
      <c r="E3" s="8004"/>
      <c r="F3" s="8004"/>
      <c r="G3" s="8004"/>
      <c r="H3" s="8004"/>
      <c r="I3" s="8004"/>
      <c r="J3" s="8004"/>
      <c r="K3" s="8004"/>
      <c r="L3" s="8004"/>
      <c r="M3" s="7750" t="s">
        <v>282</v>
      </c>
      <c r="N3" s="7838"/>
      <c r="O3" s="7954" t="s">
        <v>2108</v>
      </c>
      <c r="P3" s="7954"/>
      <c r="Q3" s="7954"/>
      <c r="R3" s="7954"/>
      <c r="S3" s="7954"/>
      <c r="T3" s="7954"/>
      <c r="U3" s="7954"/>
      <c r="V3" s="7954"/>
      <c r="W3" s="7954"/>
      <c r="X3" s="7954"/>
      <c r="Y3" s="7954"/>
      <c r="Z3" s="7954"/>
      <c r="AA3" s="7954"/>
      <c r="AB3" s="8004"/>
      <c r="AC3" s="8004"/>
      <c r="AD3" s="8004"/>
      <c r="AE3" s="8004"/>
      <c r="AF3" s="8004"/>
      <c r="AG3" s="8004"/>
      <c r="AH3" s="8004"/>
      <c r="AI3" s="8004"/>
      <c r="AJ3" s="8004"/>
      <c r="AK3" s="8004"/>
      <c r="AL3" s="8004"/>
      <c r="AM3" s="8005"/>
      <c r="AN3" s="7844" t="s">
        <v>1912</v>
      </c>
      <c r="AO3" s="7844" t="s">
        <v>433</v>
      </c>
      <c r="AP3" s="7955" t="s">
        <v>361</v>
      </c>
      <c r="AQ3" s="7838" t="s">
        <v>283</v>
      </c>
      <c r="AR3" s="752"/>
      <c r="AS3" s="752"/>
    </row>
    <row r="4" spans="1:55" ht="21.75" customHeight="1" thickTop="1">
      <c r="A4" s="8015"/>
      <c r="B4" s="8013"/>
      <c r="C4" s="8019"/>
      <c r="D4" s="3086" t="s">
        <v>252</v>
      </c>
      <c r="E4" s="2937" t="s">
        <v>253</v>
      </c>
      <c r="F4" s="2937" t="s">
        <v>191</v>
      </c>
      <c r="G4" s="3087" t="s">
        <v>254</v>
      </c>
      <c r="H4" s="3088" t="s">
        <v>545</v>
      </c>
      <c r="I4" s="3089" t="s">
        <v>985</v>
      </c>
      <c r="J4" s="3089" t="s">
        <v>701</v>
      </c>
      <c r="K4" s="3089" t="s">
        <v>978</v>
      </c>
      <c r="L4" s="3271" t="s">
        <v>1883</v>
      </c>
      <c r="M4" s="7217" t="s">
        <v>1887</v>
      </c>
      <c r="N4" s="7216" t="s">
        <v>801</v>
      </c>
      <c r="O4" s="4604" t="s">
        <v>396</v>
      </c>
      <c r="P4" s="7445" t="s">
        <v>368</v>
      </c>
      <c r="Q4" s="7250" t="s">
        <v>369</v>
      </c>
      <c r="R4" s="4604" t="s">
        <v>370</v>
      </c>
      <c r="S4" s="3228" t="s">
        <v>371</v>
      </c>
      <c r="T4" s="3228" t="s">
        <v>372</v>
      </c>
      <c r="U4" s="3228" t="s">
        <v>373</v>
      </c>
      <c r="V4" s="3228" t="s">
        <v>374</v>
      </c>
      <c r="W4" s="3228" t="s">
        <v>375</v>
      </c>
      <c r="X4" s="3228" t="s">
        <v>376</v>
      </c>
      <c r="Y4" s="3236" t="s">
        <v>377</v>
      </c>
      <c r="Z4" s="3090" t="s">
        <v>378</v>
      </c>
      <c r="AA4" s="3236" t="s">
        <v>975</v>
      </c>
      <c r="AB4" s="4088" t="s">
        <v>367</v>
      </c>
      <c r="AC4" s="858" t="s">
        <v>379</v>
      </c>
      <c r="AD4" s="858" t="s">
        <v>380</v>
      </c>
      <c r="AE4" s="858" t="s">
        <v>381</v>
      </c>
      <c r="AF4" s="858" t="s">
        <v>382</v>
      </c>
      <c r="AG4" s="858" t="s">
        <v>383</v>
      </c>
      <c r="AH4" s="3088" t="s">
        <v>384</v>
      </c>
      <c r="AI4" s="858" t="s">
        <v>385</v>
      </c>
      <c r="AJ4" s="858" t="s">
        <v>386</v>
      </c>
      <c r="AK4" s="858" t="s">
        <v>387</v>
      </c>
      <c r="AL4" s="858" t="s">
        <v>388</v>
      </c>
      <c r="AM4" s="858" t="s">
        <v>389</v>
      </c>
      <c r="AN4" s="8024"/>
      <c r="AO4" s="8024"/>
      <c r="AP4" s="8023"/>
      <c r="AQ4" s="8013"/>
      <c r="AS4" s="752"/>
    </row>
    <row r="5" spans="1:55" ht="21.75" customHeight="1">
      <c r="A5" s="8014" t="s">
        <v>256</v>
      </c>
      <c r="B5" s="3091" t="s">
        <v>257</v>
      </c>
      <c r="C5" s="3092" t="s">
        <v>258</v>
      </c>
      <c r="D5" s="3093">
        <v>291296.00400000007</v>
      </c>
      <c r="E5" s="3094">
        <v>329777</v>
      </c>
      <c r="F5" s="3094">
        <v>309881.74400000001</v>
      </c>
      <c r="G5" s="3094">
        <v>316522.94099999999</v>
      </c>
      <c r="H5" s="3095">
        <v>334967.51500000001</v>
      </c>
      <c r="I5" s="3095">
        <v>328724</v>
      </c>
      <c r="J5" s="3095">
        <v>331021.87099999993</v>
      </c>
      <c r="K5" s="3095">
        <f>년간!C8</f>
        <v>302401.17899999995</v>
      </c>
      <c r="L5" s="7218">
        <f>년간!D8</f>
        <v>281712.78500000003</v>
      </c>
      <c r="M5" s="7220">
        <f>년간!E8</f>
        <v>282414</v>
      </c>
      <c r="N5" s="7221">
        <f>M5/10</f>
        <v>28241.4</v>
      </c>
      <c r="O5" s="5856">
        <f>년간!F8</f>
        <v>0</v>
      </c>
      <c r="P5" s="7446">
        <f>년간!G8</f>
        <v>0</v>
      </c>
      <c r="Q5" s="7251">
        <f>년간!H8</f>
        <v>27582.12</v>
      </c>
      <c r="R5" s="7429">
        <f>년간!I8</f>
        <v>0</v>
      </c>
      <c r="S5" s="3229">
        <f>년간!J8</f>
        <v>0</v>
      </c>
      <c r="T5" s="3229">
        <f>년간!K8</f>
        <v>0</v>
      </c>
      <c r="U5" s="3229">
        <f>년간!L8</f>
        <v>0</v>
      </c>
      <c r="V5" s="3229">
        <f>년간!M8</f>
        <v>0</v>
      </c>
      <c r="W5" s="3229">
        <f>년간!N8</f>
        <v>0</v>
      </c>
      <c r="X5" s="3229">
        <f>년간!O8</f>
        <v>0</v>
      </c>
      <c r="Y5" s="3237">
        <f>년간!P8</f>
        <v>0</v>
      </c>
      <c r="Z5" s="3096">
        <f>년간!Q8</f>
        <v>0</v>
      </c>
      <c r="AA5" s="3237">
        <f>SUM(O5:Z5)</f>
        <v>27582.12</v>
      </c>
      <c r="AB5" s="4808"/>
      <c r="AC5" s="3097"/>
      <c r="AD5" s="3097"/>
      <c r="AE5" s="3097"/>
      <c r="AF5" s="3097"/>
      <c r="AG5" s="3097"/>
      <c r="AH5" s="3098"/>
      <c r="AI5" s="3097"/>
      <c r="AJ5" s="3097"/>
      <c r="AK5" s="3097"/>
      <c r="AL5" s="3097"/>
      <c r="AM5" s="3097"/>
      <c r="AN5" s="3099"/>
      <c r="AO5" s="3099"/>
      <c r="AP5" s="3099"/>
      <c r="AQ5" s="3100"/>
      <c r="AR5" s="749"/>
      <c r="AS5" s="749"/>
      <c r="AY5" s="1453"/>
    </row>
    <row r="6" spans="1:55" ht="21.75" customHeight="1">
      <c r="A6" s="7799"/>
      <c r="B6" s="3091" t="s">
        <v>259</v>
      </c>
      <c r="C6" s="2980" t="s">
        <v>260</v>
      </c>
      <c r="D6" s="2960">
        <v>60.52</v>
      </c>
      <c r="E6" s="2946">
        <v>62.02</v>
      </c>
      <c r="F6" s="2947">
        <v>54.15</v>
      </c>
      <c r="G6" s="2947">
        <v>51.24</v>
      </c>
      <c r="H6" s="3101">
        <v>54.062042613628726</v>
      </c>
      <c r="I6" s="3101">
        <v>58.04</v>
      </c>
      <c r="J6" s="3101">
        <v>60.206775876441782</v>
      </c>
      <c r="K6" s="3101">
        <f>년간!C117</f>
        <v>58.694362011852682</v>
      </c>
      <c r="L6" s="3273">
        <f>년간!D117</f>
        <v>60.293596370134956</v>
      </c>
      <c r="M6" s="5958">
        <f>년간!E117</f>
        <v>62</v>
      </c>
      <c r="N6" s="5959">
        <f>M6</f>
        <v>62</v>
      </c>
      <c r="O6" s="5716">
        <f>년간!F117</f>
        <v>0</v>
      </c>
      <c r="P6" s="7447">
        <f>년간!G117</f>
        <v>0</v>
      </c>
      <c r="Q6" s="7252">
        <f>년간!H117</f>
        <v>59.686486096584552</v>
      </c>
      <c r="R6" s="7430" t="e">
        <f>년간!I117</f>
        <v>#DIV/0!</v>
      </c>
      <c r="S6" s="3230" t="e">
        <f>년간!J117</f>
        <v>#DIV/0!</v>
      </c>
      <c r="T6" s="3230" t="e">
        <f>년간!K117</f>
        <v>#DIV/0!</v>
      </c>
      <c r="U6" s="3230" t="e">
        <f>년간!L117</f>
        <v>#DIV/0!</v>
      </c>
      <c r="V6" s="3230" t="e">
        <f>년간!M117</f>
        <v>#DIV/0!</v>
      </c>
      <c r="W6" s="3230" t="e">
        <f>년간!N117</f>
        <v>#DIV/0!</v>
      </c>
      <c r="X6" s="3230" t="e">
        <f>년간!O117</f>
        <v>#DIV/0!</v>
      </c>
      <c r="Y6" s="3238" t="e">
        <f>년간!P117</f>
        <v>#DIV/0!</v>
      </c>
      <c r="Z6" s="3102" t="e">
        <f>년간!Q117</f>
        <v>#DIV/0!</v>
      </c>
      <c r="AA6" s="3238">
        <f>년간!V117</f>
        <v>59.686486096584552</v>
      </c>
      <c r="AB6" s="4809"/>
      <c r="AC6" s="2998"/>
      <c r="AD6" s="2998">
        <f>년간!H129/1000</f>
        <v>-5201.9215823093837</v>
      </c>
      <c r="AE6" s="2998" t="e">
        <f>년간!I129/1000</f>
        <v>#DIV/0!</v>
      </c>
      <c r="AF6" s="2998" t="e">
        <f>년간!J129/1000</f>
        <v>#DIV/0!</v>
      </c>
      <c r="AG6" s="2998" t="e">
        <f>년간!K129/1000</f>
        <v>#DIV/0!</v>
      </c>
      <c r="AH6" s="2998" t="e">
        <f>년간!L129/1000</f>
        <v>#DIV/0!</v>
      </c>
      <c r="AI6" s="2998" t="e">
        <f>년간!M129/1000</f>
        <v>#DIV/0!</v>
      </c>
      <c r="AJ6" s="2998" t="e">
        <f>년간!N129/1000</f>
        <v>#DIV/0!</v>
      </c>
      <c r="AK6" s="2998" t="e">
        <f>년간!O129/1000</f>
        <v>#DIV/0!</v>
      </c>
      <c r="AL6" s="2998" t="e">
        <f>년간!P129/1000</f>
        <v>#DIV/0!</v>
      </c>
      <c r="AM6" s="2998" t="e">
        <f>년간!Q129/1000</f>
        <v>#DIV/0!</v>
      </c>
      <c r="AN6" s="3103">
        <f>년간!E129/1000</f>
        <v>144116.8411802302</v>
      </c>
      <c r="AO6" s="3104">
        <f>AD6</f>
        <v>-5201.9215823093837</v>
      </c>
      <c r="AP6" s="3105">
        <f>AO6/AN6</f>
        <v>-3.609516791867471E-2</v>
      </c>
      <c r="AQ6" s="3106" t="s">
        <v>1906</v>
      </c>
      <c r="AS6" s="749"/>
      <c r="AV6" s="743"/>
    </row>
    <row r="7" spans="1:55" s="1452" customFormat="1" ht="21.75" customHeight="1">
      <c r="A7" s="7799"/>
      <c r="B7" s="6058" t="s">
        <v>1926</v>
      </c>
      <c r="C7" s="2980" t="s">
        <v>260</v>
      </c>
      <c r="D7" s="3823"/>
      <c r="E7" s="3807"/>
      <c r="F7" s="6023"/>
      <c r="G7" s="6023"/>
      <c r="H7" s="5740"/>
      <c r="I7" s="5740"/>
      <c r="J7" s="5740"/>
      <c r="K7" s="5740"/>
      <c r="L7" s="5740">
        <v>60.293596370134956</v>
      </c>
      <c r="M7" s="6110">
        <v>62</v>
      </c>
      <c r="N7" s="7222">
        <f>M7</f>
        <v>62</v>
      </c>
      <c r="O7" s="3110">
        <v>54.696835476663175</v>
      </c>
      <c r="P7" s="7448">
        <v>61.051048464278594</v>
      </c>
      <c r="Q7" s="7253">
        <f>Q53</f>
        <v>58.971230914547149</v>
      </c>
      <c r="R7" s="7431"/>
      <c r="S7" s="3111"/>
      <c r="T7" s="3111"/>
      <c r="U7" s="3111"/>
      <c r="V7" s="3111"/>
      <c r="W7" s="3111"/>
      <c r="X7" s="3111"/>
      <c r="Y7" s="3112"/>
      <c r="Z7" s="3112"/>
      <c r="AA7" s="3112"/>
      <c r="AB7" s="3113"/>
      <c r="AC7" s="3114"/>
      <c r="AD7" s="3114"/>
      <c r="AE7" s="3114"/>
      <c r="AF7" s="3114"/>
      <c r="AG7" s="3114"/>
      <c r="AH7" s="3114"/>
      <c r="AI7" s="3114"/>
      <c r="AJ7" s="3114"/>
      <c r="AK7" s="3114"/>
      <c r="AL7" s="3114"/>
      <c r="AM7" s="3114"/>
      <c r="AN7" s="3115"/>
      <c r="AO7" s="3144"/>
      <c r="AP7" s="3117"/>
      <c r="AQ7" s="3331"/>
      <c r="AS7" s="1110"/>
      <c r="AV7" s="743"/>
    </row>
    <row r="8" spans="1:55" ht="21.75" customHeight="1" thickBot="1">
      <c r="A8" s="7799"/>
      <c r="B8" s="3107" t="s">
        <v>261</v>
      </c>
      <c r="C8" s="3108" t="s">
        <v>262</v>
      </c>
      <c r="D8" s="3109">
        <v>92.99</v>
      </c>
      <c r="E8" s="1966">
        <v>98.18</v>
      </c>
      <c r="F8" s="1524">
        <v>97.91</v>
      </c>
      <c r="G8" s="1524">
        <v>97.67</v>
      </c>
      <c r="H8" s="1484">
        <v>97.281674329511944</v>
      </c>
      <c r="I8" s="1484">
        <v>98.98</v>
      </c>
      <c r="J8" s="1484">
        <v>99.204284713304929</v>
      </c>
      <c r="K8" s="1484">
        <f>년간!C111*100</f>
        <v>99.351749184463827</v>
      </c>
      <c r="L8" s="5740">
        <f>년간!D111*100</f>
        <v>99.12206884847113</v>
      </c>
      <c r="M8" s="6110">
        <f>년간!E111*100</f>
        <v>99.5</v>
      </c>
      <c r="N8" s="7222">
        <v>99.5</v>
      </c>
      <c r="O8" s="3110" t="e">
        <f>년간!F111*100</f>
        <v>#DIV/0!</v>
      </c>
      <c r="P8" s="7448" t="e">
        <f>년간!G111*100</f>
        <v>#DIV/0!</v>
      </c>
      <c r="Q8" s="7253">
        <f>년간!H111*100</f>
        <v>99.85594410631326</v>
      </c>
      <c r="R8" s="7431" t="e">
        <f>년간!I111*100</f>
        <v>#DIV/0!</v>
      </c>
      <c r="S8" s="3111" t="e">
        <f>년간!J111*100</f>
        <v>#DIV/0!</v>
      </c>
      <c r="T8" s="3111" t="e">
        <f>년간!K111*100</f>
        <v>#DIV/0!</v>
      </c>
      <c r="U8" s="3111" t="e">
        <f>년간!L111*100</f>
        <v>#DIV/0!</v>
      </c>
      <c r="V8" s="3111" t="e">
        <f>년간!M111*100</f>
        <v>#DIV/0!</v>
      </c>
      <c r="W8" s="3111" t="e">
        <f>년간!N111*100</f>
        <v>#DIV/0!</v>
      </c>
      <c r="X8" s="3111" t="e">
        <f>년간!O111*100</f>
        <v>#DIV/0!</v>
      </c>
      <c r="Y8" s="3112" t="e">
        <f>년간!P111*100</f>
        <v>#DIV/0!</v>
      </c>
      <c r="Z8" s="3112" t="e">
        <f>년간!Q111*100</f>
        <v>#DIV/0!</v>
      </c>
      <c r="AA8" s="3112">
        <f>년간!V111*100</f>
        <v>99.85594410631326</v>
      </c>
      <c r="AB8" s="3113"/>
      <c r="AC8" s="3114"/>
      <c r="AD8" s="3114">
        <f>년간!H128/1000</f>
        <v>3791.3131236452236</v>
      </c>
      <c r="AE8" s="3114" t="e">
        <f>년간!I128/1000</f>
        <v>#DIV/0!</v>
      </c>
      <c r="AF8" s="3114" t="e">
        <f>년간!J128/1000</f>
        <v>#DIV/0!</v>
      </c>
      <c r="AG8" s="3114" t="e">
        <f>년간!K128/1000</f>
        <v>#DIV/0!</v>
      </c>
      <c r="AH8" s="3114" t="e">
        <f>년간!L128/1000</f>
        <v>#DIV/0!</v>
      </c>
      <c r="AI8" s="3114" t="e">
        <f>년간!M128/1000</f>
        <v>#DIV/0!</v>
      </c>
      <c r="AJ8" s="3114" t="e">
        <f>년간!N128/1000</f>
        <v>#DIV/0!</v>
      </c>
      <c r="AK8" s="3114" t="e">
        <f>년간!O128/1000</f>
        <v>#DIV/0!</v>
      </c>
      <c r="AL8" s="3114" t="e">
        <f>년간!P128/1000</f>
        <v>#DIV/0!</v>
      </c>
      <c r="AM8" s="3114" t="e">
        <f>년간!Q128/1000</f>
        <v>#DIV/0!</v>
      </c>
      <c r="AN8" s="3115">
        <f>년간!E128/1000</f>
        <v>19341.661014379417</v>
      </c>
      <c r="AO8" s="3116">
        <f>AD8</f>
        <v>3791.3131236452236</v>
      </c>
      <c r="AP8" s="4254">
        <f>AO8/AN8</f>
        <v>0.19601796975071581</v>
      </c>
      <c r="AQ8" s="3106" t="s">
        <v>1906</v>
      </c>
      <c r="AS8" s="749"/>
      <c r="AU8" s="4934"/>
      <c r="AV8" s="743"/>
    </row>
    <row r="9" spans="1:55" ht="21.75" customHeight="1">
      <c r="A9" s="7798" t="s">
        <v>263</v>
      </c>
      <c r="B9" s="878" t="s">
        <v>264</v>
      </c>
      <c r="C9" s="879" t="s">
        <v>262</v>
      </c>
      <c r="D9" s="880">
        <v>97.95</v>
      </c>
      <c r="E9" s="881">
        <v>97.9</v>
      </c>
      <c r="F9" s="881">
        <v>97.5</v>
      </c>
      <c r="G9" s="881">
        <v>97.53</v>
      </c>
      <c r="H9" s="882">
        <v>98.00045319044726</v>
      </c>
      <c r="I9" s="882">
        <v>97.977320000000006</v>
      </c>
      <c r="J9" s="882">
        <v>97.970594907103475</v>
      </c>
      <c r="K9" s="882">
        <f>년간!C87*100</f>
        <v>97.749821155362042</v>
      </c>
      <c r="L9" s="882">
        <v>97.871144441939791</v>
      </c>
      <c r="M9" s="5868">
        <f>년간!E87*100</f>
        <v>98</v>
      </c>
      <c r="N9" s="5869">
        <v>98</v>
      </c>
      <c r="O9" s="1220" t="e">
        <f>년간!F87*100</f>
        <v>#DIV/0!</v>
      </c>
      <c r="P9" s="7449" t="e">
        <f>년간!G87*100</f>
        <v>#DIV/0!</v>
      </c>
      <c r="Q9" s="7254">
        <f>년간!H87*100</f>
        <v>97.712159552613315</v>
      </c>
      <c r="R9" s="7432" t="e">
        <f>년간!I87*100</f>
        <v>#DIV/0!</v>
      </c>
      <c r="S9" s="1010" t="e">
        <f>년간!J87*100</f>
        <v>#DIV/0!</v>
      </c>
      <c r="T9" s="1010" t="e">
        <f>년간!K87*100</f>
        <v>#DIV/0!</v>
      </c>
      <c r="U9" s="1010" t="e">
        <f>년간!L87*100</f>
        <v>#DIV/0!</v>
      </c>
      <c r="V9" s="1010" t="e">
        <f>년간!M87*100</f>
        <v>#DIV/0!</v>
      </c>
      <c r="W9" s="1010" t="e">
        <f>년간!N87*100</f>
        <v>#DIV/0!</v>
      </c>
      <c r="X9" s="1010" t="e">
        <f>년간!O87*100</f>
        <v>#DIV/0!</v>
      </c>
      <c r="Y9" s="1553" t="e">
        <f>년간!P87*100</f>
        <v>#DIV/0!</v>
      </c>
      <c r="Z9" s="1553" t="e">
        <f>년간!Q87*100</f>
        <v>#DIV/0!</v>
      </c>
      <c r="AA9" s="4827">
        <f>년간!V87*100</f>
        <v>97.712159552613315</v>
      </c>
      <c r="AB9" s="4810"/>
      <c r="AC9" s="883"/>
      <c r="AD9" s="883">
        <f>년간!H127/1000</f>
        <v>-21914.6060997288</v>
      </c>
      <c r="AE9" s="883" t="e">
        <f>년간!I127/1000</f>
        <v>#DIV/0!</v>
      </c>
      <c r="AF9" s="883" t="e">
        <f>년간!J127/1000</f>
        <v>#DIV/0!</v>
      </c>
      <c r="AG9" s="883" t="e">
        <f>년간!K127/1000</f>
        <v>#DIV/0!</v>
      </c>
      <c r="AH9" s="883" t="e">
        <f>년간!L127/1000</f>
        <v>#DIV/0!</v>
      </c>
      <c r="AI9" s="883" t="e">
        <f>년간!M127/1000</f>
        <v>#DIV/0!</v>
      </c>
      <c r="AJ9" s="883" t="e">
        <f>년간!N127/1000</f>
        <v>#DIV/0!</v>
      </c>
      <c r="AK9" s="883" t="e">
        <f>년간!O127/1000</f>
        <v>#DIV/0!</v>
      </c>
      <c r="AL9" s="883" t="e">
        <f>년간!P127/1000</f>
        <v>#DIV/0!</v>
      </c>
      <c r="AM9" s="883" t="e">
        <f>년간!Q127/1000</f>
        <v>#DIV/0!</v>
      </c>
      <c r="AN9" s="884">
        <f>년간!E127/1000</f>
        <v>178987.98754439471</v>
      </c>
      <c r="AO9" s="1301">
        <f>AD9</f>
        <v>-21914.6060997288</v>
      </c>
      <c r="AP9" s="885">
        <f>AO9/AN9</f>
        <v>-0.12243618356954419</v>
      </c>
      <c r="AQ9" s="886" t="s">
        <v>1905</v>
      </c>
      <c r="AR9" s="1274"/>
      <c r="AS9" s="749"/>
    </row>
    <row r="10" spans="1:55" ht="21.75" customHeight="1" thickBot="1">
      <c r="A10" s="7827"/>
      <c r="B10" s="2249" t="s">
        <v>265</v>
      </c>
      <c r="C10" s="2955" t="s">
        <v>258</v>
      </c>
      <c r="D10" s="3118">
        <v>23</v>
      </c>
      <c r="E10" s="3119">
        <v>83</v>
      </c>
      <c r="F10" s="3119">
        <v>143</v>
      </c>
      <c r="G10" s="3120">
        <v>155</v>
      </c>
      <c r="H10" s="1485">
        <v>59.260000000000005</v>
      </c>
      <c r="I10" s="1485">
        <v>32</v>
      </c>
      <c r="J10" s="1485">
        <v>8.3800000000000008</v>
      </c>
      <c r="K10" s="1485">
        <f>년간!C20</f>
        <v>24.889999999999997</v>
      </c>
      <c r="L10" s="1485">
        <f>년간!D20</f>
        <v>8.59</v>
      </c>
      <c r="M10" s="7223">
        <f>년간!E20</f>
        <v>4</v>
      </c>
      <c r="N10" s="7224">
        <f t="shared" ref="N10:N16" si="0">M10/10</f>
        <v>0.4</v>
      </c>
      <c r="O10" s="2092">
        <f>년간!F20</f>
        <v>0</v>
      </c>
      <c r="P10" s="7450">
        <f>년간!G20</f>
        <v>0</v>
      </c>
      <c r="Q10" s="7441">
        <f>년간!H20</f>
        <v>0</v>
      </c>
      <c r="R10" s="7433">
        <f>년간!I20</f>
        <v>0</v>
      </c>
      <c r="S10" s="2220">
        <f>[1]년간!J20</f>
        <v>0</v>
      </c>
      <c r="T10" s="2220">
        <f>년간!K20</f>
        <v>0</v>
      </c>
      <c r="U10" s="2220">
        <f>년간!L20</f>
        <v>0</v>
      </c>
      <c r="V10" s="2220">
        <f>년간!M20</f>
        <v>0</v>
      </c>
      <c r="W10" s="2220">
        <f>년간!N20</f>
        <v>0</v>
      </c>
      <c r="X10" s="2220">
        <f>년간!O20</f>
        <v>0</v>
      </c>
      <c r="Y10" s="2667">
        <f>년간!P20</f>
        <v>0</v>
      </c>
      <c r="Z10" s="2667">
        <f>년간!Q20</f>
        <v>0</v>
      </c>
      <c r="AA10" s="4828">
        <f>SUM(O10:Z10)</f>
        <v>0</v>
      </c>
      <c r="AB10" s="4811"/>
      <c r="AC10" s="3121"/>
      <c r="AD10" s="3121"/>
      <c r="AE10" s="3121"/>
      <c r="AF10" s="3121"/>
      <c r="AG10" s="3121"/>
      <c r="AH10" s="3122"/>
      <c r="AI10" s="3121"/>
      <c r="AJ10" s="3121"/>
      <c r="AK10" s="3121"/>
      <c r="AL10" s="3121"/>
      <c r="AM10" s="3121"/>
      <c r="AN10" s="3123"/>
      <c r="AO10" s="3124"/>
      <c r="AP10" s="2959"/>
      <c r="AQ10" s="2997"/>
      <c r="AR10" s="749"/>
      <c r="AS10" s="749"/>
    </row>
    <row r="11" spans="1:55" ht="21.75" customHeight="1">
      <c r="A11" s="7798" t="s">
        <v>538</v>
      </c>
      <c r="B11" s="2902" t="s">
        <v>536</v>
      </c>
      <c r="C11" s="871" t="s">
        <v>740</v>
      </c>
      <c r="D11" s="872">
        <v>5185</v>
      </c>
      <c r="E11" s="873">
        <v>5089</v>
      </c>
      <c r="F11" s="873">
        <v>5094</v>
      </c>
      <c r="G11" s="873">
        <v>5445.77</v>
      </c>
      <c r="H11" s="874">
        <v>5375.46</v>
      </c>
      <c r="I11" s="874">
        <v>5472</v>
      </c>
      <c r="J11" s="874">
        <v>4957</v>
      </c>
      <c r="K11" s="874">
        <v>4739.51</v>
      </c>
      <c r="L11" s="874">
        <v>4060.29</v>
      </c>
      <c r="M11" s="7225">
        <v>3967.74</v>
      </c>
      <c r="N11" s="7226">
        <f t="shared" si="0"/>
        <v>396.774</v>
      </c>
      <c r="O11" s="2294">
        <f>스크!B19</f>
        <v>19.54</v>
      </c>
      <c r="P11" s="7451">
        <f>스크!B20</f>
        <v>16.16</v>
      </c>
      <c r="Q11" s="7255">
        <f>스크!B21</f>
        <v>365.76</v>
      </c>
      <c r="R11" s="7434">
        <f>스크!B23</f>
        <v>0</v>
      </c>
      <c r="S11" s="2295">
        <f>스크!B24</f>
        <v>0</v>
      </c>
      <c r="T11" s="2295">
        <f>스크!B25</f>
        <v>0</v>
      </c>
      <c r="U11" s="2295">
        <f>스크!B28</f>
        <v>0</v>
      </c>
      <c r="V11" s="2295">
        <f>스크!B29</f>
        <v>0</v>
      </c>
      <c r="W11" s="2295">
        <f>스크!B30</f>
        <v>0</v>
      </c>
      <c r="X11" s="2295">
        <f>스크!B32</f>
        <v>0</v>
      </c>
      <c r="Y11" s="3828">
        <f>스크!B33</f>
        <v>0</v>
      </c>
      <c r="Z11" s="3828">
        <f>스크!B34</f>
        <v>0</v>
      </c>
      <c r="AA11" s="4829">
        <f>SUM(O11:Z11)</f>
        <v>401.46</v>
      </c>
      <c r="AB11" s="4812"/>
      <c r="AC11" s="875"/>
      <c r="AD11" s="875"/>
      <c r="AE11" s="875"/>
      <c r="AF11" s="875"/>
      <c r="AG11" s="875"/>
      <c r="AH11" s="875"/>
      <c r="AI11" s="875"/>
      <c r="AJ11" s="875"/>
      <c r="AK11" s="875"/>
      <c r="AL11" s="875"/>
      <c r="AM11" s="875"/>
      <c r="AN11" s="783"/>
      <c r="AO11" s="876"/>
      <c r="AP11" s="877"/>
      <c r="AQ11" s="3125" t="s">
        <v>1416</v>
      </c>
      <c r="AR11" s="749"/>
      <c r="AS11" s="749"/>
      <c r="AU11" s="1452"/>
      <c r="AY11" s="4935"/>
    </row>
    <row r="12" spans="1:55" ht="21.75" customHeight="1">
      <c r="A12" s="7799"/>
      <c r="B12" s="3126" t="s" ph="1">
        <v>860</v>
      </c>
      <c r="C12" s="2980" t="s">
        <v>740</v>
      </c>
      <c r="D12" s="3127"/>
      <c r="E12" s="2947">
        <v>462.49</v>
      </c>
      <c r="F12" s="2947">
        <v>875.56999999999994</v>
      </c>
      <c r="G12" s="3128">
        <f>스크!C12</f>
        <v>974.07999999999993</v>
      </c>
      <c r="H12" s="3129">
        <f>스크!C13</f>
        <v>808.61999999999989</v>
      </c>
      <c r="I12" s="3129">
        <f>스크!C14</f>
        <v>812.41000000000008</v>
      </c>
      <c r="J12" s="3129">
        <v>894.74</v>
      </c>
      <c r="K12" s="3129">
        <v>919.09999999999991</v>
      </c>
      <c r="L12" s="3814">
        <v>642.40000000000009</v>
      </c>
      <c r="M12" s="5877">
        <v>419.4468</v>
      </c>
      <c r="N12" s="5959">
        <f t="shared" si="0"/>
        <v>41.944679999999998</v>
      </c>
      <c r="O12" s="5857">
        <v>4.24</v>
      </c>
      <c r="P12" s="7452">
        <f>스크!C20</f>
        <v>0</v>
      </c>
      <c r="Q12" s="7256">
        <f>스크!C21</f>
        <v>52.97</v>
      </c>
      <c r="R12" s="7435">
        <f>스크!C23</f>
        <v>0</v>
      </c>
      <c r="S12" s="3796">
        <f>스크!C24</f>
        <v>0</v>
      </c>
      <c r="T12" s="3796">
        <f>스크!C25</f>
        <v>0</v>
      </c>
      <c r="U12" s="3796">
        <f>스크!C28</f>
        <v>0</v>
      </c>
      <c r="V12" s="3796">
        <f>스크!C29</f>
        <v>0</v>
      </c>
      <c r="W12" s="3796">
        <f>스크!C30</f>
        <v>0</v>
      </c>
      <c r="X12" s="3796">
        <f>스크!C32</f>
        <v>0</v>
      </c>
      <c r="Y12" s="3797">
        <f>스크!C33</f>
        <v>0</v>
      </c>
      <c r="Z12" s="3829">
        <f>스크!C34</f>
        <v>0</v>
      </c>
      <c r="AA12" s="3238">
        <f>SUM(O12:Z12)</f>
        <v>57.21</v>
      </c>
      <c r="AB12" s="4808"/>
      <c r="AC12" s="3130"/>
      <c r="AD12" s="3130"/>
      <c r="AE12" s="3130"/>
      <c r="AF12" s="3130"/>
      <c r="AG12" s="3130"/>
      <c r="AH12" s="3130"/>
      <c r="AI12" s="3130"/>
      <c r="AJ12" s="3130"/>
      <c r="AK12" s="3130"/>
      <c r="AL12" s="3130"/>
      <c r="AM12" s="3130"/>
      <c r="AN12" s="3099"/>
      <c r="AO12" s="3131"/>
      <c r="AP12" s="3132"/>
      <c r="AQ12" s="3125" t="s">
        <v>1417</v>
      </c>
      <c r="AR12" s="749" t="s">
        <v>1773</v>
      </c>
      <c r="AS12" s="749"/>
      <c r="AU12" s="1452"/>
    </row>
    <row r="13" spans="1:55" ht="21.75" customHeight="1">
      <c r="A13" s="7799"/>
      <c r="B13" s="3091" t="s">
        <v>537</v>
      </c>
      <c r="C13" s="2980" t="s">
        <v>740</v>
      </c>
      <c r="D13" s="3127"/>
      <c r="E13" s="2947"/>
      <c r="F13" s="2947"/>
      <c r="G13" s="3133"/>
      <c r="H13" s="3129">
        <v>213.18</v>
      </c>
      <c r="I13" s="3129">
        <v>24</v>
      </c>
      <c r="J13" s="3129">
        <v>0</v>
      </c>
      <c r="K13" s="3129">
        <v>45.37</v>
      </c>
      <c r="L13" s="3814">
        <v>45.556999999999995</v>
      </c>
      <c r="M13" s="5877">
        <v>20</v>
      </c>
      <c r="N13" s="5959">
        <f t="shared" si="0"/>
        <v>2</v>
      </c>
      <c r="O13" s="5716">
        <v>1.34</v>
      </c>
      <c r="P13" s="7447">
        <v>0</v>
      </c>
      <c r="Q13" s="7252">
        <v>0</v>
      </c>
      <c r="R13" s="7430">
        <v>0</v>
      </c>
      <c r="S13" s="3230">
        <v>0</v>
      </c>
      <c r="T13" s="3230">
        <v>0</v>
      </c>
      <c r="U13" s="3230">
        <v>0</v>
      </c>
      <c r="V13" s="3230">
        <v>0</v>
      </c>
      <c r="W13" s="3230">
        <v>0</v>
      </c>
      <c r="X13" s="3230">
        <v>0</v>
      </c>
      <c r="Y13" s="3238">
        <v>0</v>
      </c>
      <c r="Z13" s="3102">
        <v>0</v>
      </c>
      <c r="AA13" s="4830">
        <f>SUM(O13:Z13)</f>
        <v>1.34</v>
      </c>
      <c r="AB13" s="4808"/>
      <c r="AC13" s="3130"/>
      <c r="AD13" s="3130"/>
      <c r="AE13" s="3130"/>
      <c r="AF13" s="3130"/>
      <c r="AG13" s="3130"/>
      <c r="AH13" s="3130"/>
      <c r="AI13" s="3130"/>
      <c r="AJ13" s="3130"/>
      <c r="AK13" s="3130"/>
      <c r="AL13" s="3130"/>
      <c r="AM13" s="3130"/>
      <c r="AN13" s="3099"/>
      <c r="AO13" s="3131"/>
      <c r="AP13" s="3132"/>
      <c r="AQ13" s="3125" t="s">
        <v>1418</v>
      </c>
      <c r="AR13" s="749"/>
      <c r="AS13" s="749"/>
      <c r="AU13" s="1452"/>
    </row>
    <row r="14" spans="1:55" s="1452" customFormat="1" ht="21.75" customHeight="1">
      <c r="A14" s="7799"/>
      <c r="B14" s="3134" t="s">
        <v>992</v>
      </c>
      <c r="C14" s="3108" t="s">
        <v>993</v>
      </c>
      <c r="D14" s="1523"/>
      <c r="E14" s="1524"/>
      <c r="F14" s="1524"/>
      <c r="G14" s="1525"/>
      <c r="H14" s="1442">
        <v>80.09</v>
      </c>
      <c r="I14" s="1442">
        <v>31.93</v>
      </c>
      <c r="J14" s="1442">
        <v>12.39</v>
      </c>
      <c r="K14" s="1605">
        <v>24.68</v>
      </c>
      <c r="L14" s="5710">
        <v>54.010000000000005</v>
      </c>
      <c r="M14" s="7227">
        <v>22</v>
      </c>
      <c r="N14" s="5959">
        <f t="shared" si="0"/>
        <v>2.2000000000000002</v>
      </c>
      <c r="O14" s="3110">
        <v>0</v>
      </c>
      <c r="P14" s="7447">
        <v>0</v>
      </c>
      <c r="Q14" s="7253">
        <v>0</v>
      </c>
      <c r="R14" s="7431">
        <v>0</v>
      </c>
      <c r="S14" s="3111">
        <v>0</v>
      </c>
      <c r="T14" s="3111">
        <v>0</v>
      </c>
      <c r="U14" s="3111">
        <v>0</v>
      </c>
      <c r="V14" s="3111">
        <v>0</v>
      </c>
      <c r="W14" s="3111">
        <v>0</v>
      </c>
      <c r="X14" s="3111">
        <v>0</v>
      </c>
      <c r="Y14" s="3112">
        <v>0</v>
      </c>
      <c r="Z14" s="3112">
        <v>0</v>
      </c>
      <c r="AA14" s="4830">
        <f>SUM(O14:Z14)</f>
        <v>0</v>
      </c>
      <c r="AB14" s="4813"/>
      <c r="AC14" s="3135"/>
      <c r="AD14" s="3135"/>
      <c r="AE14" s="3136"/>
      <c r="AF14" s="3136"/>
      <c r="AG14" s="3136"/>
      <c r="AH14" s="3136"/>
      <c r="AI14" s="3136"/>
      <c r="AJ14" s="3136"/>
      <c r="AK14" s="3137"/>
      <c r="AL14" s="3137"/>
      <c r="AM14" s="3137"/>
      <c r="AN14" s="3138"/>
      <c r="AO14" s="3139"/>
      <c r="AP14" s="3140"/>
      <c r="AQ14" s="3125" t="s">
        <v>1419</v>
      </c>
      <c r="AR14" s="1110"/>
      <c r="AS14" s="1632"/>
      <c r="AT14" s="757"/>
      <c r="AV14" s="757"/>
      <c r="AW14" s="757"/>
      <c r="AX14" s="757"/>
      <c r="AY14" s="757"/>
      <c r="AZ14" s="757"/>
      <c r="BA14" s="757"/>
      <c r="BB14" s="757"/>
      <c r="BC14" s="757"/>
    </row>
    <row r="15" spans="1:55" s="1452" customFormat="1" ht="21.75" customHeight="1">
      <c r="A15" s="7799"/>
      <c r="B15" s="3134" t="s">
        <v>1894</v>
      </c>
      <c r="C15" s="3108" t="s">
        <v>993</v>
      </c>
      <c r="D15" s="6022"/>
      <c r="E15" s="6023"/>
      <c r="F15" s="6023"/>
      <c r="G15" s="6024"/>
      <c r="H15" s="5711"/>
      <c r="I15" s="5711"/>
      <c r="J15" s="5711"/>
      <c r="K15" s="5710"/>
      <c r="L15" s="5710">
        <v>43.07</v>
      </c>
      <c r="M15" s="7227">
        <v>10</v>
      </c>
      <c r="N15" s="5959">
        <f t="shared" si="0"/>
        <v>1</v>
      </c>
      <c r="O15" s="3110">
        <v>0</v>
      </c>
      <c r="P15" s="7447">
        <v>0</v>
      </c>
      <c r="Q15" s="7253">
        <v>0</v>
      </c>
      <c r="R15" s="7431"/>
      <c r="S15" s="3111"/>
      <c r="T15" s="3111"/>
      <c r="U15" s="3111"/>
      <c r="V15" s="3111"/>
      <c r="W15" s="3111"/>
      <c r="X15" s="3111"/>
      <c r="Y15" s="3112"/>
      <c r="Z15" s="3112"/>
      <c r="AA15" s="4830"/>
      <c r="AB15" s="4813"/>
      <c r="AC15" s="3135"/>
      <c r="AD15" s="3135"/>
      <c r="AE15" s="3136"/>
      <c r="AF15" s="3136"/>
      <c r="AG15" s="3136"/>
      <c r="AH15" s="3136"/>
      <c r="AI15" s="3136"/>
      <c r="AJ15" s="3136"/>
      <c r="AK15" s="3137"/>
      <c r="AL15" s="3137"/>
      <c r="AM15" s="3137"/>
      <c r="AN15" s="3138"/>
      <c r="AO15" s="3139"/>
      <c r="AP15" s="3140"/>
      <c r="AQ15" s="3334"/>
      <c r="AR15" s="1110"/>
      <c r="AS15" s="1632"/>
      <c r="AT15" s="6011"/>
      <c r="AV15" s="6011"/>
      <c r="AW15" s="6011"/>
      <c r="AX15" s="6011"/>
      <c r="AY15" s="6011"/>
      <c r="AZ15" s="6011"/>
      <c r="BA15" s="6011"/>
      <c r="BB15" s="6011"/>
      <c r="BC15" s="6011"/>
    </row>
    <row r="16" spans="1:55" ht="21.75" customHeight="1" thickBot="1">
      <c r="A16" s="7799"/>
      <c r="B16" s="3107" t="s">
        <v>857</v>
      </c>
      <c r="C16" s="3108" t="s">
        <v>862</v>
      </c>
      <c r="D16" s="1523"/>
      <c r="E16" s="1524"/>
      <c r="F16" s="1524"/>
      <c r="G16" s="1525">
        <f>(G11/12)+(G12/12)+(G13/12)+(CRM!G15/12)</f>
        <v>552.48750000000007</v>
      </c>
      <c r="H16" s="1482">
        <f>SUM(H11:H14)</f>
        <v>6477.35</v>
      </c>
      <c r="I16" s="1482">
        <f>SUM(I11:I14)</f>
        <v>6340.34</v>
      </c>
      <c r="J16" s="1482">
        <f>SUM(J11:J14)</f>
        <v>5864.13</v>
      </c>
      <c r="K16" s="1482">
        <f>SUM(K11:K14)</f>
        <v>5728.6600000000008</v>
      </c>
      <c r="L16" s="7219">
        <f>SUM(L11:L15)</f>
        <v>4845.3270000000002</v>
      </c>
      <c r="M16" s="7228">
        <v>4429.1867999999995</v>
      </c>
      <c r="N16" s="5957">
        <f t="shared" si="0"/>
        <v>442.91867999999994</v>
      </c>
      <c r="O16" s="7247">
        <f>SUM(O11:O15)</f>
        <v>25.12</v>
      </c>
      <c r="P16" s="7453">
        <f t="shared" ref="P16:Y16" si="1">SUM(P11:P14)</f>
        <v>16.16</v>
      </c>
      <c r="Q16" s="7257">
        <f t="shared" si="1"/>
        <v>418.73</v>
      </c>
      <c r="R16" s="7247">
        <f t="shared" si="1"/>
        <v>0</v>
      </c>
      <c r="S16" s="3231">
        <f t="shared" si="1"/>
        <v>0</v>
      </c>
      <c r="T16" s="3231">
        <f t="shared" si="1"/>
        <v>0</v>
      </c>
      <c r="U16" s="3231">
        <f t="shared" si="1"/>
        <v>0</v>
      </c>
      <c r="V16" s="3231">
        <f t="shared" si="1"/>
        <v>0</v>
      </c>
      <c r="W16" s="3231">
        <f t="shared" si="1"/>
        <v>0</v>
      </c>
      <c r="X16" s="3231">
        <f t="shared" si="1"/>
        <v>0</v>
      </c>
      <c r="Y16" s="3239">
        <f t="shared" si="1"/>
        <v>0</v>
      </c>
      <c r="Z16" s="2996">
        <f>SUM(Z11:Z15)</f>
        <v>0</v>
      </c>
      <c r="AA16" s="2996">
        <f>SUM(AA11:AA15)</f>
        <v>460.00999999999993</v>
      </c>
      <c r="AB16" s="4813"/>
      <c r="AC16" s="3136"/>
      <c r="AD16" s="3136"/>
      <c r="AE16" s="3136"/>
      <c r="AF16" s="3136"/>
      <c r="AG16" s="3136"/>
      <c r="AH16" s="3136"/>
      <c r="AI16" s="3136"/>
      <c r="AJ16" s="3136"/>
      <c r="AK16" s="3137"/>
      <c r="AL16" s="3137"/>
      <c r="AM16" s="3137"/>
      <c r="AN16" s="3138"/>
      <c r="AO16" s="3139"/>
      <c r="AP16" s="3140"/>
      <c r="AQ16" s="3125" t="s">
        <v>1420</v>
      </c>
      <c r="AR16" s="1110"/>
      <c r="AU16" s="1452"/>
      <c r="AV16" s="757"/>
      <c r="AW16" s="757"/>
      <c r="AX16" s="757"/>
      <c r="AY16" s="757"/>
      <c r="AZ16" s="757"/>
      <c r="BA16" s="757"/>
      <c r="BB16" s="757"/>
      <c r="BC16" s="757"/>
    </row>
    <row r="17" spans="1:55" ht="21.75" customHeight="1">
      <c r="A17" s="7799"/>
      <c r="B17" s="3107" t="s">
        <v>1453</v>
      </c>
      <c r="C17" s="3108" t="s">
        <v>266</v>
      </c>
      <c r="D17" s="1523">
        <v>17.801068084682683</v>
      </c>
      <c r="E17" s="1524">
        <v>16.835043074562506</v>
      </c>
      <c r="F17" s="1524">
        <v>19.265187819518658</v>
      </c>
      <c r="G17" s="1524">
        <v>20.282416117193858</v>
      </c>
      <c r="H17" s="1484">
        <v>18.464997227375001</v>
      </c>
      <c r="I17" s="1484">
        <v>19.12</v>
      </c>
      <c r="J17" s="1484">
        <v>17.968299139968313</v>
      </c>
      <c r="K17" s="1484">
        <v>19.001744698885588</v>
      </c>
      <c r="L17" s="5740">
        <v>16.873309459490812</v>
      </c>
      <c r="M17" s="7229">
        <f>(M11+M12+M13+CRM!M15)*1000/M5</f>
        <v>15.619575516794493</v>
      </c>
      <c r="N17" s="5996">
        <f>(N11+N12+N13+CRM!N15)*1000/N5</f>
        <v>15.619575516794493</v>
      </c>
      <c r="O17" s="3141"/>
      <c r="P17" s="7454"/>
      <c r="Q17" s="7258">
        <f>(Q11+Q12+Q13+CRM!Q15)*1000/Q5</f>
        <v>15.181211596498022</v>
      </c>
      <c r="R17" s="7436" t="e">
        <f>(R11+R12+R13+CRM!R15)*1000/R5</f>
        <v>#DIV/0!</v>
      </c>
      <c r="S17" s="3142" t="e">
        <f>(S11+S12+S13+CRM!S15)*1000/S5</f>
        <v>#DIV/0!</v>
      </c>
      <c r="T17" s="3142" t="e">
        <f>(T11+T12+T13+CRM!T15)*1000/T5</f>
        <v>#DIV/0!</v>
      </c>
      <c r="U17" s="3142" t="e">
        <f>(U11+U12+U13+CRM!U15)*1000/U5</f>
        <v>#DIV/0!</v>
      </c>
      <c r="V17" s="3142" t="e">
        <f>(V11+V12+V13+CRM!V15)*1000/V5</f>
        <v>#DIV/0!</v>
      </c>
      <c r="W17" s="3142" t="e">
        <f>(W11+W12+W13+CRM!W15)*1000/W5</f>
        <v>#DIV/0!</v>
      </c>
      <c r="X17" s="3142" t="e">
        <f>(X11+X12+X13+CRM!X15)*1000/X5</f>
        <v>#DIV/0!</v>
      </c>
      <c r="Y17" s="3220" t="e">
        <f>(Y11+Y12+Y13+CRM!Y15)*1000/Y5</f>
        <v>#DIV/0!</v>
      </c>
      <c r="Z17" s="3142" t="e">
        <f>(Z11+Z12+Z13+CRM!Z15)*1000/Z5</f>
        <v>#DIV/0!</v>
      </c>
      <c r="AA17" s="3220">
        <f>(AA11+AA12+AA13+CRM!AA15)*1000/AA5</f>
        <v>16.677833321006506</v>
      </c>
      <c r="AB17" s="3113"/>
      <c r="AC17" s="3113"/>
      <c r="AD17" s="3113">
        <f>($L$17-Q17)*Q5*년간!$C$213/1000000</f>
        <v>22658.944267988671</v>
      </c>
      <c r="AE17" s="3113" t="e">
        <f>($L$17-R17)*R5*년간!$C$213/1000000</f>
        <v>#DIV/0!</v>
      </c>
      <c r="AF17" s="3113" t="e">
        <f>($L$17-S17)*S5*년간!$C$213/1000000</f>
        <v>#DIV/0!</v>
      </c>
      <c r="AG17" s="3113" t="e">
        <f>($L$17-T17)*T5*년간!$C$213/1000000</f>
        <v>#DIV/0!</v>
      </c>
      <c r="AH17" s="3113" t="e">
        <f>($L$17-U17)*U5*년간!$C$213/1000000</f>
        <v>#DIV/0!</v>
      </c>
      <c r="AI17" s="3113" t="e">
        <f>($L$17-V17)*V5*년간!$C$213/1000000</f>
        <v>#DIV/0!</v>
      </c>
      <c r="AJ17" s="3113" t="e">
        <f>($L$17-W17)*W5*년간!$C$213/1000000</f>
        <v>#DIV/0!</v>
      </c>
      <c r="AK17" s="3113" t="e">
        <f>($L$17-X17)*X5*년간!$C$213/1000000</f>
        <v>#DIV/0!</v>
      </c>
      <c r="AL17" s="3113" t="e">
        <f>($L$17-Y17)*Y5*년간!$C$213/1000000</f>
        <v>#DIV/0!</v>
      </c>
      <c r="AM17" s="3113" t="e">
        <f>($L$17-Z17)*Z5*년간!$C$213/1000000</f>
        <v>#DIV/0!</v>
      </c>
      <c r="AN17" s="3115">
        <f>(L17-M17)*M5*년간!C213/1000000</f>
        <v>171900.9023737229</v>
      </c>
      <c r="AO17" s="3144">
        <f>AD17</f>
        <v>22658.944267988671</v>
      </c>
      <c r="AP17" s="3117">
        <f>AO17/AN17</f>
        <v>0.1318139925683855</v>
      </c>
      <c r="AQ17" s="886" t="s">
        <v>1904</v>
      </c>
      <c r="AR17" s="818" t="s">
        <v>1461</v>
      </c>
      <c r="AV17" s="757"/>
      <c r="AW17" s="757"/>
      <c r="AX17" s="757"/>
      <c r="AY17" s="757"/>
      <c r="AZ17" s="757"/>
      <c r="BA17" s="757"/>
      <c r="BB17" s="757"/>
      <c r="BC17" s="757"/>
    </row>
    <row r="18" spans="1:55" s="1452" customFormat="1" ht="21.75" customHeight="1" thickBot="1">
      <c r="A18" s="7827"/>
      <c r="B18" s="3154" t="s">
        <v>861</v>
      </c>
      <c r="C18" s="3108" t="s">
        <v>266</v>
      </c>
      <c r="D18" s="1523"/>
      <c r="E18" s="1524"/>
      <c r="F18" s="1524"/>
      <c r="G18" s="1524"/>
      <c r="H18" s="3221">
        <f>스크!G13</f>
        <v>18.464997227375001</v>
      </c>
      <c r="I18" s="3221">
        <f>스크!G14</f>
        <v>19.118195711389259</v>
      </c>
      <c r="J18" s="3221">
        <f>스크!G15</f>
        <v>17.677330236188251</v>
      </c>
      <c r="K18" s="3221">
        <f>스크!G16</f>
        <v>18.71226170054053</v>
      </c>
      <c r="L18" s="5850">
        <v>16.950206927953232</v>
      </c>
      <c r="M18" s="7230">
        <f>(M11+M12+M13)/M5*1000</f>
        <v>15.605411913007144</v>
      </c>
      <c r="N18" s="6093">
        <f>(N11+N12+N13)/N5*1000</f>
        <v>15.605411913007146</v>
      </c>
      <c r="O18" s="3222">
        <f>스크!G19</f>
        <v>9.1387841769014191</v>
      </c>
      <c r="P18" s="7455">
        <f>스크!G20</f>
        <v>7.6135196509841983</v>
      </c>
      <c r="Q18" s="7259">
        <f>스크!G21</f>
        <v>15.181211596498024</v>
      </c>
      <c r="R18" s="7437" t="e">
        <f>스크!G23</f>
        <v>#DIV/0!</v>
      </c>
      <c r="S18" s="3223" t="e">
        <f>스크!G24</f>
        <v>#DIV/0!</v>
      </c>
      <c r="T18" s="3223" t="e">
        <f>스크!G25</f>
        <v>#DIV/0!</v>
      </c>
      <c r="U18" s="3223" t="e">
        <f>스크!G28</f>
        <v>#DIV/0!</v>
      </c>
      <c r="V18" s="3223" t="e">
        <f>스크!G29</f>
        <v>#DIV/0!</v>
      </c>
      <c r="W18" s="3223" t="e">
        <f>스크!G30</f>
        <v>#DIV/0!</v>
      </c>
      <c r="X18" s="3223" t="e">
        <f>스크!G32</f>
        <v>#DIV/0!</v>
      </c>
      <c r="Y18" s="5846" t="e">
        <f>스크!G33</f>
        <v>#DIV/0!</v>
      </c>
      <c r="Z18" s="3223" t="e">
        <f>스크!G34</f>
        <v>#DIV/0!</v>
      </c>
      <c r="AA18" s="4831">
        <f>스크!G37</f>
        <v>14.271044003668017</v>
      </c>
      <c r="AB18" s="3224"/>
      <c r="AC18" s="3224"/>
      <c r="AD18" s="3224"/>
      <c r="AE18" s="3224"/>
      <c r="AF18" s="3224"/>
      <c r="AG18" s="3224"/>
      <c r="AH18" s="3224"/>
      <c r="AI18" s="3224"/>
      <c r="AJ18" s="3224"/>
      <c r="AK18" s="3224"/>
      <c r="AL18" s="3224"/>
      <c r="AM18" s="3224"/>
      <c r="AN18" s="3225"/>
      <c r="AO18" s="3226"/>
      <c r="AP18" s="3227"/>
      <c r="AQ18" s="3711"/>
      <c r="AR18" s="818" t="s">
        <v>1462</v>
      </c>
      <c r="AV18" s="3078"/>
      <c r="AW18" s="3078"/>
      <c r="AX18" s="3078"/>
      <c r="AY18" s="3078"/>
      <c r="AZ18" s="3078"/>
      <c r="BA18" s="3078"/>
      <c r="BB18" s="3078"/>
      <c r="BC18" s="3078"/>
    </row>
    <row r="19" spans="1:55" ht="21.75" customHeight="1" thickBot="1">
      <c r="A19" s="2904" t="s">
        <v>261</v>
      </c>
      <c r="B19" s="2905" t="s">
        <v>798</v>
      </c>
      <c r="C19" s="897" t="s">
        <v>267</v>
      </c>
      <c r="D19" s="898"/>
      <c r="E19" s="899"/>
      <c r="F19" s="900"/>
      <c r="G19" s="901">
        <v>12060</v>
      </c>
      <c r="H19" s="902">
        <v>6867</v>
      </c>
      <c r="I19" s="902">
        <v>1908</v>
      </c>
      <c r="J19" s="902">
        <v>1070.9100000000001</v>
      </c>
      <c r="K19" s="902">
        <v>2761.3699999999994</v>
      </c>
      <c r="L19" s="902">
        <v>4115.1500000000005</v>
      </c>
      <c r="M19" s="7231">
        <v>1500</v>
      </c>
      <c r="N19" s="7232">
        <f t="shared" ref="N19:N25" si="2">M19/10</f>
        <v>150</v>
      </c>
      <c r="O19" s="2093">
        <v>0</v>
      </c>
      <c r="P19" s="7456">
        <v>0</v>
      </c>
      <c r="Q19" s="7260">
        <v>11.42</v>
      </c>
      <c r="R19" s="7438">
        <v>0</v>
      </c>
      <c r="S19" s="1198">
        <v>0</v>
      </c>
      <c r="T19" s="1198">
        <v>0</v>
      </c>
      <c r="U19" s="1198">
        <v>0</v>
      </c>
      <c r="V19" s="1198">
        <v>0</v>
      </c>
      <c r="W19" s="1198">
        <v>0</v>
      </c>
      <c r="X19" s="1198">
        <v>0</v>
      </c>
      <c r="Y19" s="2668">
        <v>0</v>
      </c>
      <c r="Z19" s="2668">
        <v>0</v>
      </c>
      <c r="AA19" s="4832">
        <f t="shared" ref="AA19:AA25" si="3">SUM(O19:Z19)</f>
        <v>11.42</v>
      </c>
      <c r="AB19" s="1300"/>
      <c r="AC19" s="1300"/>
      <c r="AD19" s="1300">
        <f>($L$19/12-Q19)*년간!$E$213/1000/60</f>
        <v>6176.7506203194453</v>
      </c>
      <c r="AE19" s="1300">
        <f>($L$19/12-R19)*년간!$E$213/1000/60</f>
        <v>6389.5305346527784</v>
      </c>
      <c r="AF19" s="1300">
        <f>($L$19/12-S19)*년간!$E$213/1000/60</f>
        <v>6389.5305346527784</v>
      </c>
      <c r="AG19" s="1300">
        <f>($L$19/12-T19)*년간!$E$213/1000/60</f>
        <v>6389.5305346527784</v>
      </c>
      <c r="AH19" s="1300">
        <f>($L$19/12-U19)*년간!$E$213/1000/60</f>
        <v>6389.5305346527784</v>
      </c>
      <c r="AI19" s="1300">
        <f>($L$19/12-V19)*년간!$E$213/1000/60</f>
        <v>6389.5305346527784</v>
      </c>
      <c r="AJ19" s="1300">
        <f>($L$19/12-W19)*년간!$E$213/1000/60</f>
        <v>6389.5305346527784</v>
      </c>
      <c r="AK19" s="1300">
        <f>($L$19/12-X19)*년간!$E$213/1000/60</f>
        <v>6389.5305346527784</v>
      </c>
      <c r="AL19" s="1300">
        <f>($L$19/12-Y19)*년간!$E$213/1000/60</f>
        <v>6389.5305346527784</v>
      </c>
      <c r="AM19" s="1300">
        <f>($L$19/12-Z19)*년간!$E$213/1000/60</f>
        <v>6389.5305346527784</v>
      </c>
      <c r="AN19" s="1300">
        <f>(L19-M19)*년간!E213/1000/60</f>
        <v>48726.041415833351</v>
      </c>
      <c r="AO19" s="904">
        <f>AD19</f>
        <v>6176.7506203194453</v>
      </c>
      <c r="AP19" s="4255">
        <f>AO19/AN19</f>
        <v>0.1267648764570547</v>
      </c>
      <c r="AQ19" s="6045" t="s">
        <v>1906</v>
      </c>
      <c r="AU19" s="1452"/>
      <c r="AV19" s="757"/>
      <c r="AW19" s="757"/>
      <c r="AX19" s="757"/>
      <c r="AY19" s="757"/>
      <c r="AZ19" s="757"/>
      <c r="BA19" s="757"/>
      <c r="BB19" s="757"/>
      <c r="BC19" s="757"/>
    </row>
    <row r="20" spans="1:55" s="758" customFormat="1" ht="21.75" customHeight="1">
      <c r="A20" s="7799" t="s">
        <v>767</v>
      </c>
      <c r="B20" s="7828" t="s">
        <v>763</v>
      </c>
      <c r="C20" s="867" t="s">
        <v>766</v>
      </c>
      <c r="D20" s="890"/>
      <c r="E20" s="891"/>
      <c r="F20" s="892"/>
      <c r="G20" s="893">
        <v>69</v>
      </c>
      <c r="H20" s="894">
        <v>35</v>
      </c>
      <c r="I20" s="894">
        <v>17</v>
      </c>
      <c r="J20" s="894">
        <v>14</v>
      </c>
      <c r="K20" s="894">
        <v>24</v>
      </c>
      <c r="L20" s="894">
        <v>10</v>
      </c>
      <c r="M20" s="5888">
        <v>8</v>
      </c>
      <c r="N20" s="6014">
        <f t="shared" si="2"/>
        <v>0.8</v>
      </c>
      <c r="O20" s="2094">
        <v>0</v>
      </c>
      <c r="P20" s="7457">
        <v>0</v>
      </c>
      <c r="Q20" s="7261">
        <v>0</v>
      </c>
      <c r="R20" s="7248">
        <v>0</v>
      </c>
      <c r="S20" s="1199">
        <v>0</v>
      </c>
      <c r="T20" s="1199">
        <v>0</v>
      </c>
      <c r="U20" s="1199">
        <v>0</v>
      </c>
      <c r="V20" s="5470">
        <v>0</v>
      </c>
      <c r="W20" s="5470">
        <v>0</v>
      </c>
      <c r="X20" s="5470">
        <v>0</v>
      </c>
      <c r="Y20" s="2669">
        <v>0</v>
      </c>
      <c r="Z20" s="2669">
        <v>0</v>
      </c>
      <c r="AA20" s="4833">
        <f t="shared" si="3"/>
        <v>0</v>
      </c>
      <c r="AB20" s="4814"/>
      <c r="AC20" s="784"/>
      <c r="AD20" s="784"/>
      <c r="AE20" s="784"/>
      <c r="AF20" s="784"/>
      <c r="AG20" s="784"/>
      <c r="AH20" s="784"/>
      <c r="AI20" s="784"/>
      <c r="AJ20" s="784"/>
      <c r="AK20" s="784"/>
      <c r="AL20" s="784"/>
      <c r="AM20" s="784"/>
      <c r="AN20" s="895"/>
      <c r="AO20" s="876"/>
      <c r="AP20" s="896"/>
      <c r="AQ20" s="1202"/>
      <c r="AR20" s="757"/>
      <c r="AZ20" s="757"/>
      <c r="BA20" s="757"/>
      <c r="BB20" s="757"/>
      <c r="BC20" s="757"/>
    </row>
    <row r="21" spans="1:55" s="758" customFormat="1" ht="21.75" customHeight="1">
      <c r="A21" s="7799"/>
      <c r="B21" s="7824"/>
      <c r="C21" s="3108" t="s">
        <v>771</v>
      </c>
      <c r="D21" s="3145"/>
      <c r="E21" s="3146"/>
      <c r="F21" s="2000"/>
      <c r="G21" s="1475">
        <v>63.916666666666664</v>
      </c>
      <c r="H21" s="1443">
        <v>55.75</v>
      </c>
      <c r="I21" s="1443">
        <v>20</v>
      </c>
      <c r="J21" s="1443">
        <v>19.18</v>
      </c>
      <c r="K21" s="1443">
        <v>24.533333333333335</v>
      </c>
      <c r="L21" s="5008">
        <v>10.416666666666666</v>
      </c>
      <c r="M21" s="5961">
        <v>6.5</v>
      </c>
      <c r="N21" s="6013">
        <f t="shared" si="2"/>
        <v>0.65</v>
      </c>
      <c r="O21" s="3147">
        <v>0</v>
      </c>
      <c r="P21" s="7458">
        <v>0</v>
      </c>
      <c r="Q21" s="7262">
        <v>0</v>
      </c>
      <c r="R21" s="7249">
        <v>0</v>
      </c>
      <c r="S21" s="3148">
        <v>0</v>
      </c>
      <c r="T21" s="3148">
        <v>0</v>
      </c>
      <c r="U21" s="3148">
        <v>0</v>
      </c>
      <c r="V21" s="3148">
        <v>0</v>
      </c>
      <c r="W21" s="3148">
        <v>0</v>
      </c>
      <c r="X21" s="3148">
        <v>0</v>
      </c>
      <c r="Y21" s="3149">
        <v>0</v>
      </c>
      <c r="Z21" s="3149">
        <v>0</v>
      </c>
      <c r="AA21" s="4830">
        <f t="shared" si="3"/>
        <v>0</v>
      </c>
      <c r="AB21" s="3150"/>
      <c r="AC21" s="6017"/>
      <c r="AD21" s="6017">
        <f>($L$21/12-Q21)*년간!$E$213/1000</f>
        <v>970.4279513888888</v>
      </c>
      <c r="AE21" s="6017">
        <f>($L$21/12-R21)*년간!$E$213/1000</f>
        <v>970.4279513888888</v>
      </c>
      <c r="AF21" s="6017">
        <f>($L$21/12-S21)*년간!$E$213/1000</f>
        <v>970.4279513888888</v>
      </c>
      <c r="AG21" s="6017">
        <f>($L$21/12-T21)*년간!$E$213/1000</f>
        <v>970.4279513888888</v>
      </c>
      <c r="AH21" s="6017">
        <f>($L$21/12-U21)*년간!$E$213/1000</f>
        <v>970.4279513888888</v>
      </c>
      <c r="AI21" s="6017">
        <f>($L$21/12-V21)*년간!$E$213/1000</f>
        <v>970.4279513888888</v>
      </c>
      <c r="AJ21" s="6017">
        <f>($L$21/12-W21)*년간!$E$213/1000</f>
        <v>970.4279513888888</v>
      </c>
      <c r="AK21" s="6017">
        <f>($L$21/12-X21)*년간!$E$213/1000</f>
        <v>970.4279513888888</v>
      </c>
      <c r="AL21" s="6017">
        <f>($L$21/12-Y21)*년간!$E$213/1000</f>
        <v>970.4279513888888</v>
      </c>
      <c r="AM21" s="6017">
        <f>($L$21/12-Z21)*년간!$E$213/1000</f>
        <v>970.4279513888888</v>
      </c>
      <c r="AN21" s="3151">
        <f>(L21/12-N21)*년간!E213/1000</f>
        <v>243.77150138888877</v>
      </c>
      <c r="AO21" s="3152">
        <f>AD21</f>
        <v>970.4279513888888</v>
      </c>
      <c r="AP21" s="4256">
        <f>AO21/AN21</f>
        <v>3.9808917197452245</v>
      </c>
      <c r="AQ21" s="3153"/>
      <c r="AR21" s="1405"/>
      <c r="AZ21" s="757"/>
      <c r="BA21" s="757"/>
      <c r="BB21" s="757"/>
      <c r="BC21" s="757"/>
    </row>
    <row r="22" spans="1:55" s="758" customFormat="1" ht="21.75" customHeight="1">
      <c r="A22" s="7799"/>
      <c r="B22" s="8017" t="s">
        <v>768</v>
      </c>
      <c r="C22" s="3108" t="s">
        <v>766</v>
      </c>
      <c r="D22" s="3145"/>
      <c r="E22" s="3146"/>
      <c r="F22" s="2000"/>
      <c r="G22" s="1735">
        <v>61</v>
      </c>
      <c r="H22" s="1438">
        <v>51</v>
      </c>
      <c r="I22" s="1438">
        <v>23</v>
      </c>
      <c r="J22" s="1438">
        <v>10</v>
      </c>
      <c r="K22" s="1443">
        <v>3</v>
      </c>
      <c r="L22" s="5008">
        <v>7</v>
      </c>
      <c r="M22" s="5956">
        <f>년간!E40</f>
        <v>5</v>
      </c>
      <c r="N22" s="6013">
        <f t="shared" si="2"/>
        <v>0.5</v>
      </c>
      <c r="O22" s="3155">
        <f>년간!F40</f>
        <v>0</v>
      </c>
      <c r="P22" s="7459">
        <f>년간!G40</f>
        <v>0</v>
      </c>
      <c r="Q22" s="7263">
        <f>년간!H40</f>
        <v>1</v>
      </c>
      <c r="R22" s="3155">
        <f>년간!I40</f>
        <v>0</v>
      </c>
      <c r="S22" s="3156">
        <f>년간!J40</f>
        <v>0</v>
      </c>
      <c r="T22" s="3156">
        <f>년간!K40</f>
        <v>0</v>
      </c>
      <c r="U22" s="3156">
        <f>년간!L40</f>
        <v>0</v>
      </c>
      <c r="V22" s="3156">
        <f>년간!M40</f>
        <v>0</v>
      </c>
      <c r="W22" s="3156">
        <f>년간!N40</f>
        <v>0</v>
      </c>
      <c r="X22" s="3156">
        <f>년간!O40</f>
        <v>0</v>
      </c>
      <c r="Y22" s="3165">
        <f>년간!P40</f>
        <v>0</v>
      </c>
      <c r="Z22" s="3156">
        <f>년간!Q40</f>
        <v>0</v>
      </c>
      <c r="AA22" s="4834">
        <f>년간!R40</f>
        <v>1</v>
      </c>
      <c r="AB22" s="4815"/>
      <c r="AC22" s="3157"/>
      <c r="AD22" s="3157"/>
      <c r="AE22" s="3157"/>
      <c r="AF22" s="3157"/>
      <c r="AG22" s="3157"/>
      <c r="AH22" s="3157"/>
      <c r="AI22" s="3157"/>
      <c r="AJ22" s="3157"/>
      <c r="AK22" s="3157"/>
      <c r="AL22" s="3157"/>
      <c r="AM22" s="3157"/>
      <c r="AN22" s="3158"/>
      <c r="AO22" s="3159"/>
      <c r="AP22" s="896"/>
      <c r="AQ22" s="2997"/>
      <c r="AR22" s="757"/>
      <c r="AS22" s="5178"/>
      <c r="AZ22" s="757"/>
      <c r="BA22" s="757"/>
      <c r="BB22" s="757"/>
      <c r="BC22" s="757"/>
    </row>
    <row r="23" spans="1:55" s="758" customFormat="1" ht="21.75" customHeight="1">
      <c r="A23" s="7799"/>
      <c r="B23" s="7824"/>
      <c r="C23" s="3108" t="s">
        <v>771</v>
      </c>
      <c r="D23" s="3145"/>
      <c r="E23" s="3146"/>
      <c r="F23" s="2000"/>
      <c r="G23" s="1475">
        <v>107.4</v>
      </c>
      <c r="H23" s="1443">
        <v>93</v>
      </c>
      <c r="I23" s="1443">
        <v>27.933333333333334</v>
      </c>
      <c r="J23" s="1443">
        <v>17.75</v>
      </c>
      <c r="K23" s="1443">
        <v>8.1666666666666679</v>
      </c>
      <c r="L23" s="5008">
        <v>12.299999999999999</v>
      </c>
      <c r="M23" s="5960">
        <f>년간!E50/60</f>
        <v>10</v>
      </c>
      <c r="N23" s="6013">
        <f t="shared" si="2"/>
        <v>1</v>
      </c>
      <c r="O23" s="3147">
        <f>년간!F50/60</f>
        <v>0</v>
      </c>
      <c r="P23" s="7460">
        <f>년간!G50/60</f>
        <v>0</v>
      </c>
      <c r="Q23" s="7264">
        <f>년간!H50/60</f>
        <v>0.66666666666666663</v>
      </c>
      <c r="R23" s="3147">
        <f>년간!I50/60</f>
        <v>0</v>
      </c>
      <c r="S23" s="3160">
        <f>년간!J50/60</f>
        <v>0</v>
      </c>
      <c r="T23" s="3160">
        <f>년간!K50/60</f>
        <v>0</v>
      </c>
      <c r="U23" s="3160">
        <f>년간!L50/60</f>
        <v>0</v>
      </c>
      <c r="V23" s="3160">
        <f>년간!M50/60</f>
        <v>0</v>
      </c>
      <c r="W23" s="3160">
        <f>년간!N50/60</f>
        <v>0</v>
      </c>
      <c r="X23" s="3160">
        <f>년간!O50/60</f>
        <v>0</v>
      </c>
      <c r="Y23" s="3161">
        <f>년간!P50/60</f>
        <v>0</v>
      </c>
      <c r="Z23" s="3161">
        <f>년간!Q50/60</f>
        <v>0</v>
      </c>
      <c r="AA23" s="4830">
        <f t="shared" si="3"/>
        <v>0.66666666666666663</v>
      </c>
      <c r="AB23" s="4816"/>
      <c r="AC23" s="3192"/>
      <c r="AD23" s="3162">
        <f>년간!H176/1000</f>
        <v>603.83964969467331</v>
      </c>
      <c r="AE23" s="3162" t="e">
        <f>년간!I176/1000</f>
        <v>#DIV/0!</v>
      </c>
      <c r="AF23" s="3162" t="e">
        <f>년간!J176/1000</f>
        <v>#DIV/0!</v>
      </c>
      <c r="AG23" s="3162" t="e">
        <f>년간!K176/1000</f>
        <v>#DIV/0!</v>
      </c>
      <c r="AH23" s="3162" t="e">
        <f>년간!L176/1000</f>
        <v>#DIV/0!</v>
      </c>
      <c r="AI23" s="3162" t="e">
        <f>년간!M176/1000</f>
        <v>#DIV/0!</v>
      </c>
      <c r="AJ23" s="3162" t="e">
        <f>년간!N176/1000</f>
        <v>#DIV/0!</v>
      </c>
      <c r="AK23" s="3162" t="e">
        <f>년간!O176/1000</f>
        <v>#DIV/0!</v>
      </c>
      <c r="AL23" s="3162" t="e">
        <f>년간!P176/1000</f>
        <v>#DIV/0!</v>
      </c>
      <c r="AM23" s="3162" t="e">
        <f>년간!Q176/1000</f>
        <v>#DIV/0!</v>
      </c>
      <c r="AN23" s="3163">
        <f>년간!E176/1000</f>
        <v>2164.0966809379711</v>
      </c>
      <c r="AO23" s="3104">
        <f>AD23</f>
        <v>603.83964969467331</v>
      </c>
      <c r="AP23" s="4257">
        <f>AO23/AN23</f>
        <v>0.2790261890854871</v>
      </c>
      <c r="AQ23" s="3153"/>
      <c r="AR23" s="757"/>
      <c r="AS23" s="757"/>
      <c r="AZ23" s="757"/>
      <c r="BA23" s="757"/>
      <c r="BB23" s="757"/>
      <c r="BC23" s="757"/>
    </row>
    <row r="24" spans="1:55" s="758" customFormat="1" ht="21.75" customHeight="1">
      <c r="A24" s="7799"/>
      <c r="B24" s="8017" t="s">
        <v>769</v>
      </c>
      <c r="C24" s="3108" t="s">
        <v>766</v>
      </c>
      <c r="D24" s="3145"/>
      <c r="E24" s="3146"/>
      <c r="F24" s="2000"/>
      <c r="G24" s="1735">
        <v>51.616666666666667</v>
      </c>
      <c r="H24" s="1438">
        <v>19</v>
      </c>
      <c r="I24" s="1438">
        <v>6</v>
      </c>
      <c r="J24" s="1438">
        <v>4</v>
      </c>
      <c r="K24" s="1443">
        <v>3</v>
      </c>
      <c r="L24" s="5008">
        <v>3</v>
      </c>
      <c r="M24" s="5956">
        <f>년간!E45</f>
        <v>3</v>
      </c>
      <c r="N24" s="6013">
        <f t="shared" si="2"/>
        <v>0.3</v>
      </c>
      <c r="O24" s="3155">
        <f>년간!F45</f>
        <v>0</v>
      </c>
      <c r="P24" s="7459">
        <f>년간!G45</f>
        <v>0</v>
      </c>
      <c r="Q24" s="7263">
        <f>년간!H45</f>
        <v>0</v>
      </c>
      <c r="R24" s="3155">
        <f>년간!I45</f>
        <v>0</v>
      </c>
      <c r="S24" s="3156">
        <f>년간!J45</f>
        <v>0</v>
      </c>
      <c r="T24" s="3156">
        <f>년간!K45</f>
        <v>0</v>
      </c>
      <c r="U24" s="3156">
        <f>년간!L45</f>
        <v>0</v>
      </c>
      <c r="V24" s="3156">
        <f>년간!M45</f>
        <v>0</v>
      </c>
      <c r="W24" s="3156">
        <f>년간!N45</f>
        <v>0</v>
      </c>
      <c r="X24" s="3156">
        <f>년간!O45</f>
        <v>0</v>
      </c>
      <c r="Y24" s="3165">
        <f>년간!P45</f>
        <v>0</v>
      </c>
      <c r="Z24" s="3165">
        <f>년간!Q45</f>
        <v>0</v>
      </c>
      <c r="AA24" s="3237">
        <f t="shared" si="3"/>
        <v>0</v>
      </c>
      <c r="AB24" s="4817"/>
      <c r="AC24" s="3166"/>
      <c r="AD24" s="3166"/>
      <c r="AE24" s="3166"/>
      <c r="AF24" s="3166"/>
      <c r="AG24" s="3166"/>
      <c r="AH24" s="3166"/>
      <c r="AI24" s="3166"/>
      <c r="AJ24" s="3166"/>
      <c r="AK24" s="3166"/>
      <c r="AL24" s="3166"/>
      <c r="AM24" s="3166"/>
      <c r="AN24" s="3138"/>
      <c r="AO24" s="3131"/>
      <c r="AP24" s="3140"/>
      <c r="AQ24" s="2997"/>
      <c r="AR24" s="757"/>
      <c r="AS24" s="757"/>
      <c r="AT24" s="757"/>
      <c r="AU24" s="757"/>
      <c r="AV24" s="757"/>
      <c r="AW24" s="757"/>
      <c r="AX24" s="757"/>
      <c r="AY24" s="757"/>
      <c r="AZ24" s="757"/>
      <c r="BA24" s="757"/>
      <c r="BB24" s="757"/>
      <c r="BC24" s="757"/>
    </row>
    <row r="25" spans="1:55" s="758" customFormat="1" ht="21.75" customHeight="1" thickBot="1">
      <c r="A25" s="7799"/>
      <c r="B25" s="7828"/>
      <c r="C25" s="3108" t="s">
        <v>771</v>
      </c>
      <c r="D25" s="3145"/>
      <c r="E25" s="3146"/>
      <c r="F25" s="2000"/>
      <c r="G25" s="1475">
        <v>51.616666666666667</v>
      </c>
      <c r="H25" s="1443">
        <v>19</v>
      </c>
      <c r="I25" s="1443">
        <v>4.8</v>
      </c>
      <c r="J25" s="1443">
        <v>2.3333333333333335</v>
      </c>
      <c r="K25" s="1443">
        <v>0.91666666666666663</v>
      </c>
      <c r="L25" s="5008">
        <v>8.6666666666666661</v>
      </c>
      <c r="M25" s="7233">
        <f>년간!E55/60</f>
        <v>7</v>
      </c>
      <c r="N25" s="6013">
        <f t="shared" si="2"/>
        <v>0.7</v>
      </c>
      <c r="O25" s="3147">
        <f>년간!F55/60</f>
        <v>0</v>
      </c>
      <c r="P25" s="7460">
        <f>년간!G55/60</f>
        <v>0</v>
      </c>
      <c r="Q25" s="7264">
        <f>년간!H55/60</f>
        <v>0</v>
      </c>
      <c r="R25" s="3147">
        <f>년간!I55/60</f>
        <v>0</v>
      </c>
      <c r="S25" s="3160">
        <f>년간!J55/60</f>
        <v>0</v>
      </c>
      <c r="T25" s="3160">
        <f>년간!K55/60</f>
        <v>0</v>
      </c>
      <c r="U25" s="3160">
        <f>년간!L55/60</f>
        <v>0</v>
      </c>
      <c r="V25" s="3160">
        <f>년간!M55/60</f>
        <v>0</v>
      </c>
      <c r="W25" s="3160">
        <f>년간!N55/60</f>
        <v>0</v>
      </c>
      <c r="X25" s="3160">
        <f>년간!O55/60</f>
        <v>0</v>
      </c>
      <c r="Y25" s="3161">
        <f>년간!P55/60</f>
        <v>0</v>
      </c>
      <c r="Z25" s="3161">
        <f>년간!Q55/60</f>
        <v>0</v>
      </c>
      <c r="AA25" s="4835">
        <f t="shared" si="3"/>
        <v>0</v>
      </c>
      <c r="AB25" s="4818"/>
      <c r="AC25" s="1125"/>
      <c r="AD25" s="1125">
        <f>년간!H182/1000</f>
        <v>949.84882891362349</v>
      </c>
      <c r="AE25" s="1125" t="e">
        <f>년간!I182/1000</f>
        <v>#DIV/0!</v>
      </c>
      <c r="AF25" s="1125" t="e">
        <f>년간!J182/1000</f>
        <v>#DIV/0!</v>
      </c>
      <c r="AG25" s="1125" t="e">
        <f>년간!K182/1000</f>
        <v>#DIV/0!</v>
      </c>
      <c r="AH25" s="1125" t="e">
        <f>년간!L182/1000</f>
        <v>#DIV/0!</v>
      </c>
      <c r="AI25" s="1125" t="e">
        <f>년간!M182/1000</f>
        <v>#DIV/0!</v>
      </c>
      <c r="AJ25" s="1125" t="e">
        <f>년간!N182/1000</f>
        <v>#DIV/0!</v>
      </c>
      <c r="AK25" s="1125" t="e">
        <f>년간!O182/1000</f>
        <v>#DIV/0!</v>
      </c>
      <c r="AL25" s="1125" t="e">
        <f>년간!P182/1000</f>
        <v>#DIV/0!</v>
      </c>
      <c r="AM25" s="1125" t="e">
        <f>년간!Q182/1000</f>
        <v>#DIV/0!</v>
      </c>
      <c r="AN25" s="3151">
        <f>년간!E182/1000</f>
        <v>1576.0839396717406</v>
      </c>
      <c r="AO25" s="3168">
        <f>AD25</f>
        <v>949.84882891362349</v>
      </c>
      <c r="AP25" s="4258">
        <f>AO25/AN25</f>
        <v>0.60266385882432982</v>
      </c>
      <c r="AQ25" s="3153"/>
      <c r="AR25" s="757"/>
      <c r="AS25" s="757"/>
      <c r="AT25" s="757"/>
      <c r="AU25" s="757"/>
      <c r="AV25" s="757"/>
      <c r="AW25" s="757"/>
      <c r="AX25" s="757"/>
      <c r="AY25" s="757"/>
      <c r="AZ25" s="757"/>
      <c r="BA25" s="757"/>
      <c r="BB25" s="757"/>
      <c r="BC25" s="757"/>
    </row>
    <row r="26" spans="1:55" ht="21.75" customHeight="1">
      <c r="A26" s="7798" t="s">
        <v>268</v>
      </c>
      <c r="B26" s="7823" t="s">
        <v>269</v>
      </c>
      <c r="C26" s="913" t="s">
        <v>270</v>
      </c>
      <c r="D26" s="914">
        <v>6.9061282462826474</v>
      </c>
      <c r="E26" s="915">
        <v>5.1010324315682736</v>
      </c>
      <c r="F26" s="915">
        <v>3.5936481824072213</v>
      </c>
      <c r="G26" s="915">
        <v>3.18</v>
      </c>
      <c r="H26" s="916">
        <v>3.7</v>
      </c>
      <c r="I26" s="916">
        <v>3.48</v>
      </c>
      <c r="J26" s="916">
        <v>6</v>
      </c>
      <c r="K26" s="916">
        <v>7.1107920973624523</v>
      </c>
      <c r="L26" s="916">
        <v>6.1230810370318052</v>
      </c>
      <c r="M26" s="7234">
        <v>5.8169269851802143</v>
      </c>
      <c r="N26" s="5869">
        <v>5.8169269851802143</v>
      </c>
      <c r="O26" s="2095">
        <v>12.040998927076116</v>
      </c>
      <c r="P26" s="7461">
        <v>3.3652750985117637</v>
      </c>
      <c r="Q26" s="7265">
        <v>6.3064038956499386</v>
      </c>
      <c r="R26" s="2095"/>
      <c r="S26" s="4796"/>
      <c r="T26" s="2671"/>
      <c r="U26" s="2671"/>
      <c r="V26" s="2671"/>
      <c r="W26" s="2671"/>
      <c r="X26" s="2671"/>
      <c r="Y26" s="2672"/>
      <c r="Z26" s="2672"/>
      <c r="AA26" s="1553">
        <f t="shared" ref="AA26:AA35" si="4">AVERAGE(O26:Z26)</f>
        <v>7.2375593070792732</v>
      </c>
      <c r="AB26" s="1417"/>
      <c r="AC26" s="1417"/>
      <c r="AD26" s="1417">
        <f t="shared" ref="AD26:AM26" si="5">($K$26-Q26)*504.3*Q5/1000</f>
        <v>11188.768900306119</v>
      </c>
      <c r="AE26" s="1417">
        <f t="shared" si="5"/>
        <v>0</v>
      </c>
      <c r="AF26" s="1417">
        <f t="shared" si="5"/>
        <v>0</v>
      </c>
      <c r="AG26" s="1417">
        <f t="shared" si="5"/>
        <v>0</v>
      </c>
      <c r="AH26" s="1417">
        <f t="shared" si="5"/>
        <v>0</v>
      </c>
      <c r="AI26" s="1417">
        <f t="shared" si="5"/>
        <v>0</v>
      </c>
      <c r="AJ26" s="1417">
        <f t="shared" si="5"/>
        <v>0</v>
      </c>
      <c r="AK26" s="1417">
        <f t="shared" si="5"/>
        <v>0</v>
      </c>
      <c r="AL26" s="1417">
        <f t="shared" si="5"/>
        <v>0</v>
      </c>
      <c r="AM26" s="1417">
        <f t="shared" si="5"/>
        <v>0</v>
      </c>
      <c r="AN26" s="917">
        <f>((L26-M26)*M5/1000*504.3)</f>
        <v>43602.882618525939</v>
      </c>
      <c r="AO26" s="918">
        <f>SUM(AB26:AM26)</f>
        <v>11188.768900306119</v>
      </c>
      <c r="AP26" s="4259">
        <f>AO26/AN26</f>
        <v>0.25660617437142214</v>
      </c>
      <c r="AQ26" s="919" t="s">
        <v>2238</v>
      </c>
      <c r="AR26" s="2859"/>
      <c r="AS26" s="2859"/>
      <c r="AT26" s="757"/>
      <c r="AU26" s="8016"/>
      <c r="AV26" s="757"/>
      <c r="AW26" s="757"/>
      <c r="AX26" s="757"/>
      <c r="AY26" s="757"/>
      <c r="AZ26" s="757"/>
      <c r="BA26" s="757"/>
      <c r="BB26" s="757"/>
      <c r="BC26" s="757"/>
    </row>
    <row r="27" spans="1:55" ht="21.75" customHeight="1">
      <c r="A27" s="7799"/>
      <c r="B27" s="8018"/>
      <c r="C27" s="867" t="s">
        <v>330</v>
      </c>
      <c r="D27" s="768"/>
      <c r="E27" s="759"/>
      <c r="F27" s="759"/>
      <c r="G27" s="761">
        <v>2308</v>
      </c>
      <c r="H27" s="804">
        <v>2078</v>
      </c>
      <c r="I27" s="804">
        <v>2042</v>
      </c>
      <c r="J27" s="804">
        <v>3445</v>
      </c>
      <c r="K27" s="804">
        <v>4303.2890097450245</v>
      </c>
      <c r="L27" s="804">
        <v>3528.9980759655532</v>
      </c>
      <c r="M27" s="7235">
        <v>3352.5481721672754</v>
      </c>
      <c r="N27" s="5957">
        <v>3352.5481721672754</v>
      </c>
      <c r="O27" s="5699">
        <v>6375.6279910874282</v>
      </c>
      <c r="P27" s="7462">
        <v>1895.5247015368379</v>
      </c>
      <c r="Q27" s="7266">
        <v>3835.4002157919699</v>
      </c>
      <c r="R27" s="5699"/>
      <c r="S27" s="3232"/>
      <c r="T27" s="3232"/>
      <c r="U27" s="3232"/>
      <c r="V27" s="3232"/>
      <c r="W27" s="3232"/>
      <c r="X27" s="3232"/>
      <c r="Y27" s="3240"/>
      <c r="Z27" s="3170"/>
      <c r="AA27" s="3239">
        <f t="shared" si="4"/>
        <v>4035.5176361387453</v>
      </c>
      <c r="AB27" s="4819"/>
      <c r="AC27" s="774"/>
      <c r="AD27" s="774"/>
      <c r="AE27" s="774"/>
      <c r="AF27" s="774"/>
      <c r="AG27" s="774"/>
      <c r="AH27" s="774"/>
      <c r="AI27" s="774"/>
      <c r="AJ27" s="774"/>
      <c r="AK27" s="774"/>
      <c r="AL27" s="774"/>
      <c r="AM27" s="774"/>
      <c r="AN27" s="774"/>
      <c r="AO27" s="781"/>
      <c r="AP27" s="782"/>
      <c r="AQ27" s="1202" t="s">
        <v>998</v>
      </c>
      <c r="AR27" s="757"/>
      <c r="AS27" s="757"/>
      <c r="AT27" s="757"/>
      <c r="AU27" s="8016"/>
      <c r="AV27" s="757"/>
      <c r="AW27" s="757"/>
      <c r="AX27" s="757"/>
      <c r="AY27" s="757"/>
      <c r="AZ27" s="757"/>
      <c r="BA27" s="757"/>
      <c r="BB27" s="757"/>
      <c r="BC27" s="757"/>
    </row>
    <row r="28" spans="1:55" ht="22.5" customHeight="1">
      <c r="A28" s="7799"/>
      <c r="B28" s="8017" t="s">
        <v>271</v>
      </c>
      <c r="C28" s="2980" t="s">
        <v>272</v>
      </c>
      <c r="D28" s="3171">
        <v>19.18</v>
      </c>
      <c r="E28" s="3172">
        <v>14.69</v>
      </c>
      <c r="F28" s="2975">
        <v>15.439654361120386</v>
      </c>
      <c r="G28" s="2975">
        <v>15.3</v>
      </c>
      <c r="H28" s="2976">
        <v>14.92</v>
      </c>
      <c r="I28" s="2976">
        <v>14.55</v>
      </c>
      <c r="J28" s="2976">
        <v>13.6</v>
      </c>
      <c r="K28" s="2976">
        <v>13.953402383827582</v>
      </c>
      <c r="L28" s="5851">
        <v>14.209374742678701</v>
      </c>
      <c r="M28" s="5960">
        <v>13.498906005544766</v>
      </c>
      <c r="N28" s="7236">
        <v>13.498906005544766</v>
      </c>
      <c r="O28" s="3890">
        <v>65.184225541826081</v>
      </c>
      <c r="P28" s="7463">
        <v>115.65859771782864</v>
      </c>
      <c r="Q28" s="7442">
        <v>9.0470203160598253</v>
      </c>
      <c r="R28" s="3890"/>
      <c r="S28" s="3233"/>
      <c r="T28" s="3233"/>
      <c r="U28" s="3233"/>
      <c r="V28" s="3233"/>
      <c r="W28" s="3233"/>
      <c r="X28" s="3233"/>
      <c r="Y28" s="3241"/>
      <c r="Z28" s="3036"/>
      <c r="AA28" s="3238">
        <f t="shared" si="4"/>
        <v>63.296614525238176</v>
      </c>
      <c r="AB28" s="4820"/>
      <c r="AC28" s="4820"/>
      <c r="AD28" s="4820">
        <f t="shared" ref="AD28:AM28" si="6">($L$28-Q28)*110*Q5/1000</f>
        <v>15662.754720528632</v>
      </c>
      <c r="AE28" s="4820">
        <f t="shared" si="6"/>
        <v>0</v>
      </c>
      <c r="AF28" s="4820">
        <f t="shared" si="6"/>
        <v>0</v>
      </c>
      <c r="AG28" s="4820">
        <f t="shared" si="6"/>
        <v>0</v>
      </c>
      <c r="AH28" s="4820">
        <f t="shared" si="6"/>
        <v>0</v>
      </c>
      <c r="AI28" s="4820">
        <f t="shared" si="6"/>
        <v>0</v>
      </c>
      <c r="AJ28" s="4820">
        <f t="shared" si="6"/>
        <v>0</v>
      </c>
      <c r="AK28" s="4820">
        <f t="shared" si="6"/>
        <v>0</v>
      </c>
      <c r="AL28" s="4820">
        <f t="shared" si="6"/>
        <v>0</v>
      </c>
      <c r="AM28" s="4820">
        <f t="shared" si="6"/>
        <v>0</v>
      </c>
      <c r="AN28" s="3170">
        <f>(L28-M28)*110*M5/1000</f>
        <v>22071.094972183739</v>
      </c>
      <c r="AO28" s="3104">
        <f>SUM(AB28:AM28)</f>
        <v>15662.754720528632</v>
      </c>
      <c r="AP28" s="3164">
        <f>AO28/AN28</f>
        <v>0.70965009847805216</v>
      </c>
      <c r="AQ28" s="3173" t="s">
        <v>2234</v>
      </c>
      <c r="AR28" s="2859"/>
      <c r="AS28" s="757"/>
      <c r="AT28" s="757"/>
      <c r="AU28" s="8016"/>
      <c r="AV28" s="757"/>
      <c r="AW28" s="757"/>
      <c r="AX28" s="757"/>
      <c r="AY28" s="757"/>
      <c r="AZ28" s="757"/>
      <c r="BA28" s="757"/>
      <c r="BB28" s="757"/>
      <c r="BC28" s="757"/>
    </row>
    <row r="29" spans="1:55" ht="21.75" customHeight="1" thickBot="1">
      <c r="A29" s="7827"/>
      <c r="B29" s="7826"/>
      <c r="C29" s="921" t="s">
        <v>273</v>
      </c>
      <c r="D29" s="3174"/>
      <c r="E29" s="3175"/>
      <c r="F29" s="3176"/>
      <c r="G29" s="2008">
        <v>1610</v>
      </c>
      <c r="H29" s="1486">
        <v>1522</v>
      </c>
      <c r="I29" s="1486">
        <v>1538</v>
      </c>
      <c r="J29" s="1486">
        <v>1390</v>
      </c>
      <c r="K29" s="1486">
        <v>1411.2844637661603</v>
      </c>
      <c r="L29" s="1486">
        <v>1468.7773411294986</v>
      </c>
      <c r="M29" s="6002">
        <v>1395.3384740730237</v>
      </c>
      <c r="N29" s="7237">
        <v>1395.3384740730237</v>
      </c>
      <c r="O29" s="2041">
        <v>9207.7542393682124</v>
      </c>
      <c r="P29" s="7464">
        <v>17474.94593491645</v>
      </c>
      <c r="Q29" s="7268">
        <v>1137.9882368375786</v>
      </c>
      <c r="R29" s="2041"/>
      <c r="S29" s="2221"/>
      <c r="T29" s="2221"/>
      <c r="U29" s="2221"/>
      <c r="V29" s="2221"/>
      <c r="W29" s="2221"/>
      <c r="X29" s="2221"/>
      <c r="Y29" s="2640"/>
      <c r="Z29" s="2640"/>
      <c r="AA29" s="4836">
        <f t="shared" si="4"/>
        <v>9273.5628037074148</v>
      </c>
      <c r="AB29" s="4821"/>
      <c r="AC29" s="3177"/>
      <c r="AD29" s="3177"/>
      <c r="AE29" s="3177"/>
      <c r="AF29" s="3177"/>
      <c r="AG29" s="3177"/>
      <c r="AH29" s="3177"/>
      <c r="AI29" s="3177"/>
      <c r="AJ29" s="3177"/>
      <c r="AK29" s="3177"/>
      <c r="AL29" s="3177"/>
      <c r="AM29" s="3177"/>
      <c r="AN29" s="3177"/>
      <c r="AO29" s="3123"/>
      <c r="AP29" s="2959"/>
      <c r="AQ29" s="2995"/>
      <c r="AR29" s="757"/>
      <c r="AS29" s="757"/>
      <c r="AT29" s="757"/>
      <c r="AU29" s="8016"/>
      <c r="AV29" s="757"/>
      <c r="AW29" s="757"/>
      <c r="AX29" s="757"/>
      <c r="AY29" s="757"/>
      <c r="AZ29" s="757"/>
      <c r="BA29" s="757"/>
      <c r="BB29" s="757"/>
      <c r="BC29" s="757"/>
    </row>
    <row r="30" spans="1:55" ht="21.75" customHeight="1">
      <c r="A30" s="7799" t="s">
        <v>277</v>
      </c>
      <c r="B30" s="7828" t="s">
        <v>274</v>
      </c>
      <c r="C30" s="871" t="s">
        <v>539</v>
      </c>
      <c r="D30" s="908">
        <v>162</v>
      </c>
      <c r="E30" s="909">
        <v>95</v>
      </c>
      <c r="F30" s="909">
        <v>140</v>
      </c>
      <c r="G30" s="910">
        <v>89</v>
      </c>
      <c r="H30" s="911">
        <v>79.323305555233745</v>
      </c>
      <c r="I30" s="911">
        <v>83</v>
      </c>
      <c r="J30" s="911">
        <v>149.76006484906756</v>
      </c>
      <c r="K30" s="911">
        <v>154.3100240959532</v>
      </c>
      <c r="L30" s="911">
        <v>169.47817331220483</v>
      </c>
      <c r="M30" s="5977">
        <v>160</v>
      </c>
      <c r="N30" s="5889">
        <v>160</v>
      </c>
      <c r="O30" s="2096">
        <v>555.48280280991889</v>
      </c>
      <c r="P30" s="7465">
        <v>337.25159478737737</v>
      </c>
      <c r="Q30" s="7443">
        <v>211.0353011298624</v>
      </c>
      <c r="R30" s="7439"/>
      <c r="S30" s="1201"/>
      <c r="T30" s="1201"/>
      <c r="U30" s="1201"/>
      <c r="V30" s="1197"/>
      <c r="W30" s="1201"/>
      <c r="X30" s="1201"/>
      <c r="Y30" s="1555"/>
      <c r="Z30" s="1555"/>
      <c r="AA30" s="4837">
        <f t="shared" si="4"/>
        <v>367.92323290905284</v>
      </c>
      <c r="AB30" s="4812"/>
      <c r="AC30" s="875"/>
      <c r="AD30" s="875"/>
      <c r="AE30" s="875"/>
      <c r="AF30" s="875"/>
      <c r="AG30" s="875"/>
      <c r="AH30" s="875"/>
      <c r="AI30" s="875"/>
      <c r="AJ30" s="875"/>
      <c r="AK30" s="875"/>
      <c r="AL30" s="875"/>
      <c r="AM30" s="875"/>
      <c r="AN30" s="2794"/>
      <c r="AO30" s="876"/>
      <c r="AP30" s="877"/>
      <c r="AQ30" s="851"/>
      <c r="AR30" s="757">
        <v>5.84</v>
      </c>
      <c r="AS30" s="757"/>
      <c r="AT30" s="757"/>
      <c r="AU30" s="8016"/>
      <c r="AV30" s="757"/>
      <c r="AW30" s="757"/>
      <c r="AX30" s="757"/>
      <c r="AY30" s="757"/>
      <c r="AZ30" s="757"/>
      <c r="BA30" s="757"/>
      <c r="BB30" s="757"/>
      <c r="BC30" s="757"/>
    </row>
    <row r="31" spans="1:55" ht="21.75" customHeight="1">
      <c r="A31" s="7799"/>
      <c r="B31" s="7824"/>
      <c r="C31" s="2980" t="s">
        <v>750</v>
      </c>
      <c r="D31" s="3178"/>
      <c r="E31" s="2022"/>
      <c r="F31" s="2022"/>
      <c r="G31" s="2975">
        <v>3.01</v>
      </c>
      <c r="H31" s="2976">
        <v>2.1</v>
      </c>
      <c r="I31" s="2976">
        <v>1.87</v>
      </c>
      <c r="J31" s="2976">
        <v>1.7517361678383541</v>
      </c>
      <c r="K31" s="2976">
        <v>1.5030626334880381</v>
      </c>
      <c r="L31" s="5851">
        <v>1.5836171442787532</v>
      </c>
      <c r="M31" s="5961">
        <v>1.5</v>
      </c>
      <c r="N31" s="5989">
        <v>1.5</v>
      </c>
      <c r="O31" s="5858">
        <v>5.1914280636441026</v>
      </c>
      <c r="P31" s="7463">
        <v>3.1518840634334335</v>
      </c>
      <c r="Q31" s="7442">
        <v>1.9722921950887025</v>
      </c>
      <c r="R31" s="3890"/>
      <c r="S31" s="3233"/>
      <c r="T31" s="3233"/>
      <c r="U31" s="3233"/>
      <c r="V31" s="6124"/>
      <c r="W31" s="3233"/>
      <c r="X31" s="3233"/>
      <c r="Y31" s="3241"/>
      <c r="Z31" s="3036"/>
      <c r="AA31" s="3238">
        <f t="shared" si="4"/>
        <v>3.4385347740554124</v>
      </c>
      <c r="AB31" s="4822"/>
      <c r="AC31" s="4822"/>
      <c r="AD31" s="4822">
        <f t="shared" ref="AD31:AM31" si="7">($L$31-Q31)*Q5*107/1000</f>
        <v>-1147.0915624917345</v>
      </c>
      <c r="AE31" s="4822">
        <f t="shared" si="7"/>
        <v>0</v>
      </c>
      <c r="AF31" s="4822">
        <f t="shared" si="7"/>
        <v>0</v>
      </c>
      <c r="AG31" s="4822">
        <f t="shared" si="7"/>
        <v>0</v>
      </c>
      <c r="AH31" s="4822">
        <f t="shared" si="7"/>
        <v>0</v>
      </c>
      <c r="AI31" s="4822">
        <f t="shared" si="7"/>
        <v>0</v>
      </c>
      <c r="AJ31" s="4822">
        <f t="shared" si="7"/>
        <v>0</v>
      </c>
      <c r="AK31" s="4822">
        <f t="shared" si="7"/>
        <v>0</v>
      </c>
      <c r="AL31" s="4822">
        <f t="shared" si="7"/>
        <v>0</v>
      </c>
      <c r="AM31" s="4822">
        <f t="shared" si="7"/>
        <v>0</v>
      </c>
      <c r="AN31" s="2908">
        <f>(L31-M31)*M5*107/1000</f>
        <v>2526.7677837243596</v>
      </c>
      <c r="AO31" s="3104">
        <f>SUM(AB31:AM31)</f>
        <v>-1147.0915624917345</v>
      </c>
      <c r="AP31" s="4260">
        <f>AO31/AN31</f>
        <v>-0.45397585400624557</v>
      </c>
      <c r="AQ31" s="2906" t="s">
        <v>2224</v>
      </c>
      <c r="AR31" s="757">
        <v>14776</v>
      </c>
      <c r="AS31" s="757"/>
      <c r="AT31" s="757"/>
      <c r="AU31" s="8016"/>
      <c r="AV31" s="757"/>
      <c r="AW31" s="757"/>
      <c r="AX31" s="757"/>
      <c r="AY31" s="757"/>
      <c r="AZ31" s="757"/>
      <c r="BA31" s="757"/>
      <c r="BB31" s="757"/>
      <c r="BC31" s="757"/>
    </row>
    <row r="32" spans="1:55" ht="21.75" customHeight="1">
      <c r="A32" s="7799"/>
      <c r="B32" s="8017" t="s">
        <v>275</v>
      </c>
      <c r="C32" s="2980" t="s">
        <v>276</v>
      </c>
      <c r="D32" s="3179"/>
      <c r="E32" s="3180"/>
      <c r="F32" s="3180">
        <v>46</v>
      </c>
      <c r="G32" s="3180">
        <v>58</v>
      </c>
      <c r="H32" s="3181">
        <v>30.422368632373203</v>
      </c>
      <c r="I32" s="3181">
        <v>34</v>
      </c>
      <c r="J32" s="3181">
        <v>44.484922719846736</v>
      </c>
      <c r="K32" s="3181">
        <v>33.5185377641046</v>
      </c>
      <c r="L32" s="5852">
        <v>43.019107359889787</v>
      </c>
      <c r="M32" s="7238">
        <v>35.143431777283794</v>
      </c>
      <c r="N32" s="7239">
        <v>35.143431777283794</v>
      </c>
      <c r="O32" s="5859">
        <v>0</v>
      </c>
      <c r="P32" s="7466">
        <v>938.49821440349774</v>
      </c>
      <c r="Q32" s="7269">
        <v>0</v>
      </c>
      <c r="R32" s="5859"/>
      <c r="S32" s="3234"/>
      <c r="T32" s="3234"/>
      <c r="U32" s="3234"/>
      <c r="V32" s="6123"/>
      <c r="W32" s="3234"/>
      <c r="X32" s="3234"/>
      <c r="Y32" s="5847"/>
      <c r="Z32" s="3182"/>
      <c r="AA32" s="3239">
        <f t="shared" si="4"/>
        <v>312.83273813449927</v>
      </c>
      <c r="AB32" s="4823"/>
      <c r="AC32" s="3137"/>
      <c r="AD32" s="3137"/>
      <c r="AE32" s="3137"/>
      <c r="AF32" s="3137"/>
      <c r="AG32" s="3137"/>
      <c r="AH32" s="3137"/>
      <c r="AI32" s="3137"/>
      <c r="AJ32" s="3137"/>
      <c r="AK32" s="3137"/>
      <c r="AL32" s="3137"/>
      <c r="AM32" s="3137"/>
      <c r="AN32" s="3183"/>
      <c r="AO32" s="3131"/>
      <c r="AP32" s="3184"/>
      <c r="AQ32" s="3100"/>
      <c r="AR32" s="757"/>
      <c r="AS32" s="757"/>
      <c r="AT32" s="757"/>
      <c r="AU32" s="8016"/>
      <c r="AV32" s="757"/>
      <c r="AW32" s="757"/>
      <c r="AX32" s="757"/>
      <c r="AY32" s="757"/>
      <c r="AZ32" s="757"/>
      <c r="BA32" s="757"/>
      <c r="BB32" s="757"/>
      <c r="BC32" s="757"/>
    </row>
    <row r="33" spans="1:55" ht="21.75" customHeight="1">
      <c r="A33" s="7799"/>
      <c r="B33" s="7824"/>
      <c r="C33" s="2980" t="s">
        <v>787</v>
      </c>
      <c r="D33" s="3185"/>
      <c r="E33" s="3186"/>
      <c r="F33" s="3186"/>
      <c r="G33" s="3186">
        <v>23.73</v>
      </c>
      <c r="H33" s="3187">
        <v>12.27</v>
      </c>
      <c r="I33" s="3187">
        <v>14</v>
      </c>
      <c r="J33" s="3187">
        <v>17.8699288031513</v>
      </c>
      <c r="K33" s="3187">
        <v>13.461260146226747</v>
      </c>
      <c r="L33" s="5853">
        <v>17.276749943730838</v>
      </c>
      <c r="M33" s="7240">
        <v>14.11382802300554</v>
      </c>
      <c r="N33" s="7239">
        <v>14.11382802300554</v>
      </c>
      <c r="O33" s="5860">
        <v>0</v>
      </c>
      <c r="P33" s="7466">
        <v>376.90691341505931</v>
      </c>
      <c r="Q33" s="7269">
        <v>0</v>
      </c>
      <c r="R33" s="5859"/>
      <c r="S33" s="3234"/>
      <c r="T33" s="3234"/>
      <c r="U33" s="3234"/>
      <c r="V33" s="3234"/>
      <c r="W33" s="3234"/>
      <c r="X33" s="3234"/>
      <c r="Y33" s="5847"/>
      <c r="Z33" s="3182"/>
      <c r="AA33" s="3239">
        <f t="shared" si="4"/>
        <v>125.63563780501977</v>
      </c>
      <c r="AB33" s="3188"/>
      <c r="AC33" s="3188"/>
      <c r="AD33" s="3188">
        <f t="shared" ref="AD33:AM33" si="8">($L$33-Q33)*Q5*2.49/1000</f>
        <v>1186.5581814933632</v>
      </c>
      <c r="AE33" s="3188">
        <f t="shared" si="8"/>
        <v>0</v>
      </c>
      <c r="AF33" s="3188">
        <f t="shared" si="8"/>
        <v>0</v>
      </c>
      <c r="AG33" s="3188">
        <f t="shared" si="8"/>
        <v>0</v>
      </c>
      <c r="AH33" s="3188">
        <f t="shared" si="8"/>
        <v>0</v>
      </c>
      <c r="AI33" s="3188">
        <f t="shared" si="8"/>
        <v>0</v>
      </c>
      <c r="AJ33" s="3188">
        <f t="shared" si="8"/>
        <v>0</v>
      </c>
      <c r="AK33" s="3188">
        <f t="shared" si="8"/>
        <v>0</v>
      </c>
      <c r="AL33" s="3188">
        <f t="shared" si="8"/>
        <v>0</v>
      </c>
      <c r="AM33" s="3188">
        <f t="shared" si="8"/>
        <v>0</v>
      </c>
      <c r="AN33" s="3189">
        <f>(L33-M33)*M5*2.49/1000</f>
        <v>2224.2010439860887</v>
      </c>
      <c r="AO33" s="3104">
        <f>SUM(AB33:AM33)</f>
        <v>1186.5581814933632</v>
      </c>
      <c r="AP33" s="3164">
        <f>AO33/AN33</f>
        <v>0.53347613728607912</v>
      </c>
      <c r="AQ33" s="3190" t="s">
        <v>1330</v>
      </c>
      <c r="AR33" s="757"/>
      <c r="AS33" s="1631"/>
      <c r="AT33" s="757"/>
      <c r="AU33" s="757"/>
      <c r="AV33" s="757"/>
      <c r="AW33" s="757"/>
      <c r="AX33" s="757"/>
      <c r="AY33" s="757"/>
      <c r="AZ33" s="757"/>
      <c r="BA33" s="757"/>
      <c r="BB33" s="757"/>
      <c r="BC33" s="757"/>
    </row>
    <row r="34" spans="1:55" ht="21.75" customHeight="1">
      <c r="A34" s="7799"/>
      <c r="B34" s="3134" t="s">
        <v>747</v>
      </c>
      <c r="C34" s="2980" t="s">
        <v>414</v>
      </c>
      <c r="D34" s="3185"/>
      <c r="E34" s="3186"/>
      <c r="F34" s="3186"/>
      <c r="G34" s="3133"/>
      <c r="H34" s="2982">
        <v>259</v>
      </c>
      <c r="I34" s="2982">
        <v>214</v>
      </c>
      <c r="J34" s="2982">
        <v>92.656179432341744</v>
      </c>
      <c r="K34" s="2982">
        <v>148.74917498584327</v>
      </c>
      <c r="L34" s="3277">
        <v>103.51575464413517</v>
      </c>
      <c r="M34" s="7235">
        <v>173</v>
      </c>
      <c r="N34" s="5957">
        <v>173</v>
      </c>
      <c r="O34" s="5700">
        <v>0</v>
      </c>
      <c r="P34" s="7467">
        <v>0</v>
      </c>
      <c r="Q34" s="7270">
        <v>0</v>
      </c>
      <c r="R34" s="5700"/>
      <c r="S34" s="3235"/>
      <c r="T34" s="3235"/>
      <c r="U34" s="3235"/>
      <c r="V34" s="3235"/>
      <c r="W34" s="3235"/>
      <c r="X34" s="3235"/>
      <c r="Y34" s="5848"/>
      <c r="Z34" s="3163"/>
      <c r="AA34" s="3239">
        <f t="shared" si="4"/>
        <v>0</v>
      </c>
      <c r="AB34" s="3188"/>
      <c r="AC34" s="3188"/>
      <c r="AD34" s="3188">
        <f t="shared" ref="AD34:AM34" si="9">($L$34-Q34)*Q5/1000</f>
        <v>2855.1839664850932</v>
      </c>
      <c r="AE34" s="3188">
        <f t="shared" si="9"/>
        <v>0</v>
      </c>
      <c r="AF34" s="3188">
        <f t="shared" si="9"/>
        <v>0</v>
      </c>
      <c r="AG34" s="3188">
        <f t="shared" si="9"/>
        <v>0</v>
      </c>
      <c r="AH34" s="3188">
        <f t="shared" si="9"/>
        <v>0</v>
      </c>
      <c r="AI34" s="3188">
        <f t="shared" si="9"/>
        <v>0</v>
      </c>
      <c r="AJ34" s="3188">
        <f t="shared" si="9"/>
        <v>0</v>
      </c>
      <c r="AK34" s="3188">
        <f t="shared" si="9"/>
        <v>0</v>
      </c>
      <c r="AL34" s="3188">
        <f t="shared" si="9"/>
        <v>0</v>
      </c>
      <c r="AM34" s="3188">
        <f t="shared" si="9"/>
        <v>0</v>
      </c>
      <c r="AN34" s="3192">
        <f>(L34-M34)*M5/1000</f>
        <v>-19623.32366793121</v>
      </c>
      <c r="AO34" s="3104">
        <f>SUM(AB34:AM34)</f>
        <v>2855.1839664850932</v>
      </c>
      <c r="AP34" s="4261">
        <f>AO34/AN34</f>
        <v>-0.14549950940018821</v>
      </c>
      <c r="AQ34" s="3125" t="s">
        <v>2225</v>
      </c>
      <c r="AR34" s="757"/>
      <c r="AS34" s="757"/>
      <c r="AT34" s="757"/>
      <c r="AU34" s="757"/>
      <c r="AV34" s="757"/>
      <c r="AW34" s="757"/>
      <c r="AX34" s="757"/>
      <c r="AY34" s="757"/>
      <c r="AZ34" s="757"/>
      <c r="BA34" s="757"/>
      <c r="BB34" s="757"/>
      <c r="BC34" s="757"/>
    </row>
    <row r="35" spans="1:55" ht="21.75" customHeight="1" thickBot="1">
      <c r="A35" s="7799"/>
      <c r="B35" s="3107" t="s">
        <v>755</v>
      </c>
      <c r="C35" s="3108" t="s">
        <v>276</v>
      </c>
      <c r="D35" s="3193">
        <v>737</v>
      </c>
      <c r="E35" s="3194">
        <v>764</v>
      </c>
      <c r="F35" s="3194">
        <v>920</v>
      </c>
      <c r="G35" s="3194">
        <v>710</v>
      </c>
      <c r="H35" s="1487">
        <v>804.55310718712531</v>
      </c>
      <c r="I35" s="1487">
        <v>671</v>
      </c>
      <c r="J35" s="1487">
        <v>517.23473829824388</v>
      </c>
      <c r="K35" s="1487">
        <v>635.2418619413146</v>
      </c>
      <c r="L35" s="5854">
        <v>636.83616904167434</v>
      </c>
      <c r="M35" s="6026">
        <v>600</v>
      </c>
      <c r="N35" s="6260">
        <v>600</v>
      </c>
      <c r="O35" s="7112">
        <v>5417.6433722768388</v>
      </c>
      <c r="P35" s="7468">
        <v>5479.4585732188798</v>
      </c>
      <c r="Q35" s="7271">
        <v>375.10427044766686</v>
      </c>
      <c r="R35" s="7112"/>
      <c r="S35" s="7113"/>
      <c r="T35" s="7113"/>
      <c r="U35" s="7113"/>
      <c r="V35" s="7113"/>
      <c r="W35" s="7113"/>
      <c r="X35" s="7113"/>
      <c r="Y35" s="7111"/>
      <c r="Z35" s="7111"/>
      <c r="AA35" s="3116">
        <f t="shared" si="4"/>
        <v>3757.4020719811288</v>
      </c>
      <c r="AB35" s="3188"/>
      <c r="AC35" s="3188"/>
      <c r="AD35" s="3188">
        <f t="shared" ref="AD35:AM35" si="10">($L$35-Q35)*Q5/1000</f>
        <v>7219.1206348477454</v>
      </c>
      <c r="AE35" s="3188">
        <f t="shared" si="10"/>
        <v>0</v>
      </c>
      <c r="AF35" s="3188">
        <f t="shared" si="10"/>
        <v>0</v>
      </c>
      <c r="AG35" s="3188">
        <f t="shared" si="10"/>
        <v>0</v>
      </c>
      <c r="AH35" s="3188">
        <f t="shared" si="10"/>
        <v>0</v>
      </c>
      <c r="AI35" s="3188">
        <f t="shared" si="10"/>
        <v>0</v>
      </c>
      <c r="AJ35" s="3188">
        <f t="shared" si="10"/>
        <v>0</v>
      </c>
      <c r="AK35" s="3188">
        <f t="shared" si="10"/>
        <v>0</v>
      </c>
      <c r="AL35" s="3188">
        <f t="shared" si="10"/>
        <v>0</v>
      </c>
      <c r="AM35" s="3188">
        <f t="shared" si="10"/>
        <v>0</v>
      </c>
      <c r="AN35" s="3195">
        <f>(L35-M35)*M5/1000</f>
        <v>10403.049843735418</v>
      </c>
      <c r="AO35" s="3144">
        <f>SUM(AB35:AM35)</f>
        <v>7219.1206348477454</v>
      </c>
      <c r="AP35" s="3169">
        <f>AO35/AN35</f>
        <v>0.69394271327028256</v>
      </c>
      <c r="AQ35" s="3196"/>
      <c r="AR35" s="757"/>
      <c r="AS35" s="757"/>
      <c r="AT35" s="757"/>
      <c r="AU35" s="757"/>
      <c r="AV35" s="757"/>
      <c r="AW35" s="757"/>
      <c r="AX35" s="757"/>
      <c r="AY35" s="757"/>
      <c r="AZ35" s="757"/>
      <c r="BA35" s="757"/>
      <c r="BB35" s="757"/>
      <c r="BC35" s="757"/>
    </row>
    <row r="36" spans="1:55" ht="21.75" customHeight="1" thickBot="1">
      <c r="A36" s="2904" t="s">
        <v>412</v>
      </c>
      <c r="B36" s="2905" t="s">
        <v>413</v>
      </c>
      <c r="C36" s="897" t="s">
        <v>414</v>
      </c>
      <c r="D36" s="925"/>
      <c r="E36" s="926"/>
      <c r="F36" s="926">
        <v>2990</v>
      </c>
      <c r="G36" s="926">
        <v>3017</v>
      </c>
      <c r="H36" s="927">
        <v>3022.2867469820171</v>
      </c>
      <c r="I36" s="927">
        <v>3343.853489453621</v>
      </c>
      <c r="J36" s="927">
        <v>3788.6690513114572</v>
      </c>
      <c r="K36" s="927">
        <v>4455.0622722766366</v>
      </c>
      <c r="L36" s="927">
        <v>4050.3047787771357</v>
      </c>
      <c r="M36" s="7241">
        <f>L36-L36*0.03</f>
        <v>3928.7956354138214</v>
      </c>
      <c r="N36" s="7242">
        <v>3928.7956354138214</v>
      </c>
      <c r="O36" s="928">
        <v>47521.261470249847</v>
      </c>
      <c r="P36" s="7469">
        <v>43578.817360332432</v>
      </c>
      <c r="Q36" s="7272">
        <v>4014.9334336882011</v>
      </c>
      <c r="R36" s="928"/>
      <c r="S36" s="929"/>
      <c r="T36" s="929"/>
      <c r="U36" s="929"/>
      <c r="V36" s="929"/>
      <c r="W36" s="929"/>
      <c r="X36" s="929"/>
      <c r="Y36" s="2670"/>
      <c r="Z36" s="2670"/>
      <c r="AA36" s="4838">
        <f>AVERAGE(O36:Y36)</f>
        <v>31705.004088090162</v>
      </c>
      <c r="AB36" s="1300"/>
      <c r="AC36" s="1300"/>
      <c r="AD36" s="1300">
        <f t="shared" ref="AD36:AM36" si="11">($L$36-Q36)*Q5/1000</f>
        <v>975.61668480440221</v>
      </c>
      <c r="AE36" s="1300">
        <f t="shared" si="11"/>
        <v>0</v>
      </c>
      <c r="AF36" s="1300">
        <f t="shared" si="11"/>
        <v>0</v>
      </c>
      <c r="AG36" s="1300">
        <f t="shared" si="11"/>
        <v>0</v>
      </c>
      <c r="AH36" s="1300">
        <f t="shared" si="11"/>
        <v>0</v>
      </c>
      <c r="AI36" s="1300">
        <f t="shared" si="11"/>
        <v>0</v>
      </c>
      <c r="AJ36" s="1300">
        <f t="shared" si="11"/>
        <v>0</v>
      </c>
      <c r="AK36" s="1300">
        <f t="shared" si="11"/>
        <v>0</v>
      </c>
      <c r="AL36" s="1300">
        <f t="shared" si="11"/>
        <v>0</v>
      </c>
      <c r="AM36" s="1300">
        <f t="shared" si="11"/>
        <v>0</v>
      </c>
      <c r="AN36" s="903">
        <f>(L36-M36)*M5/1000</f>
        <v>34315.883213807028</v>
      </c>
      <c r="AO36" s="904">
        <f>SUM(AB36:AM36)</f>
        <v>975.61668480440221</v>
      </c>
      <c r="AP36" s="905">
        <f>1-(AO36/AN36)</f>
        <v>0.97156953009993163</v>
      </c>
      <c r="AQ36" s="930" t="s">
        <v>1606</v>
      </c>
      <c r="AR36" s="757"/>
      <c r="AS36" s="757"/>
      <c r="AT36" s="757"/>
      <c r="AU36" s="757"/>
      <c r="AV36" s="757"/>
      <c r="AW36" s="757"/>
      <c r="AX36" s="757"/>
      <c r="AY36" s="757"/>
      <c r="AZ36" s="757"/>
      <c r="BA36" s="757"/>
      <c r="BB36" s="757"/>
      <c r="BC36" s="757"/>
    </row>
    <row r="37" spans="1:55" ht="21" customHeight="1">
      <c r="A37" s="7799" t="s">
        <v>741</v>
      </c>
      <c r="B37" s="2903" t="s">
        <v>743</v>
      </c>
      <c r="C37" s="867" t="s">
        <v>745</v>
      </c>
      <c r="D37" s="770"/>
      <c r="E37" s="336"/>
      <c r="F37" s="336"/>
      <c r="G37" s="336">
        <v>0</v>
      </c>
      <c r="H37" s="804">
        <v>12</v>
      </c>
      <c r="I37" s="804">
        <v>13</v>
      </c>
      <c r="J37" s="804"/>
      <c r="K37" s="804">
        <v>15</v>
      </c>
      <c r="L37" s="804">
        <v>10</v>
      </c>
      <c r="M37" s="7243"/>
      <c r="N37" s="7244"/>
      <c r="O37" s="5861">
        <v>0</v>
      </c>
      <c r="P37" s="7470">
        <v>0</v>
      </c>
      <c r="Q37" s="7273"/>
      <c r="R37" s="5861"/>
      <c r="S37" s="4467"/>
      <c r="T37" s="4467"/>
      <c r="U37" s="4467"/>
      <c r="V37" s="4467"/>
      <c r="W37" s="4467"/>
      <c r="X37" s="4467"/>
      <c r="Y37" s="1164"/>
      <c r="Z37" s="1164"/>
      <c r="AA37" s="4839">
        <f>SUM(O37:Z37)</f>
        <v>0</v>
      </c>
      <c r="AB37" s="4824">
        <f>'성과개선 실적'!M3</f>
        <v>0</v>
      </c>
      <c r="AC37" s="923">
        <f>'성과개선 실적'!N3</f>
        <v>0</v>
      </c>
      <c r="AD37" s="923">
        <f>'성과개선 실적'!O3</f>
        <v>17897.797002413383</v>
      </c>
      <c r="AE37" s="923" t="e">
        <f>'성과개선 실적'!P3</f>
        <v>#DIV/0!</v>
      </c>
      <c r="AF37" s="923" t="e">
        <f>'성과개선 실적'!Q3</f>
        <v>#DIV/0!</v>
      </c>
      <c r="AG37" s="923" t="e">
        <f>'성과개선 실적'!R3</f>
        <v>#DIV/0!</v>
      </c>
      <c r="AH37" s="760" t="e">
        <f>'성과개선 실적'!S3</f>
        <v>#DIV/0!</v>
      </c>
      <c r="AI37" s="923" t="e">
        <f>'성과개선 실적'!T3</f>
        <v>#DIV/0!</v>
      </c>
      <c r="AJ37" s="923" t="e">
        <f>'성과개선 실적'!U3</f>
        <v>#DIV/0!</v>
      </c>
      <c r="AK37" s="923" t="e">
        <f>'성과개선 실적'!V3</f>
        <v>#DIV/0!</v>
      </c>
      <c r="AL37" s="923" t="e">
        <f>'성과개선 실적'!W3</f>
        <v>#DIV/0!</v>
      </c>
      <c r="AM37" s="923" t="e">
        <f>'성과개선 실적'!X3</f>
        <v>#DIV/0!</v>
      </c>
      <c r="AN37" s="923">
        <v>483718</v>
      </c>
      <c r="AO37" s="924" t="e">
        <f>AB37+AC37+AD37+AE37+AF37+AG37+AH37+AI37+AJ37</f>
        <v>#DIV/0!</v>
      </c>
      <c r="AP37" s="912" t="e">
        <f>AO37/AN37</f>
        <v>#DIV/0!</v>
      </c>
      <c r="AQ37" s="2907"/>
      <c r="AR37" s="757"/>
      <c r="AS37" s="757"/>
      <c r="AT37" s="757"/>
      <c r="AU37" s="757"/>
      <c r="AV37" s="757"/>
      <c r="AW37" s="757"/>
      <c r="AX37" s="757"/>
      <c r="AY37" s="757"/>
      <c r="AZ37" s="757"/>
      <c r="BA37" s="757"/>
      <c r="BB37" s="757"/>
      <c r="BC37" s="757"/>
    </row>
    <row r="38" spans="1:55" ht="21.75" customHeight="1" thickBot="1">
      <c r="A38" s="7827"/>
      <c r="B38" s="2249" t="s">
        <v>742</v>
      </c>
      <c r="C38" s="2955" t="s">
        <v>744</v>
      </c>
      <c r="D38" s="3197"/>
      <c r="E38" s="1998"/>
      <c r="F38" s="1998"/>
      <c r="G38" s="1998">
        <v>0</v>
      </c>
      <c r="H38" s="1486">
        <v>1394256.1890849057</v>
      </c>
      <c r="I38" s="1486">
        <v>547594</v>
      </c>
      <c r="J38" s="2829">
        <v>257939</v>
      </c>
      <c r="K38" s="2926">
        <v>-781342.37821694068</v>
      </c>
      <c r="L38" s="5855">
        <v>538006.45332628</v>
      </c>
      <c r="M38" s="7245"/>
      <c r="N38" s="7246"/>
      <c r="O38" s="922"/>
      <c r="P38" s="7471"/>
      <c r="Q38" s="7274"/>
      <c r="R38" s="922"/>
      <c r="S38" s="923"/>
      <c r="T38" s="923"/>
      <c r="U38" s="923"/>
      <c r="V38" s="923"/>
      <c r="W38" s="923"/>
      <c r="X38" s="923"/>
      <c r="Y38" s="760"/>
      <c r="Z38" s="760"/>
      <c r="AA38" s="760"/>
      <c r="AB38" s="4825"/>
      <c r="AC38" s="3195"/>
      <c r="AD38" s="3198"/>
      <c r="AE38" s="3198"/>
      <c r="AF38" s="3198"/>
      <c r="AG38" s="3198"/>
      <c r="AH38" s="3191"/>
      <c r="AI38" s="3198"/>
      <c r="AJ38" s="3198"/>
      <c r="AK38" s="3198"/>
      <c r="AL38" s="3198"/>
      <c r="AM38" s="3198"/>
      <c r="AN38" s="3195"/>
      <c r="AO38" s="3144"/>
      <c r="AP38" s="3169"/>
      <c r="AQ38" s="3196"/>
      <c r="AR38" s="757"/>
      <c r="AS38" s="757"/>
      <c r="AT38" s="757"/>
      <c r="AU38" s="757"/>
      <c r="AV38" s="757"/>
      <c r="AW38" s="757"/>
      <c r="AX38" s="757"/>
      <c r="AY38" s="757"/>
      <c r="AZ38" s="757"/>
      <c r="BA38" s="757"/>
      <c r="BB38" s="757"/>
      <c r="BC38" s="757"/>
    </row>
    <row r="39" spans="1:55" ht="21.75" customHeight="1" thickBot="1">
      <c r="A39" s="8011" t="s">
        <v>304</v>
      </c>
      <c r="B39" s="8012"/>
      <c r="C39" s="870" t="s">
        <v>276</v>
      </c>
      <c r="D39" s="772"/>
      <c r="E39" s="337"/>
      <c r="F39" s="337"/>
      <c r="G39" s="337"/>
      <c r="H39" s="805"/>
      <c r="I39" s="805"/>
      <c r="J39" s="805"/>
      <c r="K39" s="805"/>
      <c r="L39" s="805"/>
      <c r="M39" s="5905"/>
      <c r="N39" s="5906"/>
      <c r="O39" s="7114">
        <f>AB39</f>
        <v>0</v>
      </c>
      <c r="P39" s="7472">
        <f>AC39</f>
        <v>0</v>
      </c>
      <c r="Q39" s="7444">
        <f t="shared" ref="Q39:Z39" si="12">AD39</f>
        <v>17897.797002413383</v>
      </c>
      <c r="R39" s="7440" t="e">
        <f t="shared" si="12"/>
        <v>#DIV/0!</v>
      </c>
      <c r="S39" s="1203" t="e">
        <f t="shared" si="12"/>
        <v>#DIV/0!</v>
      </c>
      <c r="T39" s="1203" t="e">
        <f t="shared" si="12"/>
        <v>#DIV/0!</v>
      </c>
      <c r="U39" s="1203" t="e">
        <f t="shared" si="12"/>
        <v>#DIV/0!</v>
      </c>
      <c r="V39" s="5471" t="e">
        <f t="shared" si="12"/>
        <v>#DIV/0!</v>
      </c>
      <c r="W39" s="1203" t="e">
        <f t="shared" si="12"/>
        <v>#DIV/0!</v>
      </c>
      <c r="X39" s="1203" t="e">
        <f t="shared" si="12"/>
        <v>#DIV/0!</v>
      </c>
      <c r="Y39" s="1436" t="e">
        <f t="shared" si="12"/>
        <v>#DIV/0!</v>
      </c>
      <c r="Z39" s="1436" t="e">
        <f t="shared" si="12"/>
        <v>#DIV/0!</v>
      </c>
      <c r="AA39" s="1436">
        <f>AO39</f>
        <v>17897.797002413383</v>
      </c>
      <c r="AB39" s="4826">
        <v>0</v>
      </c>
      <c r="AC39" s="4468">
        <v>0</v>
      </c>
      <c r="AD39" s="4468">
        <f t="shared" ref="AD39:AO39" si="13">SUM(AD6:AD9)+AD19+SUM(AD26:AD29)+SUM(AD35:AD36)</f>
        <v>17897.797002413383</v>
      </c>
      <c r="AE39" s="4468" t="e">
        <f t="shared" si="13"/>
        <v>#DIV/0!</v>
      </c>
      <c r="AF39" s="4468" t="e">
        <f t="shared" si="13"/>
        <v>#DIV/0!</v>
      </c>
      <c r="AG39" s="4468" t="e">
        <f t="shared" si="13"/>
        <v>#DIV/0!</v>
      </c>
      <c r="AH39" s="4468" t="e">
        <f t="shared" si="13"/>
        <v>#DIV/0!</v>
      </c>
      <c r="AI39" s="4468" t="e">
        <f t="shared" si="13"/>
        <v>#DIV/0!</v>
      </c>
      <c r="AJ39" s="4468" t="e">
        <f t="shared" si="13"/>
        <v>#DIV/0!</v>
      </c>
      <c r="AK39" s="4468" t="e">
        <f t="shared" si="13"/>
        <v>#DIV/0!</v>
      </c>
      <c r="AL39" s="4468" t="e">
        <f t="shared" si="13"/>
        <v>#DIV/0!</v>
      </c>
      <c r="AM39" s="4468" t="e">
        <f t="shared" si="13"/>
        <v>#DIV/0!</v>
      </c>
      <c r="AN39" s="6125">
        <f>SUM(AN6:AN9)+AN19+SUM(AN26:AN29)+SUM(AN35:AN36)</f>
        <v>501565.44180308975</v>
      </c>
      <c r="AO39" s="4468">
        <f t="shared" si="13"/>
        <v>17897.797002413383</v>
      </c>
      <c r="AP39" s="338">
        <f>AO39/AN39</f>
        <v>3.5683871955117477E-2</v>
      </c>
      <c r="AQ39" s="339"/>
      <c r="AS39" s="752"/>
      <c r="AT39" s="752"/>
      <c r="AU39" s="757"/>
      <c r="AV39" s="757"/>
      <c r="AW39" s="757"/>
      <c r="AX39" s="757"/>
      <c r="AY39" s="757"/>
      <c r="AZ39" s="757"/>
      <c r="BA39" s="757"/>
      <c r="BB39" s="757"/>
      <c r="BC39" s="757"/>
    </row>
    <row r="40" spans="1:55" ht="17.25" customHeight="1">
      <c r="B40" s="330" t="s">
        <v>834</v>
      </c>
      <c r="AB40" s="330">
        <v>-114696.69519683081</v>
      </c>
      <c r="AC40" s="330">
        <v>-101531.68238969898</v>
      </c>
      <c r="AG40" s="691" t="e">
        <f>SUM(AB39:AG39)</f>
        <v>#DIV/0!</v>
      </c>
      <c r="AP40" s="341"/>
      <c r="AR40" s="758"/>
      <c r="AS40" s="757"/>
      <c r="AT40" s="757"/>
      <c r="AU40" s="757"/>
      <c r="AV40" s="757"/>
      <c r="AW40" s="757"/>
      <c r="AX40" s="757"/>
      <c r="AY40" s="757"/>
      <c r="AZ40" s="757"/>
      <c r="BA40" s="757"/>
      <c r="BB40" s="757"/>
      <c r="BC40" s="757"/>
    </row>
    <row r="41" spans="1:55" ht="17.25" customHeight="1">
      <c r="AG41" s="330" t="e">
        <f>AG40/AN39</f>
        <v>#DIV/0!</v>
      </c>
      <c r="AO41" s="691"/>
      <c r="AS41" s="757"/>
      <c r="AT41" s="757"/>
      <c r="AU41" s="757"/>
      <c r="AV41" s="757"/>
      <c r="AW41" s="757"/>
      <c r="AX41" s="757"/>
      <c r="AY41" s="757"/>
      <c r="AZ41" s="757"/>
      <c r="BA41" s="757"/>
      <c r="BB41" s="757"/>
      <c r="BC41" s="757"/>
    </row>
    <row r="42" spans="1:55" ht="21.75" customHeight="1">
      <c r="B42" s="757"/>
      <c r="C42" s="757"/>
      <c r="D42" s="757"/>
      <c r="E42" s="757"/>
      <c r="F42" s="757"/>
      <c r="G42" s="757"/>
      <c r="H42" s="1636"/>
      <c r="I42" s="1636"/>
      <c r="J42" s="1636"/>
      <c r="K42" s="1636"/>
      <c r="L42" s="1636"/>
      <c r="M42" s="1636"/>
      <c r="N42" s="1636"/>
      <c r="O42" s="757"/>
      <c r="P42" s="1613"/>
      <c r="Q42" s="1637"/>
      <c r="R42" s="1637"/>
      <c r="S42" s="1637"/>
      <c r="T42" s="1637"/>
      <c r="U42" s="1637"/>
      <c r="V42" s="1637"/>
      <c r="W42" s="1637"/>
      <c r="X42" s="1637"/>
      <c r="Y42" s="1637"/>
      <c r="Z42" s="1637"/>
      <c r="AA42" s="1637"/>
      <c r="AB42" s="1637"/>
      <c r="AC42" s="1637"/>
      <c r="AD42" s="1637"/>
      <c r="AE42" s="1637"/>
      <c r="AF42" s="757"/>
      <c r="AG42" s="757"/>
      <c r="AH42" s="757"/>
      <c r="AI42" s="757"/>
      <c r="AJ42" s="757"/>
      <c r="AK42" s="757"/>
      <c r="AL42" s="757"/>
      <c r="AM42" s="757"/>
      <c r="AN42" s="1638"/>
      <c r="AO42" s="757"/>
      <c r="AP42" s="1613"/>
      <c r="AQ42" s="757"/>
      <c r="AR42" s="757"/>
      <c r="AS42" s="757"/>
      <c r="AT42" s="757"/>
      <c r="AU42" s="757"/>
      <c r="AV42" s="757"/>
      <c r="AW42" s="757"/>
      <c r="AX42" s="757"/>
      <c r="AY42" s="757"/>
      <c r="AZ42" s="757"/>
      <c r="BA42" s="757"/>
      <c r="BB42" s="757"/>
      <c r="BC42" s="757"/>
    </row>
    <row r="43" spans="1:55" ht="21.75" customHeight="1">
      <c r="B43" s="757"/>
      <c r="C43" s="757"/>
      <c r="D43" s="757"/>
      <c r="E43" s="757"/>
      <c r="F43" s="757"/>
      <c r="G43" s="757"/>
      <c r="H43" s="757"/>
      <c r="I43" s="757"/>
      <c r="J43" s="2531"/>
      <c r="K43" s="757"/>
      <c r="L43" s="5646"/>
      <c r="M43" s="1639"/>
      <c r="N43" s="1639" t="s">
        <v>1732</v>
      </c>
      <c r="O43" s="1639">
        <v>1803.23</v>
      </c>
      <c r="P43" s="1639">
        <v>2109.6300000000006</v>
      </c>
      <c r="Q43" s="1640">
        <v>1039.6200000000001</v>
      </c>
      <c r="R43" s="757">
        <v>1608.01</v>
      </c>
      <c r="S43" s="757">
        <v>1210.1299999999999</v>
      </c>
      <c r="T43" s="757">
        <v>1361.3700000000001</v>
      </c>
      <c r="U43" s="757">
        <v>1485.1600000000005</v>
      </c>
      <c r="V43" s="757">
        <v>10617.149999999996</v>
      </c>
      <c r="W43" s="757"/>
      <c r="X43" s="757"/>
      <c r="Y43" s="757"/>
      <c r="Z43" s="757"/>
      <c r="AA43" s="1639">
        <f>SUM(O43:U43)</f>
        <v>10617.150000000001</v>
      </c>
      <c r="AB43" s="757"/>
      <c r="AC43" s="1641"/>
      <c r="AD43" s="757"/>
      <c r="AE43" s="757"/>
      <c r="AG43" s="757"/>
      <c r="AH43" s="757"/>
      <c r="AI43" s="757"/>
      <c r="AJ43" s="757"/>
      <c r="AK43" s="757"/>
      <c r="AL43" s="757"/>
      <c r="AM43" s="757"/>
      <c r="AN43" s="757"/>
      <c r="AO43" s="757"/>
      <c r="AP43" s="1613"/>
      <c r="AQ43" s="757"/>
      <c r="AR43" s="757"/>
      <c r="AS43" s="1633"/>
      <c r="AT43" s="1619"/>
      <c r="AU43" s="757"/>
      <c r="AV43" s="757"/>
      <c r="AW43" s="757"/>
      <c r="AX43" s="757"/>
      <c r="AY43" s="757"/>
      <c r="AZ43" s="757"/>
      <c r="BA43" s="757"/>
      <c r="BB43" s="757"/>
      <c r="BC43" s="757"/>
    </row>
    <row r="44" spans="1:55" ht="21.75" customHeight="1">
      <c r="B44" s="757"/>
      <c r="C44" s="1642"/>
      <c r="D44" s="757"/>
      <c r="E44" s="757"/>
      <c r="F44" s="757"/>
      <c r="G44" s="757"/>
      <c r="H44" s="757"/>
      <c r="I44" s="757"/>
      <c r="J44" s="2531"/>
      <c r="K44" s="757"/>
      <c r="L44" s="5646"/>
      <c r="M44" s="757"/>
      <c r="N44" s="757"/>
      <c r="O44" s="4933" t="e">
        <f>O43/O5</f>
        <v>#DIV/0!</v>
      </c>
      <c r="P44" s="4933" t="e">
        <f t="shared" ref="P44:U44" si="14">P43/P5</f>
        <v>#DIV/0!</v>
      </c>
      <c r="Q44" s="4933">
        <f t="shared" si="14"/>
        <v>3.7691809041509504E-2</v>
      </c>
      <c r="R44" s="4933" t="e">
        <f t="shared" si="14"/>
        <v>#DIV/0!</v>
      </c>
      <c r="S44" s="4933" t="e">
        <f t="shared" si="14"/>
        <v>#DIV/0!</v>
      </c>
      <c r="T44" s="4933" t="e">
        <f t="shared" si="14"/>
        <v>#DIV/0!</v>
      </c>
      <c r="U44" s="4933" t="e">
        <f t="shared" si="14"/>
        <v>#DIV/0!</v>
      </c>
      <c r="V44" s="4933" t="e">
        <f t="shared" ref="V44:AE44" si="15">V43/V5</f>
        <v>#DIV/0!</v>
      </c>
      <c r="W44" s="4933" t="e">
        <f t="shared" si="15"/>
        <v>#DIV/0!</v>
      </c>
      <c r="X44" s="4933" t="e">
        <f t="shared" si="15"/>
        <v>#DIV/0!</v>
      </c>
      <c r="Y44" s="4933" t="e">
        <f t="shared" si="15"/>
        <v>#DIV/0!</v>
      </c>
      <c r="Z44" s="4933" t="e">
        <f t="shared" si="15"/>
        <v>#DIV/0!</v>
      </c>
      <c r="AA44" s="4933">
        <f t="shared" si="15"/>
        <v>0.38492871468908124</v>
      </c>
      <c r="AB44" s="4933" t="e">
        <f t="shared" si="15"/>
        <v>#DIV/0!</v>
      </c>
      <c r="AC44" s="4933" t="e">
        <f t="shared" si="15"/>
        <v>#DIV/0!</v>
      </c>
      <c r="AD44" s="4933" t="e">
        <f t="shared" si="15"/>
        <v>#DIV/0!</v>
      </c>
      <c r="AE44" s="4933" t="e">
        <f t="shared" si="15"/>
        <v>#DIV/0!</v>
      </c>
      <c r="AF44" s="4933"/>
      <c r="AG44" s="757"/>
      <c r="AH44" s="757"/>
      <c r="AI44" s="757"/>
      <c r="AJ44" s="757"/>
      <c r="AK44" s="757"/>
      <c r="AL44" s="757"/>
      <c r="AM44" s="757"/>
      <c r="AN44" s="757"/>
      <c r="AO44" s="757"/>
      <c r="AP44" s="1613"/>
      <c r="AQ44" s="757"/>
      <c r="AR44" s="757"/>
      <c r="AS44" s="757"/>
      <c r="AT44" s="757"/>
      <c r="AU44" s="757"/>
      <c r="AV44" s="757"/>
      <c r="AW44" s="757"/>
      <c r="AX44" s="757"/>
      <c r="AY44" s="757"/>
      <c r="AZ44" s="757"/>
      <c r="BA44" s="757"/>
      <c r="BB44" s="757"/>
      <c r="BC44" s="757"/>
    </row>
    <row r="45" spans="1:55" ht="21.75" customHeight="1">
      <c r="B45" s="757"/>
      <c r="C45" s="757"/>
      <c r="D45" s="757"/>
      <c r="E45" s="757"/>
      <c r="F45" s="757"/>
      <c r="G45" s="757"/>
      <c r="H45" s="757"/>
      <c r="I45" s="757"/>
      <c r="J45" s="2531"/>
      <c r="K45" s="757"/>
      <c r="L45" s="5646"/>
      <c r="M45" s="1639"/>
      <c r="N45" s="1639"/>
      <c r="O45" s="757"/>
      <c r="P45" s="1643"/>
      <c r="Q45" s="1640"/>
      <c r="R45" s="757"/>
      <c r="S45" s="757"/>
      <c r="T45" s="757"/>
      <c r="U45" s="757"/>
      <c r="V45" s="757"/>
      <c r="W45" s="757"/>
      <c r="X45" s="757"/>
      <c r="Y45" s="757"/>
      <c r="Z45" s="757"/>
      <c r="AA45" s="757"/>
      <c r="AB45" s="757"/>
      <c r="AC45" s="1641"/>
      <c r="AD45" s="757"/>
      <c r="AE45" s="757"/>
      <c r="AF45" s="757"/>
      <c r="AG45" s="757"/>
      <c r="AH45" s="757"/>
      <c r="AI45" s="757"/>
      <c r="AJ45" s="757"/>
      <c r="AK45" s="757"/>
      <c r="AL45" s="757"/>
      <c r="AM45" s="757"/>
      <c r="AN45" s="757"/>
      <c r="AO45" s="757"/>
      <c r="AP45" s="1613"/>
      <c r="AQ45" s="757"/>
      <c r="AR45" s="757"/>
      <c r="AS45" s="757"/>
      <c r="AT45" s="757"/>
      <c r="AU45" s="757"/>
      <c r="AV45" s="757"/>
      <c r="AW45" s="757"/>
      <c r="AX45" s="757"/>
      <c r="AY45" s="757"/>
      <c r="AZ45" s="757"/>
      <c r="BA45" s="757"/>
      <c r="BB45" s="757"/>
      <c r="BC45" s="757"/>
    </row>
    <row r="46" spans="1:55" ht="21.75" customHeight="1">
      <c r="B46" s="757"/>
      <c r="C46" s="757"/>
      <c r="D46" s="757"/>
      <c r="E46" s="757"/>
      <c r="F46" s="757"/>
      <c r="G46" s="757"/>
      <c r="H46" s="757"/>
      <c r="I46" s="757"/>
      <c r="J46" s="2531"/>
      <c r="K46" s="757"/>
      <c r="L46" s="5646"/>
      <c r="M46" s="8008" t="s">
        <v>1738</v>
      </c>
      <c r="N46" s="8008" t="s">
        <v>1927</v>
      </c>
      <c r="O46" s="8008" t="s">
        <v>2357</v>
      </c>
      <c r="P46" s="8008"/>
      <c r="Q46" s="8008"/>
      <c r="R46" s="8008"/>
      <c r="S46" s="8008"/>
      <c r="T46" s="8008"/>
      <c r="U46" s="8008"/>
      <c r="V46" s="8008"/>
      <c r="W46" s="8008"/>
      <c r="X46" s="8008"/>
      <c r="Y46" s="8008"/>
      <c r="Z46" s="8008"/>
      <c r="AA46" s="8008"/>
      <c r="AR46" s="757"/>
      <c r="AS46" s="757"/>
      <c r="AT46" s="757"/>
      <c r="AU46" s="757"/>
      <c r="AV46" s="757"/>
      <c r="AW46" s="757"/>
      <c r="AX46" s="757"/>
      <c r="AY46" s="757"/>
      <c r="AZ46" s="757"/>
      <c r="BA46" s="757"/>
      <c r="BB46" s="757"/>
      <c r="BC46" s="757"/>
    </row>
    <row r="47" spans="1:55" ht="21.75" customHeight="1">
      <c r="B47" s="757"/>
      <c r="C47" s="757"/>
      <c r="D47" s="757"/>
      <c r="E47" s="757"/>
      <c r="F47" s="757"/>
      <c r="G47" s="757"/>
      <c r="H47" s="757"/>
      <c r="I47" s="757"/>
      <c r="J47" s="2531"/>
      <c r="K47" s="757"/>
      <c r="L47" s="5646"/>
      <c r="M47" s="8008"/>
      <c r="N47" s="8008"/>
      <c r="O47" s="6061" t="s">
        <v>1740</v>
      </c>
      <c r="P47" s="6061" t="s">
        <v>5</v>
      </c>
      <c r="Q47" s="6061" t="s">
        <v>6</v>
      </c>
      <c r="R47" s="6061" t="s">
        <v>7</v>
      </c>
      <c r="S47" s="6061" t="s">
        <v>8</v>
      </c>
      <c r="T47" s="6061" t="s">
        <v>9</v>
      </c>
      <c r="U47" s="6061" t="s">
        <v>10</v>
      </c>
      <c r="V47" s="6061" t="s">
        <v>11</v>
      </c>
      <c r="W47" s="6061" t="s">
        <v>12</v>
      </c>
      <c r="X47" s="6061" t="s">
        <v>13</v>
      </c>
      <c r="Y47" s="6061" t="s">
        <v>14</v>
      </c>
      <c r="Z47" s="6061" t="s">
        <v>15</v>
      </c>
      <c r="AA47" s="6061" t="s">
        <v>1741</v>
      </c>
      <c r="AR47" s="757"/>
      <c r="AS47" s="757"/>
      <c r="AT47" s="757"/>
      <c r="AU47" s="757"/>
      <c r="AV47" s="757"/>
      <c r="AW47" s="757"/>
      <c r="AX47" s="757"/>
      <c r="AY47" s="757"/>
      <c r="AZ47" s="757"/>
      <c r="BA47" s="757"/>
      <c r="BB47" s="757"/>
      <c r="BC47" s="757"/>
    </row>
    <row r="48" spans="1:55" ht="21.75" customHeight="1">
      <c r="B48" s="757"/>
      <c r="C48" s="757"/>
      <c r="D48" s="757"/>
      <c r="E48" s="757"/>
      <c r="F48" s="757"/>
      <c r="G48" s="757"/>
      <c r="H48" s="757"/>
      <c r="I48" s="757"/>
      <c r="J48" s="2531"/>
      <c r="K48" s="757"/>
      <c r="L48" s="5646"/>
      <c r="M48" s="6064" t="s">
        <v>1742</v>
      </c>
      <c r="N48" s="6064">
        <v>60.276505785088517</v>
      </c>
      <c r="O48" s="4959">
        <f t="shared" ref="O48:Z48" si="16">O6</f>
        <v>0</v>
      </c>
      <c r="P48" s="4959">
        <f t="shared" si="16"/>
        <v>0</v>
      </c>
      <c r="Q48" s="4959">
        <f t="shared" si="16"/>
        <v>59.686486096584552</v>
      </c>
      <c r="R48" s="4959" t="e">
        <f t="shared" si="16"/>
        <v>#DIV/0!</v>
      </c>
      <c r="S48" s="4959" t="e">
        <f t="shared" si="16"/>
        <v>#DIV/0!</v>
      </c>
      <c r="T48" s="4959" t="e">
        <f t="shared" si="16"/>
        <v>#DIV/0!</v>
      </c>
      <c r="U48" s="4959" t="e">
        <f t="shared" si="16"/>
        <v>#DIV/0!</v>
      </c>
      <c r="V48" s="4959" t="e">
        <f t="shared" si="16"/>
        <v>#DIV/0!</v>
      </c>
      <c r="W48" s="4959" t="e">
        <f t="shared" si="16"/>
        <v>#DIV/0!</v>
      </c>
      <c r="X48" s="4959" t="e">
        <f t="shared" si="16"/>
        <v>#DIV/0!</v>
      </c>
      <c r="Y48" s="4959" t="e">
        <f t="shared" si="16"/>
        <v>#DIV/0!</v>
      </c>
      <c r="Z48" s="4959" t="e">
        <f t="shared" si="16"/>
        <v>#DIV/0!</v>
      </c>
      <c r="AA48" s="5020">
        <f>년간!V117</f>
        <v>59.686486096584552</v>
      </c>
      <c r="AR48" s="757"/>
      <c r="AS48" s="757"/>
      <c r="AT48" s="757"/>
      <c r="AU48" s="757"/>
      <c r="AV48" s="757"/>
      <c r="AW48" s="757"/>
      <c r="AX48" s="757"/>
      <c r="AY48" s="757"/>
      <c r="AZ48" s="757"/>
      <c r="BA48" s="757"/>
      <c r="BB48" s="757"/>
      <c r="BC48" s="757"/>
    </row>
    <row r="49" spans="2:55" ht="21.75" customHeight="1">
      <c r="B49" s="757"/>
      <c r="C49" s="757"/>
      <c r="D49" s="757"/>
      <c r="E49" s="757"/>
      <c r="F49" s="757"/>
      <c r="G49" s="757"/>
      <c r="H49" s="757"/>
      <c r="I49" s="757"/>
      <c r="J49" s="2531"/>
      <c r="K49" s="757"/>
      <c r="L49" s="5646"/>
      <c r="M49" s="6064" t="s">
        <v>1743</v>
      </c>
      <c r="N49" s="6064">
        <v>2.4677000000000002</v>
      </c>
      <c r="O49" s="7191"/>
      <c r="P49" s="7191"/>
      <c r="Q49" s="6064">
        <v>2.4449999999999998</v>
      </c>
      <c r="R49" s="6064"/>
      <c r="S49" s="6064"/>
      <c r="T49" s="6064"/>
      <c r="U49" s="6064"/>
      <c r="V49" s="6064"/>
      <c r="W49" s="6064"/>
      <c r="X49" s="6064"/>
      <c r="Y49" s="6064"/>
      <c r="Z49" s="6064"/>
      <c r="AA49" s="4968">
        <f>AVERAGE(O49:Z49)</f>
        <v>2.4449999999999998</v>
      </c>
      <c r="AR49" s="757"/>
      <c r="AS49" s="757"/>
      <c r="AT49" s="757"/>
      <c r="AU49" s="757"/>
      <c r="AV49" s="757"/>
      <c r="AW49" s="757"/>
      <c r="AX49" s="757"/>
      <c r="AY49" s="757"/>
      <c r="AZ49" s="757"/>
      <c r="BA49" s="757"/>
      <c r="BB49" s="757"/>
      <c r="BC49" s="757"/>
    </row>
    <row r="50" spans="2:55" ht="21.75" customHeight="1">
      <c r="B50" s="757"/>
      <c r="C50" s="757"/>
      <c r="D50" s="757"/>
      <c r="E50" s="757"/>
      <c r="F50" s="757"/>
      <c r="G50" s="757"/>
      <c r="H50" s="757"/>
      <c r="I50" s="757"/>
      <c r="J50" s="2531"/>
      <c r="K50" s="757"/>
      <c r="L50" s="5646"/>
      <c r="M50" s="6064" t="s">
        <v>1744</v>
      </c>
      <c r="N50" s="4960">
        <v>1138.9757000000002</v>
      </c>
      <c r="O50" s="7191"/>
      <c r="P50" s="7191"/>
      <c r="Q50" s="4960">
        <v>1163.4929999999999</v>
      </c>
      <c r="R50" s="4960"/>
      <c r="S50" s="4960"/>
      <c r="T50" s="4960"/>
      <c r="U50" s="4960"/>
      <c r="V50" s="4960"/>
      <c r="W50" s="4960"/>
      <c r="X50" s="4960"/>
      <c r="Y50" s="4960"/>
      <c r="Z50" s="4960"/>
      <c r="AA50" s="6064">
        <f>AVERAGE(O50:Z50)</f>
        <v>1163.4929999999999</v>
      </c>
      <c r="AR50" s="757"/>
      <c r="AS50" s="757"/>
      <c r="AT50" s="757"/>
      <c r="AU50" s="757"/>
      <c r="AV50" s="757"/>
      <c r="AW50" s="757"/>
      <c r="AX50" s="757"/>
      <c r="AY50" s="757"/>
      <c r="AZ50" s="757"/>
      <c r="BA50" s="757"/>
      <c r="BB50" s="757"/>
      <c r="BC50" s="757"/>
    </row>
    <row r="51" spans="2:55" ht="21.75" customHeight="1">
      <c r="B51" s="757"/>
      <c r="C51" s="757"/>
      <c r="D51" s="757"/>
      <c r="E51" s="757"/>
      <c r="F51" s="757"/>
      <c r="G51" s="757"/>
      <c r="H51" s="757"/>
      <c r="I51" s="757"/>
      <c r="J51" s="2531"/>
      <c r="K51" s="757"/>
      <c r="L51" s="5646"/>
      <c r="M51" s="6064" t="s">
        <v>1745</v>
      </c>
      <c r="N51" s="4961">
        <f>N50*N49</f>
        <v>2810.6503348900005</v>
      </c>
      <c r="O51" s="4961">
        <f>O50*O49</f>
        <v>0</v>
      </c>
      <c r="P51" s="4961">
        <f t="shared" ref="P51:AA51" si="17">P50*P49</f>
        <v>0</v>
      </c>
      <c r="Q51" s="4961">
        <f t="shared" si="17"/>
        <v>2844.7403849999996</v>
      </c>
      <c r="R51" s="4961">
        <f t="shared" si="17"/>
        <v>0</v>
      </c>
      <c r="S51" s="4961">
        <f t="shared" si="17"/>
        <v>0</v>
      </c>
      <c r="T51" s="4961">
        <f t="shared" si="17"/>
        <v>0</v>
      </c>
      <c r="U51" s="4961">
        <f t="shared" si="17"/>
        <v>0</v>
      </c>
      <c r="V51" s="4961">
        <f t="shared" si="17"/>
        <v>0</v>
      </c>
      <c r="W51" s="4961">
        <f t="shared" si="17"/>
        <v>0</v>
      </c>
      <c r="X51" s="4961">
        <f t="shared" si="17"/>
        <v>0</v>
      </c>
      <c r="Y51" s="4961">
        <f t="shared" si="17"/>
        <v>0</v>
      </c>
      <c r="Z51" s="4961">
        <f t="shared" si="17"/>
        <v>0</v>
      </c>
      <c r="AA51" s="4961">
        <f t="shared" si="17"/>
        <v>2844.7403849999996</v>
      </c>
      <c r="AR51" s="1634"/>
      <c r="AS51" s="1634"/>
      <c r="AT51" s="1634"/>
      <c r="AU51" s="757"/>
      <c r="AV51" s="757"/>
      <c r="AW51" s="757"/>
      <c r="AX51" s="757"/>
      <c r="AY51" s="757"/>
      <c r="AZ51" s="757"/>
      <c r="BA51" s="757"/>
      <c r="BB51" s="757"/>
      <c r="BC51" s="757"/>
    </row>
    <row r="52" spans="2:55" ht="21.75" customHeight="1">
      <c r="B52" s="757"/>
      <c r="C52" s="757"/>
      <c r="D52" s="757"/>
      <c r="E52" s="757"/>
      <c r="F52" s="757"/>
      <c r="G52" s="757"/>
      <c r="H52" s="757"/>
      <c r="I52" s="757"/>
      <c r="J52" s="2531"/>
      <c r="K52" s="757"/>
      <c r="L52" s="5646"/>
      <c r="M52" s="6064" t="s">
        <v>1746</v>
      </c>
      <c r="N52" s="6064">
        <v>1</v>
      </c>
      <c r="O52" s="4962" t="e">
        <f t="shared" ref="O52:AA52" si="18">$N$51/O51</f>
        <v>#DIV/0!</v>
      </c>
      <c r="P52" s="4962" t="e">
        <f t="shared" si="18"/>
        <v>#DIV/0!</v>
      </c>
      <c r="Q52" s="4962">
        <f t="shared" si="18"/>
        <v>0.98801646354452866</v>
      </c>
      <c r="R52" s="4962" t="e">
        <f t="shared" si="18"/>
        <v>#DIV/0!</v>
      </c>
      <c r="S52" s="4962" t="e">
        <f t="shared" si="18"/>
        <v>#DIV/0!</v>
      </c>
      <c r="T52" s="4962" t="e">
        <f t="shared" si="18"/>
        <v>#DIV/0!</v>
      </c>
      <c r="U52" s="4962" t="e">
        <f t="shared" si="18"/>
        <v>#DIV/0!</v>
      </c>
      <c r="V52" s="4962" t="e">
        <f t="shared" si="18"/>
        <v>#DIV/0!</v>
      </c>
      <c r="W52" s="4962" t="e">
        <f t="shared" si="18"/>
        <v>#DIV/0!</v>
      </c>
      <c r="X52" s="4962" t="e">
        <f t="shared" si="18"/>
        <v>#DIV/0!</v>
      </c>
      <c r="Y52" s="4962" t="e">
        <f t="shared" si="18"/>
        <v>#DIV/0!</v>
      </c>
      <c r="Z52" s="4962" t="e">
        <f t="shared" si="18"/>
        <v>#DIV/0!</v>
      </c>
      <c r="AA52" s="4962">
        <f t="shared" si="18"/>
        <v>0.98801646354452866</v>
      </c>
      <c r="AR52" s="1634"/>
      <c r="AS52" s="752"/>
      <c r="AT52" s="752"/>
      <c r="AU52" s="757"/>
      <c r="AV52" s="757"/>
      <c r="AW52" s="757"/>
      <c r="AX52" s="757"/>
      <c r="AY52" s="757"/>
      <c r="AZ52" s="757"/>
      <c r="BA52" s="757"/>
      <c r="BB52" s="757"/>
      <c r="BC52" s="757"/>
    </row>
    <row r="53" spans="2:55" ht="21.75" customHeight="1">
      <c r="B53" s="757"/>
      <c r="C53" s="757"/>
      <c r="D53" s="757"/>
      <c r="E53" s="757"/>
      <c r="F53" s="757"/>
      <c r="G53" s="757"/>
      <c r="H53" s="757"/>
      <c r="I53" s="757"/>
      <c r="J53" s="2531"/>
      <c r="K53" s="757"/>
      <c r="L53" s="5646"/>
      <c r="M53" s="6064" t="s">
        <v>1747</v>
      </c>
      <c r="N53" s="4959">
        <f>N52*N48</f>
        <v>60.276505785088517</v>
      </c>
      <c r="O53" s="4959" t="e">
        <f>O52*O48</f>
        <v>#DIV/0!</v>
      </c>
      <c r="P53" s="4959" t="e">
        <f t="shared" ref="P53:Z53" si="19">P52*P48</f>
        <v>#DIV/0!</v>
      </c>
      <c r="Q53" s="4959">
        <f t="shared" si="19"/>
        <v>58.971230914547149</v>
      </c>
      <c r="R53" s="4959" t="e">
        <f t="shared" si="19"/>
        <v>#DIV/0!</v>
      </c>
      <c r="S53" s="4959" t="e">
        <f t="shared" si="19"/>
        <v>#DIV/0!</v>
      </c>
      <c r="T53" s="4959" t="e">
        <f t="shared" si="19"/>
        <v>#DIV/0!</v>
      </c>
      <c r="U53" s="4959" t="e">
        <f t="shared" si="19"/>
        <v>#DIV/0!</v>
      </c>
      <c r="V53" s="4959" t="e">
        <f t="shared" si="19"/>
        <v>#DIV/0!</v>
      </c>
      <c r="W53" s="4959" t="e">
        <f t="shared" si="19"/>
        <v>#DIV/0!</v>
      </c>
      <c r="X53" s="4959" t="e">
        <f t="shared" si="19"/>
        <v>#DIV/0!</v>
      </c>
      <c r="Y53" s="4959" t="e">
        <f t="shared" si="19"/>
        <v>#DIV/0!</v>
      </c>
      <c r="Z53" s="4959" t="e">
        <f t="shared" si="19"/>
        <v>#DIV/0!</v>
      </c>
      <c r="AA53" s="4959">
        <f>AA52*AA48</f>
        <v>58.971230914547149</v>
      </c>
      <c r="AR53" s="1646"/>
      <c r="AS53" s="1635"/>
      <c r="AT53" s="1634"/>
      <c r="AU53" s="757"/>
      <c r="AV53" s="757"/>
      <c r="AW53" s="757"/>
      <c r="AX53" s="757"/>
      <c r="AY53" s="757"/>
      <c r="AZ53" s="757"/>
      <c r="BA53" s="757"/>
      <c r="BB53" s="757"/>
      <c r="BC53" s="757"/>
    </row>
    <row r="54" spans="2:55" ht="21.75" customHeight="1">
      <c r="B54" s="757"/>
      <c r="C54" s="757"/>
      <c r="D54" s="757"/>
      <c r="E54" s="757"/>
      <c r="F54" s="757"/>
      <c r="G54" s="757"/>
      <c r="H54" s="757"/>
      <c r="I54" s="757"/>
      <c r="J54" s="2531"/>
      <c r="K54" s="757"/>
      <c r="L54" s="5646"/>
      <c r="M54" s="4963" t="s">
        <v>1748</v>
      </c>
      <c r="N54" s="3489">
        <v>281060.30499999999</v>
      </c>
      <c r="O54" s="4967">
        <f t="shared" ref="O54:Z54" si="20">O5</f>
        <v>0</v>
      </c>
      <c r="P54" s="4967">
        <f t="shared" si="20"/>
        <v>0</v>
      </c>
      <c r="Q54" s="4967">
        <f t="shared" si="20"/>
        <v>27582.12</v>
      </c>
      <c r="R54" s="4967">
        <f t="shared" si="20"/>
        <v>0</v>
      </c>
      <c r="S54" s="4967">
        <f t="shared" si="20"/>
        <v>0</v>
      </c>
      <c r="T54" s="4967">
        <f t="shared" si="20"/>
        <v>0</v>
      </c>
      <c r="U54" s="4967">
        <f t="shared" si="20"/>
        <v>0</v>
      </c>
      <c r="V54" s="4967">
        <f t="shared" si="20"/>
        <v>0</v>
      </c>
      <c r="W54" s="4967">
        <f t="shared" si="20"/>
        <v>0</v>
      </c>
      <c r="X54" s="4967">
        <f t="shared" si="20"/>
        <v>0</v>
      </c>
      <c r="Y54" s="4967">
        <f t="shared" si="20"/>
        <v>0</v>
      </c>
      <c r="Z54" s="4967">
        <f t="shared" si="20"/>
        <v>0</v>
      </c>
      <c r="AA54" s="4967">
        <f>SUM(O54:Z54)</f>
        <v>27582.12</v>
      </c>
      <c r="AR54" s="1646"/>
      <c r="AS54" s="1635"/>
      <c r="AT54" s="1634"/>
      <c r="AU54" s="757"/>
      <c r="AV54" s="757"/>
      <c r="AW54" s="757"/>
      <c r="AX54" s="757"/>
      <c r="AY54" s="757"/>
      <c r="AZ54" s="757"/>
      <c r="BA54" s="757"/>
      <c r="BB54" s="757"/>
      <c r="BC54" s="757"/>
    </row>
    <row r="55" spans="2:55" ht="21.75" customHeight="1">
      <c r="B55" s="757"/>
      <c r="C55" s="757"/>
      <c r="D55" s="757"/>
      <c r="E55" s="757"/>
      <c r="F55" s="757"/>
      <c r="G55" s="757"/>
      <c r="H55" s="757"/>
      <c r="I55" s="757"/>
      <c r="J55" s="2531"/>
      <c r="K55" s="757"/>
      <c r="L55" s="5646"/>
      <c r="M55" s="4964" t="s">
        <v>1749</v>
      </c>
      <c r="N55" s="4964"/>
      <c r="O55" s="4965" t="e">
        <f t="shared" ref="O55:Z55" si="21">(O54/$N$53-O54/O53)*1117933/1000</f>
        <v>#DIV/0!</v>
      </c>
      <c r="P55" s="4965" t="e">
        <f t="shared" si="21"/>
        <v>#DIV/0!</v>
      </c>
      <c r="Q55" s="4965">
        <f t="shared" si="21"/>
        <v>-11322.886013893707</v>
      </c>
      <c r="R55" s="4965" t="e">
        <f t="shared" si="21"/>
        <v>#DIV/0!</v>
      </c>
      <c r="S55" s="4965" t="e">
        <f t="shared" si="21"/>
        <v>#DIV/0!</v>
      </c>
      <c r="T55" s="4965" t="e">
        <f t="shared" si="21"/>
        <v>#DIV/0!</v>
      </c>
      <c r="U55" s="4965" t="e">
        <f t="shared" si="21"/>
        <v>#DIV/0!</v>
      </c>
      <c r="V55" s="4965" t="e">
        <f t="shared" si="21"/>
        <v>#DIV/0!</v>
      </c>
      <c r="W55" s="4965" t="e">
        <f t="shared" si="21"/>
        <v>#DIV/0!</v>
      </c>
      <c r="X55" s="4965" t="e">
        <f t="shared" si="21"/>
        <v>#DIV/0!</v>
      </c>
      <c r="Y55" s="4965" t="e">
        <f t="shared" si="21"/>
        <v>#DIV/0!</v>
      </c>
      <c r="Z55" s="4965" t="e">
        <f t="shared" si="21"/>
        <v>#DIV/0!</v>
      </c>
      <c r="AA55" s="4966">
        <f>Q55</f>
        <v>-11322.886013893707</v>
      </c>
      <c r="AR55" s="1646"/>
      <c r="AS55" s="1635"/>
      <c r="AT55" s="1634"/>
      <c r="AU55" s="757"/>
      <c r="AV55" s="757"/>
      <c r="AW55" s="757"/>
      <c r="AX55" s="757"/>
      <c r="AY55" s="757"/>
      <c r="AZ55" s="757"/>
      <c r="BA55" s="757"/>
      <c r="BB55" s="757"/>
      <c r="BC55" s="757"/>
    </row>
    <row r="56" spans="2:55" ht="21.75" customHeight="1">
      <c r="B56" s="757"/>
      <c r="C56" s="757"/>
      <c r="D56" s="757"/>
      <c r="E56" s="757"/>
      <c r="F56" s="757"/>
      <c r="G56" s="757"/>
      <c r="H56" s="757"/>
      <c r="I56" s="757"/>
      <c r="J56" s="2531"/>
      <c r="K56" s="757"/>
      <c r="L56" s="5646"/>
      <c r="M56" s="757"/>
      <c r="N56" s="757"/>
      <c r="O56" s="757"/>
      <c r="P56" s="757"/>
      <c r="Q56" s="1645"/>
      <c r="R56" s="1645"/>
      <c r="S56" s="1645"/>
      <c r="T56" s="1645"/>
      <c r="U56" s="1645"/>
      <c r="V56" s="1645"/>
      <c r="W56" s="1645"/>
      <c r="X56" s="1645"/>
      <c r="Y56" s="1645"/>
      <c r="Z56" s="1645"/>
      <c r="AA56" s="1645"/>
      <c r="AB56" s="1645"/>
      <c r="AC56" s="1645"/>
      <c r="AD56" s="1645"/>
      <c r="AE56" s="1645"/>
      <c r="AF56" s="757"/>
      <c r="AG56" s="757"/>
      <c r="AH56" s="757"/>
      <c r="AI56" s="757"/>
      <c r="AJ56" s="757"/>
      <c r="AK56" s="757"/>
      <c r="AL56" s="757"/>
      <c r="AM56" s="757"/>
      <c r="AN56" s="757"/>
      <c r="AO56" s="757"/>
      <c r="AP56" s="1613"/>
      <c r="AQ56" s="757"/>
      <c r="AR56" s="1646"/>
      <c r="AS56" s="1635"/>
      <c r="AT56" s="752"/>
      <c r="AU56" s="757"/>
      <c r="AV56" s="757"/>
      <c r="AW56" s="757"/>
      <c r="AX56" s="757"/>
      <c r="AY56" s="757"/>
      <c r="AZ56" s="757"/>
      <c r="BA56" s="757"/>
      <c r="BB56" s="757"/>
      <c r="BC56" s="757"/>
    </row>
    <row r="57" spans="2:55" ht="21.75" customHeight="1">
      <c r="B57" s="757"/>
      <c r="C57" s="757"/>
      <c r="D57" s="757"/>
      <c r="E57" s="757"/>
      <c r="F57" s="757"/>
      <c r="G57" s="757"/>
      <c r="H57" s="757"/>
      <c r="I57" s="757"/>
      <c r="J57" s="2531"/>
      <c r="K57" s="757"/>
      <c r="L57" s="5646"/>
      <c r="M57" s="757"/>
      <c r="N57" s="757"/>
      <c r="O57" s="757"/>
      <c r="P57" s="757"/>
      <c r="Q57" s="1645"/>
      <c r="R57" s="1645"/>
      <c r="S57" s="1645"/>
      <c r="T57" s="1645"/>
      <c r="U57" s="1645"/>
      <c r="V57" s="1645"/>
      <c r="W57" s="1645"/>
      <c r="X57" s="1645"/>
      <c r="Y57" s="1645"/>
      <c r="Z57" s="1645"/>
      <c r="AA57" s="1645"/>
      <c r="AB57" s="1645"/>
      <c r="AC57" s="1645"/>
      <c r="AD57" s="1645"/>
      <c r="AE57" s="1645"/>
      <c r="AF57" s="757"/>
      <c r="AG57" s="757"/>
      <c r="AH57" s="757"/>
      <c r="AI57" s="757"/>
      <c r="AJ57" s="757"/>
      <c r="AK57" s="757"/>
      <c r="AL57" s="757"/>
      <c r="AM57" s="757"/>
      <c r="AN57" s="757"/>
      <c r="AO57" s="757"/>
      <c r="AP57" s="1613"/>
      <c r="AQ57" s="757"/>
      <c r="AR57" s="1646"/>
      <c r="AS57" s="1635"/>
      <c r="AT57" s="752"/>
      <c r="AU57" s="757"/>
      <c r="AV57" s="757"/>
      <c r="AW57" s="757"/>
      <c r="AX57" s="757"/>
      <c r="AY57" s="757"/>
      <c r="AZ57" s="757"/>
      <c r="BA57" s="757"/>
      <c r="BB57" s="757"/>
      <c r="BC57" s="757"/>
    </row>
    <row r="58" spans="2:55" ht="21.75" customHeight="1">
      <c r="B58" s="757"/>
      <c r="C58" s="757"/>
      <c r="D58" s="757"/>
      <c r="E58" s="757"/>
      <c r="F58" s="757"/>
      <c r="G58" s="757"/>
      <c r="H58" s="757"/>
      <c r="I58" s="757"/>
      <c r="J58" s="2531"/>
      <c r="K58" s="757"/>
      <c r="L58" s="5646"/>
      <c r="M58" s="757"/>
      <c r="N58" s="757"/>
      <c r="O58" s="757"/>
      <c r="P58" s="757"/>
      <c r="Q58" s="757"/>
      <c r="R58" s="757"/>
      <c r="S58" s="757"/>
      <c r="T58" s="757"/>
      <c r="U58" s="757"/>
      <c r="V58" s="1613"/>
      <c r="W58" s="1613"/>
      <c r="X58" s="757"/>
      <c r="Y58" s="757"/>
      <c r="Z58" s="757"/>
      <c r="AA58" s="757"/>
      <c r="AB58" s="757"/>
      <c r="AC58" s="757"/>
      <c r="AD58" s="757"/>
      <c r="AE58" s="757"/>
      <c r="AF58" s="757"/>
      <c r="AG58" s="757"/>
      <c r="AH58" s="757"/>
      <c r="AI58" s="757"/>
      <c r="AJ58" s="757"/>
      <c r="AK58" s="757"/>
      <c r="AL58" s="757"/>
      <c r="AM58" s="757"/>
      <c r="AN58" s="757"/>
      <c r="AO58" s="757"/>
      <c r="AP58" s="1613"/>
      <c r="AQ58" s="757"/>
      <c r="AR58" s="1646"/>
      <c r="AS58" s="1635"/>
      <c r="AT58" s="1634"/>
      <c r="AU58" s="757"/>
      <c r="AV58" s="757"/>
      <c r="AW58" s="757"/>
      <c r="AX58" s="757"/>
      <c r="AY58" s="757"/>
      <c r="AZ58" s="757"/>
      <c r="BA58" s="757"/>
      <c r="BB58" s="757"/>
      <c r="BC58" s="757"/>
    </row>
    <row r="59" spans="2:55" ht="21.75" customHeight="1">
      <c r="B59" s="757"/>
      <c r="C59" s="757"/>
      <c r="D59" s="757"/>
      <c r="E59" s="757"/>
      <c r="F59" s="757"/>
      <c r="G59" s="757"/>
      <c r="H59" s="757"/>
      <c r="I59" s="757"/>
      <c r="J59" s="2531"/>
      <c r="K59" s="757"/>
      <c r="L59" s="5646"/>
      <c r="M59" s="757"/>
      <c r="N59" s="757"/>
      <c r="O59" s="757"/>
      <c r="P59" s="757"/>
      <c r="Q59" s="757"/>
      <c r="R59" s="757"/>
      <c r="S59" s="757"/>
      <c r="T59" s="757"/>
      <c r="U59" s="757"/>
      <c r="V59" s="1613"/>
      <c r="W59" s="1613"/>
      <c r="X59" s="757"/>
      <c r="Y59" s="757"/>
      <c r="Z59" s="757"/>
      <c r="AA59" s="757"/>
      <c r="AB59" s="757"/>
      <c r="AC59" s="757"/>
      <c r="AD59" s="757"/>
      <c r="AE59" s="757"/>
      <c r="AF59" s="757"/>
      <c r="AG59" s="757"/>
      <c r="AH59" s="757"/>
      <c r="AI59" s="757"/>
      <c r="AJ59" s="757"/>
      <c r="AK59" s="757"/>
      <c r="AL59" s="757"/>
      <c r="AM59" s="757"/>
      <c r="AN59" s="757"/>
      <c r="AO59" s="757"/>
      <c r="AP59" s="1613"/>
      <c r="AQ59" s="757"/>
      <c r="AR59" s="757"/>
      <c r="AS59" s="757"/>
      <c r="AT59" s="757"/>
      <c r="AU59" s="757"/>
      <c r="AV59" s="757"/>
      <c r="AW59" s="757"/>
      <c r="AX59" s="757"/>
      <c r="AY59" s="757"/>
      <c r="AZ59" s="757"/>
      <c r="BA59" s="757"/>
      <c r="BB59" s="757"/>
      <c r="BC59" s="757"/>
    </row>
    <row r="60" spans="2:55" ht="21.75" customHeight="1">
      <c r="B60" s="757"/>
      <c r="C60" s="757"/>
      <c r="D60" s="757"/>
      <c r="E60" s="757"/>
      <c r="F60" s="757"/>
      <c r="G60" s="757"/>
      <c r="H60" s="757"/>
      <c r="I60" s="757"/>
      <c r="J60" s="2531"/>
      <c r="K60" s="757"/>
      <c r="L60" s="5646"/>
      <c r="M60" s="757"/>
      <c r="N60" s="757"/>
      <c r="O60" s="757"/>
      <c r="P60" s="757"/>
      <c r="Q60" s="1644"/>
      <c r="R60" s="1644"/>
      <c r="S60" s="1644"/>
      <c r="T60" s="1644"/>
      <c r="U60" s="1644"/>
      <c r="V60" s="1644"/>
      <c r="W60" s="1644"/>
      <c r="X60" s="1644"/>
      <c r="Y60" s="1644"/>
      <c r="Z60" s="1644"/>
      <c r="AA60" s="1644"/>
      <c r="AB60" s="1644"/>
      <c r="AC60" s="1644"/>
      <c r="AD60" s="1644"/>
      <c r="AE60" s="1644"/>
      <c r="AF60" s="757"/>
      <c r="AG60" s="757"/>
      <c r="AH60" s="757"/>
      <c r="AI60" s="757"/>
      <c r="AJ60" s="757"/>
      <c r="AK60" s="757"/>
      <c r="AL60" s="757"/>
      <c r="AM60" s="757"/>
      <c r="AN60" s="757"/>
      <c r="AO60" s="757"/>
      <c r="AP60" s="1613"/>
      <c r="AQ60" s="757"/>
      <c r="AR60" s="757"/>
      <c r="AS60" s="757"/>
      <c r="AT60" s="757"/>
      <c r="AU60" s="757"/>
    </row>
    <row r="61" spans="2:55" ht="21.75" customHeight="1">
      <c r="B61" s="757"/>
      <c r="C61" s="757"/>
      <c r="D61" s="757"/>
      <c r="E61" s="757"/>
      <c r="F61" s="757"/>
      <c r="G61" s="757"/>
      <c r="H61" s="757"/>
      <c r="I61" s="757"/>
      <c r="J61" s="2531"/>
      <c r="K61" s="757"/>
      <c r="L61" s="5646"/>
      <c r="M61" s="757"/>
      <c r="N61" s="757"/>
      <c r="O61" s="757"/>
      <c r="P61" s="757"/>
      <c r="Q61" s="1645"/>
      <c r="R61" s="1645"/>
      <c r="S61" s="1645"/>
      <c r="T61" s="1645"/>
      <c r="U61" s="1645"/>
      <c r="V61" s="1645"/>
      <c r="W61" s="1645"/>
      <c r="X61" s="1645"/>
      <c r="Y61" s="1645"/>
      <c r="Z61" s="1645"/>
      <c r="AA61" s="1645"/>
      <c r="AB61" s="1645"/>
      <c r="AC61" s="1645"/>
      <c r="AD61" s="1645"/>
      <c r="AE61" s="1645"/>
      <c r="AF61" s="757"/>
      <c r="AG61" s="757"/>
      <c r="AH61" s="757"/>
      <c r="AI61" s="757"/>
      <c r="AJ61" s="757"/>
      <c r="AK61" s="757"/>
      <c r="AL61" s="757"/>
      <c r="AM61" s="757"/>
      <c r="AN61" s="757"/>
      <c r="AO61" s="757"/>
      <c r="AP61" s="1613"/>
      <c r="AQ61" s="757"/>
      <c r="AR61" s="757"/>
      <c r="AS61" s="757"/>
      <c r="AT61" s="757"/>
      <c r="AU61" s="757"/>
    </row>
    <row r="62" spans="2:55" ht="21.75" customHeight="1">
      <c r="B62" s="757"/>
      <c r="C62" s="757"/>
      <c r="D62" s="757"/>
      <c r="E62" s="757"/>
      <c r="F62" s="757"/>
      <c r="G62" s="757"/>
      <c r="H62" s="757"/>
      <c r="I62" s="757"/>
      <c r="J62" s="2531"/>
      <c r="K62" s="757"/>
      <c r="L62" s="5646"/>
      <c r="M62" s="757"/>
      <c r="N62" s="757"/>
      <c r="O62" s="757"/>
      <c r="P62" s="757"/>
      <c r="Q62" s="1645"/>
      <c r="R62" s="1645"/>
      <c r="S62" s="1645"/>
      <c r="T62" s="1645"/>
      <c r="U62" s="1645"/>
      <c r="V62" s="1645"/>
      <c r="W62" s="1645"/>
      <c r="X62" s="1645"/>
      <c r="Y62" s="1645"/>
      <c r="Z62" s="1645"/>
      <c r="AA62" s="1645"/>
      <c r="AB62" s="1645"/>
      <c r="AC62" s="1645"/>
      <c r="AD62" s="1645"/>
      <c r="AE62" s="1645"/>
      <c r="AF62" s="757"/>
      <c r="AG62" s="757"/>
      <c r="AH62" s="757"/>
      <c r="AI62" s="757"/>
      <c r="AJ62" s="757"/>
      <c r="AK62" s="757"/>
      <c r="AL62" s="757"/>
      <c r="AM62" s="757"/>
      <c r="AN62" s="757"/>
      <c r="AO62" s="757"/>
      <c r="AP62" s="1613"/>
      <c r="AQ62" s="757"/>
      <c r="AR62" s="757"/>
      <c r="AS62" s="757"/>
      <c r="AT62" s="757"/>
      <c r="AU62" s="757"/>
    </row>
    <row r="63" spans="2:55" ht="21.75" customHeight="1">
      <c r="B63" s="757"/>
      <c r="C63" s="757"/>
      <c r="D63" s="757"/>
      <c r="E63" s="757"/>
      <c r="F63" s="757"/>
      <c r="G63" s="757"/>
      <c r="H63" s="757"/>
      <c r="I63" s="757"/>
      <c r="J63" s="2531"/>
      <c r="K63" s="757"/>
      <c r="L63" s="5646"/>
      <c r="M63" s="757"/>
      <c r="N63" s="757"/>
      <c r="O63" s="757"/>
      <c r="P63" s="757"/>
      <c r="Q63" s="1645"/>
      <c r="R63" s="1645"/>
      <c r="S63" s="1645"/>
      <c r="T63" s="1645"/>
      <c r="U63" s="1645"/>
      <c r="V63" s="1645"/>
      <c r="W63" s="1645"/>
      <c r="X63" s="1645"/>
      <c r="Y63" s="1645"/>
      <c r="Z63" s="1645"/>
      <c r="AA63" s="1645"/>
      <c r="AB63" s="1645"/>
      <c r="AC63" s="1645"/>
      <c r="AD63" s="1645"/>
      <c r="AE63" s="1645"/>
      <c r="AF63" s="757"/>
      <c r="AG63" s="757"/>
      <c r="AH63" s="757"/>
      <c r="AI63" s="757"/>
      <c r="AJ63" s="757"/>
      <c r="AK63" s="757"/>
      <c r="AL63" s="757"/>
      <c r="AM63" s="757"/>
      <c r="AN63" s="757"/>
      <c r="AO63" s="757"/>
      <c r="AP63" s="1613"/>
      <c r="AQ63" s="757"/>
      <c r="AR63" s="757"/>
      <c r="AS63" s="757"/>
      <c r="AT63" s="757"/>
      <c r="AU63" s="757"/>
    </row>
    <row r="64" spans="2:55" ht="21.75" customHeight="1">
      <c r="B64" s="757"/>
      <c r="C64" s="757"/>
      <c r="D64" s="757"/>
      <c r="E64" s="757"/>
      <c r="F64" s="757"/>
      <c r="G64" s="757"/>
      <c r="H64" s="757"/>
      <c r="I64" s="757"/>
      <c r="J64" s="2531"/>
      <c r="K64" s="757"/>
      <c r="L64" s="5646"/>
      <c r="M64" s="757"/>
      <c r="N64" s="757"/>
      <c r="O64" s="757"/>
      <c r="P64" s="757"/>
      <c r="Q64" s="1645"/>
      <c r="R64" s="1645"/>
      <c r="S64" s="1645"/>
      <c r="T64" s="1645"/>
      <c r="U64" s="1645"/>
      <c r="V64" s="1645"/>
      <c r="W64" s="1645"/>
      <c r="X64" s="1645"/>
      <c r="Y64" s="1645"/>
      <c r="Z64" s="1645"/>
      <c r="AA64" s="1645"/>
      <c r="AB64" s="1645"/>
      <c r="AC64" s="1645"/>
      <c r="AD64" s="1645"/>
      <c r="AE64" s="1645"/>
      <c r="AF64" s="757"/>
      <c r="AG64" s="757"/>
      <c r="AH64" s="757"/>
      <c r="AI64" s="757"/>
      <c r="AJ64" s="757"/>
      <c r="AK64" s="757"/>
      <c r="AL64" s="757"/>
      <c r="AM64" s="757"/>
      <c r="AN64" s="757"/>
      <c r="AO64" s="757"/>
      <c r="AP64" s="1613"/>
      <c r="AQ64" s="757"/>
      <c r="AR64" s="757"/>
      <c r="AS64" s="757"/>
      <c r="AT64" s="757"/>
      <c r="AU64" s="757"/>
    </row>
    <row r="65" spans="2:47" ht="21.75" customHeight="1">
      <c r="B65" s="757"/>
      <c r="C65" s="757"/>
      <c r="D65" s="757"/>
      <c r="E65" s="757"/>
      <c r="F65" s="757"/>
      <c r="G65" s="757"/>
      <c r="H65" s="757"/>
      <c r="I65" s="757"/>
      <c r="J65" s="2531"/>
      <c r="K65" s="757"/>
      <c r="L65" s="5646"/>
      <c r="M65" s="757"/>
      <c r="N65" s="757"/>
      <c r="O65" s="757"/>
      <c r="P65" s="757"/>
      <c r="Q65" s="1645"/>
      <c r="R65" s="1645"/>
      <c r="S65" s="1645"/>
      <c r="T65" s="1645"/>
      <c r="U65" s="1645"/>
      <c r="V65" s="1645"/>
      <c r="W65" s="1645"/>
      <c r="X65" s="1645"/>
      <c r="Y65" s="1645"/>
      <c r="Z65" s="1645"/>
      <c r="AA65" s="1645"/>
      <c r="AB65" s="1645"/>
      <c r="AC65" s="1645"/>
      <c r="AD65" s="1645"/>
      <c r="AE65" s="1645"/>
      <c r="AF65" s="757"/>
      <c r="AG65" s="757"/>
      <c r="AH65" s="757"/>
      <c r="AI65" s="757"/>
      <c r="AJ65" s="757"/>
      <c r="AK65" s="757"/>
      <c r="AL65" s="757"/>
      <c r="AM65" s="757"/>
      <c r="AN65" s="757"/>
      <c r="AO65" s="757"/>
      <c r="AP65" s="1613"/>
      <c r="AQ65" s="757"/>
      <c r="AR65" s="757"/>
      <c r="AS65" s="757"/>
      <c r="AT65" s="757"/>
      <c r="AU65" s="757"/>
    </row>
    <row r="66" spans="2:47" ht="21.75" customHeight="1">
      <c r="B66" s="757"/>
      <c r="C66" s="757"/>
      <c r="D66" s="757"/>
      <c r="E66" s="757"/>
      <c r="F66" s="757"/>
      <c r="G66" s="757"/>
      <c r="H66" s="757"/>
      <c r="I66" s="757"/>
      <c r="J66" s="2531"/>
      <c r="K66" s="757"/>
      <c r="L66" s="5646"/>
      <c r="M66" s="757"/>
      <c r="N66" s="757"/>
      <c r="O66" s="757"/>
      <c r="P66" s="757"/>
      <c r="Q66" s="1645"/>
      <c r="R66" s="1645"/>
      <c r="S66" s="1645"/>
      <c r="T66" s="1645"/>
      <c r="U66" s="1645"/>
      <c r="V66" s="1645"/>
      <c r="W66" s="1645"/>
      <c r="X66" s="1645"/>
      <c r="Y66" s="1645"/>
      <c r="Z66" s="1645"/>
      <c r="AA66" s="1645"/>
      <c r="AB66" s="1645"/>
      <c r="AC66" s="1645"/>
      <c r="AD66" s="1645"/>
      <c r="AE66" s="1645"/>
      <c r="AF66" s="757"/>
      <c r="AG66" s="757"/>
      <c r="AH66" s="757"/>
      <c r="AI66" s="757"/>
      <c r="AJ66" s="757"/>
      <c r="AK66" s="757"/>
      <c r="AL66" s="757"/>
      <c r="AM66" s="757"/>
      <c r="AN66" s="757"/>
      <c r="AO66" s="757"/>
      <c r="AP66" s="1613"/>
      <c r="AQ66" s="757"/>
      <c r="AR66" s="757"/>
      <c r="AS66" s="757"/>
      <c r="AT66" s="757"/>
      <c r="AU66" s="757"/>
    </row>
    <row r="67" spans="2:47" ht="21.75" customHeight="1">
      <c r="B67" s="757"/>
      <c r="C67" s="757"/>
      <c r="D67" s="757"/>
      <c r="E67" s="757"/>
      <c r="F67" s="757"/>
      <c r="G67" s="757"/>
      <c r="H67" s="757"/>
      <c r="I67" s="757"/>
      <c r="J67" s="2531"/>
      <c r="K67" s="757"/>
      <c r="L67" s="5646"/>
      <c r="M67" s="757"/>
      <c r="N67" s="757"/>
      <c r="O67" s="757"/>
      <c r="P67" s="757"/>
      <c r="Q67" s="1645"/>
      <c r="R67" s="1645"/>
      <c r="S67" s="1645"/>
      <c r="T67" s="1645"/>
      <c r="U67" s="1645"/>
      <c r="V67" s="1645"/>
      <c r="W67" s="1645"/>
      <c r="X67" s="1645"/>
      <c r="Y67" s="1645"/>
      <c r="Z67" s="1645"/>
      <c r="AA67" s="1645"/>
      <c r="AB67" s="1645"/>
      <c r="AC67" s="1645"/>
      <c r="AD67" s="1645"/>
      <c r="AE67" s="1645"/>
      <c r="AF67" s="757"/>
      <c r="AG67" s="757"/>
      <c r="AH67" s="757"/>
      <c r="AI67" s="757"/>
      <c r="AJ67" s="757"/>
      <c r="AK67" s="757"/>
      <c r="AL67" s="757"/>
      <c r="AM67" s="757"/>
      <c r="AN67" s="757"/>
      <c r="AO67" s="757"/>
      <c r="AP67" s="1613"/>
      <c r="AQ67" s="757"/>
      <c r="AR67" s="757"/>
      <c r="AS67" s="757"/>
      <c r="AT67" s="757"/>
      <c r="AU67" s="757"/>
    </row>
    <row r="68" spans="2:47" ht="21.75" customHeight="1">
      <c r="B68" s="757"/>
      <c r="C68" s="757"/>
      <c r="D68" s="757"/>
      <c r="E68" s="757"/>
      <c r="F68" s="757"/>
      <c r="G68" s="757"/>
      <c r="H68" s="757"/>
      <c r="I68" s="757"/>
      <c r="J68" s="2531"/>
      <c r="K68" s="757"/>
      <c r="L68" s="5646"/>
      <c r="M68" s="757"/>
      <c r="N68" s="757"/>
      <c r="O68" s="757"/>
      <c r="P68" s="757"/>
      <c r="Q68" s="757"/>
      <c r="R68" s="757"/>
      <c r="S68" s="757"/>
      <c r="T68" s="757"/>
      <c r="U68" s="757"/>
      <c r="V68" s="1613"/>
      <c r="W68" s="1613"/>
      <c r="X68" s="757"/>
      <c r="Y68" s="757"/>
      <c r="Z68" s="757"/>
      <c r="AA68" s="757"/>
      <c r="AB68" s="757"/>
      <c r="AC68" s="757"/>
      <c r="AD68" s="757"/>
      <c r="AE68" s="757"/>
      <c r="AF68" s="757"/>
      <c r="AG68" s="757"/>
      <c r="AH68" s="757"/>
      <c r="AI68" s="757"/>
      <c r="AJ68" s="757"/>
      <c r="AK68" s="757"/>
      <c r="AL68" s="757"/>
      <c r="AM68" s="757"/>
      <c r="AN68" s="757"/>
      <c r="AO68" s="757"/>
      <c r="AP68" s="1613"/>
      <c r="AQ68" s="757"/>
      <c r="AR68" s="757"/>
      <c r="AS68" s="757"/>
      <c r="AT68" s="757"/>
      <c r="AU68" s="757"/>
    </row>
    <row r="69" spans="2:47" ht="21.75" customHeight="1">
      <c r="B69" s="757"/>
      <c r="C69" s="757"/>
      <c r="D69" s="757"/>
      <c r="E69" s="757"/>
      <c r="F69" s="757"/>
      <c r="G69" s="757"/>
      <c r="H69" s="757"/>
      <c r="I69" s="757"/>
      <c r="J69" s="2531"/>
      <c r="K69" s="757"/>
      <c r="L69" s="5646"/>
      <c r="M69" s="757"/>
      <c r="N69" s="757"/>
      <c r="O69" s="757"/>
      <c r="P69" s="1613"/>
      <c r="Q69" s="1613"/>
      <c r="R69" s="757"/>
      <c r="S69" s="757"/>
      <c r="T69" s="757"/>
      <c r="U69" s="757"/>
      <c r="V69" s="757"/>
      <c r="W69" s="757"/>
      <c r="X69" s="757"/>
      <c r="Y69" s="757"/>
      <c r="Z69" s="757"/>
      <c r="AA69" s="757"/>
      <c r="AB69" s="757"/>
      <c r="AC69" s="757"/>
      <c r="AD69" s="757"/>
      <c r="AE69" s="757"/>
      <c r="AF69" s="757"/>
      <c r="AG69" s="757"/>
      <c r="AH69" s="757"/>
      <c r="AI69" s="757"/>
      <c r="AJ69" s="757"/>
      <c r="AK69" s="757"/>
      <c r="AL69" s="757"/>
      <c r="AM69" s="757"/>
      <c r="AN69" s="757"/>
      <c r="AO69" s="757"/>
      <c r="AP69" s="1613"/>
      <c r="AQ69" s="757"/>
      <c r="AR69" s="757"/>
      <c r="AS69" s="757"/>
      <c r="AT69" s="757"/>
      <c r="AU69" s="757"/>
    </row>
  </sheetData>
  <mergeCells count="33">
    <mergeCell ref="C3:C4"/>
    <mergeCell ref="B22:B23"/>
    <mergeCell ref="M2:AQ2"/>
    <mergeCell ref="AQ3:AQ4"/>
    <mergeCell ref="AP3:AP4"/>
    <mergeCell ref="AN3:AN4"/>
    <mergeCell ref="AO3:AO4"/>
    <mergeCell ref="A20:A25"/>
    <mergeCell ref="B20:B21"/>
    <mergeCell ref="AU26:AU27"/>
    <mergeCell ref="B30:B31"/>
    <mergeCell ref="AU31:AU32"/>
    <mergeCell ref="AU28:AU30"/>
    <mergeCell ref="B28:B29"/>
    <mergeCell ref="B26:B27"/>
    <mergeCell ref="B24:B25"/>
    <mergeCell ref="B32:B33"/>
    <mergeCell ref="N46:N47"/>
    <mergeCell ref="O46:AA46"/>
    <mergeCell ref="A1:AQ1"/>
    <mergeCell ref="A30:A35"/>
    <mergeCell ref="A26:A29"/>
    <mergeCell ref="A11:A18"/>
    <mergeCell ref="M46:M47"/>
    <mergeCell ref="M3:N3"/>
    <mergeCell ref="D3:L3"/>
    <mergeCell ref="A39:B39"/>
    <mergeCell ref="O3:AM3"/>
    <mergeCell ref="B3:B4"/>
    <mergeCell ref="A5:A8"/>
    <mergeCell ref="A3:A4"/>
    <mergeCell ref="A9:A10"/>
    <mergeCell ref="A37:A38"/>
  </mergeCells>
  <phoneticPr fontId="23" type="noConversion"/>
  <pageMargins left="0.39370078740157483" right="0" top="0.19685039370078741" bottom="0" header="0.31496062992125984" footer="0.31496062992125984"/>
  <pageSetup paperSize="9" scale="7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C136"/>
  <sheetViews>
    <sheetView zoomScale="70" zoomScaleNormal="70" workbookViewId="0">
      <pane xSplit="8" ySplit="4" topLeftCell="I5" activePane="bottomRight" state="frozen"/>
      <selection pane="topRight" activeCell="I1" sqref="I1"/>
      <selection pane="bottomLeft" activeCell="A5" sqref="A5"/>
      <selection pane="bottomRight" activeCell="AA30" sqref="AA30"/>
    </sheetView>
  </sheetViews>
  <sheetFormatPr defaultColWidth="8.88671875" defaultRowHeight="16.5"/>
  <cols>
    <col min="1" max="1" width="7.33203125" style="340" customWidth="1"/>
    <col min="2" max="2" width="12" style="340" customWidth="1"/>
    <col min="3" max="3" width="7.88671875" style="340" customWidth="1"/>
    <col min="4" max="7" width="8.33203125" style="340" hidden="1" customWidth="1"/>
    <col min="8" max="8" width="7.88671875" style="340" hidden="1" customWidth="1"/>
    <col min="9" max="9" width="9.6640625" style="340" customWidth="1"/>
    <col min="10" max="10" width="9.6640625" style="1453" customWidth="1"/>
    <col min="11" max="11" width="9.6640625" style="340" customWidth="1"/>
    <col min="12" max="12" width="9.6640625" style="1453" customWidth="1"/>
    <col min="13" max="14" width="7.88671875" style="340" customWidth="1"/>
    <col min="15" max="17" width="8.88671875" style="340" customWidth="1"/>
    <col min="18" max="23" width="8.88671875" style="340" hidden="1" customWidth="1"/>
    <col min="24" max="26" width="9.77734375" style="340" hidden="1" customWidth="1"/>
    <col min="27" max="27" width="9.77734375" style="340" customWidth="1"/>
    <col min="28" max="30" width="8.88671875" style="340" customWidth="1"/>
    <col min="31" max="36" width="8.88671875" style="340" hidden="1" customWidth="1"/>
    <col min="37" max="39" width="9.77734375" style="340" hidden="1" customWidth="1"/>
    <col min="40" max="40" width="10.109375" style="340" bestFit="1" customWidth="1"/>
    <col min="41" max="41" width="9.109375" style="330" customWidth="1"/>
    <col min="42" max="42" width="9.109375" style="340" customWidth="1"/>
    <col min="43" max="43" width="20.109375" style="340" bestFit="1" customWidth="1"/>
    <col min="44" max="44" width="8.88671875" style="340"/>
    <col min="45" max="46" width="14.109375" style="340" bestFit="1" customWidth="1"/>
    <col min="47" max="47" width="11.5546875" style="340" bestFit="1" customWidth="1"/>
    <col min="48" max="16384" width="8.88671875" style="340"/>
  </cols>
  <sheetData>
    <row r="1" spans="1:55" ht="31.5">
      <c r="A1" s="8009" t="s">
        <v>1303</v>
      </c>
      <c r="B1" s="8009"/>
      <c r="C1" s="8009"/>
      <c r="D1" s="8009"/>
      <c r="E1" s="8009"/>
      <c r="F1" s="8009"/>
      <c r="G1" s="8009"/>
      <c r="H1" s="8009"/>
      <c r="I1" s="8009"/>
      <c r="J1" s="8009"/>
      <c r="K1" s="8009"/>
      <c r="L1" s="8009"/>
      <c r="M1" s="8009"/>
      <c r="N1" s="8009"/>
      <c r="O1" s="8009"/>
      <c r="P1" s="8009"/>
      <c r="Q1" s="8009"/>
      <c r="R1" s="8009"/>
      <c r="S1" s="8009"/>
      <c r="T1" s="8009"/>
      <c r="U1" s="8009"/>
      <c r="V1" s="8009"/>
      <c r="W1" s="8009"/>
      <c r="X1" s="8009"/>
      <c r="Y1" s="8009"/>
      <c r="Z1" s="8009"/>
      <c r="AA1" s="8009"/>
      <c r="AB1" s="8009"/>
      <c r="AC1" s="8009"/>
      <c r="AD1" s="8009"/>
      <c r="AE1" s="8009"/>
      <c r="AF1" s="8009"/>
      <c r="AG1" s="8009"/>
      <c r="AH1" s="8009"/>
      <c r="AI1" s="8009"/>
      <c r="AJ1" s="8009"/>
      <c r="AK1" s="8009"/>
      <c r="AL1" s="8009"/>
      <c r="AM1" s="8009"/>
      <c r="AN1" s="8009"/>
      <c r="AO1" s="8009"/>
      <c r="AP1" s="8009"/>
      <c r="AQ1" s="8009"/>
    </row>
    <row r="2" spans="1:55" ht="17.25" thickBot="1">
      <c r="M2" s="8021" t="s">
        <v>398</v>
      </c>
      <c r="N2" s="8021"/>
      <c r="O2" s="8021"/>
      <c r="P2" s="8021"/>
      <c r="Q2" s="8021"/>
      <c r="R2" s="8021"/>
      <c r="S2" s="8021"/>
      <c r="T2" s="8021"/>
      <c r="U2" s="8021"/>
      <c r="V2" s="8021"/>
      <c r="W2" s="8021"/>
      <c r="X2" s="8021"/>
      <c r="Y2" s="8021"/>
      <c r="Z2" s="8021"/>
      <c r="AA2" s="8021"/>
      <c r="AB2" s="8021"/>
      <c r="AC2" s="8021"/>
      <c r="AD2" s="8021"/>
      <c r="AE2" s="8021"/>
      <c r="AF2" s="8021"/>
      <c r="AG2" s="8021"/>
      <c r="AH2" s="8021"/>
      <c r="AI2" s="8021"/>
      <c r="AJ2" s="8021"/>
      <c r="AK2" s="8021"/>
      <c r="AL2" s="8021"/>
      <c r="AM2" s="8021"/>
      <c r="AN2" s="8021"/>
      <c r="AO2" s="8021"/>
      <c r="AP2" s="8021"/>
      <c r="AQ2" s="8022"/>
    </row>
    <row r="3" spans="1:55" ht="20.25" customHeight="1" thickBot="1">
      <c r="A3" s="7750" t="s">
        <v>278</v>
      </c>
      <c r="B3" s="7838" t="s">
        <v>279</v>
      </c>
      <c r="C3" s="7840" t="s">
        <v>280</v>
      </c>
      <c r="D3" s="8010" t="s">
        <v>281</v>
      </c>
      <c r="E3" s="8004"/>
      <c r="F3" s="8004"/>
      <c r="G3" s="8004"/>
      <c r="H3" s="8004"/>
      <c r="I3" s="8004"/>
      <c r="J3" s="8004"/>
      <c r="K3" s="8004"/>
      <c r="L3" s="8057"/>
      <c r="M3" s="8042" t="s">
        <v>282</v>
      </c>
      <c r="N3" s="8043"/>
      <c r="O3" s="7954" t="s">
        <v>1299</v>
      </c>
      <c r="P3" s="7954"/>
      <c r="Q3" s="7954"/>
      <c r="R3" s="7954"/>
      <c r="S3" s="7954"/>
      <c r="T3" s="7954"/>
      <c r="U3" s="7954"/>
      <c r="V3" s="7954"/>
      <c r="W3" s="7954"/>
      <c r="X3" s="7954"/>
      <c r="Y3" s="7954"/>
      <c r="Z3" s="7954"/>
      <c r="AA3" s="7954"/>
      <c r="AB3" s="8004"/>
      <c r="AC3" s="8004"/>
      <c r="AD3" s="8004"/>
      <c r="AE3" s="8004"/>
      <c r="AF3" s="8004"/>
      <c r="AG3" s="8004"/>
      <c r="AH3" s="8004"/>
      <c r="AI3" s="8004"/>
      <c r="AJ3" s="8004"/>
      <c r="AK3" s="8004"/>
      <c r="AL3" s="8004"/>
      <c r="AM3" s="8005"/>
      <c r="AN3" s="7844" t="s">
        <v>1912</v>
      </c>
      <c r="AO3" s="7844" t="s">
        <v>433</v>
      </c>
      <c r="AP3" s="7955" t="s">
        <v>361</v>
      </c>
      <c r="AQ3" s="7838" t="s">
        <v>283</v>
      </c>
    </row>
    <row r="4" spans="1:55" ht="20.25" customHeight="1" thickTop="1">
      <c r="A4" s="8027"/>
      <c r="B4" s="8028"/>
      <c r="C4" s="8029"/>
      <c r="D4" s="854" t="s">
        <v>252</v>
      </c>
      <c r="E4" s="855" t="s">
        <v>253</v>
      </c>
      <c r="F4" s="855" t="s">
        <v>191</v>
      </c>
      <c r="G4" s="856" t="s">
        <v>254</v>
      </c>
      <c r="H4" s="857" t="s">
        <v>544</v>
      </c>
      <c r="I4" s="1437" t="s">
        <v>697</v>
      </c>
      <c r="J4" s="4532" t="s">
        <v>699</v>
      </c>
      <c r="K4" s="3271" t="s">
        <v>978</v>
      </c>
      <c r="L4" s="5666" t="s">
        <v>1883</v>
      </c>
      <c r="M4" s="2569" t="s">
        <v>1893</v>
      </c>
      <c r="N4" s="2570" t="s">
        <v>801</v>
      </c>
      <c r="O4" s="3837" t="s">
        <v>397</v>
      </c>
      <c r="P4" s="2615" t="s">
        <v>368</v>
      </c>
      <c r="Q4" s="7250" t="s">
        <v>369</v>
      </c>
      <c r="R4" s="7475" t="s">
        <v>370</v>
      </c>
      <c r="S4" s="3228" t="s">
        <v>371</v>
      </c>
      <c r="T4" s="3228" t="s">
        <v>372</v>
      </c>
      <c r="U4" s="3228" t="s">
        <v>373</v>
      </c>
      <c r="V4" s="3228" t="s">
        <v>374</v>
      </c>
      <c r="W4" s="3228" t="s">
        <v>375</v>
      </c>
      <c r="X4" s="3236" t="s">
        <v>376</v>
      </c>
      <c r="Y4" s="2616" t="s">
        <v>377</v>
      </c>
      <c r="Z4" s="2616" t="s">
        <v>378</v>
      </c>
      <c r="AA4" s="2615" t="s">
        <v>981</v>
      </c>
      <c r="AB4" s="3284" t="s">
        <v>367</v>
      </c>
      <c r="AC4" s="858" t="s">
        <v>379</v>
      </c>
      <c r="AD4" s="858" t="s">
        <v>380</v>
      </c>
      <c r="AE4" s="858" t="s">
        <v>381</v>
      </c>
      <c r="AF4" s="858" t="s">
        <v>382</v>
      </c>
      <c r="AG4" s="858" t="s">
        <v>383</v>
      </c>
      <c r="AH4" s="858" t="s">
        <v>384</v>
      </c>
      <c r="AI4" s="858" t="s">
        <v>385</v>
      </c>
      <c r="AJ4" s="858" t="s">
        <v>386</v>
      </c>
      <c r="AK4" s="858" t="s">
        <v>387</v>
      </c>
      <c r="AL4" s="858" t="s">
        <v>388</v>
      </c>
      <c r="AM4" s="858" t="s">
        <v>389</v>
      </c>
      <c r="AN4" s="8031"/>
      <c r="AO4" s="8031"/>
      <c r="AP4" s="8023"/>
      <c r="AQ4" s="8030"/>
    </row>
    <row r="5" spans="1:55" s="330" customFormat="1" ht="20.25" customHeight="1">
      <c r="A5" s="8058" t="s">
        <v>284</v>
      </c>
      <c r="B5" s="859" t="s">
        <v>285</v>
      </c>
      <c r="C5" s="864" t="s">
        <v>286</v>
      </c>
      <c r="D5" s="769">
        <v>279198.24400000001</v>
      </c>
      <c r="E5" s="742">
        <v>318329.47699999996</v>
      </c>
      <c r="F5" s="742">
        <v>291362.679</v>
      </c>
      <c r="G5" s="1985">
        <v>294964</v>
      </c>
      <c r="H5" s="1985">
        <v>319228.24600000004</v>
      </c>
      <c r="I5" s="1985">
        <v>316624</v>
      </c>
      <c r="J5" s="1986">
        <v>314375.11900000001</v>
      </c>
      <c r="K5" s="3276">
        <f>년간!C9</f>
        <v>290914.02899999998</v>
      </c>
      <c r="L5" s="3276">
        <f>년간!D9</f>
        <v>264537.17499999999</v>
      </c>
      <c r="M5" s="5862">
        <f>년간!E9</f>
        <v>267910</v>
      </c>
      <c r="N5" s="5863">
        <f>M5/10</f>
        <v>26791</v>
      </c>
      <c r="O5" s="3037">
        <f>년간!F9</f>
        <v>0</v>
      </c>
      <c r="P5" s="3232">
        <f>년간!G9</f>
        <v>0</v>
      </c>
      <c r="Q5" s="7266">
        <f>년간!H9</f>
        <v>23204.240000000002</v>
      </c>
      <c r="R5" s="5699">
        <f>년간!I9</f>
        <v>0</v>
      </c>
      <c r="S5" s="3232">
        <f>년간!J9</f>
        <v>0</v>
      </c>
      <c r="T5" s="3232">
        <f>년간!K9</f>
        <v>0</v>
      </c>
      <c r="U5" s="3232">
        <f>년간!L9</f>
        <v>0</v>
      </c>
      <c r="V5" s="3232">
        <f>년간!M9</f>
        <v>0</v>
      </c>
      <c r="W5" s="3232">
        <f>년간!N9</f>
        <v>0</v>
      </c>
      <c r="X5" s="3240">
        <f>년간!O9</f>
        <v>0</v>
      </c>
      <c r="Y5" s="4606">
        <f>년간!P9</f>
        <v>0</v>
      </c>
      <c r="Z5" s="3240">
        <f>년간!Q9</f>
        <v>0</v>
      </c>
      <c r="AA5" s="3232">
        <f>SUM(O5:Z5)</f>
        <v>23204.240000000002</v>
      </c>
      <c r="AB5" s="4484"/>
      <c r="AC5" s="1188"/>
      <c r="AD5" s="1188"/>
      <c r="AE5" s="1188"/>
      <c r="AF5" s="1188"/>
      <c r="AG5" s="1188"/>
      <c r="AH5" s="1188"/>
      <c r="AI5" s="1188"/>
      <c r="AJ5" s="1188"/>
      <c r="AK5" s="1188"/>
      <c r="AL5" s="1188"/>
      <c r="AM5" s="1188"/>
      <c r="AN5" s="1188"/>
      <c r="AO5" s="1188"/>
      <c r="AP5" s="1188"/>
      <c r="AQ5" s="1189"/>
      <c r="AS5" s="758"/>
      <c r="AT5" s="758"/>
      <c r="AU5" s="758"/>
      <c r="AV5" s="758"/>
      <c r="AW5" s="340"/>
      <c r="AX5" s="758"/>
      <c r="AY5" s="758"/>
    </row>
    <row r="6" spans="1:55" s="330" customFormat="1" ht="20.25" customHeight="1">
      <c r="A6" s="7799"/>
      <c r="B6" s="859" t="s">
        <v>287</v>
      </c>
      <c r="C6" s="865" t="s">
        <v>288</v>
      </c>
      <c r="D6" s="766">
        <v>39.820707373485497</v>
      </c>
      <c r="E6" s="767">
        <v>44.830401999788748</v>
      </c>
      <c r="F6" s="767">
        <v>46.19</v>
      </c>
      <c r="G6" s="1996">
        <v>45.65</v>
      </c>
      <c r="H6" s="1996">
        <v>44.110170695309336</v>
      </c>
      <c r="I6" s="1996">
        <v>44.71</v>
      </c>
      <c r="J6" s="2537">
        <v>46.04272455659865</v>
      </c>
      <c r="K6" s="5704">
        <f>년간!C118</f>
        <v>46.906486455981941</v>
      </c>
      <c r="L6" s="5704">
        <f>년간!D118</f>
        <v>49.260056236092275</v>
      </c>
      <c r="M6" s="5864">
        <f>년간!E118</f>
        <v>50.07</v>
      </c>
      <c r="N6" s="5865">
        <f>M6</f>
        <v>50.07</v>
      </c>
      <c r="O6" s="6094">
        <f>년간!F118</f>
        <v>0</v>
      </c>
      <c r="P6" s="4275">
        <f>년간!G118</f>
        <v>0</v>
      </c>
      <c r="Q6" s="7267">
        <f>년간!H118</f>
        <v>48.552899738448126</v>
      </c>
      <c r="R6" s="3890" t="e">
        <f>년간!I118</f>
        <v>#DIV/0!</v>
      </c>
      <c r="S6" s="3233" t="e">
        <f>년간!J118</f>
        <v>#DIV/0!</v>
      </c>
      <c r="T6" s="3233" t="e">
        <f>년간!K118</f>
        <v>#DIV/0!</v>
      </c>
      <c r="U6" s="3233" t="e">
        <f>년간!L118</f>
        <v>#DIV/0!</v>
      </c>
      <c r="V6" s="3233" t="e">
        <f>년간!M118</f>
        <v>#DIV/0!</v>
      </c>
      <c r="W6" s="3233" t="e">
        <f>년간!N118</f>
        <v>#DIV/0!</v>
      </c>
      <c r="X6" s="3241" t="e">
        <f>년간!O118</f>
        <v>#DIV/0!</v>
      </c>
      <c r="Y6" s="4083" t="e">
        <f>년간!P118</f>
        <v>#DIV/0!</v>
      </c>
      <c r="Z6" s="3241" t="e">
        <f>년간!Q118</f>
        <v>#DIV/0!</v>
      </c>
      <c r="AA6" s="3233">
        <f>년간!V118</f>
        <v>48.552899738448126</v>
      </c>
      <c r="AB6" s="4477" t="e">
        <f>년간!F135/1000</f>
        <v>#DIV/0!</v>
      </c>
      <c r="AC6" s="1190" t="e">
        <f>년간!G135/1000</f>
        <v>#DIV/0!</v>
      </c>
      <c r="AD6" s="1190">
        <f>년간!H135/1000</f>
        <v>-8475.1081814982499</v>
      </c>
      <c r="AE6" s="1190" t="e">
        <f>년간!I135/1000</f>
        <v>#DIV/0!</v>
      </c>
      <c r="AF6" s="1190" t="e">
        <f>년간!J135/1000</f>
        <v>#DIV/0!</v>
      </c>
      <c r="AG6" s="1190" t="e">
        <f>년간!K135/1000</f>
        <v>#DIV/0!</v>
      </c>
      <c r="AH6" s="1190" t="e">
        <f>년간!L135/1000</f>
        <v>#DIV/0!</v>
      </c>
      <c r="AI6" s="1190" t="e">
        <f>년간!M135/1000</f>
        <v>#DIV/0!</v>
      </c>
      <c r="AJ6" s="1190" t="e">
        <f>년간!N135/1000</f>
        <v>#DIV/0!</v>
      </c>
      <c r="AK6" s="1190" t="e">
        <f>년간!O135/1000</f>
        <v>#DIV/0!</v>
      </c>
      <c r="AL6" s="1190" t="e">
        <f>년간!P135/1000</f>
        <v>#DIV/0!</v>
      </c>
      <c r="AM6" s="1190" t="e">
        <f>년간!Q135/1000</f>
        <v>#DIV/0!</v>
      </c>
      <c r="AN6" s="1191">
        <f>년간!E135/1000</f>
        <v>108678.52539062555</v>
      </c>
      <c r="AO6" s="1192">
        <f>AD6</f>
        <v>-8475.1081814982499</v>
      </c>
      <c r="AP6" s="1193">
        <f>AO6/AN6</f>
        <v>-7.7983282815404301E-2</v>
      </c>
      <c r="AQ6" s="3332" t="s">
        <v>1907</v>
      </c>
      <c r="AS6" s="758"/>
      <c r="AT6" s="758"/>
      <c r="AU6" s="758"/>
      <c r="AV6" s="758"/>
      <c r="AW6" s="758"/>
      <c r="AX6" s="758"/>
      <c r="AY6" s="758"/>
    </row>
    <row r="7" spans="1:55" s="1452" customFormat="1" ht="20.25" customHeight="1">
      <c r="A7" s="7799"/>
      <c r="B7" s="3793" t="s">
        <v>1925</v>
      </c>
      <c r="C7" s="865" t="s">
        <v>260</v>
      </c>
      <c r="D7" s="6111"/>
      <c r="E7" s="6112"/>
      <c r="F7" s="6112"/>
      <c r="G7" s="6112"/>
      <c r="H7" s="6112"/>
      <c r="I7" s="6112"/>
      <c r="J7" s="5704"/>
      <c r="K7" s="5704"/>
      <c r="L7" s="5704">
        <v>49.260056236092275</v>
      </c>
      <c r="M7" s="5864">
        <v>50.07</v>
      </c>
      <c r="N7" s="5865">
        <f>M7</f>
        <v>50.07</v>
      </c>
      <c r="O7" s="6094">
        <v>63.242212491621522</v>
      </c>
      <c r="P7" s="4275">
        <v>65.128966411001258</v>
      </c>
      <c r="Q7" s="7267">
        <f>Q52</f>
        <v>49.140415148955178</v>
      </c>
      <c r="R7" s="3890"/>
      <c r="S7" s="3233"/>
      <c r="T7" s="3233"/>
      <c r="U7" s="3233"/>
      <c r="V7" s="3233"/>
      <c r="W7" s="3233"/>
      <c r="X7" s="3241"/>
      <c r="Y7" s="4083"/>
      <c r="Z7" s="3241"/>
      <c r="AA7" s="3233"/>
      <c r="AB7" s="4477"/>
      <c r="AC7" s="4807"/>
      <c r="AD7" s="4807"/>
      <c r="AE7" s="4807"/>
      <c r="AF7" s="4807"/>
      <c r="AG7" s="4807"/>
      <c r="AH7" s="4807"/>
      <c r="AI7" s="4807"/>
      <c r="AJ7" s="4807"/>
      <c r="AK7" s="4807"/>
      <c r="AL7" s="4807"/>
      <c r="AM7" s="4807"/>
      <c r="AN7" s="6113"/>
      <c r="AO7" s="6047"/>
      <c r="AP7" s="6114"/>
      <c r="AQ7" s="3332"/>
      <c r="AS7" s="758"/>
      <c r="AT7" s="758"/>
      <c r="AU7" s="758"/>
      <c r="AV7" s="758"/>
      <c r="AW7" s="758"/>
      <c r="AX7" s="758"/>
      <c r="AY7" s="758"/>
    </row>
    <row r="8" spans="1:55" s="330" customFormat="1" ht="20.25" customHeight="1">
      <c r="A8" s="7799"/>
      <c r="B8" s="859" t="s">
        <v>289</v>
      </c>
      <c r="C8" s="865" t="s">
        <v>290</v>
      </c>
      <c r="D8" s="766">
        <v>89.81</v>
      </c>
      <c r="E8" s="767">
        <v>92.512892893979696</v>
      </c>
      <c r="F8" s="767">
        <v>92.47</v>
      </c>
      <c r="G8" s="1996">
        <v>90.36</v>
      </c>
      <c r="H8" s="1996">
        <v>91.616943344951849</v>
      </c>
      <c r="I8" s="1996">
        <v>92.74</v>
      </c>
      <c r="J8" s="2537">
        <v>94.354058610555796</v>
      </c>
      <c r="K8" s="5704">
        <f>년간!C112*100</f>
        <v>94.939227872516312</v>
      </c>
      <c r="L8" s="5704">
        <f>년간!D112*100</f>
        <v>94.391242064805667</v>
      </c>
      <c r="M8" s="5864">
        <f>년간!E112*100</f>
        <v>95.46</v>
      </c>
      <c r="N8" s="5865">
        <f>M8</f>
        <v>95.46</v>
      </c>
      <c r="O8" s="6094" t="e">
        <f>년간!F112*100</f>
        <v>#DIV/0!</v>
      </c>
      <c r="P8" s="4275" t="e">
        <f>년간!G112*100</f>
        <v>#DIV/0!</v>
      </c>
      <c r="Q8" s="7267">
        <f>년간!H112*100</f>
        <v>94.997515322179893</v>
      </c>
      <c r="R8" s="3890" t="e">
        <f>년간!I112*100</f>
        <v>#DIV/0!</v>
      </c>
      <c r="S8" s="3233" t="e">
        <f>년간!J112*100</f>
        <v>#DIV/0!</v>
      </c>
      <c r="T8" s="3233" t="e">
        <f>년간!K112*100</f>
        <v>#DIV/0!</v>
      </c>
      <c r="U8" s="3233" t="e">
        <f>년간!L112*100</f>
        <v>#DIV/0!</v>
      </c>
      <c r="V8" s="3233" t="e">
        <f>년간!M112*100</f>
        <v>#DIV/0!</v>
      </c>
      <c r="W8" s="3233" t="e">
        <f>년간!N112*100</f>
        <v>#DIV/0!</v>
      </c>
      <c r="X8" s="3241" t="e">
        <f>년간!O112*100</f>
        <v>#DIV/0!</v>
      </c>
      <c r="Y8" s="4083" t="e">
        <f>년간!P112*100</f>
        <v>#DIV/0!</v>
      </c>
      <c r="Z8" s="3241" t="e">
        <f>년간!Q112*100</f>
        <v>#DIV/0!</v>
      </c>
      <c r="AA8" s="3233">
        <f>년간!V112*100</f>
        <v>94.997515322179893</v>
      </c>
      <c r="AB8" s="4477" t="e">
        <f>년간!F134/1000</f>
        <v>#DIV/0!</v>
      </c>
      <c r="AC8" s="1190" t="e">
        <f>년간!G134/1000</f>
        <v>#DIV/0!</v>
      </c>
      <c r="AD8" s="1190">
        <f>년간!H134/1000</f>
        <v>3579.2582083126331</v>
      </c>
      <c r="AE8" s="1190" t="e">
        <f>년간!I134/1000</f>
        <v>#DIV/0!</v>
      </c>
      <c r="AF8" s="1190" t="e">
        <f>년간!J134/1000</f>
        <v>#DIV/0!</v>
      </c>
      <c r="AG8" s="1190" t="e">
        <f>년간!K134/1000</f>
        <v>#DIV/0!</v>
      </c>
      <c r="AH8" s="1190" t="e">
        <f>년간!L134/1000</f>
        <v>#DIV/0!</v>
      </c>
      <c r="AI8" s="1190" t="e">
        <f>년간!M134/1000</f>
        <v>#DIV/0!</v>
      </c>
      <c r="AJ8" s="1190" t="e">
        <f>년간!N134/1000</f>
        <v>#DIV/0!</v>
      </c>
      <c r="AK8" s="1190" t="e">
        <f>년간!O134/1000</f>
        <v>#DIV/0!</v>
      </c>
      <c r="AL8" s="1190" t="e">
        <f>년간!P134/1000</f>
        <v>#DIV/0!</v>
      </c>
      <c r="AM8" s="1190" t="e">
        <f>년간!Q134/1000</f>
        <v>#DIV/0!</v>
      </c>
      <c r="AN8" s="1192">
        <f>년간!E134/1000</f>
        <v>74001.69999328503</v>
      </c>
      <c r="AO8" s="1192">
        <f>AD8</f>
        <v>3579.2582083126331</v>
      </c>
      <c r="AP8" s="1193">
        <f>AO8/AN8</f>
        <v>4.8367243031408977E-2</v>
      </c>
      <c r="AQ8" s="3332" t="s">
        <v>1908</v>
      </c>
      <c r="AR8" s="1993"/>
      <c r="AS8" s="758"/>
      <c r="AT8" s="758"/>
      <c r="AU8" s="758"/>
      <c r="AV8" s="758"/>
      <c r="AW8" s="758"/>
      <c r="AX8" s="758"/>
      <c r="AY8" s="758"/>
    </row>
    <row r="9" spans="1:55" s="330" customFormat="1" ht="20.25" customHeight="1" thickBot="1">
      <c r="A9" s="7799"/>
      <c r="B9" s="862" t="s">
        <v>291</v>
      </c>
      <c r="C9" s="888" t="s">
        <v>752</v>
      </c>
      <c r="D9" s="931"/>
      <c r="E9" s="932"/>
      <c r="F9" s="932"/>
      <c r="G9" s="1997">
        <v>333.78</v>
      </c>
      <c r="H9" s="1997">
        <v>538.38</v>
      </c>
      <c r="I9" s="1997">
        <v>1238</v>
      </c>
      <c r="J9" s="2538">
        <v>926.96999999999991</v>
      </c>
      <c r="K9" s="5705">
        <v>387.37</v>
      </c>
      <c r="L9" s="5705">
        <v>326.14999999999998</v>
      </c>
      <c r="M9" s="5866">
        <v>198</v>
      </c>
      <c r="N9" s="5867">
        <f>M9/10</f>
        <v>19.8</v>
      </c>
      <c r="O9" s="6095">
        <v>0</v>
      </c>
      <c r="P9" s="6096">
        <v>0</v>
      </c>
      <c r="Q9" s="7492">
        <v>0</v>
      </c>
      <c r="R9" s="7476">
        <v>0</v>
      </c>
      <c r="S9" s="3838">
        <v>0</v>
      </c>
      <c r="T9" s="3838">
        <v>0</v>
      </c>
      <c r="U9" s="3838">
        <v>0</v>
      </c>
      <c r="V9" s="3838">
        <v>0</v>
      </c>
      <c r="W9" s="3838">
        <v>0</v>
      </c>
      <c r="X9" s="3839">
        <v>0</v>
      </c>
      <c r="Y9" s="5472">
        <v>0</v>
      </c>
      <c r="Z9" s="3839">
        <v>0</v>
      </c>
      <c r="AA9" s="4479">
        <f>SUM(O9:Z9)</f>
        <v>0</v>
      </c>
      <c r="AB9" s="6046">
        <f>($L$9/12-O9)/120*1235.3</f>
        <v>279.78687152777769</v>
      </c>
      <c r="AC9" s="3821">
        <f t="shared" ref="AC9:AM9" si="0">($L$9/12-P9)/120*1235.3</f>
        <v>279.78687152777769</v>
      </c>
      <c r="AD9" s="6019">
        <f t="shared" si="0"/>
        <v>279.78687152777769</v>
      </c>
      <c r="AE9" s="6019">
        <f t="shared" si="0"/>
        <v>279.78687152777769</v>
      </c>
      <c r="AF9" s="6019">
        <f t="shared" si="0"/>
        <v>279.78687152777769</v>
      </c>
      <c r="AG9" s="6019">
        <f t="shared" si="0"/>
        <v>279.78687152777769</v>
      </c>
      <c r="AH9" s="6019">
        <f t="shared" si="0"/>
        <v>279.78687152777769</v>
      </c>
      <c r="AI9" s="6019">
        <f t="shared" si="0"/>
        <v>279.78687152777769</v>
      </c>
      <c r="AJ9" s="6019">
        <f t="shared" si="0"/>
        <v>279.78687152777769</v>
      </c>
      <c r="AK9" s="6019">
        <f t="shared" si="0"/>
        <v>279.78687152777769</v>
      </c>
      <c r="AL9" s="6019">
        <f t="shared" si="0"/>
        <v>279.78687152777769</v>
      </c>
      <c r="AM9" s="6019">
        <f t="shared" si="0"/>
        <v>279.78687152777769</v>
      </c>
      <c r="AN9" s="1490">
        <f>(L9-M9)/120*년간!E214/1000</f>
        <v>1319.1974583333331</v>
      </c>
      <c r="AO9" s="1489">
        <f>AD9</f>
        <v>279.78687152777769</v>
      </c>
      <c r="AP9" s="1491">
        <f>AO9/AN9</f>
        <v>0.21208869814020026</v>
      </c>
      <c r="AQ9" s="2852" t="s">
        <v>1909</v>
      </c>
      <c r="AR9" s="818" t="s">
        <v>799</v>
      </c>
      <c r="AS9" s="758"/>
      <c r="AT9" s="758"/>
      <c r="AU9" s="758"/>
      <c r="AV9" s="758"/>
      <c r="AW9" s="758"/>
      <c r="AX9" s="758"/>
      <c r="AY9" s="758"/>
    </row>
    <row r="10" spans="1:55" s="330" customFormat="1" ht="20.25" customHeight="1">
      <c r="A10" s="7798" t="s">
        <v>292</v>
      </c>
      <c r="B10" s="878" t="s">
        <v>293</v>
      </c>
      <c r="C10" s="879" t="s">
        <v>290</v>
      </c>
      <c r="D10" s="947">
        <v>99.62</v>
      </c>
      <c r="E10" s="948">
        <v>99.928302515212209</v>
      </c>
      <c r="F10" s="948">
        <v>99.92</v>
      </c>
      <c r="G10" s="948">
        <v>99.93</v>
      </c>
      <c r="H10" s="948">
        <v>99.940905977141099</v>
      </c>
      <c r="I10" s="948">
        <v>99.97</v>
      </c>
      <c r="J10" s="2539">
        <v>99.983380652450364</v>
      </c>
      <c r="K10" s="2539">
        <f>년간!C88*100</f>
        <v>99.98701371818494</v>
      </c>
      <c r="L10" s="2539">
        <f>년간!D88*100</f>
        <v>99.97916039247022</v>
      </c>
      <c r="M10" s="5868">
        <f>년간!E88*100</f>
        <v>99.99</v>
      </c>
      <c r="N10" s="5869">
        <f>M10</f>
        <v>99.99</v>
      </c>
      <c r="O10" s="6097" t="e">
        <f>년간!F88*100</f>
        <v>#DIV/0!</v>
      </c>
      <c r="P10" s="6098" t="e">
        <f>년간!G88*100</f>
        <v>#DIV/0!</v>
      </c>
      <c r="Q10" s="7493">
        <f>년간!H88*100</f>
        <v>100</v>
      </c>
      <c r="R10" s="7477" t="e">
        <f>년간!I88*100</f>
        <v>#DIV/0!</v>
      </c>
      <c r="S10" s="950" t="e">
        <f>년간!J88*100</f>
        <v>#DIV/0!</v>
      </c>
      <c r="T10" s="950" t="e">
        <f>년간!K88*100</f>
        <v>#DIV/0!</v>
      </c>
      <c r="U10" s="950" t="e">
        <f>년간!L88*100</f>
        <v>#DIV/0!</v>
      </c>
      <c r="V10" s="950" t="e">
        <f>년간!M88*100</f>
        <v>#DIV/0!</v>
      </c>
      <c r="W10" s="950" t="e">
        <f>년간!N88*100</f>
        <v>#DIV/0!</v>
      </c>
      <c r="X10" s="949" t="e">
        <f>년간!O88*100</f>
        <v>#DIV/0!</v>
      </c>
      <c r="Y10" s="5473" t="e">
        <f>년간!P88*100</f>
        <v>#DIV/0!</v>
      </c>
      <c r="Z10" s="949" t="e">
        <f>년간!Q88*100</f>
        <v>#DIV/0!</v>
      </c>
      <c r="AA10" s="950">
        <f>년간!V88*100</f>
        <v>100</v>
      </c>
      <c r="AB10" s="4485" t="e">
        <f>년간!F132/1000</f>
        <v>#DIV/0!</v>
      </c>
      <c r="AC10" s="951" t="e">
        <f>년간!G132/1000</f>
        <v>#DIV/0!</v>
      </c>
      <c r="AD10" s="951">
        <f>년간!H132/1000</f>
        <v>2347.7045141952181</v>
      </c>
      <c r="AE10" s="951" t="e">
        <f>년간!I132/1000</f>
        <v>#DIV/0!</v>
      </c>
      <c r="AF10" s="951" t="e">
        <f>년간!J132/1000</f>
        <v>#DIV/0!</v>
      </c>
      <c r="AG10" s="951" t="e">
        <f>년간!K132/1000</f>
        <v>#DIV/0!</v>
      </c>
      <c r="AH10" s="951" t="e">
        <f>년간!L132/1000</f>
        <v>#DIV/0!</v>
      </c>
      <c r="AI10" s="951" t="e">
        <f>년간!M132/1000</f>
        <v>#DIV/0!</v>
      </c>
      <c r="AJ10" s="951" t="e">
        <f>년간!N132/1000</f>
        <v>#DIV/0!</v>
      </c>
      <c r="AK10" s="951" t="e">
        <f>년간!O132/1000</f>
        <v>#DIV/0!</v>
      </c>
      <c r="AL10" s="951" t="e">
        <f>년간!P132/1000</f>
        <v>#DIV/0!</v>
      </c>
      <c r="AM10" s="951" t="e">
        <f>년간!Q132/1000</f>
        <v>#DIV/0!</v>
      </c>
      <c r="AN10" s="952">
        <f>년간!E132/1000</f>
        <v>14100.433496942687</v>
      </c>
      <c r="AO10" s="1493">
        <f>AD10</f>
        <v>2347.7045141952181</v>
      </c>
      <c r="AP10" s="953">
        <f>AO10/AN10</f>
        <v>0.16649874734023296</v>
      </c>
      <c r="AQ10" s="886" t="s">
        <v>1904</v>
      </c>
      <c r="AS10" s="758"/>
      <c r="AT10" s="758"/>
      <c r="AU10" s="758"/>
      <c r="AV10" s="758"/>
      <c r="AW10" s="758"/>
      <c r="AX10" s="758"/>
      <c r="AY10" s="758"/>
    </row>
    <row r="11" spans="1:55" s="330" customFormat="1" ht="20.25" customHeight="1" thickBot="1">
      <c r="A11" s="7827"/>
      <c r="B11" s="863" t="s">
        <v>294</v>
      </c>
      <c r="C11" s="869" t="s">
        <v>286</v>
      </c>
      <c r="D11" s="771">
        <v>923</v>
      </c>
      <c r="E11" s="745">
        <v>209</v>
      </c>
      <c r="F11" s="745">
        <v>245</v>
      </c>
      <c r="G11" s="1998">
        <v>136</v>
      </c>
      <c r="H11" s="1998">
        <v>80.09</v>
      </c>
      <c r="I11" s="1998">
        <v>32</v>
      </c>
      <c r="J11" s="2540">
        <v>22.73</v>
      </c>
      <c r="K11" s="2540">
        <f>년간!C21+1.92</f>
        <v>31.35</v>
      </c>
      <c r="L11" s="2540">
        <f>년간!D21</f>
        <v>0</v>
      </c>
      <c r="M11" s="5870">
        <f>년간!E21</f>
        <v>0</v>
      </c>
      <c r="N11" s="5871">
        <f t="shared" ref="N11:N17" si="1">M11/10</f>
        <v>0</v>
      </c>
      <c r="O11" s="6099">
        <f>년간!F21</f>
        <v>0</v>
      </c>
      <c r="P11" s="6100">
        <f>년간!G21</f>
        <v>0</v>
      </c>
      <c r="Q11" s="7494">
        <f>년간!H21</f>
        <v>0</v>
      </c>
      <c r="R11" s="7478">
        <f>년간!I21</f>
        <v>0</v>
      </c>
      <c r="S11" s="2222">
        <f>년간!J21</f>
        <v>0</v>
      </c>
      <c r="T11" s="2222">
        <f>년간!K21</f>
        <v>0</v>
      </c>
      <c r="U11" s="2222">
        <f>년간!L21</f>
        <v>0</v>
      </c>
      <c r="V11" s="2222">
        <f>년간!M21</f>
        <v>0</v>
      </c>
      <c r="W11" s="2222">
        <f>년간!N21</f>
        <v>0</v>
      </c>
      <c r="X11" s="2631">
        <f>년간!O21</f>
        <v>0</v>
      </c>
      <c r="Y11" s="5474">
        <f>년간!P21</f>
        <v>0</v>
      </c>
      <c r="Z11" s="2631">
        <f>년간!Q21</f>
        <v>0</v>
      </c>
      <c r="AA11" s="4480">
        <f>SUM(O11:Z11)</f>
        <v>0</v>
      </c>
      <c r="AB11" s="4473"/>
      <c r="AC11" s="1494"/>
      <c r="AD11" s="1494"/>
      <c r="AE11" s="1494"/>
      <c r="AF11" s="1494"/>
      <c r="AG11" s="1494"/>
      <c r="AH11" s="1494"/>
      <c r="AI11" s="1494"/>
      <c r="AJ11" s="1494"/>
      <c r="AK11" s="1494"/>
      <c r="AL11" s="1494"/>
      <c r="AM11" s="1494"/>
      <c r="AN11" s="1495"/>
      <c r="AO11" s="1495"/>
      <c r="AP11" s="1496"/>
      <c r="AQ11" s="3333"/>
      <c r="AS11" s="758"/>
      <c r="AT11" s="1625"/>
      <c r="AU11" s="758"/>
      <c r="AV11" s="758"/>
      <c r="AW11" s="758"/>
      <c r="AX11" s="758"/>
      <c r="AY11" s="758"/>
    </row>
    <row r="12" spans="1:55" s="330" customFormat="1" ht="21" customHeight="1">
      <c r="A12" s="7798" t="s">
        <v>535</v>
      </c>
      <c r="B12" s="3781" t="s">
        <v>756</v>
      </c>
      <c r="C12" s="954" t="s">
        <v>754</v>
      </c>
      <c r="D12" s="1108">
        <v>6564</v>
      </c>
      <c r="E12" s="1109">
        <v>7149</v>
      </c>
      <c r="F12" s="1109">
        <v>6887</v>
      </c>
      <c r="G12" s="1109">
        <v>6715</v>
      </c>
      <c r="H12" s="1999">
        <f>스크!H13</f>
        <v>6734.33</v>
      </c>
      <c r="I12" s="1999">
        <f>스크!H14</f>
        <v>5813.76</v>
      </c>
      <c r="J12" s="2541">
        <v>5107.49</v>
      </c>
      <c r="K12" s="2541">
        <v>4902.4000000000005</v>
      </c>
      <c r="L12" s="2541">
        <v>4335.1299999999992</v>
      </c>
      <c r="M12" s="5872">
        <v>4168</v>
      </c>
      <c r="N12" s="5873">
        <f t="shared" si="1"/>
        <v>416.8</v>
      </c>
      <c r="O12" s="3840">
        <f>스크!H19</f>
        <v>0</v>
      </c>
      <c r="P12" s="3810">
        <f>스크!H20</f>
        <v>3.85</v>
      </c>
      <c r="Q12" s="7495">
        <f>스크!H21</f>
        <v>314.25</v>
      </c>
      <c r="R12" s="7479">
        <f>스크!H23</f>
        <v>0</v>
      </c>
      <c r="S12" s="3810">
        <f>스크!H24</f>
        <v>0</v>
      </c>
      <c r="T12" s="3810">
        <f>스크!H25</f>
        <v>0</v>
      </c>
      <c r="U12" s="3810">
        <f>스크!H28</f>
        <v>0</v>
      </c>
      <c r="V12" s="3810">
        <f>스크!H29</f>
        <v>0</v>
      </c>
      <c r="W12" s="3810">
        <f>스크!H30</f>
        <v>0</v>
      </c>
      <c r="X12" s="3811">
        <f>스크!H32</f>
        <v>0</v>
      </c>
      <c r="Y12" s="5475">
        <f>스크!H33</f>
        <v>0</v>
      </c>
      <c r="Z12" s="3811">
        <f>스크!H34</f>
        <v>0</v>
      </c>
      <c r="AA12" s="2671">
        <f t="shared" ref="AA12:AA26" si="2">SUM(O12:Z12)</f>
        <v>318.10000000000002</v>
      </c>
      <c r="AB12" s="4486"/>
      <c r="AC12" s="957"/>
      <c r="AD12" s="957"/>
      <c r="AE12" s="957"/>
      <c r="AF12" s="957"/>
      <c r="AG12" s="957"/>
      <c r="AH12" s="957"/>
      <c r="AI12" s="957"/>
      <c r="AJ12" s="957"/>
      <c r="AK12" s="957"/>
      <c r="AL12" s="957"/>
      <c r="AM12" s="957"/>
      <c r="AN12" s="958"/>
      <c r="AO12" s="959"/>
      <c r="AP12" s="960"/>
      <c r="AQ12" s="2934" t="s">
        <v>1421</v>
      </c>
      <c r="AS12" s="1626"/>
      <c r="AT12" s="1625"/>
      <c r="AU12" s="1626"/>
      <c r="AV12" s="758"/>
      <c r="AW12" s="758"/>
      <c r="AX12" s="758"/>
      <c r="AY12" s="758"/>
    </row>
    <row r="13" spans="1:55" s="1452" customFormat="1" ht="21" customHeight="1">
      <c r="A13" s="7799"/>
      <c r="B13" s="3793" t="s">
        <v>1563</v>
      </c>
      <c r="C13" s="2980" t="s">
        <v>1564</v>
      </c>
      <c r="D13" s="3805">
        <f>스크!I9</f>
        <v>1014.0899999999999</v>
      </c>
      <c r="E13" s="3806">
        <f>스크!I10</f>
        <v>1024.17</v>
      </c>
      <c r="F13" s="3806">
        <f>스크!I11</f>
        <v>1113.9100000000001</v>
      </c>
      <c r="G13" s="3806">
        <f>스크!I12</f>
        <v>1240.22</v>
      </c>
      <c r="H13" s="3806">
        <f>스크!I13</f>
        <v>1568.88</v>
      </c>
      <c r="I13" s="3806">
        <f>스크!I14</f>
        <v>972</v>
      </c>
      <c r="J13" s="3806">
        <f>스크!I15</f>
        <v>338.19</v>
      </c>
      <c r="K13" s="5706">
        <f>스크!I16</f>
        <v>427.08600000000001</v>
      </c>
      <c r="L13" s="5715">
        <v>354.34</v>
      </c>
      <c r="M13" s="5874">
        <v>200</v>
      </c>
      <c r="N13" s="5875">
        <f t="shared" si="1"/>
        <v>20</v>
      </c>
      <c r="O13" s="3841">
        <f>스크!I19</f>
        <v>4.91</v>
      </c>
      <c r="P13" s="3796">
        <f>스크!I20</f>
        <v>7.52</v>
      </c>
      <c r="Q13" s="7256">
        <f>스크!I21</f>
        <v>25.56</v>
      </c>
      <c r="R13" s="5857">
        <f>스크!I23</f>
        <v>0</v>
      </c>
      <c r="S13" s="3796">
        <f>스크!I24</f>
        <v>0</v>
      </c>
      <c r="T13" s="3796">
        <f>스크!I25</f>
        <v>0</v>
      </c>
      <c r="U13" s="3796">
        <f>스크!I28</f>
        <v>0</v>
      </c>
      <c r="V13" s="3796">
        <f>스크!I29</f>
        <v>0</v>
      </c>
      <c r="W13" s="3796">
        <f>스크!I30</f>
        <v>0</v>
      </c>
      <c r="X13" s="3797">
        <f>스크!I32</f>
        <v>0</v>
      </c>
      <c r="Y13" s="5465">
        <f>스크!I33</f>
        <v>0</v>
      </c>
      <c r="Z13" s="3797">
        <f>스크!I34</f>
        <v>0</v>
      </c>
      <c r="AA13" s="3233">
        <f>SUM(O13:Z13)</f>
        <v>37.989999999999995</v>
      </c>
      <c r="AB13" s="4470"/>
      <c r="AC13" s="3684"/>
      <c r="AD13" s="3684"/>
      <c r="AE13" s="3684"/>
      <c r="AF13" s="3684"/>
      <c r="AG13" s="3684"/>
      <c r="AH13" s="3684"/>
      <c r="AI13" s="3684"/>
      <c r="AJ13" s="3684"/>
      <c r="AK13" s="3684"/>
      <c r="AL13" s="3684"/>
      <c r="AM13" s="3684"/>
      <c r="AN13" s="3799"/>
      <c r="AO13" s="3800"/>
      <c r="AP13" s="3801"/>
      <c r="AQ13" s="3334" t="s">
        <v>1566</v>
      </c>
      <c r="AS13" s="1626"/>
      <c r="AT13" s="1625"/>
      <c r="AU13" s="1626"/>
      <c r="AV13" s="758"/>
      <c r="AW13" s="758"/>
      <c r="AX13" s="758"/>
      <c r="AY13" s="758"/>
    </row>
    <row r="14" spans="1:55" s="1452" customFormat="1" ht="20.25" customHeight="1">
      <c r="A14" s="7799"/>
      <c r="B14" s="3782" t="s">
        <v>1562</v>
      </c>
      <c r="C14" s="3108" t="s">
        <v>994</v>
      </c>
      <c r="D14" s="3790"/>
      <c r="E14" s="3791"/>
      <c r="F14" s="3791"/>
      <c r="G14" s="3791"/>
      <c r="H14" s="3802">
        <v>80.09</v>
      </c>
      <c r="I14" s="3802">
        <v>31.93</v>
      </c>
      <c r="J14" s="3803">
        <v>12.39</v>
      </c>
      <c r="K14" s="3803">
        <v>3.4250000000000003</v>
      </c>
      <c r="L14" s="3803">
        <v>52.91</v>
      </c>
      <c r="M14" s="5876">
        <v>15.56</v>
      </c>
      <c r="N14" s="6042">
        <f t="shared" si="1"/>
        <v>1.556</v>
      </c>
      <c r="O14" s="3842">
        <v>0</v>
      </c>
      <c r="P14" s="3804">
        <v>0</v>
      </c>
      <c r="Q14" s="7496">
        <v>0</v>
      </c>
      <c r="R14" s="314">
        <v>0</v>
      </c>
      <c r="S14" s="1197">
        <v>0</v>
      </c>
      <c r="T14" s="1197">
        <v>0</v>
      </c>
      <c r="U14" s="1197">
        <v>0</v>
      </c>
      <c r="V14" s="1197">
        <v>0</v>
      </c>
      <c r="W14" s="1197">
        <v>0</v>
      </c>
      <c r="X14" s="5983">
        <v>0</v>
      </c>
      <c r="Y14" s="5476">
        <v>0</v>
      </c>
      <c r="Z14" s="2634">
        <v>0</v>
      </c>
      <c r="AA14" s="4481">
        <f t="shared" si="2"/>
        <v>0</v>
      </c>
      <c r="AB14" s="4478"/>
      <c r="AC14" s="3137"/>
      <c r="AD14" s="3137"/>
      <c r="AE14" s="3137"/>
      <c r="AF14" s="3137"/>
      <c r="AG14" s="3137"/>
      <c r="AH14" s="3137"/>
      <c r="AI14" s="3137"/>
      <c r="AJ14" s="3137"/>
      <c r="AK14" s="3137"/>
      <c r="AL14" s="3137"/>
      <c r="AM14" s="3137"/>
      <c r="AN14" s="3789"/>
      <c r="AO14" s="3788"/>
      <c r="AP14" s="3140"/>
      <c r="AQ14" s="3153" t="s">
        <v>1567</v>
      </c>
      <c r="AS14" s="1626"/>
      <c r="AT14" s="1625"/>
      <c r="AU14" s="1626"/>
      <c r="AV14" s="758"/>
      <c r="AW14" s="758"/>
      <c r="AX14" s="758"/>
      <c r="AY14" s="758"/>
    </row>
    <row r="15" spans="1:55" s="330" customFormat="1" ht="21.75" customHeight="1">
      <c r="A15" s="7799"/>
      <c r="B15" s="3812" t="s">
        <v>1031</v>
      </c>
      <c r="C15" s="2980" t="s">
        <v>740</v>
      </c>
      <c r="D15" s="3813"/>
      <c r="E15" s="2947"/>
      <c r="F15" s="2947">
        <v>142.65</v>
      </c>
      <c r="G15" s="3133">
        <v>210</v>
      </c>
      <c r="H15" s="3128">
        <v>233</v>
      </c>
      <c r="I15" s="3128">
        <v>141</v>
      </c>
      <c r="J15" s="3814">
        <v>96.16</v>
      </c>
      <c r="K15" s="3814">
        <v>42.169999999999995</v>
      </c>
      <c r="L15" s="3814">
        <v>5.18</v>
      </c>
      <c r="M15" s="5877">
        <v>4</v>
      </c>
      <c r="N15" s="6042">
        <f t="shared" si="1"/>
        <v>0.4</v>
      </c>
      <c r="O15" s="3843">
        <v>0</v>
      </c>
      <c r="P15" s="3230">
        <v>0</v>
      </c>
      <c r="Q15" s="7252">
        <v>0</v>
      </c>
      <c r="R15" s="5716">
        <v>0</v>
      </c>
      <c r="S15" s="3230">
        <v>0</v>
      </c>
      <c r="T15" s="3230">
        <v>0</v>
      </c>
      <c r="U15" s="3230">
        <v>0</v>
      </c>
      <c r="V15" s="3230">
        <v>0</v>
      </c>
      <c r="W15" s="3230">
        <v>0</v>
      </c>
      <c r="X15" s="3238">
        <v>0</v>
      </c>
      <c r="Y15" s="5464">
        <v>0</v>
      </c>
      <c r="Z15" s="3238">
        <v>0</v>
      </c>
      <c r="AA15" s="4469">
        <f>SUM(O15:Z15)</f>
        <v>0</v>
      </c>
      <c r="AB15" s="4487"/>
      <c r="AC15" s="3815"/>
      <c r="AD15" s="3815"/>
      <c r="AE15" s="3809"/>
      <c r="AF15" s="3809"/>
      <c r="AG15" s="3809"/>
      <c r="AH15" s="3809"/>
      <c r="AI15" s="3809"/>
      <c r="AJ15" s="3809"/>
      <c r="AK15" s="3684"/>
      <c r="AL15" s="3684"/>
      <c r="AM15" s="3684"/>
      <c r="AN15" s="3816"/>
      <c r="AO15" s="3817"/>
      <c r="AP15" s="3801"/>
      <c r="AQ15" s="3334" t="s">
        <v>1422</v>
      </c>
      <c r="AR15" s="749"/>
      <c r="AS15" s="1632"/>
      <c r="AT15" s="757"/>
      <c r="AU15" s="757"/>
      <c r="AV15" s="757"/>
      <c r="AW15" s="757"/>
      <c r="AX15" s="757"/>
      <c r="AY15" s="757"/>
      <c r="AZ15" s="757"/>
      <c r="BA15" s="757"/>
      <c r="BB15" s="757"/>
      <c r="BC15" s="757"/>
    </row>
    <row r="16" spans="1:55" s="1452" customFormat="1" ht="21.75" customHeight="1">
      <c r="A16" s="7799"/>
      <c r="B16" s="3134" t="s">
        <v>992</v>
      </c>
      <c r="C16" s="3108" t="s">
        <v>993</v>
      </c>
      <c r="D16" s="3813"/>
      <c r="E16" s="2947"/>
      <c r="F16" s="2947"/>
      <c r="G16" s="3133"/>
      <c r="H16" s="6025"/>
      <c r="I16" s="6025"/>
      <c r="J16" s="5849"/>
      <c r="K16" s="5849"/>
      <c r="L16" s="5740">
        <v>48.974000000000004</v>
      </c>
      <c r="M16" s="6026">
        <v>13.13</v>
      </c>
      <c r="N16" s="6042">
        <f t="shared" si="1"/>
        <v>1.3130000000000002</v>
      </c>
      <c r="O16" s="3843">
        <v>0</v>
      </c>
      <c r="P16" s="3230">
        <v>0</v>
      </c>
      <c r="Q16" s="7252">
        <v>28.85</v>
      </c>
      <c r="R16" s="5716"/>
      <c r="S16" s="3230"/>
      <c r="T16" s="3230"/>
      <c r="U16" s="3230"/>
      <c r="V16" s="3230"/>
      <c r="W16" s="3230"/>
      <c r="X16" s="3238"/>
      <c r="Y16" s="5464"/>
      <c r="Z16" s="3238"/>
      <c r="AA16" s="4469"/>
      <c r="AB16" s="6027"/>
      <c r="AC16" s="3135"/>
      <c r="AD16" s="3135"/>
      <c r="AE16" s="3136"/>
      <c r="AF16" s="3136"/>
      <c r="AG16" s="3136"/>
      <c r="AH16" s="3136"/>
      <c r="AI16" s="3136"/>
      <c r="AJ16" s="3136"/>
      <c r="AK16" s="3137"/>
      <c r="AL16" s="3137"/>
      <c r="AM16" s="3137"/>
      <c r="AN16" s="3138"/>
      <c r="AO16" s="3139"/>
      <c r="AP16" s="3140"/>
      <c r="AQ16" s="3153"/>
      <c r="AR16" s="1110"/>
      <c r="AS16" s="1632"/>
      <c r="AT16" s="6011"/>
      <c r="AU16" s="6011"/>
      <c r="AV16" s="6011"/>
      <c r="AW16" s="6011"/>
      <c r="AX16" s="6011"/>
      <c r="AY16" s="6011"/>
      <c r="AZ16" s="6011"/>
      <c r="BA16" s="6011"/>
      <c r="BB16" s="6011"/>
      <c r="BC16" s="6011"/>
    </row>
    <row r="17" spans="1:55" s="1452" customFormat="1" ht="21.75" customHeight="1">
      <c r="A17" s="7799"/>
      <c r="B17" s="3134" t="s">
        <v>1894</v>
      </c>
      <c r="C17" s="3108" t="s">
        <v>993</v>
      </c>
      <c r="D17" s="3813"/>
      <c r="E17" s="2947"/>
      <c r="F17" s="2947"/>
      <c r="G17" s="3133"/>
      <c r="H17" s="6025"/>
      <c r="I17" s="6025"/>
      <c r="J17" s="5849"/>
      <c r="K17" s="5849"/>
      <c r="L17" s="5740">
        <v>108.04300000000002</v>
      </c>
      <c r="M17" s="6026">
        <v>39.36</v>
      </c>
      <c r="N17" s="6042">
        <f t="shared" si="1"/>
        <v>3.9359999999999999</v>
      </c>
      <c r="O17" s="3843">
        <v>0</v>
      </c>
      <c r="P17" s="3230">
        <v>0</v>
      </c>
      <c r="Q17" s="7252">
        <v>0</v>
      </c>
      <c r="R17" s="5716"/>
      <c r="S17" s="3230"/>
      <c r="T17" s="3230"/>
      <c r="U17" s="3230"/>
      <c r="V17" s="3230"/>
      <c r="W17" s="3230"/>
      <c r="X17" s="3238"/>
      <c r="Y17" s="5464"/>
      <c r="Z17" s="3238"/>
      <c r="AA17" s="4469"/>
      <c r="AB17" s="6027"/>
      <c r="AC17" s="3135"/>
      <c r="AD17" s="3135"/>
      <c r="AE17" s="3136"/>
      <c r="AF17" s="3136"/>
      <c r="AG17" s="3136"/>
      <c r="AH17" s="3136"/>
      <c r="AI17" s="3136"/>
      <c r="AJ17" s="3136"/>
      <c r="AK17" s="3137"/>
      <c r="AL17" s="3137"/>
      <c r="AM17" s="3137"/>
      <c r="AN17" s="3138"/>
      <c r="AO17" s="3139"/>
      <c r="AP17" s="3140"/>
      <c r="AQ17" s="3153"/>
      <c r="AR17" s="1110"/>
      <c r="AS17" s="1632"/>
      <c r="AT17" s="6011"/>
      <c r="AU17" s="6011"/>
      <c r="AV17" s="6011"/>
      <c r="AW17" s="6011"/>
      <c r="AX17" s="6011"/>
      <c r="AY17" s="6011"/>
      <c r="AZ17" s="6011"/>
      <c r="BA17" s="6011"/>
      <c r="BB17" s="6011"/>
      <c r="BC17" s="6011"/>
    </row>
    <row r="18" spans="1:55" s="330" customFormat="1" ht="20.25" customHeight="1">
      <c r="A18" s="7799"/>
      <c r="B18" s="3782" t="s">
        <v>751</v>
      </c>
      <c r="C18" s="3108" t="s">
        <v>752</v>
      </c>
      <c r="D18" s="3794"/>
      <c r="E18" s="3795"/>
      <c r="F18" s="3795"/>
      <c r="G18" s="3795">
        <f>6715+353</f>
        <v>7068</v>
      </c>
      <c r="H18" s="3818">
        <f t="shared" ref="H18:Z18" si="3">SUM(H12:H15)</f>
        <v>8616.2999999999993</v>
      </c>
      <c r="I18" s="3818">
        <f t="shared" si="3"/>
        <v>6958.6900000000005</v>
      </c>
      <c r="J18" s="3818">
        <f t="shared" si="3"/>
        <v>5554.23</v>
      </c>
      <c r="K18" s="5707">
        <f t="shared" si="3"/>
        <v>5375.081000000001</v>
      </c>
      <c r="L18" s="5707">
        <f>SUM(L12:L15)</f>
        <v>4747.5599999999995</v>
      </c>
      <c r="M18" s="6092">
        <f>SUM(M12:M17)</f>
        <v>4440.05</v>
      </c>
      <c r="N18" s="5875">
        <f>SUM(N12:N17)</f>
        <v>444.00499999999994</v>
      </c>
      <c r="O18" s="3242">
        <f t="shared" si="3"/>
        <v>4.91</v>
      </c>
      <c r="P18" s="3232">
        <f t="shared" si="3"/>
        <v>11.37</v>
      </c>
      <c r="Q18" s="7266">
        <f t="shared" si="3"/>
        <v>339.81</v>
      </c>
      <c r="R18" s="5699">
        <f t="shared" si="3"/>
        <v>0</v>
      </c>
      <c r="S18" s="3232">
        <f t="shared" si="3"/>
        <v>0</v>
      </c>
      <c r="T18" s="3232">
        <f t="shared" si="3"/>
        <v>0</v>
      </c>
      <c r="U18" s="3232">
        <f t="shared" si="3"/>
        <v>0</v>
      </c>
      <c r="V18" s="3232">
        <f t="shared" si="3"/>
        <v>0</v>
      </c>
      <c r="W18" s="3232">
        <f t="shared" si="3"/>
        <v>0</v>
      </c>
      <c r="X18" s="3240">
        <f t="shared" si="3"/>
        <v>0</v>
      </c>
      <c r="Y18" s="4606">
        <f t="shared" si="3"/>
        <v>0</v>
      </c>
      <c r="Z18" s="3240">
        <f t="shared" si="3"/>
        <v>0</v>
      </c>
      <c r="AA18" s="4482">
        <f t="shared" si="2"/>
        <v>356.09000000000003</v>
      </c>
      <c r="AB18" s="4478"/>
      <c r="AC18" s="3137"/>
      <c r="AD18" s="3137"/>
      <c r="AE18" s="3137"/>
      <c r="AF18" s="3137"/>
      <c r="AG18" s="3137"/>
      <c r="AH18" s="3137"/>
      <c r="AI18" s="3137"/>
      <c r="AJ18" s="3137"/>
      <c r="AK18" s="3137"/>
      <c r="AL18" s="3137"/>
      <c r="AM18" s="3137"/>
      <c r="AN18" s="3789"/>
      <c r="AO18" s="3788"/>
      <c r="AP18" s="3140"/>
      <c r="AQ18" s="3153" t="s">
        <v>1420</v>
      </c>
      <c r="AS18" s="1626"/>
      <c r="AT18" s="758"/>
      <c r="AU18" s="1626"/>
      <c r="AV18" s="758"/>
      <c r="AW18" s="758"/>
      <c r="AX18" s="758"/>
      <c r="AY18" s="758"/>
    </row>
    <row r="19" spans="1:55" s="330" customFormat="1" ht="21.6" customHeight="1">
      <c r="A19" s="7799"/>
      <c r="B19" s="3782" t="s">
        <v>863</v>
      </c>
      <c r="C19" s="3108" t="s">
        <v>525</v>
      </c>
      <c r="D19" s="3823">
        <f>(D12+D13)/D5*1000</f>
        <v>27.142326869362403</v>
      </c>
      <c r="E19" s="3807">
        <v>26.268372390218513</v>
      </c>
      <c r="F19" s="3824">
        <v>27.733575387203118</v>
      </c>
      <c r="G19" s="3807">
        <v>27.953627734723693</v>
      </c>
      <c r="H19" s="3807">
        <v>26.702169609769701</v>
      </c>
      <c r="I19" s="4140">
        <f>(I12+I14+CGL!I15)*1000/CGL!I5</f>
        <v>19.07035568583796</v>
      </c>
      <c r="J19" s="4140">
        <f>(J12+J14+CGL!J15)*1000/CGL!J5</f>
        <v>17.058513972494637</v>
      </c>
      <c r="K19" s="5708">
        <f>(K12+K14+CGL!K15)*1000/CGL!K5</f>
        <v>17.01144632716349</v>
      </c>
      <c r="L19" s="5708">
        <v>16.671396707921456</v>
      </c>
      <c r="M19" s="6043">
        <f>(M12+M14+CGL!M15)/CGL!M5*1000</f>
        <v>15.725204804894428</v>
      </c>
      <c r="N19" s="6044">
        <f>(N12+N14+CGL!N15)/CGL!N5*1000</f>
        <v>15.725204804894425</v>
      </c>
      <c r="O19" s="4141" t="e">
        <f>(O12+O14+CGL!O15)/CGL!O5*1000</f>
        <v>#DIV/0!</v>
      </c>
      <c r="P19" s="4605" t="e">
        <f>(P12+P14+CGL!P15)/CGL!P5*1000</f>
        <v>#DIV/0!</v>
      </c>
      <c r="Q19" s="7497">
        <f>(Q12+Q14+CGL!Q15)/CGL!Q5*1000</f>
        <v>14.355320879396842</v>
      </c>
      <c r="R19" s="4605" t="e">
        <f>(R12+R14+CGL!R15)/CGL!R5*1000</f>
        <v>#DIV/0!</v>
      </c>
      <c r="S19" s="4483" t="e">
        <f>(S12+S14+CGL!S15)/CGL!S5*1000</f>
        <v>#DIV/0!</v>
      </c>
      <c r="T19" s="4483" t="e">
        <f>(T12+T14+CGL!T15)/CGL!T5*1000</f>
        <v>#DIV/0!</v>
      </c>
      <c r="U19" s="4483" t="e">
        <f>(U12+U14+CGL!U15)/CGL!U5*1000</f>
        <v>#DIV/0!</v>
      </c>
      <c r="V19" s="4483" t="e">
        <f>(V12+V14+CGL!V15)/CGL!V5*1000</f>
        <v>#DIV/0!</v>
      </c>
      <c r="W19" s="4483" t="e">
        <f>(W12+W14+CGL!W15)/CGL!W5*1000</f>
        <v>#DIV/0!</v>
      </c>
      <c r="X19" s="5984" t="e">
        <f>(X12+X14+CGL!X15)/CGL!X5*1000</f>
        <v>#DIV/0!</v>
      </c>
      <c r="Y19" s="4142" t="e">
        <f>(Y12+Y14+CGL!Y15)/CGL!Y5*1000</f>
        <v>#DIV/0!</v>
      </c>
      <c r="Z19" s="4142" t="e">
        <f>(Z12+Z14+CGL!Z15)/CGL!Z5*1000</f>
        <v>#DIV/0!</v>
      </c>
      <c r="AA19" s="4483">
        <f>(AA12+AA14+CGL!AA15)/CGL!AA5*1000</f>
        <v>14.523759211061106</v>
      </c>
      <c r="AB19" s="6664"/>
      <c r="AC19" s="6665"/>
      <c r="AD19" s="6665"/>
      <c r="AE19" s="6665"/>
      <c r="AF19" s="6665"/>
      <c r="AG19" s="6665"/>
      <c r="AH19" s="6665"/>
      <c r="AI19" s="6665"/>
      <c r="AJ19" s="6665"/>
      <c r="AK19" s="6665"/>
      <c r="AL19" s="6665"/>
      <c r="AM19" s="6666"/>
      <c r="AN19" s="6667"/>
      <c r="AO19" s="6668"/>
      <c r="AP19" s="6669"/>
      <c r="AQ19" s="6670"/>
      <c r="AS19" s="1658"/>
      <c r="AT19" s="1672"/>
      <c r="AU19" s="1658"/>
      <c r="AV19" s="758"/>
      <c r="AW19" s="758"/>
      <c r="AX19" s="758"/>
      <c r="AY19" s="758"/>
    </row>
    <row r="20" spans="1:55" s="1452" customFormat="1" ht="20.25" customHeight="1" thickBot="1">
      <c r="A20" s="7827"/>
      <c r="B20" s="2249" t="s">
        <v>1565</v>
      </c>
      <c r="C20" s="2955" t="s">
        <v>317</v>
      </c>
      <c r="D20" s="3825">
        <v>27.232283978163025</v>
      </c>
      <c r="E20" s="3826">
        <v>26.268372390218513</v>
      </c>
      <c r="F20" s="3826">
        <v>27.733575387203118</v>
      </c>
      <c r="G20" s="3826">
        <v>27.953627734723693</v>
      </c>
      <c r="H20" s="3826">
        <v>26.702169609769701</v>
      </c>
      <c r="I20" s="3826">
        <v>21.666749896835039</v>
      </c>
      <c r="J20" s="3826">
        <v>17.60086045663245</v>
      </c>
      <c r="K20" s="5709">
        <v>18.256128382076991</v>
      </c>
      <c r="L20" s="5709">
        <v>17.68474531978584</v>
      </c>
      <c r="M20" s="5878">
        <f>(M12+M13)/CGL!M5*1000</f>
        <v>16.294859359844811</v>
      </c>
      <c r="N20" s="5879">
        <f>(N12+N13)/CGL!N5*1000</f>
        <v>16.294859359844811</v>
      </c>
      <c r="O20" s="3324"/>
      <c r="P20" s="7473"/>
      <c r="Q20" s="7498">
        <f>스크!K21</f>
        <v>14.897975109977843</v>
      </c>
      <c r="R20" s="7480" t="e">
        <f>스크!K23</f>
        <v>#DIV/0!</v>
      </c>
      <c r="S20" s="3819" t="e">
        <f>스크!K24</f>
        <v>#DIV/0!</v>
      </c>
      <c r="T20" s="3819" t="e">
        <f>스크!K25</f>
        <v>#DIV/0!</v>
      </c>
      <c r="U20" s="3819" t="e">
        <f>스크!K28</f>
        <v>#DIV/0!</v>
      </c>
      <c r="V20" s="3819" t="e">
        <f>스크!K29</f>
        <v>#DIV/0!</v>
      </c>
      <c r="W20" s="3819" t="e">
        <f>스크!K30</f>
        <v>#DIV/0!</v>
      </c>
      <c r="X20" s="3822" t="e">
        <f>스크!K32</f>
        <v>#DIV/0!</v>
      </c>
      <c r="Y20" s="4607" t="e">
        <f>스크!K33</f>
        <v>#DIV/0!</v>
      </c>
      <c r="Z20" s="3822" t="e">
        <f>스크!K34</f>
        <v>#DIV/0!</v>
      </c>
      <c r="AA20" s="3819">
        <f>스크!K37</f>
        <v>15.611724072016745</v>
      </c>
      <c r="AB20" s="6671">
        <f>($L$20-O20)*년간!$C$214*CGL!O5/1000000</f>
        <v>0</v>
      </c>
      <c r="AC20" s="3821">
        <f>($L$20-P20)*년간!$C$214*CGL!P5/1000000</f>
        <v>0</v>
      </c>
      <c r="AD20" s="7350">
        <f>($L$20-Q20)*년간!$C$214*CGL!Q5/1000000</f>
        <v>30924.843343287008</v>
      </c>
      <c r="AE20" s="6671" t="e">
        <f>($L$20-R20)*년간!$C$214*CGL!R5/1000000</f>
        <v>#DIV/0!</v>
      </c>
      <c r="AF20" s="6671" t="e">
        <f>($L$20-S20)*년간!$C$214*CGL!S5/1000000</f>
        <v>#DIV/0!</v>
      </c>
      <c r="AG20" s="6671" t="e">
        <f>($L$20-T20)*년간!$C$214*CGL!T5/1000000</f>
        <v>#DIV/0!</v>
      </c>
      <c r="AH20" s="6671" t="e">
        <f>($L$20-U20)*년간!$C$214*CGL!U5/1000000</f>
        <v>#DIV/0!</v>
      </c>
      <c r="AI20" s="6671" t="e">
        <f>($L$20-V20)*년간!$C$214*CGL!V5/1000000</f>
        <v>#DIV/0!</v>
      </c>
      <c r="AJ20" s="6671" t="e">
        <f>($L$20-W20)*년간!$C$214*CGL!W5/1000000</f>
        <v>#DIV/0!</v>
      </c>
      <c r="AK20" s="6671" t="e">
        <f>($L$20-X20)*년간!$C$214*CGL!X5/1000000</f>
        <v>#DIV/0!</v>
      </c>
      <c r="AL20" s="6671" t="e">
        <f>($L$20-Y20)*년간!$C$214*CGL!Y5/1000000</f>
        <v>#DIV/0!</v>
      </c>
      <c r="AM20" s="6671" t="e">
        <f>($L$20-Z20)*년간!$C$214*CGL!Z5/1000000</f>
        <v>#DIV/0!</v>
      </c>
      <c r="AN20" s="3820">
        <f>(L20-M20)*CGL!M5*년간!C214/1000000</f>
        <v>180882.99145128892</v>
      </c>
      <c r="AO20" s="6623">
        <f>AD20</f>
        <v>30924.843343287008</v>
      </c>
      <c r="AP20" s="6672">
        <f>AO20/AN20</f>
        <v>0.17096601009948989</v>
      </c>
      <c r="AQ20" s="2878" t="s">
        <v>1904</v>
      </c>
      <c r="AR20" s="1832" t="s">
        <v>1036</v>
      </c>
      <c r="AS20" s="3783"/>
      <c r="AT20" s="1672"/>
      <c r="AU20" s="3783"/>
      <c r="AV20" s="758"/>
      <c r="AW20" s="758"/>
      <c r="AX20" s="758"/>
      <c r="AY20" s="758"/>
    </row>
    <row r="21" spans="1:55" s="330" customFormat="1" ht="20.25" customHeight="1">
      <c r="A21" s="7799" t="s">
        <v>772</v>
      </c>
      <c r="B21" s="7828" t="s">
        <v>763</v>
      </c>
      <c r="C21" s="867" t="s">
        <v>720</v>
      </c>
      <c r="D21" s="1343"/>
      <c r="E21" s="892"/>
      <c r="F21" s="892"/>
      <c r="G21" s="1118">
        <v>302</v>
      </c>
      <c r="H21" s="1118">
        <v>250</v>
      </c>
      <c r="I21" s="1118">
        <v>193</v>
      </c>
      <c r="J21" s="1464">
        <v>128</v>
      </c>
      <c r="K21" s="1464">
        <v>64</v>
      </c>
      <c r="L21" s="1464">
        <v>34</v>
      </c>
      <c r="M21" s="5880">
        <v>14</v>
      </c>
      <c r="N21" s="6008">
        <f t="shared" ref="N21:N26" si="4">M21/10</f>
        <v>1.4</v>
      </c>
      <c r="O21" s="3725">
        <v>0</v>
      </c>
      <c r="P21" s="7474">
        <v>1</v>
      </c>
      <c r="Q21" s="7327">
        <v>3</v>
      </c>
      <c r="R21" s="7319">
        <v>0</v>
      </c>
      <c r="S21" s="1004">
        <v>0</v>
      </c>
      <c r="T21" s="1004">
        <v>0</v>
      </c>
      <c r="U21" s="1004">
        <v>0</v>
      </c>
      <c r="V21" s="1004">
        <v>0</v>
      </c>
      <c r="W21" s="1004">
        <v>0</v>
      </c>
      <c r="X21" s="1003">
        <v>0</v>
      </c>
      <c r="Y21" s="5477"/>
      <c r="Z21" s="1003"/>
      <c r="AA21" s="4840">
        <f>SUM(O21:Z21)</f>
        <v>4</v>
      </c>
      <c r="AB21" s="4475"/>
      <c r="AC21" s="784"/>
      <c r="AD21" s="784"/>
      <c r="AE21" s="784"/>
      <c r="AF21" s="784"/>
      <c r="AG21" s="784"/>
      <c r="AH21" s="784"/>
      <c r="AI21" s="784"/>
      <c r="AJ21" s="784"/>
      <c r="AK21" s="784"/>
      <c r="AL21" s="784"/>
      <c r="AM21" s="784"/>
      <c r="AN21" s="1492"/>
      <c r="AO21" s="3792"/>
      <c r="AP21" s="896"/>
      <c r="AQ21" s="1202"/>
      <c r="AR21" s="818" t="s">
        <v>1461</v>
      </c>
      <c r="AS21" s="1658"/>
      <c r="AT21" s="1658"/>
      <c r="AU21" s="1658"/>
      <c r="AV21" s="758"/>
      <c r="AW21" s="758"/>
      <c r="AX21" s="758"/>
      <c r="AY21" s="758"/>
    </row>
    <row r="22" spans="1:55" s="330" customFormat="1" ht="20.25" customHeight="1">
      <c r="A22" s="7799"/>
      <c r="B22" s="7824"/>
      <c r="C22" s="888" t="s">
        <v>770</v>
      </c>
      <c r="D22" s="962"/>
      <c r="E22" s="906"/>
      <c r="F22" s="906"/>
      <c r="G22" s="2000">
        <v>203.66666666666666</v>
      </c>
      <c r="H22" s="2000">
        <v>159.26666666666668</v>
      </c>
      <c r="I22" s="2000">
        <v>96.08</v>
      </c>
      <c r="J22" s="1605">
        <v>70.73</v>
      </c>
      <c r="K22" s="5710">
        <v>35.166666666666671</v>
      </c>
      <c r="L22" s="5710">
        <v>23.833333333333332</v>
      </c>
      <c r="M22" s="5882">
        <v>7</v>
      </c>
      <c r="N22" s="6008">
        <f t="shared" si="4"/>
        <v>0.7</v>
      </c>
      <c r="O22" s="3325">
        <v>0</v>
      </c>
      <c r="P22" s="3691">
        <f>15/60</f>
        <v>0.25</v>
      </c>
      <c r="Q22" s="7311">
        <v>1.3333333333333333</v>
      </c>
      <c r="R22" s="3688">
        <v>0</v>
      </c>
      <c r="S22" s="3691">
        <v>0</v>
      </c>
      <c r="T22" s="3691">
        <v>0</v>
      </c>
      <c r="U22" s="3691">
        <v>0</v>
      </c>
      <c r="V22" s="3691">
        <v>0</v>
      </c>
      <c r="W22" s="3691">
        <v>0</v>
      </c>
      <c r="X22" s="3844">
        <v>0</v>
      </c>
      <c r="Y22" s="5478"/>
      <c r="Z22" s="3844"/>
      <c r="AA22" s="4482">
        <f t="shared" si="2"/>
        <v>1.5833333333333333</v>
      </c>
      <c r="AB22" s="6048">
        <f>($L$22/12-O22)*년간!$E$214/1000</f>
        <v>2453.4430555555555</v>
      </c>
      <c r="AC22" s="6049">
        <f>($L$22/12-P22)*년간!$E$214/1000</f>
        <v>2144.6180555555557</v>
      </c>
      <c r="AD22" s="6049">
        <f>($L$22/12-Q22)*년간!$E$214/1000</f>
        <v>806.37638888888875</v>
      </c>
      <c r="AE22" s="6049">
        <f>($L$22/12-R22)*년간!$E$214/1000</f>
        <v>2453.4430555555555</v>
      </c>
      <c r="AF22" s="6049">
        <f>($L$22/12-S22)*년간!$E$214/1000</f>
        <v>2453.4430555555555</v>
      </c>
      <c r="AG22" s="6049">
        <f>($L$22/12-T22)*년간!$E$214/1000</f>
        <v>2453.4430555555555</v>
      </c>
      <c r="AH22" s="6049">
        <f>($L$22/12-U22)*년간!$E$214/1000</f>
        <v>2453.4430555555555</v>
      </c>
      <c r="AI22" s="6049">
        <f>($L$22/12-V22)*년간!$E$214/1000</f>
        <v>2453.4430555555555</v>
      </c>
      <c r="AJ22" s="6049">
        <f>($L$22/12-W22)*년간!$E$214/1000</f>
        <v>2453.4430555555555</v>
      </c>
      <c r="AK22" s="6049">
        <f>($L$22/12-X22)*년간!$E$214/1000</f>
        <v>2453.4430555555555</v>
      </c>
      <c r="AL22" s="6049">
        <f>($L$22/12-Y22)*년간!$E$214/1000</f>
        <v>2453.4430555555555</v>
      </c>
      <c r="AM22" s="4179">
        <f>($L$22/12-Z22)*년간!$E$214/1000</f>
        <v>2453.4430555555555</v>
      </c>
      <c r="AN22" s="1504">
        <f>(L22-M22)*년간!E214/1000</f>
        <v>20794.216666666664</v>
      </c>
      <c r="AO22" s="1544">
        <f>AD22</f>
        <v>806.37638888888875</v>
      </c>
      <c r="AP22" s="1491">
        <f>AO22/AN22</f>
        <v>3.8778877887788776E-2</v>
      </c>
      <c r="AQ22" s="1502"/>
      <c r="AR22" s="818" t="s">
        <v>1462</v>
      </c>
      <c r="AS22" s="1658"/>
      <c r="AT22" s="1658"/>
      <c r="AU22" s="1658"/>
      <c r="AV22" s="758"/>
      <c r="AW22" s="758"/>
      <c r="AX22" s="758"/>
      <c r="AY22" s="758"/>
    </row>
    <row r="23" spans="1:55" s="330" customFormat="1" ht="20.25" customHeight="1">
      <c r="A23" s="7799"/>
      <c r="B23" s="8060" t="s">
        <v>768</v>
      </c>
      <c r="C23" s="888" t="s">
        <v>720</v>
      </c>
      <c r="D23" s="962"/>
      <c r="E23" s="906"/>
      <c r="F23" s="906"/>
      <c r="G23" s="1476">
        <v>67</v>
      </c>
      <c r="H23" s="1476">
        <v>73</v>
      </c>
      <c r="I23" s="1476">
        <v>30</v>
      </c>
      <c r="J23" s="1442">
        <v>22</v>
      </c>
      <c r="K23" s="5711">
        <v>7</v>
      </c>
      <c r="L23" s="5711">
        <v>7</v>
      </c>
      <c r="M23" s="5884">
        <f>년간!E41</f>
        <v>6</v>
      </c>
      <c r="N23" s="6008">
        <f t="shared" si="4"/>
        <v>0.6</v>
      </c>
      <c r="O23" s="3845">
        <f>년간!F41</f>
        <v>0</v>
      </c>
      <c r="P23" s="4629">
        <f>년간!G41</f>
        <v>0</v>
      </c>
      <c r="Q23" s="7310">
        <f>년간!H41</f>
        <v>0</v>
      </c>
      <c r="R23" s="7295">
        <f>년간!I41</f>
        <v>0</v>
      </c>
      <c r="S23" s="4629">
        <f>년간!J41</f>
        <v>0</v>
      </c>
      <c r="T23" s="4629">
        <f>년간!K41</f>
        <v>0</v>
      </c>
      <c r="U23" s="4629">
        <f>년간!L41</f>
        <v>0</v>
      </c>
      <c r="V23" s="4629">
        <f>년간!M41</f>
        <v>0</v>
      </c>
      <c r="W23" s="4629">
        <f>년간!N41</f>
        <v>0</v>
      </c>
      <c r="X23" s="5985">
        <f>년간!O41</f>
        <v>0</v>
      </c>
      <c r="Y23" s="5479">
        <f>년간!P41</f>
        <v>0</v>
      </c>
      <c r="Z23" s="3847">
        <f>년간!Q41</f>
        <v>0</v>
      </c>
      <c r="AA23" s="3232">
        <f t="shared" si="2"/>
        <v>0</v>
      </c>
      <c r="AB23" s="4478"/>
      <c r="AC23" s="1498"/>
      <c r="AD23" s="1498"/>
      <c r="AE23" s="1498"/>
      <c r="AF23" s="1498"/>
      <c r="AG23" s="1498"/>
      <c r="AH23" s="1498"/>
      <c r="AI23" s="1498"/>
      <c r="AJ23" s="1498"/>
      <c r="AK23" s="1498"/>
      <c r="AL23" s="1498"/>
      <c r="AM23" s="1498"/>
      <c r="AN23" s="1499"/>
      <c r="AO23" s="1500"/>
      <c r="AP23" s="1501"/>
      <c r="AQ23" s="1502"/>
      <c r="AV23" s="758"/>
      <c r="AW23" s="758"/>
      <c r="AX23" s="758"/>
      <c r="AY23" s="758"/>
    </row>
    <row r="24" spans="1:55" s="330" customFormat="1" ht="20.25" customHeight="1">
      <c r="A24" s="7799"/>
      <c r="B24" s="7824"/>
      <c r="C24" s="888" t="s">
        <v>770</v>
      </c>
      <c r="D24" s="962"/>
      <c r="E24" s="906"/>
      <c r="F24" s="906"/>
      <c r="G24" s="2000">
        <v>111.16666666666667</v>
      </c>
      <c r="H24" s="2000">
        <v>161</v>
      </c>
      <c r="I24" s="2000">
        <v>59</v>
      </c>
      <c r="J24" s="1605">
        <v>41.25</v>
      </c>
      <c r="K24" s="5710">
        <v>17.333333333333332</v>
      </c>
      <c r="L24" s="5710">
        <v>18.249999999999996</v>
      </c>
      <c r="M24" s="5882">
        <f>년간!D51/60</f>
        <v>18.25</v>
      </c>
      <c r="N24" s="6008">
        <f t="shared" si="4"/>
        <v>1.825</v>
      </c>
      <c r="O24" s="3325">
        <f>년간!F51/60</f>
        <v>0</v>
      </c>
      <c r="P24" s="3691">
        <f>년간!G51/60</f>
        <v>0</v>
      </c>
      <c r="Q24" s="7311">
        <f>년간!H51/60</f>
        <v>0</v>
      </c>
      <c r="R24" s="3688">
        <f>년간!I51/60</f>
        <v>0</v>
      </c>
      <c r="S24" s="3691">
        <f>년간!J51/60</f>
        <v>0</v>
      </c>
      <c r="T24" s="3691">
        <f>년간!K51/60</f>
        <v>0</v>
      </c>
      <c r="U24" s="3691">
        <f>년간!L51/60</f>
        <v>0</v>
      </c>
      <c r="V24" s="3691">
        <f>년간!M51/60</f>
        <v>0</v>
      </c>
      <c r="W24" s="3691">
        <f>년간!N51/60</f>
        <v>0</v>
      </c>
      <c r="X24" s="3844">
        <f>년간!O51/60</f>
        <v>0</v>
      </c>
      <c r="Y24" s="5478">
        <f>년간!P51/60</f>
        <v>0</v>
      </c>
      <c r="Z24" s="3844">
        <f>년간!Q51/60</f>
        <v>0</v>
      </c>
      <c r="AA24" s="4482">
        <f t="shared" si="2"/>
        <v>0</v>
      </c>
      <c r="AB24" s="4476" t="e">
        <f>년간!F177/1000</f>
        <v>#DIV/0!</v>
      </c>
      <c r="AC24" s="1503" t="e">
        <f>년간!G177/1000</f>
        <v>#DIV/0!</v>
      </c>
      <c r="AD24" s="1503">
        <f>년간!H177/1000</f>
        <v>1893.7706399274664</v>
      </c>
      <c r="AE24" s="1503" t="e">
        <f>년간!I177/1000</f>
        <v>#DIV/0!</v>
      </c>
      <c r="AF24" s="1503" t="e">
        <f>년간!J177/1000</f>
        <v>#DIV/0!</v>
      </c>
      <c r="AG24" s="1503" t="e">
        <f>년간!K177/1000</f>
        <v>#DIV/0!</v>
      </c>
      <c r="AH24" s="1503" t="e">
        <f>년간!L177/1000</f>
        <v>#DIV/0!</v>
      </c>
      <c r="AI24" s="1503" t="e">
        <f>년간!M177/1000</f>
        <v>#DIV/0!</v>
      </c>
      <c r="AJ24" s="1503" t="e">
        <f>년간!N177/1000</f>
        <v>#DIV/0!</v>
      </c>
      <c r="AK24" s="1503" t="e">
        <f>년간!O177/1000</f>
        <v>#DIV/0!</v>
      </c>
      <c r="AL24" s="1503" t="e">
        <f>년간!P177/1000</f>
        <v>#DIV/0!</v>
      </c>
      <c r="AM24" s="1503" t="e">
        <f>년간!Q177/1000</f>
        <v>#DIV/0!</v>
      </c>
      <c r="AN24" s="1504">
        <f>년간!E177/1000</f>
        <v>2334.9957564218989</v>
      </c>
      <c r="AO24" s="1505">
        <f>AD24</f>
        <v>1893.7706399274664</v>
      </c>
      <c r="AP24" s="1506">
        <f>AO24/AN24</f>
        <v>0.81103815059152096</v>
      </c>
      <c r="AQ24" s="1502"/>
      <c r="AV24" s="758"/>
      <c r="AW24" s="758"/>
      <c r="AX24" s="758"/>
      <c r="AY24" s="758"/>
    </row>
    <row r="25" spans="1:55" s="330" customFormat="1" ht="20.25" customHeight="1">
      <c r="A25" s="7799"/>
      <c r="B25" s="8060" t="s">
        <v>769</v>
      </c>
      <c r="C25" s="888" t="s">
        <v>720</v>
      </c>
      <c r="D25" s="962"/>
      <c r="E25" s="906"/>
      <c r="F25" s="906"/>
      <c r="G25" s="1476">
        <v>41</v>
      </c>
      <c r="H25" s="1476">
        <v>24</v>
      </c>
      <c r="I25" s="1476">
        <v>19</v>
      </c>
      <c r="J25" s="1442">
        <v>25</v>
      </c>
      <c r="K25" s="5711">
        <v>6</v>
      </c>
      <c r="L25" s="5711">
        <v>25</v>
      </c>
      <c r="M25" s="5884">
        <f>년간!E46</f>
        <v>10</v>
      </c>
      <c r="N25" s="6008">
        <f t="shared" si="4"/>
        <v>1</v>
      </c>
      <c r="O25" s="3845">
        <f>년간!F46</f>
        <v>0</v>
      </c>
      <c r="P25" s="3846">
        <f>년간!G46</f>
        <v>0</v>
      </c>
      <c r="Q25" s="7499">
        <f>년간!H46</f>
        <v>3</v>
      </c>
      <c r="R25" s="7481">
        <f>년간!I46</f>
        <v>0</v>
      </c>
      <c r="S25" s="3846">
        <f>년간!J46</f>
        <v>0</v>
      </c>
      <c r="T25" s="3846">
        <f>년간!K46</f>
        <v>0</v>
      </c>
      <c r="U25" s="3846">
        <f>년간!L46</f>
        <v>0</v>
      </c>
      <c r="V25" s="3846">
        <f>년간!M46</f>
        <v>0</v>
      </c>
      <c r="W25" s="3846">
        <f>년간!N46</f>
        <v>0</v>
      </c>
      <c r="X25" s="3847">
        <f>년간!O46</f>
        <v>0</v>
      </c>
      <c r="Y25" s="5479">
        <f>년간!P46</f>
        <v>0</v>
      </c>
      <c r="Z25" s="3847">
        <f>년간!Q46</f>
        <v>0</v>
      </c>
      <c r="AA25" s="3232">
        <f t="shared" si="2"/>
        <v>3</v>
      </c>
      <c r="AB25" s="4478"/>
      <c r="AC25" s="1498"/>
      <c r="AD25" s="1498"/>
      <c r="AE25" s="1498"/>
      <c r="AF25" s="1498"/>
      <c r="AG25" s="1498"/>
      <c r="AH25" s="1498"/>
      <c r="AI25" s="1498"/>
      <c r="AJ25" s="1498"/>
      <c r="AK25" s="1498"/>
      <c r="AL25" s="1498"/>
      <c r="AM25" s="1498"/>
      <c r="AN25" s="1499"/>
      <c r="AO25" s="1500"/>
      <c r="AP25" s="1501"/>
      <c r="AQ25" s="1502"/>
      <c r="AV25" s="758"/>
      <c r="AW25" s="758"/>
      <c r="AX25" s="758"/>
      <c r="AY25" s="758"/>
    </row>
    <row r="26" spans="1:55" s="330" customFormat="1" ht="20.25" customHeight="1" thickBot="1">
      <c r="A26" s="7827"/>
      <c r="B26" s="7826"/>
      <c r="C26" s="869" t="s">
        <v>770</v>
      </c>
      <c r="D26" s="963"/>
      <c r="E26" s="964"/>
      <c r="F26" s="964"/>
      <c r="G26" s="2001">
        <v>79.083333333333329</v>
      </c>
      <c r="H26" s="2001">
        <v>45</v>
      </c>
      <c r="I26" s="2001">
        <v>56</v>
      </c>
      <c r="J26" s="1770">
        <v>42.67</v>
      </c>
      <c r="K26" s="1770">
        <v>13.583333333333332</v>
      </c>
      <c r="L26" s="1770">
        <v>57.083333333333343</v>
      </c>
      <c r="M26" s="5885">
        <f>년간!E56/60</f>
        <v>15</v>
      </c>
      <c r="N26" s="6093">
        <f t="shared" si="4"/>
        <v>1.5</v>
      </c>
      <c r="O26" s="3848">
        <f>년간!F56/60</f>
        <v>0</v>
      </c>
      <c r="P26" s="2223">
        <f>년간!G56/60</f>
        <v>0</v>
      </c>
      <c r="Q26" s="7500">
        <f>년간!H56/60</f>
        <v>2.9166666666666665</v>
      </c>
      <c r="R26" s="7482">
        <f>년간!I56/60</f>
        <v>0</v>
      </c>
      <c r="S26" s="2223">
        <f>년간!J56/60</f>
        <v>0</v>
      </c>
      <c r="T26" s="2223">
        <f>년간!K56/60</f>
        <v>0</v>
      </c>
      <c r="U26" s="2223">
        <f>년간!L56/60</f>
        <v>0</v>
      </c>
      <c r="V26" s="2223">
        <f>년간!M56/60</f>
        <v>0</v>
      </c>
      <c r="W26" s="2223">
        <f>년간!N56/60</f>
        <v>0</v>
      </c>
      <c r="X26" s="2633">
        <f>년간!O56/60</f>
        <v>0</v>
      </c>
      <c r="Y26" s="5480">
        <f>년간!P56/60</f>
        <v>0</v>
      </c>
      <c r="Z26" s="2633">
        <f>년간!Q56/60</f>
        <v>0</v>
      </c>
      <c r="AA26" s="4480">
        <f t="shared" si="2"/>
        <v>2.9166666666666665</v>
      </c>
      <c r="AB26" s="4488" t="e">
        <f>년간!F183/1000</f>
        <v>#DIV/0!</v>
      </c>
      <c r="AC26" s="1507" t="e">
        <f>년간!G183/1000</f>
        <v>#DIV/0!</v>
      </c>
      <c r="AD26" s="1507">
        <f>년간!H183/1000</f>
        <v>2500.7169515883779</v>
      </c>
      <c r="AE26" s="1507" t="e">
        <f>년간!I183/1000</f>
        <v>#DIV/0!</v>
      </c>
      <c r="AF26" s="1507" t="e">
        <f>년간!J183/1000</f>
        <v>#DIV/0!</v>
      </c>
      <c r="AG26" s="1507" t="e">
        <f>년간!K183/1000</f>
        <v>#DIV/0!</v>
      </c>
      <c r="AH26" s="1507" t="e">
        <f>년간!L183/1000</f>
        <v>#DIV/0!</v>
      </c>
      <c r="AI26" s="1507" t="e">
        <f>년간!M183/1000</f>
        <v>#DIV/0!</v>
      </c>
      <c r="AJ26" s="1507" t="e">
        <f>년간!N183/1000</f>
        <v>#DIV/0!</v>
      </c>
      <c r="AK26" s="1507" t="e">
        <f>년간!O183/1000</f>
        <v>#DIV/0!</v>
      </c>
      <c r="AL26" s="1507" t="e">
        <f>년간!P183/1000</f>
        <v>#DIV/0!</v>
      </c>
      <c r="AM26" s="1507" t="e">
        <f>년간!Q183/1000</f>
        <v>#DIV/0!</v>
      </c>
      <c r="AN26" s="1508">
        <f>년간!E183/1000</f>
        <v>48629.97938195891</v>
      </c>
      <c r="AO26" s="1509">
        <f>AD26</f>
        <v>2500.7169515883779</v>
      </c>
      <c r="AP26" s="1510">
        <f>AO26/AN26</f>
        <v>5.1423360309219283E-2</v>
      </c>
      <c r="AQ26" s="2995"/>
      <c r="AV26" s="758"/>
      <c r="AW26" s="758"/>
      <c r="AX26" s="758"/>
      <c r="AY26" s="758"/>
    </row>
    <row r="27" spans="1:55" s="330" customFormat="1" ht="20.25" customHeight="1">
      <c r="A27" s="7799" t="s">
        <v>296</v>
      </c>
      <c r="B27" s="8059" t="s">
        <v>297</v>
      </c>
      <c r="C27" s="937" t="s">
        <v>298</v>
      </c>
      <c r="D27" s="938">
        <v>84.714524216908174</v>
      </c>
      <c r="E27" s="939">
        <v>79.524626577737834</v>
      </c>
      <c r="F27" s="939">
        <v>75.248907066369782</v>
      </c>
      <c r="G27" s="939">
        <v>77.760000000000005</v>
      </c>
      <c r="H27" s="939">
        <v>78.94</v>
      </c>
      <c r="I27" s="939">
        <v>77.63</v>
      </c>
      <c r="J27" s="2542">
        <v>77.150000000000006</v>
      </c>
      <c r="K27" s="2542">
        <v>76.986409573006</v>
      </c>
      <c r="L27" s="2542">
        <v>76.756615697789272</v>
      </c>
      <c r="M27" s="5886">
        <v>74.453917226855594</v>
      </c>
      <c r="N27" s="5887">
        <f t="shared" ref="N27:N38" si="5">M27</f>
        <v>74.453917226855594</v>
      </c>
      <c r="O27" s="3849">
        <v>443.99593547567639</v>
      </c>
      <c r="P27" s="1197">
        <v>405.62238254443076</v>
      </c>
      <c r="Q27" s="7501">
        <v>70.741252460757167</v>
      </c>
      <c r="R27" s="7483">
        <v>0</v>
      </c>
      <c r="S27" s="1197">
        <v>0</v>
      </c>
      <c r="T27" s="1197">
        <v>0</v>
      </c>
      <c r="U27" s="1197">
        <v>0</v>
      </c>
      <c r="V27" s="1197">
        <v>0</v>
      </c>
      <c r="W27" s="1197">
        <v>0</v>
      </c>
      <c r="X27" s="2634">
        <v>0</v>
      </c>
      <c r="Y27" s="5476"/>
      <c r="Z27" s="2634"/>
      <c r="AA27" s="1201">
        <f t="shared" ref="AA27:AA38" si="6">AVERAGE(O27:Z27)</f>
        <v>92.035957048086431</v>
      </c>
      <c r="AB27" s="8046">
        <f>($L$27-O27)*110*O5/1000</f>
        <v>0</v>
      </c>
      <c r="AC27" s="8034">
        <f t="shared" ref="AC27:AM27" si="7">($L$27-P27)*110*P5/1000</f>
        <v>0</v>
      </c>
      <c r="AD27" s="8034">
        <f t="shared" si="7"/>
        <v>15354.012546319685</v>
      </c>
      <c r="AE27" s="8034">
        <f t="shared" si="7"/>
        <v>0</v>
      </c>
      <c r="AF27" s="8034">
        <f t="shared" si="7"/>
        <v>0</v>
      </c>
      <c r="AG27" s="8034">
        <f t="shared" si="7"/>
        <v>0</v>
      </c>
      <c r="AH27" s="8034">
        <f t="shared" si="7"/>
        <v>0</v>
      </c>
      <c r="AI27" s="8034">
        <f t="shared" si="7"/>
        <v>0</v>
      </c>
      <c r="AJ27" s="8034">
        <f t="shared" si="7"/>
        <v>0</v>
      </c>
      <c r="AK27" s="8034">
        <f t="shared" si="7"/>
        <v>0</v>
      </c>
      <c r="AL27" s="8034">
        <f t="shared" si="7"/>
        <v>0</v>
      </c>
      <c r="AM27" s="8034">
        <f t="shared" si="7"/>
        <v>0</v>
      </c>
      <c r="AN27" s="8034">
        <f>110*(L27-M27)*M5/1000</f>
        <v>67860.754208262559</v>
      </c>
      <c r="AO27" s="8034">
        <f>SUM(AB27:AM28)</f>
        <v>15354.012546319685</v>
      </c>
      <c r="AP27" s="8052">
        <f>AO27/AN27</f>
        <v>0.22625761716704024</v>
      </c>
      <c r="AQ27" s="8041" t="s">
        <v>2235</v>
      </c>
      <c r="AR27" s="1452"/>
      <c r="AV27" s="758"/>
      <c r="AW27" s="758"/>
      <c r="AX27" s="758"/>
      <c r="AY27" s="758"/>
    </row>
    <row r="28" spans="1:55" s="330" customFormat="1" ht="20.25" customHeight="1">
      <c r="A28" s="7799"/>
      <c r="B28" s="7824"/>
      <c r="C28" s="868" t="s">
        <v>273</v>
      </c>
      <c r="D28" s="776">
        <v>7832.7570282355264</v>
      </c>
      <c r="E28" s="342">
        <v>7935.9796509103699</v>
      </c>
      <c r="F28" s="342">
        <v>7936.8496327522644</v>
      </c>
      <c r="G28" s="342">
        <v>8176</v>
      </c>
      <c r="H28" s="342">
        <v>8051.7955189284767</v>
      </c>
      <c r="I28" s="342">
        <v>8131</v>
      </c>
      <c r="J28" s="480">
        <v>7865</v>
      </c>
      <c r="K28" s="480">
        <v>7875.3446776752362</v>
      </c>
      <c r="L28" s="2002">
        <v>7908.8001936960472</v>
      </c>
      <c r="M28" s="5888">
        <v>7671.5361878851654</v>
      </c>
      <c r="N28" s="5889">
        <f t="shared" si="5"/>
        <v>7671.5361878851654</v>
      </c>
      <c r="O28" s="3850">
        <v>62717.569138294122</v>
      </c>
      <c r="P28" s="819">
        <v>61285.765135554233</v>
      </c>
      <c r="Q28" s="7502">
        <v>8898.2750655484233</v>
      </c>
      <c r="R28" s="7484">
        <v>0</v>
      </c>
      <c r="S28" s="819">
        <v>0</v>
      </c>
      <c r="T28" s="819">
        <v>0</v>
      </c>
      <c r="U28" s="819">
        <v>0</v>
      </c>
      <c r="V28" s="819">
        <v>0</v>
      </c>
      <c r="W28" s="819">
        <v>0</v>
      </c>
      <c r="X28" s="334">
        <v>0</v>
      </c>
      <c r="Y28" s="5481"/>
      <c r="Z28" s="334"/>
      <c r="AA28" s="3233">
        <f t="shared" si="6"/>
        <v>13290.160933939678</v>
      </c>
      <c r="AB28" s="8047"/>
      <c r="AC28" s="8035"/>
      <c r="AD28" s="8035"/>
      <c r="AE28" s="8035"/>
      <c r="AF28" s="8035"/>
      <c r="AG28" s="8035"/>
      <c r="AH28" s="8035"/>
      <c r="AI28" s="8035"/>
      <c r="AJ28" s="8035"/>
      <c r="AK28" s="8035"/>
      <c r="AL28" s="8035"/>
      <c r="AM28" s="8035"/>
      <c r="AN28" s="8035"/>
      <c r="AO28" s="8035"/>
      <c r="AP28" s="8053"/>
      <c r="AQ28" s="8040"/>
      <c r="AR28" s="1452"/>
      <c r="AS28" s="1627"/>
      <c r="AT28" s="1627"/>
      <c r="AU28" s="1627"/>
      <c r="AV28" s="758"/>
      <c r="AW28" s="758"/>
      <c r="AX28" s="758"/>
      <c r="AY28" s="758"/>
    </row>
    <row r="29" spans="1:55" s="330" customFormat="1" ht="20.25" customHeight="1">
      <c r="A29" s="7799"/>
      <c r="B29" s="8060" t="s">
        <v>299</v>
      </c>
      <c r="C29" s="866" t="s">
        <v>300</v>
      </c>
      <c r="D29" s="777">
        <v>0.34742620014472586</v>
      </c>
      <c r="E29" s="343">
        <v>0.41578574515736727</v>
      </c>
      <c r="F29" s="343">
        <v>0.39694698160118397</v>
      </c>
      <c r="G29" s="2003">
        <v>0.37</v>
      </c>
      <c r="H29" s="2003">
        <v>0.3470009605879299</v>
      </c>
      <c r="I29" s="2003">
        <v>0.3</v>
      </c>
      <c r="J29" s="2543">
        <v>0.24</v>
      </c>
      <c r="K29" s="5712">
        <v>0.22924817613707119</v>
      </c>
      <c r="L29" s="5712">
        <v>0.25780579208698462</v>
      </c>
      <c r="M29" s="5890">
        <v>0.25007161832437508</v>
      </c>
      <c r="N29" s="5891">
        <f t="shared" si="5"/>
        <v>0.25007161832437508</v>
      </c>
      <c r="O29" s="3851">
        <v>1.07582878191287</v>
      </c>
      <c r="P29" s="1556">
        <v>6.5458384655991506E-2</v>
      </c>
      <c r="Q29" s="7503">
        <v>3.1462408998378398E-2</v>
      </c>
      <c r="R29" s="7485">
        <v>0</v>
      </c>
      <c r="S29" s="1556">
        <v>0</v>
      </c>
      <c r="T29" s="1556">
        <v>0</v>
      </c>
      <c r="U29" s="1556">
        <v>0</v>
      </c>
      <c r="V29" s="1556">
        <v>0</v>
      </c>
      <c r="W29" s="1556">
        <v>0</v>
      </c>
      <c r="X29" s="2635">
        <v>0</v>
      </c>
      <c r="Y29" s="5482"/>
      <c r="Z29" s="2635"/>
      <c r="AA29" s="3233">
        <f t="shared" si="6"/>
        <v>0.11727495755672399</v>
      </c>
      <c r="AB29" s="8044">
        <f>($L$29-O29)*923*O5/1000</f>
        <v>0</v>
      </c>
      <c r="AC29" s="8025">
        <f t="shared" ref="AC29:AM29" si="8">($L$29-P29)*923*P5/1000</f>
        <v>0</v>
      </c>
      <c r="AD29" s="8025">
        <f t="shared" si="8"/>
        <v>4847.712467462763</v>
      </c>
      <c r="AE29" s="8025">
        <f t="shared" si="8"/>
        <v>0</v>
      </c>
      <c r="AF29" s="8025">
        <f t="shared" si="8"/>
        <v>0</v>
      </c>
      <c r="AG29" s="8025">
        <f t="shared" si="8"/>
        <v>0</v>
      </c>
      <c r="AH29" s="8025">
        <f t="shared" si="8"/>
        <v>0</v>
      </c>
      <c r="AI29" s="8025">
        <f t="shared" si="8"/>
        <v>0</v>
      </c>
      <c r="AJ29" s="8025">
        <f t="shared" si="8"/>
        <v>0</v>
      </c>
      <c r="AK29" s="8025">
        <f t="shared" si="8"/>
        <v>0</v>
      </c>
      <c r="AL29" s="8025">
        <f t="shared" si="8"/>
        <v>0</v>
      </c>
      <c r="AM29" s="8032">
        <f t="shared" si="8"/>
        <v>0</v>
      </c>
      <c r="AN29" s="8054">
        <f>923*(L29-M29)*M5/1000</f>
        <v>1912.5136807996867</v>
      </c>
      <c r="AO29" s="8056">
        <f>SUM(AB29:AM30)</f>
        <v>4847.712467462763</v>
      </c>
      <c r="AP29" s="8048">
        <f>AO29/AN29</f>
        <v>2.5347334851146113</v>
      </c>
      <c r="AQ29" s="8050" t="s">
        <v>2109</v>
      </c>
      <c r="AR29" s="1452"/>
      <c r="AS29" s="1452"/>
      <c r="AT29" s="1626"/>
      <c r="AU29" s="1626"/>
      <c r="AV29" s="758"/>
      <c r="AW29" s="758"/>
      <c r="AX29" s="758"/>
      <c r="AY29" s="758"/>
    </row>
    <row r="30" spans="1:55" s="330" customFormat="1" ht="20.25" customHeight="1" thickBot="1">
      <c r="A30" s="7799"/>
      <c r="B30" s="8059"/>
      <c r="C30" s="933" t="s">
        <v>273</v>
      </c>
      <c r="D30" s="934">
        <f>D29*710</f>
        <v>246.67260210275535</v>
      </c>
      <c r="E30" s="935">
        <f>E29*710</f>
        <v>295.20787906173075</v>
      </c>
      <c r="F30" s="935">
        <f>F29*710</f>
        <v>281.8323569368406</v>
      </c>
      <c r="G30" s="935">
        <f>G29*710</f>
        <v>262.7</v>
      </c>
      <c r="H30" s="935">
        <v>246.37068201743023</v>
      </c>
      <c r="I30" s="935">
        <v>217</v>
      </c>
      <c r="J30" s="2544">
        <v>192</v>
      </c>
      <c r="K30" s="2544">
        <v>198.14483866009951</v>
      </c>
      <c r="L30" s="6786">
        <v>240.1082741378701</v>
      </c>
      <c r="M30" s="5892">
        <v>232.90502591373399</v>
      </c>
      <c r="N30" s="5893">
        <f t="shared" si="5"/>
        <v>232.90502591373399</v>
      </c>
      <c r="O30" s="3852">
        <v>908.32973453575505</v>
      </c>
      <c r="P30" s="936">
        <v>66.317086046102403</v>
      </c>
      <c r="Q30" s="7504">
        <v>30.980531690991299</v>
      </c>
      <c r="R30" s="7486">
        <v>0</v>
      </c>
      <c r="S30" s="936">
        <v>0</v>
      </c>
      <c r="T30" s="936">
        <v>0</v>
      </c>
      <c r="U30" s="936">
        <v>0</v>
      </c>
      <c r="V30" s="936">
        <v>0</v>
      </c>
      <c r="W30" s="936">
        <v>0</v>
      </c>
      <c r="X30" s="2636">
        <v>0</v>
      </c>
      <c r="Y30" s="5483"/>
      <c r="Z30" s="2636"/>
      <c r="AA30" s="3838">
        <f t="shared" si="6"/>
        <v>100.56273522728488</v>
      </c>
      <c r="AB30" s="8045"/>
      <c r="AC30" s="8026"/>
      <c r="AD30" s="8026"/>
      <c r="AE30" s="8026"/>
      <c r="AF30" s="8026"/>
      <c r="AG30" s="8026"/>
      <c r="AH30" s="8026"/>
      <c r="AI30" s="8026"/>
      <c r="AJ30" s="8026"/>
      <c r="AK30" s="8026"/>
      <c r="AL30" s="8026"/>
      <c r="AM30" s="8033"/>
      <c r="AN30" s="8055"/>
      <c r="AO30" s="8055"/>
      <c r="AP30" s="8049"/>
      <c r="AQ30" s="8051"/>
      <c r="AS30" s="1626"/>
      <c r="AT30" s="1626"/>
      <c r="AU30" s="1626"/>
      <c r="AV30" s="758"/>
      <c r="AW30" s="758"/>
      <c r="AX30" s="758"/>
      <c r="AY30" s="758"/>
    </row>
    <row r="31" spans="1:55" s="330" customFormat="1" ht="20.25" customHeight="1">
      <c r="A31" s="7798" t="s">
        <v>746</v>
      </c>
      <c r="B31" s="7823" t="s">
        <v>301</v>
      </c>
      <c r="C31" s="954" t="s">
        <v>273</v>
      </c>
      <c r="D31" s="965"/>
      <c r="E31" s="966"/>
      <c r="F31" s="966"/>
      <c r="G31" s="2004">
        <v>1729</v>
      </c>
      <c r="H31" s="2004">
        <v>1298</v>
      </c>
      <c r="I31" s="2004">
        <v>1232</v>
      </c>
      <c r="J31" s="2545">
        <v>2157.8430560543561</v>
      </c>
      <c r="K31" s="2545">
        <v>1232.6363636363637</v>
      </c>
      <c r="L31" s="2545">
        <v>1144.5999999999999</v>
      </c>
      <c r="M31" s="5894">
        <v>881</v>
      </c>
      <c r="N31" s="5869">
        <f t="shared" si="5"/>
        <v>881</v>
      </c>
      <c r="O31" s="3853">
        <v>14776</v>
      </c>
      <c r="P31" s="967">
        <v>2208</v>
      </c>
      <c r="Q31" s="7505">
        <v>293</v>
      </c>
      <c r="R31" s="7487">
        <v>0</v>
      </c>
      <c r="S31" s="967">
        <v>0</v>
      </c>
      <c r="T31" s="967">
        <v>0</v>
      </c>
      <c r="U31" s="967">
        <v>0</v>
      </c>
      <c r="V31" s="967">
        <v>0</v>
      </c>
      <c r="W31" s="967">
        <v>0</v>
      </c>
      <c r="X31" s="2637">
        <v>0</v>
      </c>
      <c r="Y31" s="5484"/>
      <c r="Z31" s="2637"/>
      <c r="AA31" s="4467">
        <f t="shared" si="6"/>
        <v>1727.7</v>
      </c>
      <c r="AB31" s="4489"/>
      <c r="AC31" s="968"/>
      <c r="AD31" s="968"/>
      <c r="AE31" s="968"/>
      <c r="AF31" s="968"/>
      <c r="AG31" s="968"/>
      <c r="AH31" s="968"/>
      <c r="AI31" s="968"/>
      <c r="AJ31" s="968"/>
      <c r="AK31" s="968"/>
      <c r="AL31" s="968"/>
      <c r="AM31" s="968"/>
      <c r="AN31" s="968"/>
      <c r="AO31" s="969"/>
      <c r="AP31" s="960"/>
      <c r="AQ31" s="8039" t="s">
        <v>2240</v>
      </c>
      <c r="AS31" s="1628"/>
      <c r="AT31" s="1628"/>
      <c r="AU31" s="1628"/>
      <c r="AV31" s="758"/>
      <c r="AW31" s="758"/>
      <c r="AX31" s="758"/>
      <c r="AY31" s="758"/>
    </row>
    <row r="32" spans="1:55" s="330" customFormat="1" ht="20.25" customHeight="1">
      <c r="A32" s="7799"/>
      <c r="B32" s="7824"/>
      <c r="C32" s="866" t="s">
        <v>776</v>
      </c>
      <c r="D32" s="778"/>
      <c r="E32" s="344"/>
      <c r="F32" s="345">
        <v>0.5</v>
      </c>
      <c r="G32" s="1478">
        <v>0.57999999999999996</v>
      </c>
      <c r="H32" s="2005">
        <v>0.50082511163501486</v>
      </c>
      <c r="I32" s="2005">
        <v>0.49</v>
      </c>
      <c r="J32" s="2546">
        <v>0.51611370540121004</v>
      </c>
      <c r="K32" s="5713">
        <v>0.48709090909090907</v>
      </c>
      <c r="L32" s="5713">
        <v>0.45229999999999998</v>
      </c>
      <c r="M32" s="5895">
        <v>0.41</v>
      </c>
      <c r="N32" s="5896">
        <f t="shared" si="5"/>
        <v>0.41</v>
      </c>
      <c r="O32" s="3854">
        <v>5.84</v>
      </c>
      <c r="P32" s="1511">
        <v>0.873</v>
      </c>
      <c r="Q32" s="7506">
        <v>0.11600000000000001</v>
      </c>
      <c r="R32" s="7488">
        <v>0</v>
      </c>
      <c r="S32" s="1511">
        <v>0</v>
      </c>
      <c r="T32" s="1511">
        <v>0</v>
      </c>
      <c r="U32" s="1511">
        <v>0</v>
      </c>
      <c r="V32" s="1511">
        <v>0</v>
      </c>
      <c r="W32" s="1511">
        <v>0</v>
      </c>
      <c r="X32" s="2638">
        <v>0</v>
      </c>
      <c r="Y32" s="5485"/>
      <c r="Z32" s="2638"/>
      <c r="AA32" s="3233">
        <f t="shared" si="6"/>
        <v>0.68289999999999995</v>
      </c>
      <c r="AB32" s="6048">
        <f>($L$32-O32)*2298*O5/1000</f>
        <v>0</v>
      </c>
      <c r="AC32" s="6048">
        <f t="shared" ref="AC32:AM32" si="9">($L$32-P32)*2298*P5/1000</f>
        <v>0</v>
      </c>
      <c r="AD32" s="6048">
        <f t="shared" si="9"/>
        <v>17932.640425776</v>
      </c>
      <c r="AE32" s="6048">
        <f t="shared" si="9"/>
        <v>0</v>
      </c>
      <c r="AF32" s="6048">
        <f t="shared" si="9"/>
        <v>0</v>
      </c>
      <c r="AG32" s="6048">
        <f t="shared" si="9"/>
        <v>0</v>
      </c>
      <c r="AH32" s="6048">
        <f t="shared" si="9"/>
        <v>0</v>
      </c>
      <c r="AI32" s="6048">
        <f t="shared" si="9"/>
        <v>0</v>
      </c>
      <c r="AJ32" s="6048">
        <f t="shared" si="9"/>
        <v>0</v>
      </c>
      <c r="AK32" s="6048">
        <f t="shared" si="9"/>
        <v>0</v>
      </c>
      <c r="AL32" s="6048">
        <f t="shared" si="9"/>
        <v>0</v>
      </c>
      <c r="AM32" s="4179">
        <f t="shared" si="9"/>
        <v>0</v>
      </c>
      <c r="AN32" s="970">
        <f>2298*(L32-M32)*M5/1000</f>
        <v>26042.298714</v>
      </c>
      <c r="AO32" s="1512">
        <f>SUM(AB32:AM32)</f>
        <v>17932.640425776</v>
      </c>
      <c r="AP32" s="1513">
        <f>AO32/AN32</f>
        <v>0.68859667968310523</v>
      </c>
      <c r="AQ32" s="8040"/>
      <c r="AS32" s="1628"/>
      <c r="AT32" s="1628"/>
      <c r="AU32" s="1628"/>
      <c r="AV32" s="758"/>
      <c r="AW32" s="758"/>
      <c r="AX32" s="758"/>
      <c r="AY32" s="758"/>
    </row>
    <row r="33" spans="1:51" s="330" customFormat="1" ht="20.25" customHeight="1">
      <c r="A33" s="7799"/>
      <c r="B33" s="862" t="s">
        <v>757</v>
      </c>
      <c r="C33" s="888" t="s">
        <v>889</v>
      </c>
      <c r="D33" s="971"/>
      <c r="E33" s="907"/>
      <c r="F33" s="972"/>
      <c r="G33" s="1475">
        <v>0.11865854816180958</v>
      </c>
      <c r="H33" s="2006">
        <v>0.15568797756073249</v>
      </c>
      <c r="I33" s="2006">
        <v>7.0000000000000007E-2</v>
      </c>
      <c r="J33" s="2547">
        <v>5.1698196118476127E-2</v>
      </c>
      <c r="K33" s="5714">
        <v>2.7272727272727278E-2</v>
      </c>
      <c r="L33" s="5714">
        <v>1.8000000000000006E-2</v>
      </c>
      <c r="M33" s="5895">
        <v>0.02</v>
      </c>
      <c r="N33" s="5896">
        <f t="shared" si="5"/>
        <v>0.02</v>
      </c>
      <c r="O33" s="3855">
        <v>0.76</v>
      </c>
      <c r="P33" s="3856">
        <v>0.28000000000000003</v>
      </c>
      <c r="Q33" s="7507">
        <v>0.02</v>
      </c>
      <c r="R33" s="7489">
        <v>0</v>
      </c>
      <c r="S33" s="3856">
        <v>0</v>
      </c>
      <c r="T33" s="3856">
        <v>0</v>
      </c>
      <c r="U33" s="3856">
        <v>0</v>
      </c>
      <c r="V33" s="3856">
        <v>0</v>
      </c>
      <c r="W33" s="3856">
        <v>0</v>
      </c>
      <c r="X33" s="3857">
        <v>0</v>
      </c>
      <c r="Y33" s="5486"/>
      <c r="Z33" s="3857"/>
      <c r="AA33" s="3233">
        <f t="shared" si="6"/>
        <v>0.10600000000000001</v>
      </c>
      <c r="AB33" s="6048">
        <f>($L$33-O33)*1925*O5/1000</f>
        <v>0</v>
      </c>
      <c r="AC33" s="4179">
        <f>($L$33-P33)*1925*P5/1000</f>
        <v>0</v>
      </c>
      <c r="AD33" s="4179">
        <f t="shared" ref="AD33:AM33" si="10">($L$33-Q33)*1925*Q5/1000</f>
        <v>-89.336323999999777</v>
      </c>
      <c r="AE33" s="4179">
        <f t="shared" si="10"/>
        <v>0</v>
      </c>
      <c r="AF33" s="4179">
        <f t="shared" si="10"/>
        <v>0</v>
      </c>
      <c r="AG33" s="4179">
        <f t="shared" si="10"/>
        <v>0</v>
      </c>
      <c r="AH33" s="4179">
        <f t="shared" si="10"/>
        <v>0</v>
      </c>
      <c r="AI33" s="4179">
        <f t="shared" si="10"/>
        <v>0</v>
      </c>
      <c r="AJ33" s="4179">
        <f t="shared" si="10"/>
        <v>0</v>
      </c>
      <c r="AK33" s="4179">
        <f t="shared" si="10"/>
        <v>0</v>
      </c>
      <c r="AL33" s="4179">
        <f t="shared" si="10"/>
        <v>0</v>
      </c>
      <c r="AM33" s="4179">
        <f t="shared" si="10"/>
        <v>0</v>
      </c>
      <c r="AN33" s="970">
        <f>(L33-M33)*1925*M5/1000</f>
        <v>-1031.4534999999973</v>
      </c>
      <c r="AO33" s="1512">
        <f>SUM(AB33:AM33)</f>
        <v>-89.336323999999777</v>
      </c>
      <c r="AP33" s="1513">
        <f>AO33/AN33</f>
        <v>8.6612071217946326E-2</v>
      </c>
      <c r="AQ33" s="1515" t="s">
        <v>888</v>
      </c>
      <c r="AS33" s="1628"/>
      <c r="AT33" s="1628"/>
      <c r="AU33" s="1628"/>
      <c r="AV33" s="758"/>
      <c r="AW33" s="758"/>
      <c r="AX33" s="758"/>
      <c r="AY33" s="758"/>
    </row>
    <row r="34" spans="1:51" s="330" customFormat="1" ht="20.25" customHeight="1">
      <c r="A34" s="7799"/>
      <c r="B34" s="862" t="s">
        <v>784</v>
      </c>
      <c r="C34" s="888" t="s">
        <v>276</v>
      </c>
      <c r="D34" s="971"/>
      <c r="E34" s="907"/>
      <c r="F34" s="972"/>
      <c r="G34" s="1475">
        <v>949.28678987198475</v>
      </c>
      <c r="H34" s="2006">
        <v>1028.818220553077</v>
      </c>
      <c r="I34" s="2006">
        <v>489.64</v>
      </c>
      <c r="J34" s="2547">
        <v>479.40771144546966</v>
      </c>
      <c r="K34" s="5714">
        <v>336.10727272727269</v>
      </c>
      <c r="L34" s="5714">
        <v>249.58</v>
      </c>
      <c r="M34" s="5895">
        <v>237.101</v>
      </c>
      <c r="N34" s="5896">
        <f t="shared" si="5"/>
        <v>237.101</v>
      </c>
      <c r="O34" s="3855">
        <v>381.81</v>
      </c>
      <c r="P34" s="3856">
        <v>121.23</v>
      </c>
      <c r="Q34" s="7507">
        <v>571.86</v>
      </c>
      <c r="R34" s="7489">
        <v>0</v>
      </c>
      <c r="S34" s="3856">
        <v>0</v>
      </c>
      <c r="T34" s="3856">
        <v>0</v>
      </c>
      <c r="U34" s="3856">
        <v>0</v>
      </c>
      <c r="V34" s="3856">
        <v>0</v>
      </c>
      <c r="W34" s="3856">
        <v>0</v>
      </c>
      <c r="X34" s="3857">
        <v>0</v>
      </c>
      <c r="Y34" s="5486"/>
      <c r="Z34" s="3857"/>
      <c r="AA34" s="3233">
        <f t="shared" si="6"/>
        <v>107.49000000000001</v>
      </c>
      <c r="AB34" s="4478"/>
      <c r="AC34" s="1498"/>
      <c r="AD34" s="1498"/>
      <c r="AE34" s="1498"/>
      <c r="AF34" s="1498"/>
      <c r="AG34" s="1498"/>
      <c r="AH34" s="1498"/>
      <c r="AI34" s="1498"/>
      <c r="AJ34" s="1498"/>
      <c r="AK34" s="1498"/>
      <c r="AL34" s="1498"/>
      <c r="AM34" s="1498"/>
      <c r="AN34" s="1500"/>
      <c r="AO34" s="1516"/>
      <c r="AP34" s="1501"/>
      <c r="AQ34" s="8036"/>
      <c r="AS34" s="1628"/>
      <c r="AT34" s="1619"/>
      <c r="AU34" s="1628"/>
      <c r="AV34" s="757"/>
      <c r="AW34" s="758"/>
      <c r="AX34" s="758"/>
      <c r="AY34" s="758"/>
    </row>
    <row r="35" spans="1:51" s="330" customFormat="1" ht="20.25" customHeight="1">
      <c r="A35" s="7799"/>
      <c r="B35" s="862" t="s">
        <v>785</v>
      </c>
      <c r="C35" s="888" t="s">
        <v>276</v>
      </c>
      <c r="D35" s="971"/>
      <c r="E35" s="907"/>
      <c r="F35" s="972"/>
      <c r="G35" s="1475">
        <v>1005.6546212429485</v>
      </c>
      <c r="H35" s="2006">
        <v>968.75043757875972</v>
      </c>
      <c r="I35" s="2006">
        <v>400.26</v>
      </c>
      <c r="J35" s="2547">
        <v>402.84662613923177</v>
      </c>
      <c r="K35" s="5714">
        <v>231.08363636363632</v>
      </c>
      <c r="L35" s="5714">
        <v>187.71800000000002</v>
      </c>
      <c r="M35" s="5895">
        <v>178.3321</v>
      </c>
      <c r="N35" s="5896">
        <f t="shared" si="5"/>
        <v>178.3321</v>
      </c>
      <c r="O35" s="3855">
        <v>3336.39</v>
      </c>
      <c r="P35" s="3856">
        <v>0</v>
      </c>
      <c r="Q35" s="7507">
        <v>186.81</v>
      </c>
      <c r="R35" s="7489">
        <v>0</v>
      </c>
      <c r="S35" s="3856">
        <v>0</v>
      </c>
      <c r="T35" s="3856">
        <v>0</v>
      </c>
      <c r="U35" s="3856">
        <v>0</v>
      </c>
      <c r="V35" s="3856">
        <v>0</v>
      </c>
      <c r="W35" s="3856">
        <v>0</v>
      </c>
      <c r="X35" s="3857">
        <v>0</v>
      </c>
      <c r="Y35" s="5486"/>
      <c r="Z35" s="3857"/>
      <c r="AA35" s="3233">
        <f t="shared" si="6"/>
        <v>352.32</v>
      </c>
      <c r="AB35" s="4478"/>
      <c r="AC35" s="1498"/>
      <c r="AD35" s="1498"/>
      <c r="AE35" s="1498"/>
      <c r="AF35" s="1498"/>
      <c r="AG35" s="1498"/>
      <c r="AH35" s="1498"/>
      <c r="AI35" s="1498"/>
      <c r="AJ35" s="1498"/>
      <c r="AK35" s="1498"/>
      <c r="AL35" s="1498"/>
      <c r="AM35" s="1498"/>
      <c r="AN35" s="1500"/>
      <c r="AO35" s="1516"/>
      <c r="AP35" s="1501"/>
      <c r="AQ35" s="8037"/>
      <c r="AS35" s="1628"/>
      <c r="AT35" s="1628"/>
      <c r="AU35" s="1628"/>
      <c r="AV35" s="758"/>
      <c r="AW35" s="758"/>
      <c r="AX35" s="758"/>
      <c r="AY35" s="758"/>
    </row>
    <row r="36" spans="1:51" s="330" customFormat="1" ht="20.25" customHeight="1">
      <c r="A36" s="7799"/>
      <c r="B36" s="862" t="s">
        <v>786</v>
      </c>
      <c r="C36" s="888" t="s">
        <v>276</v>
      </c>
      <c r="D36" s="971"/>
      <c r="E36" s="907"/>
      <c r="F36" s="972"/>
      <c r="G36" s="1475">
        <v>483.9974686678176</v>
      </c>
      <c r="H36" s="2006">
        <v>536.12303780912919</v>
      </c>
      <c r="I36" s="2006">
        <v>280.02</v>
      </c>
      <c r="J36" s="2547">
        <v>410.1483106108754</v>
      </c>
      <c r="K36" s="5714">
        <v>504.98545454545462</v>
      </c>
      <c r="L36" s="5714">
        <v>342.44600000000003</v>
      </c>
      <c r="M36" s="5895">
        <v>325.32370000000003</v>
      </c>
      <c r="N36" s="5896">
        <f t="shared" si="5"/>
        <v>325.32370000000003</v>
      </c>
      <c r="O36" s="3855">
        <v>0</v>
      </c>
      <c r="P36" s="3856">
        <v>0</v>
      </c>
      <c r="Q36" s="7507">
        <v>345.36</v>
      </c>
      <c r="R36" s="7489">
        <v>0</v>
      </c>
      <c r="S36" s="3856">
        <v>0</v>
      </c>
      <c r="T36" s="3856">
        <v>0</v>
      </c>
      <c r="U36" s="3856">
        <v>0</v>
      </c>
      <c r="V36" s="3856">
        <v>0</v>
      </c>
      <c r="W36" s="3856">
        <v>0</v>
      </c>
      <c r="X36" s="3857">
        <v>0</v>
      </c>
      <c r="Y36" s="5486"/>
      <c r="Z36" s="3857"/>
      <c r="AA36" s="3233">
        <f t="shared" si="6"/>
        <v>34.536000000000001</v>
      </c>
      <c r="AB36" s="4478"/>
      <c r="AC36" s="1498"/>
      <c r="AD36" s="1498"/>
      <c r="AE36" s="1498"/>
      <c r="AF36" s="1498"/>
      <c r="AG36" s="1498"/>
      <c r="AH36" s="1498"/>
      <c r="AI36" s="1498"/>
      <c r="AJ36" s="1498"/>
      <c r="AK36" s="1498"/>
      <c r="AL36" s="1498"/>
      <c r="AM36" s="1498"/>
      <c r="AN36" s="1500"/>
      <c r="AO36" s="1516"/>
      <c r="AP36" s="1501"/>
      <c r="AQ36" s="8038"/>
      <c r="AS36" s="1628"/>
      <c r="AT36" s="1628"/>
      <c r="AU36" s="1628"/>
      <c r="AV36" s="758"/>
      <c r="AW36" s="758"/>
      <c r="AX36" s="758"/>
      <c r="AY36" s="758"/>
    </row>
    <row r="37" spans="1:51" s="330" customFormat="1" ht="17.25" thickBot="1">
      <c r="A37" s="7827"/>
      <c r="B37" s="887" t="s">
        <v>753</v>
      </c>
      <c r="C37" s="869" t="s">
        <v>276</v>
      </c>
      <c r="D37" s="973">
        <v>8950</v>
      </c>
      <c r="E37" s="974">
        <v>7555</v>
      </c>
      <c r="F37" s="974">
        <v>4821.543446555379</v>
      </c>
      <c r="G37" s="2007"/>
      <c r="H37" s="2007">
        <v>4795.3802621839413</v>
      </c>
      <c r="I37" s="2007">
        <v>4044</v>
      </c>
      <c r="J37" s="1584">
        <v>2721.9102889024402</v>
      </c>
      <c r="K37" s="1584">
        <v>2354.2727272727275</v>
      </c>
      <c r="L37" s="1584">
        <v>1439.7</v>
      </c>
      <c r="M37" s="5897">
        <v>1397</v>
      </c>
      <c r="N37" s="5898">
        <f t="shared" si="5"/>
        <v>1397</v>
      </c>
      <c r="O37" s="3858">
        <v>31097</v>
      </c>
      <c r="P37" s="2113">
        <v>5176</v>
      </c>
      <c r="Q37" s="7285">
        <v>741</v>
      </c>
      <c r="R37" s="2044">
        <v>0</v>
      </c>
      <c r="S37" s="2113">
        <v>0</v>
      </c>
      <c r="T37" s="2113">
        <v>0</v>
      </c>
      <c r="U37" s="2113">
        <v>0</v>
      </c>
      <c r="V37" s="2113">
        <v>0</v>
      </c>
      <c r="W37" s="2113">
        <v>0</v>
      </c>
      <c r="X37" s="2639">
        <v>0</v>
      </c>
      <c r="Y37" s="5487"/>
      <c r="Z37" s="2639"/>
      <c r="AA37" s="2222">
        <f t="shared" si="6"/>
        <v>3701.4</v>
      </c>
      <c r="AB37" s="6050">
        <f t="shared" ref="AB37:AM37" si="11">($L$37-O37)*O5/1000</f>
        <v>0</v>
      </c>
      <c r="AC37" s="4154">
        <f t="shared" si="11"/>
        <v>0</v>
      </c>
      <c r="AD37" s="4154">
        <f t="shared" si="11"/>
        <v>16212.802488000001</v>
      </c>
      <c r="AE37" s="4154">
        <f t="shared" si="11"/>
        <v>0</v>
      </c>
      <c r="AF37" s="4154">
        <f t="shared" si="11"/>
        <v>0</v>
      </c>
      <c r="AG37" s="4154">
        <f t="shared" si="11"/>
        <v>0</v>
      </c>
      <c r="AH37" s="4154">
        <f t="shared" si="11"/>
        <v>0</v>
      </c>
      <c r="AI37" s="4154">
        <f t="shared" si="11"/>
        <v>0</v>
      </c>
      <c r="AJ37" s="4154">
        <f t="shared" si="11"/>
        <v>0</v>
      </c>
      <c r="AK37" s="4154">
        <f t="shared" si="11"/>
        <v>0</v>
      </c>
      <c r="AL37" s="4154">
        <f t="shared" si="11"/>
        <v>0</v>
      </c>
      <c r="AM37" s="4154">
        <f t="shared" si="11"/>
        <v>0</v>
      </c>
      <c r="AN37" s="4154">
        <f>(L37-M37)*M5/1000</f>
        <v>11439.757000000012</v>
      </c>
      <c r="AO37" s="1517">
        <f>SUM(AB37:AM37)</f>
        <v>16212.802488000001</v>
      </c>
      <c r="AP37" s="1518">
        <f>AO37/AN37</f>
        <v>1.4172331185006801</v>
      </c>
      <c r="AQ37" s="1519"/>
      <c r="AR37" s="1452"/>
      <c r="AS37" s="1452"/>
      <c r="AT37" s="1629"/>
      <c r="AU37" s="1628"/>
      <c r="AV37" s="758"/>
      <c r="AW37" s="758"/>
      <c r="AX37" s="758"/>
      <c r="AY37" s="758"/>
    </row>
    <row r="38" spans="1:51" s="330" customFormat="1" ht="20.25" customHeight="1" thickBot="1">
      <c r="A38" s="860" t="s">
        <v>302</v>
      </c>
      <c r="B38" s="861" t="s">
        <v>303</v>
      </c>
      <c r="C38" s="867" t="s">
        <v>276</v>
      </c>
      <c r="D38" s="940">
        <v>1863</v>
      </c>
      <c r="E38" s="761">
        <v>1303</v>
      </c>
      <c r="F38" s="761">
        <v>1252.634134198011</v>
      </c>
      <c r="G38" s="761">
        <v>1428</v>
      </c>
      <c r="H38" s="761">
        <v>1284.6422670752197</v>
      </c>
      <c r="I38" s="761">
        <v>1184</v>
      </c>
      <c r="J38" s="804">
        <v>1350.5615134235436</v>
      </c>
      <c r="K38" s="804">
        <v>1637.2727272727273</v>
      </c>
      <c r="L38" s="804">
        <v>1424.9</v>
      </c>
      <c r="M38" s="5899">
        <v>1382</v>
      </c>
      <c r="N38" s="5900">
        <f t="shared" si="5"/>
        <v>1382</v>
      </c>
      <c r="O38" s="3201">
        <v>45019</v>
      </c>
      <c r="P38" s="923">
        <v>24947</v>
      </c>
      <c r="Q38" s="7274">
        <v>1678</v>
      </c>
      <c r="R38" s="922">
        <v>0</v>
      </c>
      <c r="S38" s="923">
        <v>0</v>
      </c>
      <c r="T38" s="923">
        <v>0</v>
      </c>
      <c r="U38" s="923">
        <v>0</v>
      </c>
      <c r="V38" s="923">
        <v>0</v>
      </c>
      <c r="W38" s="923">
        <v>0</v>
      </c>
      <c r="X38" s="760">
        <v>0</v>
      </c>
      <c r="Y38" s="5469"/>
      <c r="Z38" s="760"/>
      <c r="AA38" s="1201">
        <f t="shared" si="6"/>
        <v>7164.4</v>
      </c>
      <c r="AB38" s="6051">
        <f t="shared" ref="AB38:AM38" si="12">($L$38-O38)*O5/1000</f>
        <v>0</v>
      </c>
      <c r="AC38" s="6059">
        <f t="shared" si="12"/>
        <v>0</v>
      </c>
      <c r="AD38" s="6059">
        <f t="shared" si="12"/>
        <v>-5872.9931439999982</v>
      </c>
      <c r="AE38" s="6059">
        <f t="shared" si="12"/>
        <v>0</v>
      </c>
      <c r="AF38" s="6059">
        <f t="shared" si="12"/>
        <v>0</v>
      </c>
      <c r="AG38" s="6059">
        <f t="shared" si="12"/>
        <v>0</v>
      </c>
      <c r="AH38" s="6059">
        <f t="shared" si="12"/>
        <v>0</v>
      </c>
      <c r="AI38" s="6059">
        <f t="shared" si="12"/>
        <v>0</v>
      </c>
      <c r="AJ38" s="6059">
        <f t="shared" si="12"/>
        <v>0</v>
      </c>
      <c r="AK38" s="6059">
        <f t="shared" si="12"/>
        <v>0</v>
      </c>
      <c r="AL38" s="6059">
        <f t="shared" si="12"/>
        <v>0</v>
      </c>
      <c r="AM38" s="6059">
        <f t="shared" si="12"/>
        <v>0</v>
      </c>
      <c r="AN38" s="941">
        <f>(L38-M38)*M5/1000</f>
        <v>11493.339000000024</v>
      </c>
      <c r="AO38" s="941">
        <f>SUM(AB38:AM38)</f>
        <v>-5872.9931439999982</v>
      </c>
      <c r="AP38" s="942">
        <f>AO38/AN38</f>
        <v>-0.51099103089189191</v>
      </c>
      <c r="AQ38" s="1337"/>
      <c r="AS38" s="1628"/>
      <c r="AT38" s="1628"/>
      <c r="AU38" s="1628"/>
      <c r="AV38" s="758"/>
      <c r="AW38" s="758"/>
      <c r="AX38" s="758"/>
      <c r="AY38" s="758"/>
    </row>
    <row r="39" spans="1:51" s="330" customFormat="1" ht="20.25" customHeight="1">
      <c r="A39" s="7798" t="s">
        <v>741</v>
      </c>
      <c r="B39" s="975" t="s">
        <v>743</v>
      </c>
      <c r="C39" s="954" t="s">
        <v>745</v>
      </c>
      <c r="D39" s="976"/>
      <c r="E39" s="977"/>
      <c r="F39" s="977"/>
      <c r="G39" s="977">
        <v>4</v>
      </c>
      <c r="H39" s="977">
        <v>9</v>
      </c>
      <c r="I39" s="977">
        <v>7</v>
      </c>
      <c r="J39" s="2548">
        <v>16</v>
      </c>
      <c r="K39" s="2548">
        <v>18</v>
      </c>
      <c r="L39" s="2548">
        <v>6</v>
      </c>
      <c r="M39" s="5901">
        <v>31</v>
      </c>
      <c r="N39" s="5902">
        <f>M39/10</f>
        <v>3.1</v>
      </c>
      <c r="O39" s="4638">
        <v>0</v>
      </c>
      <c r="P39" s="4632">
        <v>0</v>
      </c>
      <c r="Q39" s="7288">
        <v>0</v>
      </c>
      <c r="R39" s="7490">
        <v>0</v>
      </c>
      <c r="S39" s="4632">
        <v>0</v>
      </c>
      <c r="T39" s="979">
        <v>0</v>
      </c>
      <c r="U39" s="979">
        <v>0</v>
      </c>
      <c r="V39" s="979">
        <v>0</v>
      </c>
      <c r="W39" s="979">
        <v>0</v>
      </c>
      <c r="X39" s="978">
        <v>0</v>
      </c>
      <c r="Y39" s="5488"/>
      <c r="Z39" s="978"/>
      <c r="AA39" s="979">
        <f>SUM(O39:Z39)</f>
        <v>0</v>
      </c>
      <c r="AB39" s="4486"/>
      <c r="AC39" s="959"/>
      <c r="AD39" s="959"/>
      <c r="AE39" s="959"/>
      <c r="AF39" s="959"/>
      <c r="AG39" s="959"/>
      <c r="AH39" s="959"/>
      <c r="AI39" s="959"/>
      <c r="AJ39" s="959"/>
      <c r="AK39" s="959"/>
      <c r="AL39" s="959"/>
      <c r="AM39" s="959"/>
      <c r="AN39" s="959"/>
      <c r="AO39" s="959"/>
      <c r="AP39" s="980"/>
      <c r="AQ39" s="961"/>
      <c r="AS39" s="1628"/>
      <c r="AT39" s="1628"/>
      <c r="AU39" s="1628"/>
      <c r="AV39" s="758"/>
      <c r="AW39" s="758"/>
      <c r="AX39" s="758"/>
      <c r="AY39" s="758"/>
    </row>
    <row r="40" spans="1:51" s="330" customFormat="1" ht="20.25" customHeight="1" thickBot="1">
      <c r="A40" s="7827"/>
      <c r="B40" s="887" t="s">
        <v>742</v>
      </c>
      <c r="C40" s="869" t="s">
        <v>744</v>
      </c>
      <c r="D40" s="779"/>
      <c r="E40" s="746"/>
      <c r="F40" s="746"/>
      <c r="G40" s="2008">
        <v>672978.71319845633</v>
      </c>
      <c r="H40" s="2008">
        <v>-1580.7584081196328</v>
      </c>
      <c r="I40" s="2008">
        <v>1221316</v>
      </c>
      <c r="J40" s="1486">
        <v>1227525.9043047759</v>
      </c>
      <c r="K40" s="1486">
        <v>170486.50146244146</v>
      </c>
      <c r="L40" s="1486">
        <v>577464.4260382338</v>
      </c>
      <c r="M40" s="5903">
        <v>290690</v>
      </c>
      <c r="N40" s="5904">
        <f>M40/10</f>
        <v>29069</v>
      </c>
      <c r="O40" s="3859">
        <v>0</v>
      </c>
      <c r="P40" s="2221">
        <v>0</v>
      </c>
      <c r="Q40" s="7268">
        <v>0</v>
      </c>
      <c r="R40" s="2041">
        <v>0</v>
      </c>
      <c r="S40" s="2221">
        <v>0</v>
      </c>
      <c r="T40" s="2221">
        <v>0</v>
      </c>
      <c r="U40" s="2221">
        <v>0</v>
      </c>
      <c r="V40" s="2221">
        <v>0</v>
      </c>
      <c r="W40" s="2221">
        <v>0</v>
      </c>
      <c r="X40" s="2640">
        <v>0</v>
      </c>
      <c r="Y40" s="5467">
        <v>0</v>
      </c>
      <c r="Z40" s="2640"/>
      <c r="AA40" s="2221"/>
      <c r="AB40" s="4473"/>
      <c r="AC40" s="1194"/>
      <c r="AD40" s="1194"/>
      <c r="AE40" s="1194"/>
      <c r="AF40" s="1194"/>
      <c r="AG40" s="1194"/>
      <c r="AH40" s="1194"/>
      <c r="AI40" s="1194"/>
      <c r="AJ40" s="1194"/>
      <c r="AK40" s="1194"/>
      <c r="AL40" s="1194"/>
      <c r="AM40" s="1194"/>
      <c r="AN40" s="1194"/>
      <c r="AO40" s="1194"/>
      <c r="AP40" s="1196"/>
      <c r="AQ40" s="1195"/>
      <c r="AS40" s="1628"/>
      <c r="AT40" s="1628"/>
      <c r="AU40" s="1628"/>
      <c r="AV40" s="758"/>
      <c r="AW40" s="758"/>
      <c r="AX40" s="758"/>
      <c r="AY40" s="758"/>
    </row>
    <row r="41" spans="1:51" s="346" customFormat="1" ht="20.25" customHeight="1" thickBot="1">
      <c r="A41" s="7827" t="s">
        <v>304</v>
      </c>
      <c r="B41" s="7826"/>
      <c r="C41" s="943" t="s">
        <v>748</v>
      </c>
      <c r="D41" s="944">
        <f>SUM(D37:D38,D32,D30,D28)</f>
        <v>18892.42963033828</v>
      </c>
      <c r="E41" s="945">
        <f>SUM(E37:E38,E32,E30,E28)</f>
        <v>17089.1875299721</v>
      </c>
      <c r="F41" s="946">
        <f>SUM(F37:F38,F32,F30,F28)</f>
        <v>14293.359570442495</v>
      </c>
      <c r="G41" s="2009">
        <f>SUM(G37:G38,G32,G30,G28)</f>
        <v>9867.2800000000007</v>
      </c>
      <c r="H41" s="2010">
        <f>SUM(H37:H38,H32,H30,H28)</f>
        <v>14378.689555316703</v>
      </c>
      <c r="I41" s="2010"/>
      <c r="J41" s="2549"/>
      <c r="K41" s="2549"/>
      <c r="L41" s="2549"/>
      <c r="M41" s="5905"/>
      <c r="N41" s="5906"/>
      <c r="O41" s="3860">
        <f>AB41</f>
        <v>0</v>
      </c>
      <c r="P41" s="4465">
        <f>AC41</f>
        <v>0</v>
      </c>
      <c r="Q41" s="7508">
        <f>AD41</f>
        <v>28273.175770319831</v>
      </c>
      <c r="R41" s="7491" t="e">
        <f t="shared" ref="R41:Z41" si="13">AE41</f>
        <v>#DIV/0!</v>
      </c>
      <c r="S41" s="4465" t="e">
        <f t="shared" si="13"/>
        <v>#DIV/0!</v>
      </c>
      <c r="T41" s="4465" t="e">
        <f t="shared" si="13"/>
        <v>#DIV/0!</v>
      </c>
      <c r="U41" s="4465" t="e">
        <f t="shared" si="13"/>
        <v>#DIV/0!</v>
      </c>
      <c r="V41" s="4465" t="e">
        <f t="shared" si="13"/>
        <v>#DIV/0!</v>
      </c>
      <c r="W41" s="4465" t="e">
        <f t="shared" si="13"/>
        <v>#DIV/0!</v>
      </c>
      <c r="X41" s="1520" t="e">
        <f t="shared" si="13"/>
        <v>#DIV/0!</v>
      </c>
      <c r="Y41" s="5489" t="e">
        <f t="shared" si="13"/>
        <v>#DIV/0!</v>
      </c>
      <c r="Z41" s="1520" t="e">
        <f t="shared" si="13"/>
        <v>#DIV/0!</v>
      </c>
      <c r="AA41" s="4465">
        <f>AO41</f>
        <v>28273.175770319831</v>
      </c>
      <c r="AB41" s="4490">
        <v>0</v>
      </c>
      <c r="AC41" s="1520">
        <v>0</v>
      </c>
      <c r="AD41" s="1520">
        <f t="shared" ref="AD41:AO41" si="14">SUM(AD6:AD10)+SUM(AD27:AD30)+SUM(AD37:AD38)</f>
        <v>28273.175770319831</v>
      </c>
      <c r="AE41" s="1520" t="e">
        <f t="shared" si="14"/>
        <v>#DIV/0!</v>
      </c>
      <c r="AF41" s="1520" t="e">
        <f t="shared" si="14"/>
        <v>#DIV/0!</v>
      </c>
      <c r="AG41" s="1520" t="e">
        <f t="shared" si="14"/>
        <v>#DIV/0!</v>
      </c>
      <c r="AH41" s="1520" t="e">
        <f t="shared" si="14"/>
        <v>#DIV/0!</v>
      </c>
      <c r="AI41" s="1520" t="e">
        <f t="shared" si="14"/>
        <v>#DIV/0!</v>
      </c>
      <c r="AJ41" s="1520" t="e">
        <f t="shared" si="14"/>
        <v>#DIV/0!</v>
      </c>
      <c r="AK41" s="1520" t="e">
        <f t="shared" si="14"/>
        <v>#DIV/0!</v>
      </c>
      <c r="AL41" s="1520" t="e">
        <f t="shared" si="14"/>
        <v>#DIV/0!</v>
      </c>
      <c r="AM41" s="1520" t="e">
        <f t="shared" si="14"/>
        <v>#DIV/0!</v>
      </c>
      <c r="AN41" s="6125">
        <f t="shared" si="14"/>
        <v>290806.22022824886</v>
      </c>
      <c r="AO41" s="1520">
        <f t="shared" si="14"/>
        <v>28273.175770319831</v>
      </c>
      <c r="AP41" s="1243">
        <f>AO41/AN41</f>
        <v>9.7223421659030182E-2</v>
      </c>
      <c r="AQ41" s="1244"/>
      <c r="AR41" s="330"/>
      <c r="AS41" s="1628"/>
      <c r="AT41" s="1628"/>
      <c r="AU41" s="1628"/>
      <c r="AV41" s="1630"/>
      <c r="AW41" s="1630"/>
      <c r="AX41" s="1630"/>
      <c r="AY41" s="1630"/>
    </row>
    <row r="42" spans="1:51">
      <c r="AB42" s="7347">
        <v>-90371.902395625948</v>
      </c>
      <c r="AC42" s="7347">
        <v>-99318.091723971389</v>
      </c>
      <c r="AN42" s="341"/>
      <c r="AP42" s="341"/>
      <c r="AR42" s="330"/>
      <c r="AS42" s="758"/>
      <c r="AT42" s="1607"/>
      <c r="AU42" s="1607"/>
      <c r="AV42" s="1607"/>
      <c r="AW42" s="1607"/>
      <c r="AX42" s="1607"/>
      <c r="AY42" s="1607"/>
    </row>
    <row r="43" spans="1:51" ht="21" customHeight="1">
      <c r="AA43" s="1613"/>
      <c r="AB43" s="1613"/>
      <c r="AC43" s="1613"/>
      <c r="AD43" s="1613"/>
      <c r="AE43" s="1613"/>
      <c r="AF43" s="1613"/>
      <c r="AG43" s="1613"/>
      <c r="AH43" s="1613"/>
      <c r="AI43" s="1613"/>
      <c r="AJ43" s="1613"/>
      <c r="AK43" s="1613"/>
      <c r="AL43" s="1613"/>
      <c r="AM43" s="1613"/>
      <c r="AN43" s="1613"/>
      <c r="AO43" s="757"/>
      <c r="AP43" s="1613"/>
      <c r="AQ43" s="1613"/>
      <c r="AR43" s="1613"/>
      <c r="AS43" s="1613"/>
      <c r="AT43" s="1613"/>
      <c r="AU43" s="1613"/>
      <c r="AV43" s="1613"/>
      <c r="AW43" s="1613"/>
      <c r="AX43" s="1613"/>
    </row>
    <row r="44" spans="1:51" ht="21" customHeight="1">
      <c r="AA44" s="1613"/>
      <c r="AB44" s="1613"/>
      <c r="AC44" s="1613"/>
      <c r="AD44" s="1613"/>
      <c r="AE44" s="1613"/>
      <c r="AF44" s="1613"/>
      <c r="AG44" s="1613"/>
      <c r="AH44" s="1613"/>
      <c r="AI44" s="1613"/>
      <c r="AJ44" s="1613"/>
      <c r="AK44" s="1613"/>
      <c r="AL44" s="1613"/>
      <c r="AM44" s="1613"/>
      <c r="AN44" s="1613"/>
      <c r="AO44" s="757"/>
      <c r="AP44" s="1613"/>
      <c r="AQ44" s="1613"/>
      <c r="AR44" s="1613"/>
      <c r="AS44" s="1613"/>
      <c r="AT44" s="1613"/>
      <c r="AU44" s="1613"/>
      <c r="AV44" s="1613"/>
      <c r="AW44" s="1613"/>
      <c r="AX44" s="1613"/>
    </row>
    <row r="45" spans="1:51" ht="21" customHeight="1">
      <c r="M45" s="8008" t="s">
        <v>1738</v>
      </c>
      <c r="N45" s="8008" t="s">
        <v>1927</v>
      </c>
      <c r="O45" s="8008" t="s">
        <v>2357</v>
      </c>
      <c r="P45" s="8008"/>
      <c r="Q45" s="8008"/>
      <c r="R45" s="8008"/>
      <c r="S45" s="8008"/>
      <c r="T45" s="8008"/>
      <c r="U45" s="8008"/>
      <c r="V45" s="8008"/>
      <c r="W45" s="8008"/>
      <c r="X45" s="8008"/>
      <c r="Y45" s="8008"/>
      <c r="Z45" s="8008"/>
      <c r="AA45" s="8008"/>
    </row>
    <row r="46" spans="1:51" ht="21" customHeight="1">
      <c r="M46" s="8008"/>
      <c r="N46" s="8008"/>
      <c r="O46" s="6061" t="s">
        <v>1740</v>
      </c>
      <c r="P46" s="6061" t="s">
        <v>5</v>
      </c>
      <c r="Q46" s="6061" t="s">
        <v>6</v>
      </c>
      <c r="R46" s="6061" t="s">
        <v>7</v>
      </c>
      <c r="S46" s="6061" t="s">
        <v>8</v>
      </c>
      <c r="T46" s="6061" t="s">
        <v>9</v>
      </c>
      <c r="U46" s="6061" t="s">
        <v>10</v>
      </c>
      <c r="V46" s="6061" t="s">
        <v>11</v>
      </c>
      <c r="W46" s="6061" t="s">
        <v>12</v>
      </c>
      <c r="X46" s="6061" t="s">
        <v>13</v>
      </c>
      <c r="Y46" s="6061" t="s">
        <v>14</v>
      </c>
      <c r="Z46" s="6061" t="s">
        <v>15</v>
      </c>
      <c r="AA46" s="6061" t="s">
        <v>1741</v>
      </c>
    </row>
    <row r="47" spans="1:51" ht="21" customHeight="1">
      <c r="M47" s="6064" t="s">
        <v>1742</v>
      </c>
      <c r="N47" s="6064">
        <v>49.260056236092275</v>
      </c>
      <c r="O47" s="4959">
        <f>O6</f>
        <v>0</v>
      </c>
      <c r="P47" s="4959">
        <f t="shared" ref="P47:Z47" si="15">P6</f>
        <v>0</v>
      </c>
      <c r="Q47" s="4959">
        <f t="shared" si="15"/>
        <v>48.552899738448126</v>
      </c>
      <c r="R47" s="4959" t="e">
        <f t="shared" si="15"/>
        <v>#DIV/0!</v>
      </c>
      <c r="S47" s="4959" t="e">
        <f t="shared" si="15"/>
        <v>#DIV/0!</v>
      </c>
      <c r="T47" s="4959" t="e">
        <f t="shared" si="15"/>
        <v>#DIV/0!</v>
      </c>
      <c r="U47" s="4959" t="e">
        <f t="shared" si="15"/>
        <v>#DIV/0!</v>
      </c>
      <c r="V47" s="4959" t="e">
        <f t="shared" si="15"/>
        <v>#DIV/0!</v>
      </c>
      <c r="W47" s="4959" t="e">
        <f t="shared" si="15"/>
        <v>#DIV/0!</v>
      </c>
      <c r="X47" s="4959" t="e">
        <f t="shared" si="15"/>
        <v>#DIV/0!</v>
      </c>
      <c r="Y47" s="4959" t="e">
        <f t="shared" si="15"/>
        <v>#DIV/0!</v>
      </c>
      <c r="Z47" s="4959" t="e">
        <f t="shared" si="15"/>
        <v>#DIV/0!</v>
      </c>
      <c r="AA47" s="5020">
        <f>년간!V118</f>
        <v>48.552899738448126</v>
      </c>
    </row>
    <row r="48" spans="1:51" ht="21" customHeight="1">
      <c r="M48" s="6064" t="s">
        <v>1743</v>
      </c>
      <c r="N48" s="6064">
        <v>0.84190000000000009</v>
      </c>
      <c r="O48" s="7191">
        <v>0.65600000000000003</v>
      </c>
      <c r="P48" s="7191">
        <v>0.49099999999999999</v>
      </c>
      <c r="Q48" s="6064">
        <v>0.81</v>
      </c>
      <c r="R48" s="6064"/>
      <c r="S48" s="6064"/>
      <c r="T48" s="6064"/>
      <c r="U48" s="6064"/>
      <c r="V48" s="6064"/>
      <c r="W48" s="6064"/>
      <c r="X48" s="6064"/>
      <c r="Y48" s="6064"/>
      <c r="Z48" s="6064"/>
      <c r="AA48" s="4968">
        <f>AVERAGE(Q48:Z48)</f>
        <v>0.81</v>
      </c>
    </row>
    <row r="49" spans="13:41" ht="21" customHeight="1">
      <c r="M49" s="6064" t="s">
        <v>1744</v>
      </c>
      <c r="N49" s="4960">
        <v>1135.7429</v>
      </c>
      <c r="O49" s="7191">
        <v>1036.8879999999999</v>
      </c>
      <c r="P49" s="7191">
        <v>1140.45</v>
      </c>
      <c r="Q49" s="4960">
        <v>1166.3579999999999</v>
      </c>
      <c r="R49" s="4960"/>
      <c r="S49" s="4960"/>
      <c r="T49" s="4960"/>
      <c r="U49" s="4960"/>
      <c r="V49" s="4960"/>
      <c r="W49" s="4960"/>
      <c r="X49" s="4960"/>
      <c r="Y49" s="4960"/>
      <c r="Z49" s="4960"/>
      <c r="AA49" s="4960">
        <f>AVERAGE(Q49:Z49)</f>
        <v>1166.3579999999999</v>
      </c>
    </row>
    <row r="50" spans="13:41" ht="21" customHeight="1">
      <c r="M50" s="6064" t="s">
        <v>1745</v>
      </c>
      <c r="N50" s="4961">
        <f>N49*N48</f>
        <v>956.1819475100001</v>
      </c>
      <c r="O50" s="4961">
        <f>O49*O48</f>
        <v>680.19852800000001</v>
      </c>
      <c r="P50" s="4961">
        <f t="shared" ref="P50:AA50" si="16">P49*P48</f>
        <v>559.96095000000003</v>
      </c>
      <c r="Q50" s="4961">
        <f t="shared" si="16"/>
        <v>944.74998000000005</v>
      </c>
      <c r="R50" s="4961">
        <f t="shared" si="16"/>
        <v>0</v>
      </c>
      <c r="S50" s="4961">
        <f t="shared" si="16"/>
        <v>0</v>
      </c>
      <c r="T50" s="4961">
        <f t="shared" si="16"/>
        <v>0</v>
      </c>
      <c r="U50" s="4961">
        <f t="shared" si="16"/>
        <v>0</v>
      </c>
      <c r="V50" s="4961">
        <f t="shared" si="16"/>
        <v>0</v>
      </c>
      <c r="W50" s="4961">
        <f t="shared" si="16"/>
        <v>0</v>
      </c>
      <c r="X50" s="4961">
        <f t="shared" si="16"/>
        <v>0</v>
      </c>
      <c r="Y50" s="4961">
        <f t="shared" si="16"/>
        <v>0</v>
      </c>
      <c r="Z50" s="4961">
        <f t="shared" si="16"/>
        <v>0</v>
      </c>
      <c r="AA50" s="4961">
        <f t="shared" si="16"/>
        <v>944.74998000000005</v>
      </c>
    </row>
    <row r="51" spans="13:41" ht="21" customHeight="1">
      <c r="M51" s="6064" t="s">
        <v>1746</v>
      </c>
      <c r="N51" s="6064">
        <v>1</v>
      </c>
      <c r="O51" s="4962">
        <f>$N$50/O50</f>
        <v>1.4057395130234684</v>
      </c>
      <c r="P51" s="4962">
        <f t="shared" ref="P51:Z51" si="17">$N$50/P50</f>
        <v>1.70758683709998</v>
      </c>
      <c r="Q51" s="4962">
        <f t="shared" si="17"/>
        <v>1.01210052156868</v>
      </c>
      <c r="R51" s="4962" t="e">
        <f t="shared" si="17"/>
        <v>#DIV/0!</v>
      </c>
      <c r="S51" s="4962" t="e">
        <f t="shared" si="17"/>
        <v>#DIV/0!</v>
      </c>
      <c r="T51" s="4962" t="e">
        <f t="shared" si="17"/>
        <v>#DIV/0!</v>
      </c>
      <c r="U51" s="4962" t="e">
        <f t="shared" si="17"/>
        <v>#DIV/0!</v>
      </c>
      <c r="V51" s="4962" t="e">
        <f t="shared" si="17"/>
        <v>#DIV/0!</v>
      </c>
      <c r="W51" s="4962" t="e">
        <f t="shared" si="17"/>
        <v>#DIV/0!</v>
      </c>
      <c r="X51" s="4962" t="e">
        <f t="shared" si="17"/>
        <v>#DIV/0!</v>
      </c>
      <c r="Y51" s="4962" t="e">
        <f t="shared" si="17"/>
        <v>#DIV/0!</v>
      </c>
      <c r="Z51" s="4962" t="e">
        <f t="shared" si="17"/>
        <v>#DIV/0!</v>
      </c>
      <c r="AA51" s="4962">
        <f>$N$50/AA50</f>
        <v>1.01210052156868</v>
      </c>
    </row>
    <row r="52" spans="13:41" ht="21" customHeight="1">
      <c r="M52" s="6064" t="s">
        <v>1747</v>
      </c>
      <c r="N52" s="4959">
        <f>N51*N47</f>
        <v>49.260056236092275</v>
      </c>
      <c r="O52" s="4959">
        <f>O51*O47</f>
        <v>0</v>
      </c>
      <c r="P52" s="4959">
        <f t="shared" ref="P52:Z52" si="18">P51*P47</f>
        <v>0</v>
      </c>
      <c r="Q52" s="4959">
        <f t="shared" si="18"/>
        <v>49.140415148955178</v>
      </c>
      <c r="R52" s="4959" t="e">
        <f t="shared" si="18"/>
        <v>#DIV/0!</v>
      </c>
      <c r="S52" s="4959" t="e">
        <f t="shared" si="18"/>
        <v>#DIV/0!</v>
      </c>
      <c r="T52" s="4959" t="e">
        <f t="shared" si="18"/>
        <v>#DIV/0!</v>
      </c>
      <c r="U52" s="4959" t="e">
        <f t="shared" si="18"/>
        <v>#DIV/0!</v>
      </c>
      <c r="V52" s="4959" t="e">
        <f t="shared" si="18"/>
        <v>#DIV/0!</v>
      </c>
      <c r="W52" s="4959" t="e">
        <f t="shared" si="18"/>
        <v>#DIV/0!</v>
      </c>
      <c r="X52" s="4959" t="e">
        <f t="shared" si="18"/>
        <v>#DIV/0!</v>
      </c>
      <c r="Y52" s="4959" t="e">
        <f t="shared" si="18"/>
        <v>#DIV/0!</v>
      </c>
      <c r="Z52" s="4959" t="e">
        <f t="shared" si="18"/>
        <v>#DIV/0!</v>
      </c>
      <c r="AA52" s="4959">
        <f>AA51*AA47</f>
        <v>49.140415148955178</v>
      </c>
      <c r="AO52" s="340"/>
    </row>
    <row r="53" spans="13:41" ht="21" customHeight="1">
      <c r="M53" s="4963" t="s">
        <v>1748</v>
      </c>
      <c r="N53" s="3489">
        <v>264537.17499999999</v>
      </c>
      <c r="O53" s="4967">
        <f>O5</f>
        <v>0</v>
      </c>
      <c r="P53" s="4967">
        <f t="shared" ref="P53:Z53" si="19">P5</f>
        <v>0</v>
      </c>
      <c r="Q53" s="4967">
        <f t="shared" si="19"/>
        <v>23204.240000000002</v>
      </c>
      <c r="R53" s="4967">
        <f t="shared" si="19"/>
        <v>0</v>
      </c>
      <c r="S53" s="4967">
        <f t="shared" si="19"/>
        <v>0</v>
      </c>
      <c r="T53" s="4967">
        <f t="shared" si="19"/>
        <v>0</v>
      </c>
      <c r="U53" s="4967">
        <f t="shared" si="19"/>
        <v>0</v>
      </c>
      <c r="V53" s="4967">
        <f t="shared" si="19"/>
        <v>0</v>
      </c>
      <c r="W53" s="4967">
        <f t="shared" si="19"/>
        <v>0</v>
      </c>
      <c r="X53" s="4967">
        <f t="shared" si="19"/>
        <v>0</v>
      </c>
      <c r="Y53" s="4967">
        <f t="shared" si="19"/>
        <v>0</v>
      </c>
      <c r="Z53" s="4967">
        <f t="shared" si="19"/>
        <v>0</v>
      </c>
      <c r="AA53" s="4967">
        <f>SUM(O53:Z53)</f>
        <v>23204.240000000002</v>
      </c>
      <c r="AO53" s="340"/>
    </row>
    <row r="54" spans="13:41" ht="21" customHeight="1">
      <c r="M54" s="4964" t="s">
        <v>1749</v>
      </c>
      <c r="N54" s="4964"/>
      <c r="O54" s="4965" t="e">
        <f>(O53/$N$52-O53/O52)*1235300/1000</f>
        <v>#DIV/0!</v>
      </c>
      <c r="P54" s="4965" t="e">
        <f t="shared" ref="P54:Z54" si="20">(P53/$N$52-P53/P52)*1235300/1000</f>
        <v>#DIV/0!</v>
      </c>
      <c r="Q54" s="4965">
        <f t="shared" si="20"/>
        <v>-1416.7278009589102</v>
      </c>
      <c r="R54" s="4965" t="e">
        <f t="shared" si="20"/>
        <v>#DIV/0!</v>
      </c>
      <c r="S54" s="4965" t="e">
        <f t="shared" si="20"/>
        <v>#DIV/0!</v>
      </c>
      <c r="T54" s="4965" t="e">
        <f t="shared" si="20"/>
        <v>#DIV/0!</v>
      </c>
      <c r="U54" s="4965" t="e">
        <f t="shared" si="20"/>
        <v>#DIV/0!</v>
      </c>
      <c r="V54" s="4965" t="e">
        <f t="shared" si="20"/>
        <v>#DIV/0!</v>
      </c>
      <c r="W54" s="4965" t="e">
        <f t="shared" si="20"/>
        <v>#DIV/0!</v>
      </c>
      <c r="X54" s="4965" t="e">
        <f t="shared" si="20"/>
        <v>#DIV/0!</v>
      </c>
      <c r="Y54" s="4965" t="e">
        <f t="shared" si="20"/>
        <v>#DIV/0!</v>
      </c>
      <c r="Z54" s="4965" t="e">
        <f t="shared" si="20"/>
        <v>#DIV/0!</v>
      </c>
      <c r="AA54" s="4966">
        <f>Q54</f>
        <v>-1416.7278009589102</v>
      </c>
      <c r="AO54" s="340"/>
    </row>
    <row r="55" spans="13:41" ht="21" customHeight="1">
      <c r="AO55" s="340"/>
    </row>
    <row r="56" spans="13:41" ht="21" customHeight="1">
      <c r="AO56" s="340"/>
    </row>
    <row r="57" spans="13:41" ht="21" customHeight="1">
      <c r="AO57" s="340"/>
    </row>
    <row r="58" spans="13:41" ht="21" customHeight="1">
      <c r="AO58" s="340"/>
    </row>
    <row r="59" spans="13:41" ht="21" customHeight="1">
      <c r="AO59" s="340"/>
    </row>
    <row r="60" spans="13:41" ht="21" customHeight="1">
      <c r="AO60" s="340"/>
    </row>
    <row r="61" spans="13:41" ht="21" customHeight="1">
      <c r="AO61" s="340"/>
    </row>
    <row r="62" spans="13:41" ht="21" customHeight="1">
      <c r="AO62" s="340"/>
    </row>
    <row r="63" spans="13:41" ht="21" customHeight="1">
      <c r="AO63" s="340"/>
    </row>
    <row r="64" spans="13:41" ht="21" customHeight="1">
      <c r="AO64" s="340"/>
    </row>
    <row r="65" spans="41:41" ht="21" customHeight="1">
      <c r="AO65" s="340"/>
    </row>
    <row r="66" spans="41:41" ht="21" customHeight="1">
      <c r="AO66" s="340"/>
    </row>
    <row r="67" spans="41:41" ht="21" customHeight="1">
      <c r="AO67" s="340"/>
    </row>
    <row r="68" spans="41:41" ht="21" customHeight="1">
      <c r="AO68" s="340"/>
    </row>
    <row r="69" spans="41:41" ht="21" customHeight="1">
      <c r="AO69" s="340"/>
    </row>
    <row r="70" spans="41:41" ht="21" customHeight="1">
      <c r="AO70" s="340"/>
    </row>
    <row r="71" spans="41:41" ht="21" customHeight="1">
      <c r="AO71" s="340"/>
    </row>
    <row r="72" spans="41:41" ht="21" customHeight="1">
      <c r="AO72" s="340"/>
    </row>
    <row r="73" spans="41:41" ht="21" customHeight="1">
      <c r="AO73" s="340"/>
    </row>
    <row r="74" spans="41:41" ht="21" customHeight="1">
      <c r="AO74" s="340"/>
    </row>
    <row r="75" spans="41:41" ht="21" customHeight="1">
      <c r="AO75" s="340"/>
    </row>
    <row r="76" spans="41:41" ht="21" customHeight="1">
      <c r="AO76" s="340"/>
    </row>
    <row r="77" spans="41:41" ht="21" customHeight="1">
      <c r="AO77" s="340"/>
    </row>
    <row r="78" spans="41:41" ht="21" customHeight="1">
      <c r="AO78" s="340"/>
    </row>
    <row r="79" spans="41:41" ht="21" customHeight="1">
      <c r="AO79" s="340"/>
    </row>
    <row r="80" spans="41:41" ht="21" customHeight="1">
      <c r="AO80" s="340"/>
    </row>
    <row r="81" spans="41:41" ht="21" customHeight="1">
      <c r="AO81" s="340"/>
    </row>
    <row r="82" spans="41:41" ht="21" customHeight="1">
      <c r="AO82" s="340"/>
    </row>
    <row r="83" spans="41:41" ht="21" customHeight="1">
      <c r="AO83" s="340"/>
    </row>
    <row r="84" spans="41:41" ht="21" customHeight="1">
      <c r="AO84" s="340"/>
    </row>
    <row r="85" spans="41:41" ht="21" customHeight="1">
      <c r="AO85" s="340"/>
    </row>
    <row r="86" spans="41:41" ht="21" customHeight="1">
      <c r="AO86" s="340"/>
    </row>
    <row r="87" spans="41:41" ht="21" customHeight="1">
      <c r="AO87" s="340"/>
    </row>
    <row r="88" spans="41:41" ht="21" customHeight="1">
      <c r="AO88" s="340"/>
    </row>
    <row r="89" spans="41:41" ht="21" customHeight="1">
      <c r="AO89" s="340"/>
    </row>
    <row r="90" spans="41:41" ht="21" customHeight="1">
      <c r="AO90" s="340"/>
    </row>
    <row r="91" spans="41:41" ht="21" customHeight="1">
      <c r="AO91" s="340"/>
    </row>
    <row r="92" spans="41:41" ht="21" customHeight="1">
      <c r="AO92" s="340"/>
    </row>
    <row r="93" spans="41:41" ht="21" customHeight="1">
      <c r="AO93" s="340"/>
    </row>
    <row r="94" spans="41:41" ht="21" customHeight="1">
      <c r="AO94" s="340"/>
    </row>
    <row r="95" spans="41:41" ht="21" customHeight="1">
      <c r="AO95" s="340"/>
    </row>
    <row r="96" spans="41:41" ht="21" customHeight="1">
      <c r="AO96" s="340"/>
    </row>
    <row r="97" spans="41:41" ht="21" customHeight="1">
      <c r="AO97" s="340"/>
    </row>
    <row r="98" spans="41:41" ht="21" customHeight="1">
      <c r="AO98" s="340"/>
    </row>
    <row r="99" spans="41:41" ht="21" customHeight="1">
      <c r="AO99" s="340"/>
    </row>
    <row r="100" spans="41:41" ht="21" customHeight="1">
      <c r="AO100" s="340"/>
    </row>
    <row r="101" spans="41:41" ht="21" customHeight="1">
      <c r="AO101" s="340"/>
    </row>
    <row r="102" spans="41:41" ht="21" customHeight="1">
      <c r="AO102" s="340"/>
    </row>
    <row r="103" spans="41:41" ht="21" customHeight="1">
      <c r="AO103" s="340"/>
    </row>
    <row r="104" spans="41:41" ht="21" customHeight="1">
      <c r="AO104" s="340"/>
    </row>
    <row r="105" spans="41:41" ht="21" customHeight="1">
      <c r="AO105" s="340"/>
    </row>
    <row r="106" spans="41:41" ht="21" customHeight="1">
      <c r="AO106" s="340"/>
    </row>
    <row r="107" spans="41:41" ht="21" customHeight="1">
      <c r="AO107" s="340"/>
    </row>
    <row r="108" spans="41:41" ht="21" customHeight="1">
      <c r="AO108" s="340"/>
    </row>
    <row r="109" spans="41:41" ht="21" customHeight="1">
      <c r="AO109" s="340"/>
    </row>
    <row r="110" spans="41:41" ht="21" customHeight="1">
      <c r="AO110" s="340"/>
    </row>
    <row r="111" spans="41:41" ht="21" customHeight="1">
      <c r="AO111" s="340"/>
    </row>
    <row r="112" spans="41:41" ht="21" customHeight="1">
      <c r="AO112" s="340"/>
    </row>
    <row r="113" spans="41:41" ht="21" customHeight="1">
      <c r="AO113" s="340"/>
    </row>
    <row r="114" spans="41:41" ht="21" customHeight="1">
      <c r="AO114" s="340"/>
    </row>
    <row r="115" spans="41:41" ht="21" customHeight="1">
      <c r="AO115" s="340"/>
    </row>
    <row r="116" spans="41:41" ht="21" customHeight="1">
      <c r="AO116" s="340"/>
    </row>
    <row r="117" spans="41:41" ht="21" customHeight="1">
      <c r="AO117" s="340"/>
    </row>
    <row r="118" spans="41:41" ht="21" customHeight="1">
      <c r="AO118" s="340"/>
    </row>
    <row r="119" spans="41:41" ht="21" customHeight="1">
      <c r="AO119" s="340"/>
    </row>
    <row r="120" spans="41:41" ht="21" customHeight="1">
      <c r="AO120" s="340"/>
    </row>
    <row r="121" spans="41:41" ht="21" customHeight="1">
      <c r="AO121" s="340"/>
    </row>
    <row r="122" spans="41:41" ht="21" customHeight="1">
      <c r="AO122" s="340"/>
    </row>
    <row r="123" spans="41:41" ht="21" customHeight="1">
      <c r="AO123" s="340"/>
    </row>
    <row r="124" spans="41:41" ht="21" customHeight="1">
      <c r="AO124" s="340"/>
    </row>
    <row r="125" spans="41:41" ht="21" customHeight="1">
      <c r="AO125" s="340"/>
    </row>
    <row r="126" spans="41:41" ht="21" customHeight="1">
      <c r="AO126" s="340"/>
    </row>
    <row r="127" spans="41:41" ht="21" customHeight="1">
      <c r="AO127" s="340"/>
    </row>
    <row r="128" spans="41:41" ht="21" customHeight="1">
      <c r="AO128" s="340"/>
    </row>
    <row r="129" spans="41:41" ht="21" customHeight="1">
      <c r="AO129" s="340"/>
    </row>
    <row r="130" spans="41:41" ht="21" customHeight="1">
      <c r="AO130" s="340"/>
    </row>
    <row r="131" spans="41:41" ht="21" customHeight="1">
      <c r="AO131" s="340"/>
    </row>
    <row r="132" spans="41:41" ht="21" customHeight="1">
      <c r="AO132" s="340"/>
    </row>
    <row r="133" spans="41:41" ht="21" customHeight="1">
      <c r="AO133" s="340"/>
    </row>
    <row r="134" spans="41:41" ht="21" customHeight="1">
      <c r="AO134" s="340"/>
    </row>
    <row r="135" spans="41:41" ht="21" customHeight="1">
      <c r="AO135" s="340"/>
    </row>
    <row r="136" spans="41:41" ht="21" customHeight="1">
      <c r="AO136" s="340"/>
    </row>
  </sheetData>
  <mergeCells count="63">
    <mergeCell ref="M45:M46"/>
    <mergeCell ref="N45:N46"/>
    <mergeCell ref="O45:AA45"/>
    <mergeCell ref="D3:L3"/>
    <mergeCell ref="A5:A9"/>
    <mergeCell ref="A27:A30"/>
    <mergeCell ref="B27:B28"/>
    <mergeCell ref="B29:B30"/>
    <mergeCell ref="A10:A11"/>
    <mergeCell ref="A21:A26"/>
    <mergeCell ref="B21:B22"/>
    <mergeCell ref="B23:B24"/>
    <mergeCell ref="B25:B26"/>
    <mergeCell ref="A41:B41"/>
    <mergeCell ref="A12:A20"/>
    <mergeCell ref="A39:A40"/>
    <mergeCell ref="AQ29:AQ30"/>
    <mergeCell ref="AH29:AH30"/>
    <mergeCell ref="AI27:AI28"/>
    <mergeCell ref="AP27:AP28"/>
    <mergeCell ref="AO27:AO28"/>
    <mergeCell ref="AN27:AN28"/>
    <mergeCell ref="AN29:AN30"/>
    <mergeCell ref="AK27:AK28"/>
    <mergeCell ref="AO29:AO30"/>
    <mergeCell ref="AE29:AE30"/>
    <mergeCell ref="AF29:AF30"/>
    <mergeCell ref="AI29:AI30"/>
    <mergeCell ref="AM27:AM28"/>
    <mergeCell ref="AL27:AL28"/>
    <mergeCell ref="AJ27:AJ28"/>
    <mergeCell ref="A31:A37"/>
    <mergeCell ref="AQ34:AQ36"/>
    <mergeCell ref="AQ31:AQ32"/>
    <mergeCell ref="AQ27:AQ28"/>
    <mergeCell ref="M3:N3"/>
    <mergeCell ref="B31:B32"/>
    <mergeCell ref="AC29:AC30"/>
    <mergeCell ref="AD29:AD30"/>
    <mergeCell ref="AB29:AB30"/>
    <mergeCell ref="AC27:AC28"/>
    <mergeCell ref="AB27:AB28"/>
    <mergeCell ref="AE27:AE28"/>
    <mergeCell ref="AD27:AD28"/>
    <mergeCell ref="AP3:AP4"/>
    <mergeCell ref="AP29:AP30"/>
    <mergeCell ref="AN3:AN4"/>
    <mergeCell ref="A1:AQ1"/>
    <mergeCell ref="AJ29:AJ30"/>
    <mergeCell ref="AK29:AK30"/>
    <mergeCell ref="M2:AQ2"/>
    <mergeCell ref="A3:A4"/>
    <mergeCell ref="B3:B4"/>
    <mergeCell ref="C3:C4"/>
    <mergeCell ref="AQ3:AQ4"/>
    <mergeCell ref="AO3:AO4"/>
    <mergeCell ref="O3:AM3"/>
    <mergeCell ref="AL29:AL30"/>
    <mergeCell ref="AM29:AM30"/>
    <mergeCell ref="AH27:AH28"/>
    <mergeCell ref="AG27:AG28"/>
    <mergeCell ref="AF27:AF28"/>
    <mergeCell ref="AG29:AG30"/>
  </mergeCells>
  <phoneticPr fontId="23" type="noConversion"/>
  <pageMargins left="0.31496062992125984" right="0" top="0.55118110236220474" bottom="0" header="0.31496062992125984" footer="0.31496062992125984"/>
  <pageSetup paperSize="9" scale="65"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84"/>
  <sheetViews>
    <sheetView zoomScale="70" zoomScaleNormal="70" workbookViewId="0">
      <pane xSplit="8" ySplit="4" topLeftCell="J5" activePane="bottomRight" state="frozen"/>
      <selection pane="topRight" activeCell="I1" sqref="I1"/>
      <selection pane="bottomLeft" activeCell="A5" sqref="A5"/>
      <selection pane="bottomRight" activeCell="AB15" sqref="AB15"/>
    </sheetView>
  </sheetViews>
  <sheetFormatPr defaultColWidth="8.88671875" defaultRowHeight="16.5"/>
  <cols>
    <col min="1" max="1" width="8.88671875" style="297" customWidth="1"/>
    <col min="2" max="2" width="13.109375" style="297" customWidth="1"/>
    <col min="3" max="3" width="8.6640625" style="297" bestFit="1" customWidth="1"/>
    <col min="4" max="4" width="8.6640625" style="714" hidden="1" customWidth="1"/>
    <col min="5" max="5" width="8.6640625" style="297" hidden="1" customWidth="1"/>
    <col min="6" max="6" width="7.6640625" style="297" hidden="1" customWidth="1"/>
    <col min="7" max="7" width="8.77734375" style="297" hidden="1" customWidth="1"/>
    <col min="8" max="9" width="8.6640625" style="297" hidden="1" customWidth="1"/>
    <col min="10" max="10" width="8.5546875" style="2529" customWidth="1"/>
    <col min="11" max="11" width="8.6640625" style="1450" customWidth="1"/>
    <col min="12" max="12" width="8.6640625" style="5658" customWidth="1"/>
    <col min="13" max="13" width="9.44140625" style="297" customWidth="1"/>
    <col min="14" max="14" width="9.33203125" style="817" customWidth="1"/>
    <col min="15" max="17" width="8.6640625" style="340" customWidth="1"/>
    <col min="18" max="25" width="8.6640625" style="340" hidden="1" customWidth="1"/>
    <col min="26" max="26" width="8.6640625" style="340" customWidth="1"/>
    <col min="27" max="27" width="9.77734375" style="340" customWidth="1"/>
    <col min="28" max="28" width="8.77734375" style="808" customWidth="1"/>
    <col min="29" max="30" width="8.77734375" style="340" customWidth="1"/>
    <col min="31" max="31" width="8.77734375" style="340" hidden="1" customWidth="1"/>
    <col min="32" max="32" width="8.88671875" style="340" hidden="1" customWidth="1"/>
    <col min="33" max="33" width="10.44140625" style="340" hidden="1" customWidth="1"/>
    <col min="34" max="36" width="8.77734375" style="340" hidden="1" customWidth="1"/>
    <col min="37" max="37" width="10.44140625" style="340" hidden="1" customWidth="1"/>
    <col min="38" max="38" width="8.77734375" style="340" hidden="1" customWidth="1"/>
    <col min="39" max="39" width="8.77734375" style="340" customWidth="1"/>
    <col min="40" max="40" width="10.33203125" style="297" customWidth="1"/>
    <col min="41" max="41" width="10.44140625" style="297" customWidth="1"/>
    <col min="42" max="42" width="7.33203125" style="340" bestFit="1" customWidth="1"/>
    <col min="43" max="43" width="14" style="297" bestFit="1" customWidth="1"/>
    <col min="44" max="44" width="13.109375" style="298" bestFit="1" customWidth="1"/>
    <col min="45" max="45" width="14" style="298" bestFit="1" customWidth="1"/>
    <col min="46" max="47" width="11.77734375" style="298" bestFit="1" customWidth="1"/>
    <col min="48" max="48" width="14" style="298" bestFit="1" customWidth="1"/>
    <col min="49" max="16384" width="8.88671875" style="298"/>
  </cols>
  <sheetData>
    <row r="1" spans="1:44" ht="31.5">
      <c r="A1" s="8009" t="s">
        <v>1302</v>
      </c>
      <c r="B1" s="8009"/>
      <c r="C1" s="8009"/>
      <c r="D1" s="8009"/>
      <c r="E1" s="8009"/>
      <c r="F1" s="8009"/>
      <c r="G1" s="8009"/>
      <c r="H1" s="8009"/>
      <c r="I1" s="8009"/>
      <c r="J1" s="8009"/>
      <c r="K1" s="8009"/>
      <c r="L1" s="8009"/>
      <c r="M1" s="8009"/>
      <c r="N1" s="8009"/>
      <c r="O1" s="8009"/>
      <c r="P1" s="8009"/>
      <c r="Q1" s="8009"/>
      <c r="R1" s="8009"/>
      <c r="S1" s="8009"/>
      <c r="T1" s="8009"/>
      <c r="U1" s="8009"/>
      <c r="V1" s="8009"/>
      <c r="W1" s="8009"/>
      <c r="X1" s="8009"/>
      <c r="Y1" s="8009"/>
      <c r="Z1" s="8009"/>
      <c r="AA1" s="8009"/>
      <c r="AB1" s="8009"/>
      <c r="AC1" s="8009"/>
      <c r="AD1" s="8009"/>
      <c r="AE1" s="8009"/>
      <c r="AF1" s="8009"/>
      <c r="AG1" s="8009"/>
      <c r="AH1" s="8009"/>
      <c r="AI1" s="8009"/>
      <c r="AJ1" s="8009"/>
      <c r="AK1" s="8009"/>
      <c r="AL1" s="8009"/>
      <c r="AM1" s="8009"/>
      <c r="AN1" s="8009"/>
      <c r="AO1" s="8009"/>
      <c r="AP1" s="8009"/>
      <c r="AQ1" s="8009"/>
    </row>
    <row r="2" spans="1:44" ht="17.25" thickBot="1">
      <c r="O2" s="347"/>
      <c r="P2" s="347"/>
      <c r="Q2" s="347"/>
      <c r="R2" s="347"/>
      <c r="S2" s="348"/>
      <c r="T2" s="347"/>
      <c r="U2" s="347"/>
      <c r="V2" s="347"/>
      <c r="W2" s="347"/>
      <c r="X2" s="347"/>
      <c r="Y2" s="347"/>
      <c r="Z2" s="347"/>
      <c r="AA2" s="347"/>
      <c r="AB2" s="807"/>
      <c r="AC2" s="347"/>
      <c r="AD2" s="347"/>
      <c r="AE2" s="347"/>
      <c r="AF2" s="347"/>
      <c r="AG2" s="347"/>
      <c r="AH2" s="347"/>
      <c r="AI2" s="347"/>
      <c r="AJ2" s="347"/>
      <c r="AK2" s="347"/>
      <c r="AL2" s="347"/>
      <c r="AM2" s="347"/>
      <c r="AN2" s="347"/>
      <c r="AO2" s="347"/>
      <c r="AP2" s="347"/>
      <c r="AQ2" s="478" t="s">
        <v>398</v>
      </c>
    </row>
    <row r="3" spans="1:44" ht="15.75" customHeight="1" thickBot="1">
      <c r="A3" s="7750" t="s">
        <v>278</v>
      </c>
      <c r="B3" s="7838" t="s">
        <v>279</v>
      </c>
      <c r="C3" s="7840" t="s">
        <v>280</v>
      </c>
      <c r="D3" s="8042" t="s">
        <v>281</v>
      </c>
      <c r="E3" s="7954"/>
      <c r="F3" s="7954"/>
      <c r="G3" s="7954"/>
      <c r="H3" s="7954"/>
      <c r="I3" s="7954"/>
      <c r="J3" s="7954"/>
      <c r="K3" s="7954"/>
      <c r="L3" s="8043"/>
      <c r="M3" s="8042" t="s">
        <v>282</v>
      </c>
      <c r="N3" s="8043"/>
      <c r="O3" s="8042" t="s">
        <v>1297</v>
      </c>
      <c r="P3" s="7954"/>
      <c r="Q3" s="7954"/>
      <c r="R3" s="7954"/>
      <c r="S3" s="7954"/>
      <c r="T3" s="7954"/>
      <c r="U3" s="7954"/>
      <c r="V3" s="7954"/>
      <c r="W3" s="7954"/>
      <c r="X3" s="7954"/>
      <c r="Y3" s="7954"/>
      <c r="Z3" s="7954"/>
      <c r="AA3" s="7954"/>
      <c r="AB3" s="8004"/>
      <c r="AC3" s="8004"/>
      <c r="AD3" s="8004"/>
      <c r="AE3" s="8004"/>
      <c r="AF3" s="8004"/>
      <c r="AG3" s="8004"/>
      <c r="AH3" s="8004"/>
      <c r="AI3" s="8004"/>
      <c r="AJ3" s="8004"/>
      <c r="AK3" s="8004"/>
      <c r="AL3" s="8004"/>
      <c r="AM3" s="8005"/>
      <c r="AN3" s="7844" t="s">
        <v>1912</v>
      </c>
      <c r="AO3" s="7955" t="s">
        <v>458</v>
      </c>
      <c r="AP3" s="7955" t="s">
        <v>361</v>
      </c>
      <c r="AQ3" s="7838" t="s">
        <v>283</v>
      </c>
    </row>
    <row r="4" spans="1:44" ht="15.75" customHeight="1" thickBot="1">
      <c r="A4" s="8027"/>
      <c r="B4" s="8028"/>
      <c r="C4" s="8029"/>
      <c r="D4" s="981" t="s">
        <v>252</v>
      </c>
      <c r="E4" s="857" t="s">
        <v>253</v>
      </c>
      <c r="F4" s="857" t="s">
        <v>191</v>
      </c>
      <c r="G4" s="857" t="s">
        <v>254</v>
      </c>
      <c r="H4" s="857" t="s">
        <v>544</v>
      </c>
      <c r="I4" s="4532" t="s">
        <v>697</v>
      </c>
      <c r="J4" s="3271" t="s">
        <v>699</v>
      </c>
      <c r="K4" s="3271" t="s">
        <v>1008</v>
      </c>
      <c r="L4" s="5666" t="s">
        <v>1883</v>
      </c>
      <c r="M4" s="2876" t="s">
        <v>1897</v>
      </c>
      <c r="N4" s="2877" t="s">
        <v>800</v>
      </c>
      <c r="O4" s="3695" t="s">
        <v>366</v>
      </c>
      <c r="P4" s="3228" t="s">
        <v>368</v>
      </c>
      <c r="Q4" s="4510" t="s">
        <v>369</v>
      </c>
      <c r="R4" s="3228" t="s">
        <v>370</v>
      </c>
      <c r="S4" s="3228" t="s">
        <v>371</v>
      </c>
      <c r="T4" s="3228" t="s">
        <v>372</v>
      </c>
      <c r="U4" s="3228" t="s">
        <v>929</v>
      </c>
      <c r="V4" s="3228" t="s">
        <v>374</v>
      </c>
      <c r="W4" s="3228" t="s">
        <v>375</v>
      </c>
      <c r="X4" s="3236" t="s">
        <v>376</v>
      </c>
      <c r="Y4" s="4604" t="s">
        <v>377</v>
      </c>
      <c r="Z4" s="3236" t="s">
        <v>378</v>
      </c>
      <c r="AA4" s="1219" t="s">
        <v>982</v>
      </c>
      <c r="AB4" s="4491" t="s">
        <v>367</v>
      </c>
      <c r="AC4" s="858" t="s">
        <v>379</v>
      </c>
      <c r="AD4" s="858" t="s">
        <v>380</v>
      </c>
      <c r="AE4" s="858" t="s">
        <v>381</v>
      </c>
      <c r="AF4" s="858" t="s">
        <v>382</v>
      </c>
      <c r="AG4" s="858" t="s">
        <v>383</v>
      </c>
      <c r="AH4" s="858" t="s">
        <v>384</v>
      </c>
      <c r="AI4" s="858" t="s">
        <v>385</v>
      </c>
      <c r="AJ4" s="858" t="s">
        <v>386</v>
      </c>
      <c r="AK4" s="858" t="s">
        <v>387</v>
      </c>
      <c r="AL4" s="858" t="s">
        <v>388</v>
      </c>
      <c r="AM4" s="858" t="s">
        <v>389</v>
      </c>
      <c r="AN4" s="8064"/>
      <c r="AO4" s="8023"/>
      <c r="AP4" s="8023"/>
      <c r="AQ4" s="8065"/>
    </row>
    <row r="5" spans="1:44" s="340" customFormat="1" ht="15.75" customHeight="1" thickTop="1">
      <c r="A5" s="8061" t="s">
        <v>284</v>
      </c>
      <c r="B5" s="987" t="s">
        <v>285</v>
      </c>
      <c r="C5" s="865" t="s">
        <v>305</v>
      </c>
      <c r="D5" s="795">
        <v>280607.90000000002</v>
      </c>
      <c r="E5" s="620">
        <v>313095</v>
      </c>
      <c r="F5" s="750">
        <v>291017.58</v>
      </c>
      <c r="G5" s="750">
        <v>286570.19</v>
      </c>
      <c r="H5" s="482">
        <v>311777</v>
      </c>
      <c r="I5" s="4459">
        <v>313507</v>
      </c>
      <c r="J5" s="3272">
        <v>309398.58</v>
      </c>
      <c r="K5" s="3272">
        <f>년간!C10</f>
        <v>291974.88</v>
      </c>
      <c r="L5" s="3272">
        <f>년간!D10</f>
        <v>265170.34400000004</v>
      </c>
      <c r="M5" s="5862">
        <f>년간!E10</f>
        <v>268060</v>
      </c>
      <c r="N5" s="5863">
        <f>M5/10</f>
        <v>26806</v>
      </c>
      <c r="O5" s="3696">
        <f>년간!F10</f>
        <v>0</v>
      </c>
      <c r="P5" s="3251">
        <f>년간!G10</f>
        <v>0</v>
      </c>
      <c r="Q5" s="7512">
        <f>년간!H10</f>
        <v>22857.03</v>
      </c>
      <c r="R5" s="4608">
        <f>년간!I10</f>
        <v>0</v>
      </c>
      <c r="S5" s="3251">
        <f>년간!J10</f>
        <v>0</v>
      </c>
      <c r="T5" s="3251">
        <f>년간!K10</f>
        <v>0</v>
      </c>
      <c r="U5" s="3251">
        <f>년간!L10</f>
        <v>0</v>
      </c>
      <c r="V5" s="3251">
        <f>년간!M10</f>
        <v>0</v>
      </c>
      <c r="W5" s="3251">
        <f>년간!N10</f>
        <v>0</v>
      </c>
      <c r="X5" s="3697">
        <f>년간!O10</f>
        <v>0</v>
      </c>
      <c r="Y5" s="4608">
        <f>년간!P10</f>
        <v>0</v>
      </c>
      <c r="Z5" s="3697">
        <f>년간!Q10</f>
        <v>0</v>
      </c>
      <c r="AA5" s="3251">
        <f>SUM(O5:Z5)</f>
        <v>22857.03</v>
      </c>
      <c r="AB5" s="4492"/>
      <c r="AC5" s="3686"/>
      <c r="AD5" s="3686"/>
      <c r="AE5" s="3686"/>
      <c r="AF5" s="3686"/>
      <c r="AG5" s="3686"/>
      <c r="AH5" s="3686"/>
      <c r="AI5" s="3686"/>
      <c r="AJ5" s="3686"/>
      <c r="AK5" s="3686"/>
      <c r="AL5" s="3686"/>
      <c r="AM5" s="3686"/>
      <c r="AN5" s="3686"/>
      <c r="AO5" s="3686"/>
      <c r="AP5" s="3698"/>
      <c r="AQ5" s="3699"/>
      <c r="AR5" s="298"/>
    </row>
    <row r="6" spans="1:44" s="340" customFormat="1" ht="15.75" customHeight="1">
      <c r="A6" s="8061"/>
      <c r="B6" s="987" t="s">
        <v>287</v>
      </c>
      <c r="C6" s="865" t="s">
        <v>306</v>
      </c>
      <c r="D6" s="796">
        <v>36.635276454076639</v>
      </c>
      <c r="E6" s="617">
        <v>40.28819407956113</v>
      </c>
      <c r="F6" s="797">
        <v>40.952245905022799</v>
      </c>
      <c r="G6" s="797">
        <v>39.301413955784739</v>
      </c>
      <c r="H6" s="488">
        <v>39.166384432747506</v>
      </c>
      <c r="I6" s="3230">
        <v>39.29</v>
      </c>
      <c r="J6" s="3273">
        <v>39.056847287531163</v>
      </c>
      <c r="K6" s="3273">
        <f>년간!C119</f>
        <v>39.078220717254119</v>
      </c>
      <c r="L6" s="3273">
        <f>년간!D119</f>
        <v>39.517993080100453</v>
      </c>
      <c r="M6" s="5864">
        <f>년간!E119</f>
        <v>40.049999999999997</v>
      </c>
      <c r="N6" s="5865">
        <v>40.049999999999997</v>
      </c>
      <c r="O6" s="3700">
        <f>년간!F119</f>
        <v>0</v>
      </c>
      <c r="P6" s="3252">
        <f>년간!G119</f>
        <v>0</v>
      </c>
      <c r="Q6" s="7304">
        <f>년간!H119</f>
        <v>37.159860185335717</v>
      </c>
      <c r="R6" s="3290" t="e">
        <f>년간!I119</f>
        <v>#DIV/0!</v>
      </c>
      <c r="S6" s="3252" t="e">
        <f>년간!J119</f>
        <v>#DIV/0!</v>
      </c>
      <c r="T6" s="3252" t="e">
        <f>년간!K119</f>
        <v>#DIV/0!</v>
      </c>
      <c r="U6" s="3252" t="e">
        <f>년간!L119</f>
        <v>#DIV/0!</v>
      </c>
      <c r="V6" s="3252" t="e">
        <f>년간!M119</f>
        <v>#DIV/0!</v>
      </c>
      <c r="W6" s="3252" t="e">
        <f>년간!N119</f>
        <v>#DIV/0!</v>
      </c>
      <c r="X6" s="3701" t="e">
        <f>년간!O119</f>
        <v>#DIV/0!</v>
      </c>
      <c r="Y6" s="3290" t="e">
        <f>년간!P119</f>
        <v>#DIV/0!</v>
      </c>
      <c r="Z6" s="3701" t="e">
        <f>년간!Q119</f>
        <v>#DIV/0!</v>
      </c>
      <c r="AA6" s="1757">
        <f>년간!V119</f>
        <v>37.159860185335717</v>
      </c>
      <c r="AB6" s="4493" t="e">
        <f>년간!F143/1000</f>
        <v>#DIV/0!</v>
      </c>
      <c r="AC6" s="4137" t="e">
        <f>년간!G143/1000</f>
        <v>#DIV/0!</v>
      </c>
      <c r="AD6" s="4137">
        <f>년간!H143/1000</f>
        <v>-83159.66092655425</v>
      </c>
      <c r="AE6" s="4137" t="e">
        <f>년간!I143/1000</f>
        <v>#DIV/0!</v>
      </c>
      <c r="AF6" s="4137" t="e">
        <f>년간!J143/1000</f>
        <v>#DIV/0!</v>
      </c>
      <c r="AG6" s="4137" t="e">
        <f>년간!K143/1000</f>
        <v>#DIV/0!</v>
      </c>
      <c r="AH6" s="4137" t="e">
        <f>년간!L143/1000</f>
        <v>#DIV/0!</v>
      </c>
      <c r="AI6" s="4137" t="e">
        <f>년간!M143/1000</f>
        <v>#DIV/0!</v>
      </c>
      <c r="AJ6" s="4137" t="e">
        <f>년간!N143/1000</f>
        <v>#DIV/0!</v>
      </c>
      <c r="AK6" s="4243" t="e">
        <f>년간!O143/1000</f>
        <v>#DIV/0!</v>
      </c>
      <c r="AL6" s="6052" t="e">
        <f>년간!P143/1000</f>
        <v>#DIV/0!</v>
      </c>
      <c r="AM6" s="6018" t="e">
        <f>년간!Q143/1000</f>
        <v>#DIV/0!</v>
      </c>
      <c r="AN6" s="4137">
        <f>년간!E143/1000</f>
        <v>204033.92847362827</v>
      </c>
      <c r="AO6" s="4137">
        <f>AD6</f>
        <v>-83159.66092655425</v>
      </c>
      <c r="AP6" s="3702">
        <f>AO6/AN6</f>
        <v>-0.40757761000177367</v>
      </c>
      <c r="AQ6" s="3331" t="s">
        <v>1911</v>
      </c>
      <c r="AR6" s="298"/>
    </row>
    <row r="7" spans="1:44" s="1453" customFormat="1" ht="15.75" customHeight="1">
      <c r="A7" s="8062"/>
      <c r="B7" s="6063" t="s">
        <v>1926</v>
      </c>
      <c r="C7" s="865" t="s">
        <v>306</v>
      </c>
      <c r="D7" s="6108"/>
      <c r="E7" s="3220"/>
      <c r="F7" s="6109"/>
      <c r="G7" s="6109"/>
      <c r="H7" s="3111"/>
      <c r="I7" s="3111"/>
      <c r="J7" s="5740"/>
      <c r="K7" s="5740"/>
      <c r="L7" s="5667">
        <v>39.874156545930497</v>
      </c>
      <c r="M7" s="6110">
        <v>40.049999999999997</v>
      </c>
      <c r="N7" s="5865">
        <v>40.049999999999997</v>
      </c>
      <c r="O7" s="3703"/>
      <c r="P7" s="3142"/>
      <c r="Q7" s="7258">
        <f>Q71</f>
        <v>37.320454047570479</v>
      </c>
      <c r="R7" s="3141"/>
      <c r="S7" s="3142"/>
      <c r="T7" s="3142"/>
      <c r="U7" s="3142"/>
      <c r="V7" s="3142"/>
      <c r="W7" s="3142"/>
      <c r="X7" s="3220"/>
      <c r="Y7" s="3141"/>
      <c r="Z7" s="3220"/>
      <c r="AA7" s="3252"/>
      <c r="AB7" s="4502" t="e">
        <f>년간!F144/1000</f>
        <v>#DIV/0!</v>
      </c>
      <c r="AC7" s="4137" t="e">
        <f>년간!G144/1000</f>
        <v>#DIV/0!</v>
      </c>
      <c r="AD7" s="4137">
        <f>년간!H144/1000</f>
        <v>-77162.83643907182</v>
      </c>
      <c r="AE7" s="4137" t="e">
        <f>년간!I144/1000</f>
        <v>#DIV/0!</v>
      </c>
      <c r="AF7" s="4137" t="e">
        <f>년간!J144/1000</f>
        <v>#DIV/0!</v>
      </c>
      <c r="AG7" s="4137" t="e">
        <f>년간!K144/1000</f>
        <v>#DIV/0!</v>
      </c>
      <c r="AH7" s="4137" t="e">
        <f>년간!L144/1000</f>
        <v>#DIV/0!</v>
      </c>
      <c r="AI7" s="4137" t="e">
        <f>년간!M144/1000</f>
        <v>#DIV/0!</v>
      </c>
      <c r="AJ7" s="4137" t="e">
        <f>년간!N144/1000</f>
        <v>#DIV/0!</v>
      </c>
      <c r="AK7" s="4137" t="e">
        <f>년간!O144/1000</f>
        <v>#DIV/0!</v>
      </c>
      <c r="AL7" s="4137" t="e">
        <f>년간!P144/1000</f>
        <v>#DIV/0!</v>
      </c>
      <c r="AM7" s="4137" t="e">
        <f>년간!Q144/1000</f>
        <v>#DIV/0!</v>
      </c>
      <c r="AN7" s="4137"/>
      <c r="AO7" s="6060">
        <f>AD7</f>
        <v>-77162.83643907182</v>
      </c>
      <c r="AP7" s="6062"/>
      <c r="AQ7" s="3331"/>
      <c r="AR7" s="1451"/>
    </row>
    <row r="8" spans="1:44" s="340" customFormat="1" ht="15.75" customHeight="1" thickBot="1">
      <c r="A8" s="8063"/>
      <c r="B8" s="988" t="s">
        <v>289</v>
      </c>
      <c r="C8" s="888" t="s">
        <v>290</v>
      </c>
      <c r="D8" s="989">
        <v>97.667805773742728</v>
      </c>
      <c r="E8" s="889">
        <v>97.812305962509853</v>
      </c>
      <c r="F8" s="990">
        <v>97.369683073985954</v>
      </c>
      <c r="G8" s="990">
        <v>97.201892954742391</v>
      </c>
      <c r="H8" s="991">
        <v>98.032043940345559</v>
      </c>
      <c r="I8" s="3111">
        <v>98.81</v>
      </c>
      <c r="J8" s="5740">
        <v>98.842928115557456</v>
      </c>
      <c r="K8" s="5740">
        <f>년간!C113*100</f>
        <v>98.320217917675549</v>
      </c>
      <c r="L8" s="5740">
        <f>년간!D113*100</f>
        <v>99.570661542304435</v>
      </c>
      <c r="M8" s="5907">
        <f>년간!E113*100</f>
        <v>99.65</v>
      </c>
      <c r="N8" s="5908">
        <v>99.65</v>
      </c>
      <c r="O8" s="3703" t="e">
        <f>년간!F113*100</f>
        <v>#DIV/0!</v>
      </c>
      <c r="P8" s="3142" t="e">
        <f>년간!G113*100</f>
        <v>#DIV/0!</v>
      </c>
      <c r="Q8" s="7258">
        <f>년간!H113*100</f>
        <v>98.726659889786532</v>
      </c>
      <c r="R8" s="3141" t="e">
        <f>년간!I113*100</f>
        <v>#DIV/0!</v>
      </c>
      <c r="S8" s="3142" t="e">
        <f>년간!J113*100</f>
        <v>#DIV/0!</v>
      </c>
      <c r="T8" s="3142" t="e">
        <f>년간!K113*100</f>
        <v>#DIV/0!</v>
      </c>
      <c r="U8" s="3142" t="e">
        <f>년간!L113*100</f>
        <v>#DIV/0!</v>
      </c>
      <c r="V8" s="3142" t="e">
        <f>년간!M113*100</f>
        <v>#DIV/0!</v>
      </c>
      <c r="W8" s="3142" t="e">
        <f>년간!N113*100</f>
        <v>#DIV/0!</v>
      </c>
      <c r="X8" s="3220" t="e">
        <f>년간!O113*100</f>
        <v>#DIV/0!</v>
      </c>
      <c r="Y8" s="3141" t="e">
        <f>년간!P113*100</f>
        <v>#DIV/0!</v>
      </c>
      <c r="Z8" s="3220" t="e">
        <f>년간!Q113*100</f>
        <v>#DIV/0!</v>
      </c>
      <c r="AA8" s="2111">
        <f>년간!V113*100</f>
        <v>98.726659889786532</v>
      </c>
      <c r="AB8" s="4494" t="e">
        <f>년간!F142/1000</f>
        <v>#DIV/0!</v>
      </c>
      <c r="AC8" s="4138" t="e">
        <f>년간!G142/1000</f>
        <v>#DIV/0!</v>
      </c>
      <c r="AD8" s="4138">
        <f>년간!H142/1000</f>
        <v>-11762.038893927851</v>
      </c>
      <c r="AE8" s="4138" t="e">
        <f>년간!I142/1000</f>
        <v>#DIV/0!</v>
      </c>
      <c r="AF8" s="4138" t="e">
        <f>년간!J142/1000</f>
        <v>#DIV/0!</v>
      </c>
      <c r="AG8" s="4138" t="e">
        <f>년간!K142/1000</f>
        <v>#DIV/0!</v>
      </c>
      <c r="AH8" s="4138" t="e">
        <f>년간!L142/1000</f>
        <v>#DIV/0!</v>
      </c>
      <c r="AI8" s="4138" t="e">
        <f>년간!M142/1000</f>
        <v>#DIV/0!</v>
      </c>
      <c r="AJ8" s="4138" t="e">
        <f>년간!N142/1000</f>
        <v>#DIV/0!</v>
      </c>
      <c r="AK8" s="6052" t="e">
        <f>년간!O142/1000</f>
        <v>#DIV/0!</v>
      </c>
      <c r="AL8" s="6053" t="e">
        <f>년간!P142/1000</f>
        <v>#DIV/0!</v>
      </c>
      <c r="AM8" s="6018" t="e">
        <f>년간!Q142/1000</f>
        <v>#DIV/0!</v>
      </c>
      <c r="AN8" s="4138">
        <f>년간!E142/1000</f>
        <v>12066.642383439026</v>
      </c>
      <c r="AO8" s="2954">
        <f>AD8</f>
        <v>-11762.038893927851</v>
      </c>
      <c r="AP8" s="3704">
        <f>AO8/AN8</f>
        <v>-0.97475656609089278</v>
      </c>
      <c r="AQ8" s="3331" t="s">
        <v>1911</v>
      </c>
      <c r="AR8" s="298"/>
    </row>
    <row r="9" spans="1:44" s="340" customFormat="1" ht="15.75" customHeight="1">
      <c r="A9" s="8066" t="s">
        <v>292</v>
      </c>
      <c r="B9" s="1006" t="s">
        <v>527</v>
      </c>
      <c r="C9" s="879" t="s">
        <v>290</v>
      </c>
      <c r="D9" s="1007">
        <v>99.254476328030421</v>
      </c>
      <c r="E9" s="1008">
        <v>98.904868508912699</v>
      </c>
      <c r="F9" s="1009">
        <v>98.54878099892494</v>
      </c>
      <c r="G9" s="1009">
        <v>98.709193043687762</v>
      </c>
      <c r="H9" s="1010">
        <v>99.068155973510756</v>
      </c>
      <c r="I9" s="1010">
        <v>99.83</v>
      </c>
      <c r="J9" s="882">
        <v>100.18118732416113</v>
      </c>
      <c r="K9" s="882">
        <f>년간!C89*100</f>
        <v>100.18258233928049</v>
      </c>
      <c r="L9" s="882">
        <f>년간!D89*100</f>
        <v>100.3806325331841</v>
      </c>
      <c r="M9" s="5868">
        <f>년간!E89*100</f>
        <v>100.42</v>
      </c>
      <c r="N9" s="5869">
        <v>100.42</v>
      </c>
      <c r="O9" s="3705" t="e">
        <f>년간!F89*100</f>
        <v>#DIV/0!</v>
      </c>
      <c r="P9" s="1025" t="e">
        <f>년간!G89*100</f>
        <v>#DIV/0!</v>
      </c>
      <c r="Q9" s="7513">
        <f>년간!H89*100</f>
        <v>99.912348904799344</v>
      </c>
      <c r="R9" s="4609" t="e">
        <f>년간!I89*100</f>
        <v>#DIV/0!</v>
      </c>
      <c r="S9" s="1025" t="e">
        <f>년간!J89*100</f>
        <v>#DIV/0!</v>
      </c>
      <c r="T9" s="1025" t="e">
        <f>년간!K89*100</f>
        <v>#DIV/0!</v>
      </c>
      <c r="U9" s="1025" t="e">
        <f>년간!L89*100</f>
        <v>#DIV/0!</v>
      </c>
      <c r="V9" s="1025" t="e">
        <f>년간!M89*100</f>
        <v>#DIV/0!</v>
      </c>
      <c r="W9" s="1025" t="e">
        <f>년간!N89*100</f>
        <v>#DIV/0!</v>
      </c>
      <c r="X9" s="1008" t="e">
        <f>년간!O89*100</f>
        <v>#DIV/0!</v>
      </c>
      <c r="Y9" s="4609" t="e">
        <f>년간!P89*100</f>
        <v>#DIV/0!</v>
      </c>
      <c r="Z9" s="1008" t="e">
        <f>년간!Q89*100</f>
        <v>#DIV/0!</v>
      </c>
      <c r="AA9" s="1758">
        <f>년간!V89*100</f>
        <v>99.912348904799344</v>
      </c>
      <c r="AB9" s="4495" t="e">
        <f>년간!F140/1000</f>
        <v>#DIV/0!</v>
      </c>
      <c r="AC9" s="4136" t="e">
        <f>년간!G140/1000</f>
        <v>#DIV/0!</v>
      </c>
      <c r="AD9" s="4136">
        <f>년간!H140/1000</f>
        <v>-51902.140265917362</v>
      </c>
      <c r="AE9" s="4136" t="e">
        <f>년간!I140/1000</f>
        <v>#DIV/0!</v>
      </c>
      <c r="AF9" s="4136" t="e">
        <f>년간!J140/1000</f>
        <v>#DIV/0!</v>
      </c>
      <c r="AG9" s="4136" t="e">
        <f>년간!K140/1000</f>
        <v>#DIV/0!</v>
      </c>
      <c r="AH9" s="4136" t="e">
        <f>년간!L140/1000</f>
        <v>#DIV/0!</v>
      </c>
      <c r="AI9" s="4136" t="e">
        <f>년간!M140/1000</f>
        <v>#DIV/0!</v>
      </c>
      <c r="AJ9" s="4136" t="e">
        <f>년간!N140/1000</f>
        <v>#DIV/0!</v>
      </c>
      <c r="AK9" s="4136" t="e">
        <f>년간!O140/1000</f>
        <v>#DIV/0!</v>
      </c>
      <c r="AL9" s="6054" t="e">
        <f>년간!P140/1000</f>
        <v>#DIV/0!</v>
      </c>
      <c r="AM9" s="4136" t="e">
        <f>년간!Q140/1000</f>
        <v>#DIV/0!</v>
      </c>
      <c r="AN9" s="4136">
        <f>년간!E140/1000</f>
        <v>50990.905945102255</v>
      </c>
      <c r="AO9" s="4182">
        <f>AD9</f>
        <v>-51902.140265917362</v>
      </c>
      <c r="AP9" s="1011">
        <f>AO9/AN9</f>
        <v>-1.0178705262031658</v>
      </c>
      <c r="AQ9" s="886" t="s">
        <v>1905</v>
      </c>
      <c r="AR9" s="298"/>
    </row>
    <row r="10" spans="1:44" s="340" customFormat="1" ht="15.75" customHeight="1" thickBot="1">
      <c r="A10" s="8067"/>
      <c r="B10" s="1012" t="s">
        <v>514</v>
      </c>
      <c r="C10" s="869" t="s">
        <v>305</v>
      </c>
      <c r="D10" s="1013">
        <v>2050.37</v>
      </c>
      <c r="E10" s="1014">
        <v>1953.53</v>
      </c>
      <c r="F10" s="1015">
        <v>2508.8000000000002</v>
      </c>
      <c r="G10" s="1015">
        <v>1973.88</v>
      </c>
      <c r="H10" s="1016">
        <v>820.61999999999978</v>
      </c>
      <c r="I10" s="2112">
        <v>320</v>
      </c>
      <c r="J10" s="5741">
        <v>307.49</v>
      </c>
      <c r="K10" s="5741">
        <f>년간!C22</f>
        <v>363.24000000000007</v>
      </c>
      <c r="L10" s="5741">
        <f>년간!D22</f>
        <v>205.53</v>
      </c>
      <c r="M10" s="5909">
        <f>년간!E22</f>
        <v>150</v>
      </c>
      <c r="N10" s="5910">
        <f t="shared" ref="N10:N15" si="0">M10/10</f>
        <v>15</v>
      </c>
      <c r="O10" s="3706">
        <f>년간!F22</f>
        <v>0</v>
      </c>
      <c r="P10" s="2224">
        <f>년간!G22</f>
        <v>0</v>
      </c>
      <c r="Q10" s="7637">
        <v>0</v>
      </c>
      <c r="R10" s="4610">
        <f>년간!I22</f>
        <v>0</v>
      </c>
      <c r="S10" s="2224">
        <f>년간!J22</f>
        <v>0</v>
      </c>
      <c r="T10" s="2224">
        <f>년간!K22</f>
        <v>0</v>
      </c>
      <c r="U10" s="2224">
        <f>년간!L22</f>
        <v>0</v>
      </c>
      <c r="V10" s="2224">
        <f>년간!M22</f>
        <v>0</v>
      </c>
      <c r="W10" s="2224">
        <f>년간!N22</f>
        <v>0</v>
      </c>
      <c r="X10" s="2642">
        <f>년간!O22</f>
        <v>0</v>
      </c>
      <c r="Y10" s="4610">
        <f>년간!P22</f>
        <v>0</v>
      </c>
      <c r="Z10" s="2642">
        <f>년간!Q22</f>
        <v>0</v>
      </c>
      <c r="AA10" s="2226">
        <f>SUM(O10:Z10)</f>
        <v>0</v>
      </c>
      <c r="AB10" s="4496"/>
      <c r="AC10" s="4244"/>
      <c r="AD10" s="4244"/>
      <c r="AE10" s="4244"/>
      <c r="AF10" s="4244"/>
      <c r="AG10" s="4244"/>
      <c r="AH10" s="4244"/>
      <c r="AI10" s="4244"/>
      <c r="AJ10" s="4244"/>
      <c r="AK10" s="4244"/>
      <c r="AL10" s="4244"/>
      <c r="AM10" s="4244"/>
      <c r="AN10" s="4244"/>
      <c r="AO10" s="2983"/>
      <c r="AP10" s="2984"/>
      <c r="AQ10" s="2878" t="s">
        <v>295</v>
      </c>
      <c r="AR10" s="298"/>
    </row>
    <row r="11" spans="1:44" s="340" customFormat="1" ht="15.75" customHeight="1">
      <c r="A11" s="8066" t="s">
        <v>535</v>
      </c>
      <c r="B11" s="1029" t="s">
        <v>858</v>
      </c>
      <c r="C11" s="920" t="s">
        <v>436</v>
      </c>
      <c r="D11" s="984"/>
      <c r="E11" s="1026"/>
      <c r="F11" s="1028">
        <v>1575.96</v>
      </c>
      <c r="G11" s="1028">
        <v>1350.99</v>
      </c>
      <c r="H11" s="982">
        <v>1329</v>
      </c>
      <c r="I11" s="4460">
        <v>651</v>
      </c>
      <c r="J11" s="3274">
        <v>685.29199999999992</v>
      </c>
      <c r="K11" s="3274">
        <v>560.84799999999996</v>
      </c>
      <c r="L11" s="5718">
        <v>190.82000000000002</v>
      </c>
      <c r="M11" s="5911">
        <v>150</v>
      </c>
      <c r="N11" s="5976">
        <f t="shared" si="0"/>
        <v>15</v>
      </c>
      <c r="O11" s="3700">
        <v>0</v>
      </c>
      <c r="P11" s="3252">
        <v>0</v>
      </c>
      <c r="Q11" s="7638">
        <v>140.61000000000001</v>
      </c>
      <c r="R11" s="3290">
        <v>0</v>
      </c>
      <c r="S11" s="3252">
        <v>0</v>
      </c>
      <c r="T11" s="3252">
        <v>0</v>
      </c>
      <c r="U11" s="3252">
        <v>0</v>
      </c>
      <c r="V11" s="3252">
        <v>0</v>
      </c>
      <c r="W11" s="3252">
        <v>0</v>
      </c>
      <c r="X11" s="3701">
        <v>0</v>
      </c>
      <c r="Y11" s="3290"/>
      <c r="Z11" s="3701"/>
      <c r="AA11" s="7532">
        <f t="shared" ref="AA11:AA24" si="1">SUM(O11:Z11)</f>
        <v>140.61000000000001</v>
      </c>
      <c r="AB11" s="4497"/>
      <c r="AC11" s="4245"/>
      <c r="AD11" s="3686"/>
      <c r="AE11" s="3686"/>
      <c r="AF11" s="3686"/>
      <c r="AG11" s="3686"/>
      <c r="AH11" s="3686"/>
      <c r="AI11" s="3686"/>
      <c r="AJ11" s="3686"/>
      <c r="AK11" s="3686"/>
      <c r="AL11" s="3686"/>
      <c r="AM11" s="3686"/>
      <c r="AN11" s="3686"/>
      <c r="AO11" s="3686"/>
      <c r="AP11" s="3698"/>
      <c r="AQ11" s="3412" t="s">
        <v>1423</v>
      </c>
      <c r="AR11" s="298"/>
    </row>
    <row r="12" spans="1:44" s="340" customFormat="1" ht="15.75" customHeight="1">
      <c r="A12" s="8076"/>
      <c r="B12" s="987" t="s">
        <v>900</v>
      </c>
      <c r="C12" s="865" t="s">
        <v>436</v>
      </c>
      <c r="D12" s="796"/>
      <c r="E12" s="617"/>
      <c r="F12" s="750">
        <v>608.03</v>
      </c>
      <c r="G12" s="750">
        <v>505.16999999999996</v>
      </c>
      <c r="H12" s="750">
        <f>스크!L13</f>
        <v>594.27</v>
      </c>
      <c r="I12" s="5717">
        <f>스크!L14</f>
        <v>506.82</v>
      </c>
      <c r="J12" s="5742">
        <f>스크!L15</f>
        <v>387.63</v>
      </c>
      <c r="K12" s="5742">
        <v>349.56999999999994</v>
      </c>
      <c r="L12" s="5719">
        <v>370.96999999999997</v>
      </c>
      <c r="M12" s="5913">
        <v>250</v>
      </c>
      <c r="N12" s="5989">
        <f t="shared" si="0"/>
        <v>25</v>
      </c>
      <c r="O12" s="3707">
        <f>스크!L19</f>
        <v>3.5</v>
      </c>
      <c r="P12" s="3253">
        <f>스크!L20</f>
        <v>0</v>
      </c>
      <c r="Q12" s="7343">
        <f>스크!L21</f>
        <v>12.37</v>
      </c>
      <c r="R12" s="4611">
        <f>스크!L23</f>
        <v>0</v>
      </c>
      <c r="S12" s="3253">
        <f>스크!L24</f>
        <v>0</v>
      </c>
      <c r="T12" s="3253">
        <f>스크!L25</f>
        <v>0</v>
      </c>
      <c r="U12" s="3253">
        <f>스크!L28</f>
        <v>0</v>
      </c>
      <c r="V12" s="3253">
        <f>스크!L29</f>
        <v>0</v>
      </c>
      <c r="W12" s="3253">
        <f>스크!L30</f>
        <v>0</v>
      </c>
      <c r="X12" s="3708">
        <f>스크!L32</f>
        <v>0</v>
      </c>
      <c r="Y12" s="4611">
        <f>스크!L33</f>
        <v>0</v>
      </c>
      <c r="Z12" s="3708">
        <f>스크!L34</f>
        <v>0</v>
      </c>
      <c r="AA12" s="7533">
        <f t="shared" si="1"/>
        <v>15.87</v>
      </c>
      <c r="AB12" s="4497"/>
      <c r="AC12" s="4245"/>
      <c r="AD12" s="3686"/>
      <c r="AE12" s="3686"/>
      <c r="AF12" s="3686"/>
      <c r="AG12" s="3686"/>
      <c r="AH12" s="3686"/>
      <c r="AI12" s="3686"/>
      <c r="AJ12" s="3686"/>
      <c r="AK12" s="3686"/>
      <c r="AL12" s="3686"/>
      <c r="AM12" s="3686"/>
      <c r="AN12" s="3686"/>
      <c r="AO12" s="3686"/>
      <c r="AP12" s="3698"/>
      <c r="AQ12" s="3334" t="s">
        <v>1424</v>
      </c>
      <c r="AR12" s="298"/>
    </row>
    <row r="13" spans="1:44" s="1453" customFormat="1" ht="15.75" customHeight="1">
      <c r="A13" s="8076"/>
      <c r="B13" s="1529" t="s">
        <v>1057</v>
      </c>
      <c r="C13" s="1530" t="s">
        <v>995</v>
      </c>
      <c r="D13" s="1531"/>
      <c r="E13" s="1532"/>
      <c r="F13" s="1533"/>
      <c r="G13" s="1534"/>
      <c r="H13" s="1535"/>
      <c r="I13" s="5717"/>
      <c r="J13" s="5742"/>
      <c r="K13" s="5742">
        <v>307.38</v>
      </c>
      <c r="L13" s="5719">
        <v>116.70000000000002</v>
      </c>
      <c r="M13" s="5913">
        <v>150</v>
      </c>
      <c r="N13" s="5989">
        <f t="shared" si="0"/>
        <v>15</v>
      </c>
      <c r="O13" s="3709">
        <v>0</v>
      </c>
      <c r="P13" s="3244">
        <v>16.46</v>
      </c>
      <c r="Q13" s="7305">
        <v>24.82</v>
      </c>
      <c r="R13" s="4612">
        <v>0</v>
      </c>
      <c r="S13" s="3244">
        <v>0</v>
      </c>
      <c r="T13" s="3244">
        <v>0</v>
      </c>
      <c r="U13" s="3244">
        <v>0</v>
      </c>
      <c r="V13" s="3244">
        <v>0</v>
      </c>
      <c r="W13" s="3244">
        <v>0</v>
      </c>
      <c r="X13" s="3245">
        <v>0</v>
      </c>
      <c r="Y13" s="4612"/>
      <c r="Z13" s="3245"/>
      <c r="AA13" s="7533">
        <f t="shared" si="1"/>
        <v>41.28</v>
      </c>
      <c r="AB13" s="4492"/>
      <c r="AC13" s="4245"/>
      <c r="AD13" s="3686"/>
      <c r="AE13" s="3686"/>
      <c r="AF13" s="3686"/>
      <c r="AG13" s="3686"/>
      <c r="AH13" s="3686"/>
      <c r="AI13" s="3686"/>
      <c r="AJ13" s="3686"/>
      <c r="AK13" s="3686"/>
      <c r="AL13" s="3686"/>
      <c r="AM13" s="3686"/>
      <c r="AN13" s="3686"/>
      <c r="AO13" s="3686"/>
      <c r="AP13" s="3698"/>
      <c r="AQ13" s="3334" t="s">
        <v>1425</v>
      </c>
      <c r="AR13" s="1451"/>
    </row>
    <row r="14" spans="1:44" s="1453" customFormat="1" ht="15.75" customHeight="1">
      <c r="A14" s="8076"/>
      <c r="B14" s="1529" t="s">
        <v>1111</v>
      </c>
      <c r="C14" s="1530" t="s">
        <v>1112</v>
      </c>
      <c r="D14" s="1531"/>
      <c r="E14" s="1532"/>
      <c r="F14" s="1533"/>
      <c r="G14" s="1995"/>
      <c r="H14" s="1994"/>
      <c r="I14" s="5717"/>
      <c r="J14" s="5742"/>
      <c r="K14" s="5742">
        <v>467.16800000000006</v>
      </c>
      <c r="L14" s="5719">
        <v>203.10000000000002</v>
      </c>
      <c r="M14" s="5913">
        <v>200</v>
      </c>
      <c r="N14" s="5991">
        <f t="shared" si="0"/>
        <v>20</v>
      </c>
      <c r="O14" s="3709">
        <v>67.300000000000011</v>
      </c>
      <c r="P14" s="3244">
        <v>11.5</v>
      </c>
      <c r="Q14" s="7305">
        <v>14.38</v>
      </c>
      <c r="R14" s="4612">
        <v>0</v>
      </c>
      <c r="S14" s="3244">
        <v>0</v>
      </c>
      <c r="T14" s="3244">
        <v>0</v>
      </c>
      <c r="U14" s="3244">
        <v>0</v>
      </c>
      <c r="V14" s="3244">
        <v>0</v>
      </c>
      <c r="W14" s="3244">
        <v>0</v>
      </c>
      <c r="X14" s="3245">
        <v>0</v>
      </c>
      <c r="Y14" s="4612"/>
      <c r="Z14" s="3245"/>
      <c r="AA14" s="7533">
        <f t="shared" si="1"/>
        <v>93.18</v>
      </c>
      <c r="AB14" s="4492"/>
      <c r="AC14" s="4245"/>
      <c r="AD14" s="3686"/>
      <c r="AE14" s="3686"/>
      <c r="AF14" s="3686"/>
      <c r="AG14" s="3686"/>
      <c r="AH14" s="3686"/>
      <c r="AI14" s="3686"/>
      <c r="AJ14" s="3686"/>
      <c r="AK14" s="3686"/>
      <c r="AL14" s="3686"/>
      <c r="AM14" s="3686"/>
      <c r="AN14" s="3686"/>
      <c r="AO14" s="3686"/>
      <c r="AP14" s="3698"/>
      <c r="AQ14" s="3334" t="s">
        <v>1426</v>
      </c>
      <c r="AR14" s="1451" t="s">
        <v>1691</v>
      </c>
    </row>
    <row r="15" spans="1:44" s="1453" customFormat="1" ht="15.75" customHeight="1">
      <c r="A15" s="8076"/>
      <c r="B15" s="1529" t="s">
        <v>1034</v>
      </c>
      <c r="C15" s="1530" t="s">
        <v>1035</v>
      </c>
      <c r="D15" s="1531">
        <v>556</v>
      </c>
      <c r="E15" s="1532">
        <v>376</v>
      </c>
      <c r="F15" s="1533">
        <v>577</v>
      </c>
      <c r="G15" s="1995">
        <v>353</v>
      </c>
      <c r="H15" s="1994">
        <v>233</v>
      </c>
      <c r="I15" s="5717">
        <v>133</v>
      </c>
      <c r="J15" s="5742">
        <v>158</v>
      </c>
      <c r="K15" s="5742">
        <v>61.089999999999996</v>
      </c>
      <c r="L15" s="5719">
        <v>32.72</v>
      </c>
      <c r="M15" s="5913">
        <f>L15-(L15*0.03)</f>
        <v>31.738399999999999</v>
      </c>
      <c r="N15" s="5914">
        <f t="shared" si="0"/>
        <v>3.1738399999999998</v>
      </c>
      <c r="O15" s="3709">
        <v>0</v>
      </c>
      <c r="P15" s="3244">
        <v>0</v>
      </c>
      <c r="Q15" s="7305">
        <v>13.87</v>
      </c>
      <c r="R15" s="4612">
        <v>0</v>
      </c>
      <c r="S15" s="3244">
        <v>0</v>
      </c>
      <c r="T15" s="3244">
        <v>0</v>
      </c>
      <c r="U15" s="3244">
        <v>0</v>
      </c>
      <c r="V15" s="3244">
        <v>0</v>
      </c>
      <c r="W15" s="3244">
        <v>0</v>
      </c>
      <c r="X15" s="3245">
        <v>0</v>
      </c>
      <c r="Y15" s="4612"/>
      <c r="Z15" s="3245">
        <v>0</v>
      </c>
      <c r="AA15" s="7533">
        <f t="shared" si="1"/>
        <v>13.87</v>
      </c>
      <c r="AB15" s="4492"/>
      <c r="AC15" s="4245"/>
      <c r="AD15" s="3686"/>
      <c r="AE15" s="3686"/>
      <c r="AF15" s="3686"/>
      <c r="AG15" s="3686"/>
      <c r="AH15" s="3686"/>
      <c r="AI15" s="3686"/>
      <c r="AJ15" s="3686"/>
      <c r="AK15" s="3686"/>
      <c r="AL15" s="3686"/>
      <c r="AM15" s="3686"/>
      <c r="AN15" s="3686"/>
      <c r="AO15" s="3686"/>
      <c r="AP15" s="3698"/>
      <c r="AQ15" s="3334" t="s">
        <v>1427</v>
      </c>
      <c r="AR15" s="4634"/>
    </row>
    <row r="16" spans="1:44" s="340" customFormat="1" ht="15.75" customHeight="1" thickBot="1">
      <c r="A16" s="8076"/>
      <c r="B16" s="987" t="s">
        <v>751</v>
      </c>
      <c r="C16" s="865" t="s">
        <v>758</v>
      </c>
      <c r="D16" s="796"/>
      <c r="E16" s="617"/>
      <c r="F16" s="750"/>
      <c r="G16" s="1995"/>
      <c r="H16" s="1994">
        <f>SUM(H11:H15)</f>
        <v>2156.27</v>
      </c>
      <c r="I16" s="3254">
        <f>SUM(I11:I15)</f>
        <v>1290.82</v>
      </c>
      <c r="J16" s="5743">
        <f>SUM(J11:J15)</f>
        <v>1230.922</v>
      </c>
      <c r="K16" s="5743">
        <f>SUM(K11:K15)</f>
        <v>1746.0559999999998</v>
      </c>
      <c r="L16" s="5720">
        <v>1065.433</v>
      </c>
      <c r="M16" s="6038">
        <f>SUM(M11:M15)</f>
        <v>781.73839999999996</v>
      </c>
      <c r="N16" s="6040">
        <f>SUM(N11:N15)</f>
        <v>78.173839999999998</v>
      </c>
      <c r="O16" s="3250">
        <v>0</v>
      </c>
      <c r="P16" s="3254">
        <v>0</v>
      </c>
      <c r="Q16" s="7514">
        <v>0</v>
      </c>
      <c r="R16" s="7509">
        <v>0</v>
      </c>
      <c r="S16" s="3254">
        <v>0</v>
      </c>
      <c r="T16" s="3254">
        <v>0</v>
      </c>
      <c r="U16" s="3254">
        <v>0</v>
      </c>
      <c r="V16" s="3254">
        <v>0</v>
      </c>
      <c r="W16" s="3254">
        <v>0</v>
      </c>
      <c r="X16" s="3243">
        <v>0</v>
      </c>
      <c r="Y16" s="5490">
        <f>SUM(Y11:Y15)</f>
        <v>0</v>
      </c>
      <c r="Z16" s="3243">
        <f>SUM(Z11:Z15)</f>
        <v>0</v>
      </c>
      <c r="AA16" s="3251">
        <f t="shared" si="1"/>
        <v>0</v>
      </c>
      <c r="AB16" s="4497"/>
      <c r="AC16" s="4245"/>
      <c r="AD16" s="3686"/>
      <c r="AE16" s="3686"/>
      <c r="AF16" s="3686"/>
      <c r="AG16" s="3686"/>
      <c r="AH16" s="3686"/>
      <c r="AI16" s="3686"/>
      <c r="AJ16" s="3686"/>
      <c r="AK16" s="3686"/>
      <c r="AL16" s="3686"/>
      <c r="AM16" s="3686"/>
      <c r="AN16" s="3686"/>
      <c r="AO16" s="3686"/>
      <c r="AP16" s="3698"/>
      <c r="AQ16" s="3334" t="s">
        <v>1428</v>
      </c>
      <c r="AR16" s="298"/>
    </row>
    <row r="17" spans="1:44" s="340" customFormat="1" ht="15.75" customHeight="1">
      <c r="A17" s="8076"/>
      <c r="B17" s="1846" t="s">
        <v>859</v>
      </c>
      <c r="C17" s="1522" t="s">
        <v>307</v>
      </c>
      <c r="D17" s="1964"/>
      <c r="E17" s="3245"/>
      <c r="F17" s="3245">
        <f>(F11+F12+종합!D48)*1000/F5</f>
        <v>9.7349101727806246</v>
      </c>
      <c r="G17" s="3245">
        <f>(G11+G12+종합!E48)*1000/G5</f>
        <v>6.4771566086479542</v>
      </c>
      <c r="H17" s="3245">
        <f>(H11+H12+종합!F48)*1000/H5</f>
        <v>7.8398021662919328</v>
      </c>
      <c r="I17" s="3244">
        <f>(I11+I12+종합!G48)*1000/I5</f>
        <v>4.180863585183106</v>
      </c>
      <c r="J17" s="5744">
        <f>(J11+J12+종합!H48)*1000/J5</f>
        <v>3.926398110812273</v>
      </c>
      <c r="K17" s="5744">
        <f>(K11+K12+종합!I48)*1000/K5</f>
        <v>3.3374206712577461</v>
      </c>
      <c r="L17" s="5721">
        <v>2.5571864099554058</v>
      </c>
      <c r="M17" s="6039">
        <f>(M11+M12+종합!K48)*1000/M5</f>
        <v>1.9105424158770425</v>
      </c>
      <c r="N17" s="6041">
        <f>M17</f>
        <v>1.9105424158770425</v>
      </c>
      <c r="O17" s="3710"/>
      <c r="P17" s="3143"/>
      <c r="Q17" s="7515">
        <f>(Q11+Q12+종합!O48)*1000/Q5</f>
        <v>7.1654103792137489</v>
      </c>
      <c r="R17" s="7436" t="e">
        <f>(R11+R12+종합!P48)*1000/R5</f>
        <v>#DIV/0!</v>
      </c>
      <c r="S17" s="3143" t="e">
        <f>(S11+S12+종합!Q48)*1000/S5</f>
        <v>#DIV/0!</v>
      </c>
      <c r="T17" s="3143" t="e">
        <f>(T11+T12+종합!R48)*1000/T5</f>
        <v>#DIV/0!</v>
      </c>
      <c r="U17" s="3143" t="e">
        <f>(U11+U12+종합!S48)*1000/U5</f>
        <v>#DIV/0!</v>
      </c>
      <c r="V17" s="3143" t="e">
        <f>(V11+V12+종합!T48)*1000/V5</f>
        <v>#DIV/0!</v>
      </c>
      <c r="W17" s="3143" t="e">
        <f>(W11+W12+종합!U48)*1000/W5</f>
        <v>#DIV/0!</v>
      </c>
      <c r="X17" s="5986" t="e">
        <f>(X11+X12+종합!V48)*1000/X5</f>
        <v>#DIV/0!</v>
      </c>
      <c r="Y17" s="4611" t="e">
        <f>(Y11+Y12+종합!W48)*1000/Y5</f>
        <v>#DIV/0!</v>
      </c>
      <c r="Z17" s="3708" t="e">
        <f>(Z11+Z12+종합!X48)*1000/Z5</f>
        <v>#DIV/0!</v>
      </c>
      <c r="AA17" s="3253">
        <f>(AA11+AA12+종합!Y48)*1000/AA5</f>
        <v>7.3316612000771757</v>
      </c>
      <c r="AB17" s="4598">
        <f>($L$17-O17)*O5/1000*년간!C215/1000</f>
        <v>0</v>
      </c>
      <c r="AC17" s="6020">
        <f>($L$17-P17)*P5/1000*년간!D215/1000</f>
        <v>0</v>
      </c>
      <c r="AD17" s="7428">
        <f>($L$17-Q17)*Q5/1000*년간!E215/1000</f>
        <v>-238642.04612984607</v>
      </c>
      <c r="AE17" s="6020" t="e">
        <f>($L$17-R17)*R5/1000*년간!E215/1000</f>
        <v>#DIV/0!</v>
      </c>
      <c r="AF17" s="6020" t="e">
        <f>($L$17-S17)*S5/1000*년간!F215/1000</f>
        <v>#DIV/0!</v>
      </c>
      <c r="AG17" s="6020" t="e">
        <f>($L$17-T17)*T5/1000*년간!G215/1000</f>
        <v>#DIV/0!</v>
      </c>
      <c r="AH17" s="6020" t="e">
        <f>($L$17-U17)*U5/1000*년간!H215/1000</f>
        <v>#DIV/0!</v>
      </c>
      <c r="AI17" s="6020" t="e">
        <f>($L$17-V17)*V5/1000*년간!I215/1000</f>
        <v>#DIV/0!</v>
      </c>
      <c r="AJ17" s="6020" t="e">
        <f>($L$17-W17)*W5/1000*년간!J215/1000</f>
        <v>#DIV/0!</v>
      </c>
      <c r="AK17" s="6020" t="e">
        <f>($L$17-X17)*X5/1000*년간!K215/1000</f>
        <v>#DIV/0!</v>
      </c>
      <c r="AL17" s="6020" t="e">
        <f>($L$17-Y17)*Y5/1000*년간!L215/1000</f>
        <v>#DIV/0!</v>
      </c>
      <c r="AM17" s="6020" t="e">
        <f>($L$17-Z17)*Z5/1000*년간!M215/1000</f>
        <v>#DIV/0!</v>
      </c>
      <c r="AN17" s="4138">
        <f>(L17-M17)*M5/1000*년간!C215/1000</f>
        <v>84155.753366892503</v>
      </c>
      <c r="AO17" s="4138">
        <f>AD17</f>
        <v>-238642.04612984607</v>
      </c>
      <c r="AP17" s="3704">
        <f>AO17/AN17</f>
        <v>-2.8357187308328418</v>
      </c>
      <c r="AQ17" s="886" t="s">
        <v>1904</v>
      </c>
      <c r="AR17" s="298"/>
    </row>
    <row r="18" spans="1:44" s="1453" customFormat="1" ht="17.25" thickBot="1">
      <c r="A18" s="8067"/>
      <c r="B18" s="1965" t="s">
        <v>1454</v>
      </c>
      <c r="C18" s="1522" t="s">
        <v>266</v>
      </c>
      <c r="D18" s="3246">
        <f>스크!O9</f>
        <v>5.0463282813080603</v>
      </c>
      <c r="E18" s="3247">
        <f>스크!O10</f>
        <v>6.2361664615134718</v>
      </c>
      <c r="F18" s="3248">
        <f>스크!O11</f>
        <v>10.39604409959378</v>
      </c>
      <c r="G18" s="3249">
        <f>스크!O12</f>
        <v>11.080875269004844</v>
      </c>
      <c r="H18" s="3249">
        <f>스크!O13</f>
        <v>12.472939130562299</v>
      </c>
      <c r="I18" s="4658">
        <f>스크!O14</f>
        <v>4.7723774099444256</v>
      </c>
      <c r="J18" s="5745">
        <f>스크!O15</f>
        <v>4.8366748760360867</v>
      </c>
      <c r="K18" s="5745">
        <f>스크!O16</f>
        <v>4.4457959925817487</v>
      </c>
      <c r="L18" s="5722">
        <v>3.2502880488023203</v>
      </c>
      <c r="M18" s="5916">
        <f>(M11+M12+M13+M14+종합!K48)*1000/CGL!M5</f>
        <v>3.2162202491979408</v>
      </c>
      <c r="N18" s="5908">
        <f>M18</f>
        <v>3.2162202491979408</v>
      </c>
      <c r="O18" s="4659" t="e">
        <f>스크!O19</f>
        <v>#DIV/0!</v>
      </c>
      <c r="P18" s="4660" t="e">
        <f>스크!O20</f>
        <v>#DIV/0!</v>
      </c>
      <c r="Q18" s="7516">
        <f>스크!O21</f>
        <v>9.5382815836107806</v>
      </c>
      <c r="R18" s="4661" t="e">
        <f>스크!O23</f>
        <v>#DIV/0!</v>
      </c>
      <c r="S18" s="4660" t="e">
        <f>스크!O24</f>
        <v>#DIV/0!</v>
      </c>
      <c r="T18" s="4660" t="e">
        <f>스크!O25</f>
        <v>#DIV/0!</v>
      </c>
      <c r="U18" s="4660" t="e">
        <f>스크!O28</f>
        <v>#DIV/0!</v>
      </c>
      <c r="V18" s="4660" t="e">
        <f>스크!O29</f>
        <v>#DIV/0!</v>
      </c>
      <c r="W18" s="4660" t="e">
        <f>스크!O30</f>
        <v>#DIV/0!</v>
      </c>
      <c r="X18" s="4662" t="e">
        <f>스크!O32</f>
        <v>#DIV/0!</v>
      </c>
      <c r="Y18" s="4661" t="e">
        <f>스크!O33</f>
        <v>#DIV/0!</v>
      </c>
      <c r="Z18" s="4662" t="e">
        <f>스크!O34</f>
        <v>#DIV/0!</v>
      </c>
      <c r="AA18" s="4660">
        <f>스크!O37</f>
        <v>11.201211444184217</v>
      </c>
      <c r="AB18" s="4506"/>
      <c r="AC18" s="2983"/>
      <c r="AD18" s="2983"/>
      <c r="AE18" s="2983"/>
      <c r="AF18" s="2983"/>
      <c r="AG18" s="2983"/>
      <c r="AH18" s="2983"/>
      <c r="AI18" s="2983"/>
      <c r="AJ18" s="2983"/>
      <c r="AK18" s="2983"/>
      <c r="AL18" s="2983"/>
      <c r="AM18" s="2983"/>
      <c r="AN18" s="2983"/>
      <c r="AO18" s="2983"/>
      <c r="AP18" s="2984"/>
      <c r="AQ18" s="2995"/>
      <c r="AR18" s="1451"/>
    </row>
    <row r="19" spans="1:44" s="340" customFormat="1" ht="15.75" customHeight="1">
      <c r="A19" s="7798" t="s">
        <v>772</v>
      </c>
      <c r="B19" s="7823" t="s">
        <v>763</v>
      </c>
      <c r="C19" s="954" t="s">
        <v>720</v>
      </c>
      <c r="D19" s="1017"/>
      <c r="E19" s="1018"/>
      <c r="F19" s="1018"/>
      <c r="G19" s="1018">
        <v>97</v>
      </c>
      <c r="H19" s="1018">
        <v>53</v>
      </c>
      <c r="I19" s="1019">
        <v>22</v>
      </c>
      <c r="J19" s="1771">
        <v>15</v>
      </c>
      <c r="K19" s="1771">
        <v>18</v>
      </c>
      <c r="L19" s="5723">
        <v>4</v>
      </c>
      <c r="M19" s="5917">
        <v>3</v>
      </c>
      <c r="N19" s="5918">
        <f t="shared" ref="N19:N24" si="2">M19/10</f>
        <v>0.3</v>
      </c>
      <c r="O19" s="1804">
        <f>년간!F37</f>
        <v>0</v>
      </c>
      <c r="P19" s="2011">
        <f>년간!G37</f>
        <v>0</v>
      </c>
      <c r="Q19" s="7517">
        <v>5</v>
      </c>
      <c r="R19" s="4613">
        <f>년간!I37</f>
        <v>0</v>
      </c>
      <c r="S19" s="2011">
        <f>년간!J37</f>
        <v>0</v>
      </c>
      <c r="T19" s="2011">
        <f>년간!K37</f>
        <v>0</v>
      </c>
      <c r="U19" s="2011">
        <f>년간!L37</f>
        <v>0</v>
      </c>
      <c r="V19" s="2011">
        <f>년간!M37</f>
        <v>0</v>
      </c>
      <c r="W19" s="2011">
        <f>년간!N37</f>
        <v>0</v>
      </c>
      <c r="X19" s="2644">
        <f>년간!O37</f>
        <v>0</v>
      </c>
      <c r="Y19" s="4613">
        <f>년간!P37</f>
        <v>0</v>
      </c>
      <c r="Z19" s="2644">
        <f>년간!Q37</f>
        <v>0</v>
      </c>
      <c r="AA19" s="1271">
        <f t="shared" si="1"/>
        <v>5</v>
      </c>
      <c r="AB19" s="4498">
        <f>년간!F39/1000</f>
        <v>997.76049998260339</v>
      </c>
      <c r="AC19" s="4246">
        <f>년간!G39/1000</f>
        <v>997.76049998260339</v>
      </c>
      <c r="AD19" s="4246">
        <f>년간!H39/1000</f>
        <v>997.76049998260339</v>
      </c>
      <c r="AE19" s="4246">
        <f>년간!I39/1000</f>
        <v>997.76049998260339</v>
      </c>
      <c r="AF19" s="4246">
        <f>년간!J39/1000</f>
        <v>997.76049998260339</v>
      </c>
      <c r="AG19" s="4246">
        <f>년간!K39/1000</f>
        <v>997.76049998260339</v>
      </c>
      <c r="AH19" s="4246">
        <f>년간!L39/1000</f>
        <v>997.76049998260339</v>
      </c>
      <c r="AI19" s="4246">
        <f>년간!M39/1000</f>
        <v>997.76049998260339</v>
      </c>
      <c r="AJ19" s="4246">
        <f>년간!N39/1000</f>
        <v>997.76049998260339</v>
      </c>
      <c r="AK19" s="4246">
        <f>년간!O39/1000</f>
        <v>997.76049998260339</v>
      </c>
      <c r="AL19" s="4246">
        <f>년간!P39/1000</f>
        <v>997.76049998260339</v>
      </c>
      <c r="AM19" s="4246">
        <f>년간!Q39/1000</f>
        <v>997.76049998260339</v>
      </c>
      <c r="AN19" s="4246">
        <f>(L19*12/10-M19)*년간!F215/1000</f>
        <v>5387.9066999060578</v>
      </c>
      <c r="AO19" s="4136">
        <f>AB19+AC19+AD19+AE19+AF19+AG19+AH19+AI19+AJ19+AK19</f>
        <v>9977.6049998260332</v>
      </c>
      <c r="AP19" s="1020">
        <f t="shared" ref="AP19:AP24" si="3">AO19/AN19</f>
        <v>1.8518518518518519</v>
      </c>
      <c r="AQ19" s="1021"/>
      <c r="AR19" s="298"/>
    </row>
    <row r="20" spans="1:44" s="340" customFormat="1" ht="15.75" customHeight="1">
      <c r="A20" s="7799"/>
      <c r="B20" s="7824"/>
      <c r="C20" s="888" t="s">
        <v>770</v>
      </c>
      <c r="D20" s="983"/>
      <c r="E20" s="1022"/>
      <c r="F20" s="1022"/>
      <c r="G20" s="1022">
        <v>108.11666666666666</v>
      </c>
      <c r="H20" s="1022">
        <v>77.849999999999994</v>
      </c>
      <c r="I20" s="3256">
        <v>28</v>
      </c>
      <c r="J20" s="5779">
        <v>21.35</v>
      </c>
      <c r="K20" s="5779">
        <v>50.95</v>
      </c>
      <c r="L20" s="5786">
        <v>12.133333333333333</v>
      </c>
      <c r="M20" s="5919">
        <v>6</v>
      </c>
      <c r="N20" s="5915">
        <f t="shared" si="2"/>
        <v>0.6</v>
      </c>
      <c r="O20" s="3320">
        <f>년간!F36/60</f>
        <v>0</v>
      </c>
      <c r="P20" s="3255">
        <f>년간!G36/60</f>
        <v>0</v>
      </c>
      <c r="Q20" s="7307">
        <f>417/60</f>
        <v>6.95</v>
      </c>
      <c r="R20" s="4614">
        <f>년간!I36/60</f>
        <v>0</v>
      </c>
      <c r="S20" s="3255">
        <f>년간!J36/60</f>
        <v>0</v>
      </c>
      <c r="T20" s="3255">
        <f>년간!K36/60</f>
        <v>0</v>
      </c>
      <c r="U20" s="3255">
        <f>년간!L36/60</f>
        <v>0</v>
      </c>
      <c r="V20" s="3255">
        <f>년간!M36/60</f>
        <v>0</v>
      </c>
      <c r="W20" s="3255">
        <f>년간!N36/60</f>
        <v>0</v>
      </c>
      <c r="X20" s="3322">
        <f>년간!O36/60</f>
        <v>0</v>
      </c>
      <c r="Y20" s="4614">
        <f>년간!P36/60</f>
        <v>0</v>
      </c>
      <c r="Z20" s="3322">
        <f>년간!Q36/60</f>
        <v>0</v>
      </c>
      <c r="AA20" s="4841">
        <f t="shared" si="1"/>
        <v>6.95</v>
      </c>
      <c r="AB20" s="4499">
        <f>년간!F38/1000</f>
        <v>2290.827933333333</v>
      </c>
      <c r="AC20" s="4247">
        <f>년간!G38/1000</f>
        <v>2290.827933333333</v>
      </c>
      <c r="AD20" s="4247">
        <f>년간!H38/1000</f>
        <v>2290.827933333333</v>
      </c>
      <c r="AE20" s="4247">
        <f>년간!I38/1000</f>
        <v>2290.827933333333</v>
      </c>
      <c r="AF20" s="4247">
        <f>년간!J38/1000</f>
        <v>2290.827933333333</v>
      </c>
      <c r="AG20" s="4247">
        <f>년간!K38/1000</f>
        <v>2290.827933333333</v>
      </c>
      <c r="AH20" s="4247">
        <f>년간!L38/1000</f>
        <v>2290.827933333333</v>
      </c>
      <c r="AI20" s="4247">
        <f>년간!M38/1000</f>
        <v>2290.827933333333</v>
      </c>
      <c r="AJ20" s="4247">
        <f>년간!N38/1000</f>
        <v>2290.827933333333</v>
      </c>
      <c r="AK20" s="4247">
        <f>년간!O38/1000</f>
        <v>2290.827933333333</v>
      </c>
      <c r="AL20" s="4247">
        <f>년간!P38/1000</f>
        <v>2290.827933333333</v>
      </c>
      <c r="AM20" s="4247">
        <f>년간!Q38/1000</f>
        <v>2290.827933333333</v>
      </c>
      <c r="AN20" s="4247">
        <f>(L20-M20)*년간!E215/1000</f>
        <v>13896.011199999999</v>
      </c>
      <c r="AO20" s="4138">
        <f>AB20+AC20+AD20+AE20+AF20+AG20+AH20+AI20+AJ20+AK20</f>
        <v>22908.279333333336</v>
      </c>
      <c r="AP20" s="3712">
        <f t="shared" si="3"/>
        <v>1.6485507246376814</v>
      </c>
      <c r="AQ20" s="3331" t="s">
        <v>1910</v>
      </c>
      <c r="AR20" s="696"/>
    </row>
    <row r="21" spans="1:44" s="340" customFormat="1" ht="15.75" customHeight="1">
      <c r="A21" s="7799"/>
      <c r="B21" s="8060" t="s">
        <v>768</v>
      </c>
      <c r="C21" s="888" t="s">
        <v>720</v>
      </c>
      <c r="D21" s="983"/>
      <c r="E21" s="1022"/>
      <c r="F21" s="1022"/>
      <c r="G21" s="1022">
        <v>35</v>
      </c>
      <c r="H21" s="1022">
        <v>27</v>
      </c>
      <c r="I21" s="3256">
        <v>18</v>
      </c>
      <c r="J21" s="5746">
        <v>13</v>
      </c>
      <c r="K21" s="5746">
        <v>18</v>
      </c>
      <c r="L21" s="5724">
        <v>3</v>
      </c>
      <c r="M21" s="5920">
        <f>고장!M50</f>
        <v>6</v>
      </c>
      <c r="N21" s="5921">
        <f t="shared" si="2"/>
        <v>0.6</v>
      </c>
      <c r="O21" s="3713">
        <f>년간!F42</f>
        <v>0</v>
      </c>
      <c r="P21" s="3256">
        <f>년간!G42</f>
        <v>0</v>
      </c>
      <c r="Q21" s="7518">
        <f>년간!H42</f>
        <v>1</v>
      </c>
      <c r="R21" s="4615">
        <f>년간!I42</f>
        <v>0</v>
      </c>
      <c r="S21" s="3256">
        <f>년간!J42</f>
        <v>0</v>
      </c>
      <c r="T21" s="3256">
        <f>년간!K42</f>
        <v>0</v>
      </c>
      <c r="U21" s="3256">
        <f>년간!L42</f>
        <v>0</v>
      </c>
      <c r="V21" s="3256">
        <f>년간!M42</f>
        <v>0</v>
      </c>
      <c r="W21" s="3256">
        <f>년간!N42</f>
        <v>0</v>
      </c>
      <c r="X21" s="3714">
        <f>년간!O42</f>
        <v>0</v>
      </c>
      <c r="Y21" s="4615">
        <f>년간!P42</f>
        <v>0</v>
      </c>
      <c r="Z21" s="3714">
        <f>년간!Q42</f>
        <v>0</v>
      </c>
      <c r="AA21" s="3259">
        <f t="shared" si="1"/>
        <v>1</v>
      </c>
      <c r="AB21" s="4492"/>
      <c r="AC21" s="3686"/>
      <c r="AD21" s="3686"/>
      <c r="AE21" s="3686"/>
      <c r="AF21" s="3686"/>
      <c r="AG21" s="3686"/>
      <c r="AH21" s="3686"/>
      <c r="AI21" s="3686"/>
      <c r="AJ21" s="3686"/>
      <c r="AK21" s="3686"/>
      <c r="AL21" s="3686"/>
      <c r="AM21" s="3686"/>
      <c r="AN21" s="3686"/>
      <c r="AO21" s="3686"/>
      <c r="AP21" s="3698"/>
      <c r="AQ21" s="3699"/>
      <c r="AR21" s="298"/>
    </row>
    <row r="22" spans="1:44" s="340" customFormat="1" ht="15.75" customHeight="1">
      <c r="A22" s="7799"/>
      <c r="B22" s="7824"/>
      <c r="C22" s="888" t="s">
        <v>770</v>
      </c>
      <c r="D22" s="983"/>
      <c r="E22" s="1022"/>
      <c r="F22" s="1022"/>
      <c r="G22" s="1022">
        <v>73.766666666666666</v>
      </c>
      <c r="H22" s="1022">
        <v>45</v>
      </c>
      <c r="I22" s="3256">
        <v>32</v>
      </c>
      <c r="J22" s="5779">
        <v>40.18</v>
      </c>
      <c r="K22" s="5779">
        <v>48.783333333333339</v>
      </c>
      <c r="L22" s="5786">
        <v>9</v>
      </c>
      <c r="M22" s="5922">
        <f>고장!M38</f>
        <v>10</v>
      </c>
      <c r="N22" s="5921">
        <f t="shared" si="2"/>
        <v>1</v>
      </c>
      <c r="O22" s="3715">
        <f>년간!F52/60</f>
        <v>0</v>
      </c>
      <c r="P22" s="3257">
        <f>년간!G52/60</f>
        <v>0</v>
      </c>
      <c r="Q22" s="7519">
        <f>년간!H52/60</f>
        <v>0.25</v>
      </c>
      <c r="R22" s="4616">
        <f>년간!I52/60</f>
        <v>0</v>
      </c>
      <c r="S22" s="3257">
        <f>년간!J52/60</f>
        <v>0</v>
      </c>
      <c r="T22" s="3257">
        <f>년간!K52/60</f>
        <v>0</v>
      </c>
      <c r="U22" s="3257">
        <f>년간!L52/60</f>
        <v>0</v>
      </c>
      <c r="V22" s="3257">
        <f>년간!M52/60</f>
        <v>0</v>
      </c>
      <c r="W22" s="3257">
        <f>년간!N52/60</f>
        <v>0</v>
      </c>
      <c r="X22" s="3716">
        <f>년간!O52/60</f>
        <v>0</v>
      </c>
      <c r="Y22" s="4616">
        <f>년간!P52/60</f>
        <v>0</v>
      </c>
      <c r="Z22" s="3716">
        <f>년간!Q52/60</f>
        <v>0</v>
      </c>
      <c r="AA22" s="4841">
        <f t="shared" si="1"/>
        <v>0.25</v>
      </c>
      <c r="AB22" s="4499" t="e">
        <f>년간!F178/1000</f>
        <v>#DIV/0!</v>
      </c>
      <c r="AC22" s="4247" t="e">
        <f>년간!G178/1000</f>
        <v>#DIV/0!</v>
      </c>
      <c r="AD22" s="4247">
        <f>년간!H178/1000</f>
        <v>1301.9564486678737</v>
      </c>
      <c r="AE22" s="4247" t="e">
        <f>년간!I178/1000</f>
        <v>#DIV/0!</v>
      </c>
      <c r="AF22" s="4247" t="e">
        <f>년간!J178/1000</f>
        <v>#DIV/0!</v>
      </c>
      <c r="AG22" s="4247" t="e">
        <f>년간!K178/1000</f>
        <v>#DIV/0!</v>
      </c>
      <c r="AH22" s="4247" t="e">
        <f>년간!L178/1000</f>
        <v>#DIV/0!</v>
      </c>
      <c r="AI22" s="4247" t="e">
        <f>년간!M178/1000</f>
        <v>#DIV/0!</v>
      </c>
      <c r="AJ22" s="4247" t="e">
        <f>년간!N178/1000</f>
        <v>#DIV/0!</v>
      </c>
      <c r="AK22" s="4247" t="e">
        <f>년간!O178/1000</f>
        <v>#DIV/0!</v>
      </c>
      <c r="AL22" s="4247" t="e">
        <f>년간!P178/1000</f>
        <v>#DIV/0!</v>
      </c>
      <c r="AM22" s="4247" t="e">
        <f>년간!Q178/1000</f>
        <v>#DIV/0!</v>
      </c>
      <c r="AN22" s="4247">
        <f>년간!E178/1000</f>
        <v>-2336.6216197815365</v>
      </c>
      <c r="AO22" s="4247" t="e">
        <f>AB22+AC22+AD22+AE22+AF22+AG22+AH22+AI22+AJ22+AK22</f>
        <v>#DIV/0!</v>
      </c>
      <c r="AP22" s="3712" t="e">
        <f t="shared" si="3"/>
        <v>#DIV/0!</v>
      </c>
      <c r="AQ22" s="3334"/>
      <c r="AR22" s="298"/>
    </row>
    <row r="23" spans="1:44" s="340" customFormat="1" ht="15.75" customHeight="1">
      <c r="A23" s="7799"/>
      <c r="B23" s="8060" t="s">
        <v>769</v>
      </c>
      <c r="C23" s="888" t="s">
        <v>720</v>
      </c>
      <c r="D23" s="983"/>
      <c r="E23" s="1022"/>
      <c r="F23" s="1022"/>
      <c r="G23" s="1022">
        <v>20</v>
      </c>
      <c r="H23" s="1022">
        <v>21</v>
      </c>
      <c r="I23" s="3256">
        <v>16</v>
      </c>
      <c r="J23" s="5746">
        <v>21</v>
      </c>
      <c r="K23" s="5746">
        <v>14</v>
      </c>
      <c r="L23" s="5724">
        <v>7</v>
      </c>
      <c r="M23" s="5920">
        <f>고장!M88</f>
        <v>6</v>
      </c>
      <c r="N23" s="5921">
        <f t="shared" si="2"/>
        <v>0.6</v>
      </c>
      <c r="O23" s="3713">
        <f>년간!F47</f>
        <v>0</v>
      </c>
      <c r="P23" s="3256">
        <f>년간!G47</f>
        <v>0</v>
      </c>
      <c r="Q23" s="7518">
        <f>년간!H47</f>
        <v>2</v>
      </c>
      <c r="R23" s="4615">
        <f>년간!I47</f>
        <v>0</v>
      </c>
      <c r="S23" s="3256">
        <f>년간!J47</f>
        <v>0</v>
      </c>
      <c r="T23" s="3256">
        <f>년간!K47</f>
        <v>0</v>
      </c>
      <c r="U23" s="3256">
        <f>년간!L47</f>
        <v>0</v>
      </c>
      <c r="V23" s="3256">
        <f>년간!M47</f>
        <v>0</v>
      </c>
      <c r="W23" s="3256">
        <f>년간!N47</f>
        <v>0</v>
      </c>
      <c r="X23" s="3714">
        <f>년간!O47</f>
        <v>0</v>
      </c>
      <c r="Y23" s="4615">
        <f>년간!P47</f>
        <v>0</v>
      </c>
      <c r="Z23" s="3714">
        <f>년간!Q47</f>
        <v>0</v>
      </c>
      <c r="AA23" s="3259">
        <f t="shared" si="1"/>
        <v>2</v>
      </c>
      <c r="AB23" s="4492"/>
      <c r="AC23" s="3686"/>
      <c r="AD23" s="3686"/>
      <c r="AE23" s="3686"/>
      <c r="AF23" s="3686"/>
      <c r="AG23" s="3686"/>
      <c r="AH23" s="3686"/>
      <c r="AI23" s="3686"/>
      <c r="AJ23" s="3686"/>
      <c r="AK23" s="3686"/>
      <c r="AL23" s="3686"/>
      <c r="AM23" s="3686"/>
      <c r="AN23" s="3686"/>
      <c r="AO23" s="3686"/>
      <c r="AP23" s="3698"/>
      <c r="AQ23" s="3699"/>
      <c r="AR23" s="298"/>
    </row>
    <row r="24" spans="1:44" s="340" customFormat="1" ht="15.75" customHeight="1" thickBot="1">
      <c r="A24" s="7827"/>
      <c r="B24" s="7826"/>
      <c r="C24" s="869" t="s">
        <v>770</v>
      </c>
      <c r="D24" s="1023"/>
      <c r="E24" s="1024"/>
      <c r="F24" s="1024"/>
      <c r="G24" s="1024">
        <v>7.5666666666666664</v>
      </c>
      <c r="H24" s="1024">
        <v>19</v>
      </c>
      <c r="I24" s="2260">
        <v>35</v>
      </c>
      <c r="J24" s="6673">
        <v>19.52</v>
      </c>
      <c r="K24" s="6673">
        <v>27.916666666666668</v>
      </c>
      <c r="L24" s="6674">
        <v>3.05</v>
      </c>
      <c r="M24" s="5923">
        <f>고장!M76</f>
        <v>8</v>
      </c>
      <c r="N24" s="6101">
        <f t="shared" si="2"/>
        <v>0.8</v>
      </c>
      <c r="O24" s="3717">
        <f>년간!F57/60</f>
        <v>0</v>
      </c>
      <c r="P24" s="2225">
        <f>년간!G57/60</f>
        <v>0</v>
      </c>
      <c r="Q24" s="7520">
        <f>년간!H57/60</f>
        <v>0.73333333333333328</v>
      </c>
      <c r="R24" s="4617">
        <f>년간!I57/60</f>
        <v>0</v>
      </c>
      <c r="S24" s="2225">
        <f>년간!J57/60</f>
        <v>0</v>
      </c>
      <c r="T24" s="2225">
        <f>년간!K57/60</f>
        <v>0</v>
      </c>
      <c r="U24" s="2225">
        <f>년간!L57/60</f>
        <v>0</v>
      </c>
      <c r="V24" s="2225">
        <f>년간!M57/60</f>
        <v>0</v>
      </c>
      <c r="W24" s="2225">
        <f>년간!N57/60</f>
        <v>0</v>
      </c>
      <c r="X24" s="2646">
        <f>년간!O57/60</f>
        <v>0</v>
      </c>
      <c r="Y24" s="4617">
        <f>년간!P57/60</f>
        <v>0</v>
      </c>
      <c r="Z24" s="2646">
        <f>년간!Q57/60</f>
        <v>0</v>
      </c>
      <c r="AA24" s="2224">
        <f t="shared" si="1"/>
        <v>0.73333333333333328</v>
      </c>
      <c r="AB24" s="4500" t="e">
        <f>년간!F184/1000</f>
        <v>#DIV/0!</v>
      </c>
      <c r="AC24" s="2989" t="e">
        <f>년간!G184/1000</f>
        <v>#DIV/0!</v>
      </c>
      <c r="AD24" s="2989">
        <f>년간!H184/1000</f>
        <v>-1009.597690044934</v>
      </c>
      <c r="AE24" s="2989" t="e">
        <f>년간!I184/1000</f>
        <v>#DIV/0!</v>
      </c>
      <c r="AF24" s="2989" t="e">
        <f>년간!J184/1000</f>
        <v>#DIV/0!</v>
      </c>
      <c r="AG24" s="2989" t="e">
        <f>년간!K184/1000</f>
        <v>#DIV/0!</v>
      </c>
      <c r="AH24" s="2989" t="e">
        <f>년간!L184/1000</f>
        <v>#DIV/0!</v>
      </c>
      <c r="AI24" s="2989" t="e">
        <f>년간!M184/1000</f>
        <v>#DIV/0!</v>
      </c>
      <c r="AJ24" s="2989" t="e">
        <f>년간!N184/1000</f>
        <v>#DIV/0!</v>
      </c>
      <c r="AK24" s="2989" t="e">
        <f>년간!O184/1000</f>
        <v>#DIV/0!</v>
      </c>
      <c r="AL24" s="2989" t="e">
        <f>년간!P184/1000</f>
        <v>#DIV/0!</v>
      </c>
      <c r="AM24" s="2989" t="e">
        <f>년간!Q184/1000</f>
        <v>#DIV/0!</v>
      </c>
      <c r="AN24" s="2989">
        <f>년간!E184/1000</f>
        <v>-11202.472299648187</v>
      </c>
      <c r="AO24" s="2989" t="e">
        <f>AB24+AC24+AD24+AE24+AF24+AG24+AH24+AI24+AJ24+AK24</f>
        <v>#DIV/0!</v>
      </c>
      <c r="AP24" s="3718" t="e">
        <f t="shared" si="3"/>
        <v>#DIV/0!</v>
      </c>
      <c r="AQ24" s="2991"/>
      <c r="AR24" s="298"/>
    </row>
    <row r="25" spans="1:44" s="340" customFormat="1" ht="15.75" customHeight="1">
      <c r="A25" s="8068" t="s">
        <v>309</v>
      </c>
      <c r="B25" s="992" t="s">
        <v>310</v>
      </c>
      <c r="C25" s="871" t="s">
        <v>290</v>
      </c>
      <c r="D25" s="993">
        <v>103.82</v>
      </c>
      <c r="E25" s="994">
        <v>103.88</v>
      </c>
      <c r="F25" s="994">
        <v>104.1</v>
      </c>
      <c r="G25" s="994">
        <v>103.62</v>
      </c>
      <c r="H25" s="994">
        <v>102.28</v>
      </c>
      <c r="I25" s="995">
        <v>101.81</v>
      </c>
      <c r="J25" s="5747">
        <v>101.58</v>
      </c>
      <c r="K25" s="5747">
        <v>99.984010721754942</v>
      </c>
      <c r="L25" s="5725">
        <v>100.3372491265694</v>
      </c>
      <c r="M25" s="5924">
        <v>99.99</v>
      </c>
      <c r="N25" s="5925">
        <v>99.99</v>
      </c>
      <c r="O25" s="3719">
        <v>0</v>
      </c>
      <c r="P25" s="995">
        <v>0</v>
      </c>
      <c r="Q25" s="7521">
        <v>101.0991167</v>
      </c>
      <c r="R25" s="1563">
        <v>0</v>
      </c>
      <c r="S25" s="995">
        <v>0</v>
      </c>
      <c r="T25" s="995">
        <v>0</v>
      </c>
      <c r="U25" s="995">
        <v>0</v>
      </c>
      <c r="V25" s="995">
        <v>0</v>
      </c>
      <c r="W25" s="995">
        <v>0</v>
      </c>
      <c r="X25" s="994">
        <v>0</v>
      </c>
      <c r="Y25" s="1563"/>
      <c r="Z25" s="994"/>
      <c r="AA25" s="1757">
        <f t="shared" ref="AA25:AA42" si="4">AVERAGE(O25:Z25)</f>
        <v>10.109911669999999</v>
      </c>
      <c r="AB25" s="4495">
        <f>($L$25-O25)/100*32.89*O5*3228.24/1000</f>
        <v>0</v>
      </c>
      <c r="AC25" s="4136">
        <f t="shared" ref="AC25:AM25" si="5">($L$25-P25)/100*32.89*P5*3228.24/1000</f>
        <v>0</v>
      </c>
      <c r="AD25" s="4136">
        <f t="shared" si="5"/>
        <v>-18489.662154162197</v>
      </c>
      <c r="AE25" s="4136">
        <f t="shared" si="5"/>
        <v>0</v>
      </c>
      <c r="AF25" s="4136">
        <f t="shared" si="5"/>
        <v>0</v>
      </c>
      <c r="AG25" s="4136">
        <f t="shared" si="5"/>
        <v>0</v>
      </c>
      <c r="AH25" s="4136">
        <f t="shared" si="5"/>
        <v>0</v>
      </c>
      <c r="AI25" s="4136">
        <f t="shared" si="5"/>
        <v>0</v>
      </c>
      <c r="AJ25" s="4136">
        <f t="shared" si="5"/>
        <v>0</v>
      </c>
      <c r="AK25" s="4136">
        <f t="shared" si="5"/>
        <v>0</v>
      </c>
      <c r="AL25" s="4136">
        <f t="shared" si="5"/>
        <v>0</v>
      </c>
      <c r="AM25" s="4136">
        <f t="shared" si="5"/>
        <v>0</v>
      </c>
      <c r="AN25" s="4182">
        <f>(L25-M25)/100*32.89*M5*3228.24/1000</f>
        <v>98833.201385992157</v>
      </c>
      <c r="AO25" s="4182">
        <f>SUM(AB25:AM25)</f>
        <v>-18489.662154162197</v>
      </c>
      <c r="AP25" s="3411">
        <f>AO25/AN25</f>
        <v>-0.18707946211264564</v>
      </c>
      <c r="AQ25" s="996" t="s">
        <v>2242</v>
      </c>
      <c r="AR25" s="298"/>
    </row>
    <row r="26" spans="1:44" s="340" customFormat="1" ht="15.75" customHeight="1" thickBot="1">
      <c r="A26" s="8063"/>
      <c r="B26" s="988" t="s">
        <v>311</v>
      </c>
      <c r="C26" s="888" t="s">
        <v>307</v>
      </c>
      <c r="D26" s="989">
        <v>6.0291210618090219</v>
      </c>
      <c r="E26" s="889">
        <v>5.969108417572941</v>
      </c>
      <c r="F26" s="889">
        <v>4.2878337453015725</v>
      </c>
      <c r="G26" s="889">
        <v>5.4081180600117547</v>
      </c>
      <c r="H26" s="889">
        <v>5.35</v>
      </c>
      <c r="I26" s="3142">
        <v>4.5</v>
      </c>
      <c r="J26" s="5748">
        <v>4.18</v>
      </c>
      <c r="K26" s="5748">
        <v>4.1374715776825299</v>
      </c>
      <c r="L26" s="5726">
        <v>4.275902450111003</v>
      </c>
      <c r="M26" s="5926">
        <v>3.5</v>
      </c>
      <c r="N26" s="5927">
        <v>3.5</v>
      </c>
      <c r="O26" s="3703">
        <v>0</v>
      </c>
      <c r="P26" s="3142">
        <v>0</v>
      </c>
      <c r="Q26" s="7258">
        <v>2.1656356928262332</v>
      </c>
      <c r="R26" s="3141">
        <v>0</v>
      </c>
      <c r="S26" s="3142">
        <v>0</v>
      </c>
      <c r="T26" s="3142">
        <v>0</v>
      </c>
      <c r="U26" s="3142">
        <v>0</v>
      </c>
      <c r="V26" s="3142">
        <v>0</v>
      </c>
      <c r="W26" s="3142">
        <v>0</v>
      </c>
      <c r="X26" s="3220">
        <v>0</v>
      </c>
      <c r="Y26" s="3141"/>
      <c r="Z26" s="3220"/>
      <c r="AA26" s="2111">
        <f t="shared" si="4"/>
        <v>0.21656356928262332</v>
      </c>
      <c r="AB26" s="4494">
        <f>($L$26-O26)*645.648*O5/1000</f>
        <v>0</v>
      </c>
      <c r="AC26" s="7087">
        <f t="shared" ref="AC26:AM26" si="6">($L$26-P26)*645.648*P5/1000</f>
        <v>0</v>
      </c>
      <c r="AD26" s="7087">
        <f t="shared" si="6"/>
        <v>31142.463634638516</v>
      </c>
      <c r="AE26" s="7087">
        <f t="shared" si="6"/>
        <v>0</v>
      </c>
      <c r="AF26" s="7087">
        <f t="shared" si="6"/>
        <v>0</v>
      </c>
      <c r="AG26" s="7087">
        <f t="shared" si="6"/>
        <v>0</v>
      </c>
      <c r="AH26" s="7087">
        <f t="shared" si="6"/>
        <v>0</v>
      </c>
      <c r="AI26" s="7087">
        <f t="shared" si="6"/>
        <v>0</v>
      </c>
      <c r="AJ26" s="7087">
        <f t="shared" si="6"/>
        <v>0</v>
      </c>
      <c r="AK26" s="7087">
        <f t="shared" si="6"/>
        <v>0</v>
      </c>
      <c r="AL26" s="7087">
        <f t="shared" si="6"/>
        <v>0</v>
      </c>
      <c r="AM26" s="7087">
        <f t="shared" si="6"/>
        <v>0</v>
      </c>
      <c r="AN26" s="4138">
        <f>(L26-M26)*645.648*M5/1000</f>
        <v>134287.30144119062</v>
      </c>
      <c r="AO26" s="4138">
        <f>SUM(AB26:AM26)</f>
        <v>31142.463634638516</v>
      </c>
      <c r="AP26" s="3704">
        <f>AO26/AN26</f>
        <v>0.23190922224523927</v>
      </c>
      <c r="AQ26" s="3720" t="s">
        <v>2244</v>
      </c>
      <c r="AR26" s="6675" t="s">
        <v>2110</v>
      </c>
    </row>
    <row r="27" spans="1:44" s="340" customFormat="1" ht="15.75" customHeight="1">
      <c r="A27" s="8070" t="s">
        <v>296</v>
      </c>
      <c r="B27" s="8073" t="s">
        <v>312</v>
      </c>
      <c r="C27" s="879" t="s">
        <v>313</v>
      </c>
      <c r="D27" s="1007">
        <v>20.02</v>
      </c>
      <c r="E27" s="1008">
        <v>18.89</v>
      </c>
      <c r="F27" s="1008">
        <v>18.96</v>
      </c>
      <c r="G27" s="1008">
        <v>19.028502392263018</v>
      </c>
      <c r="H27" s="1008">
        <v>19.101947616711083</v>
      </c>
      <c r="I27" s="1025">
        <v>20.55</v>
      </c>
      <c r="J27" s="5749">
        <v>20.22</v>
      </c>
      <c r="K27" s="5749">
        <v>19.778588486790369</v>
      </c>
      <c r="L27" s="5727">
        <v>19.756643880855766</v>
      </c>
      <c r="M27" s="5928">
        <v>19.03</v>
      </c>
      <c r="N27" s="5929">
        <v>19.03</v>
      </c>
      <c r="O27" s="3705">
        <v>0</v>
      </c>
      <c r="P27" s="1025">
        <v>0</v>
      </c>
      <c r="Q27" s="7513">
        <v>20.529526364536427</v>
      </c>
      <c r="R27" s="4609">
        <v>0</v>
      </c>
      <c r="S27" s="1025">
        <v>0</v>
      </c>
      <c r="T27" s="1025">
        <v>0</v>
      </c>
      <c r="U27" s="1025">
        <v>0</v>
      </c>
      <c r="V27" s="1025">
        <v>0</v>
      </c>
      <c r="W27" s="1025">
        <v>0</v>
      </c>
      <c r="X27" s="1008">
        <v>0</v>
      </c>
      <c r="Y27" s="4609"/>
      <c r="Z27" s="1008"/>
      <c r="AA27" s="1758">
        <f t="shared" si="4"/>
        <v>2.0529526364536426</v>
      </c>
      <c r="AB27" s="4495">
        <f>($L$27-O27)*504.3*O5/1000</f>
        <v>0</v>
      </c>
      <c r="AC27" s="4136">
        <f>($L$27-P27)*504.3*P5/1000</f>
        <v>0</v>
      </c>
      <c r="AD27" s="4136">
        <f t="shared" ref="AD27:AM27" si="7">($L$27-Q27)*504.3*Q5/1000</f>
        <v>-8908.8619898803317</v>
      </c>
      <c r="AE27" s="4136">
        <f t="shared" si="7"/>
        <v>0</v>
      </c>
      <c r="AF27" s="4136">
        <f t="shared" si="7"/>
        <v>0</v>
      </c>
      <c r="AG27" s="4136">
        <f t="shared" si="7"/>
        <v>0</v>
      </c>
      <c r="AH27" s="4136">
        <f t="shared" si="7"/>
        <v>0</v>
      </c>
      <c r="AI27" s="4136">
        <f t="shared" si="7"/>
        <v>0</v>
      </c>
      <c r="AJ27" s="4136">
        <f t="shared" si="7"/>
        <v>0</v>
      </c>
      <c r="AK27" s="4136">
        <f t="shared" si="7"/>
        <v>0</v>
      </c>
      <c r="AL27" s="4136">
        <f t="shared" si="7"/>
        <v>0</v>
      </c>
      <c r="AM27" s="4136">
        <f t="shared" si="7"/>
        <v>0</v>
      </c>
      <c r="AN27" s="4136">
        <f>(L27-M27)*504.3*M5/1000</f>
        <v>98229.65123351755</v>
      </c>
      <c r="AO27" s="4136">
        <f>SUM(AB27:AM27)</f>
        <v>-8908.8619898803317</v>
      </c>
      <c r="AP27" s="1011">
        <f>AO27/AN27</f>
        <v>-9.0694223974201418E-2</v>
      </c>
      <c r="AQ27" s="886" t="s">
        <v>2237</v>
      </c>
      <c r="AR27" s="298"/>
    </row>
    <row r="28" spans="1:44" s="340" customFormat="1" ht="15.75" customHeight="1">
      <c r="A28" s="8071"/>
      <c r="B28" s="8074"/>
      <c r="C28" s="920" t="s">
        <v>775</v>
      </c>
      <c r="D28" s="984"/>
      <c r="E28" s="1026"/>
      <c r="F28" s="1026"/>
      <c r="G28" s="1027">
        <v>13826</v>
      </c>
      <c r="H28" s="1027">
        <v>10697</v>
      </c>
      <c r="I28" s="3258">
        <v>12092</v>
      </c>
      <c r="J28" s="5750">
        <v>11574.74</v>
      </c>
      <c r="K28" s="5750">
        <v>11976.65438949101</v>
      </c>
      <c r="L28" s="5728">
        <v>11293.607460664414</v>
      </c>
      <c r="M28" s="5930"/>
      <c r="N28" s="5931"/>
      <c r="O28" s="3721">
        <v>0</v>
      </c>
      <c r="P28" s="3258">
        <v>0</v>
      </c>
      <c r="Q28" s="7522">
        <v>12485.554597425826</v>
      </c>
      <c r="R28" s="4618">
        <v>0</v>
      </c>
      <c r="S28" s="3258">
        <v>0</v>
      </c>
      <c r="T28" s="3258">
        <v>0</v>
      </c>
      <c r="U28" s="3258">
        <v>0</v>
      </c>
      <c r="V28" s="3258">
        <v>0</v>
      </c>
      <c r="W28" s="3258">
        <v>0</v>
      </c>
      <c r="X28" s="3722">
        <v>0</v>
      </c>
      <c r="Y28" s="4618"/>
      <c r="Z28" s="3722"/>
      <c r="AA28" s="3142">
        <f t="shared" si="4"/>
        <v>1248.5554597425826</v>
      </c>
      <c r="AB28" s="4492"/>
      <c r="AC28" s="3686"/>
      <c r="AD28" s="3686"/>
      <c r="AE28" s="3686"/>
      <c r="AF28" s="3686"/>
      <c r="AG28" s="3686"/>
      <c r="AH28" s="3686"/>
      <c r="AI28" s="3686"/>
      <c r="AJ28" s="3686"/>
      <c r="AK28" s="3686"/>
      <c r="AL28" s="3686"/>
      <c r="AM28" s="3686"/>
      <c r="AN28" s="3686"/>
      <c r="AO28" s="3686"/>
      <c r="AP28" s="3698"/>
      <c r="AQ28" s="3699"/>
      <c r="AR28" s="298"/>
    </row>
    <row r="29" spans="1:44" s="340" customFormat="1" ht="15.75" customHeight="1">
      <c r="A29" s="8071"/>
      <c r="B29" s="8075" t="s">
        <v>314</v>
      </c>
      <c r="C29" s="920" t="s">
        <v>315</v>
      </c>
      <c r="D29" s="984">
        <v>75.48</v>
      </c>
      <c r="E29" s="1026">
        <v>70.39</v>
      </c>
      <c r="F29" s="1026">
        <v>75.72</v>
      </c>
      <c r="G29" s="1026">
        <v>80.17</v>
      </c>
      <c r="H29" s="1026">
        <v>81.21731478694231</v>
      </c>
      <c r="I29" s="3252">
        <v>85.08</v>
      </c>
      <c r="J29" s="5751">
        <v>82.8</v>
      </c>
      <c r="K29" s="5751">
        <v>82.462816674231007</v>
      </c>
      <c r="L29" s="5729">
        <v>75.174145548344455</v>
      </c>
      <c r="M29" s="5932">
        <v>82.8</v>
      </c>
      <c r="N29" s="5933">
        <v>82.8</v>
      </c>
      <c r="O29" s="3700">
        <v>0</v>
      </c>
      <c r="P29" s="3252">
        <v>0</v>
      </c>
      <c r="Q29" s="7304">
        <v>111.11981740409844</v>
      </c>
      <c r="R29" s="3290">
        <v>0</v>
      </c>
      <c r="S29" s="3252">
        <v>0</v>
      </c>
      <c r="T29" s="3252">
        <v>0</v>
      </c>
      <c r="U29" s="3252">
        <v>0</v>
      </c>
      <c r="V29" s="3252">
        <v>0</v>
      </c>
      <c r="W29" s="3252">
        <v>0</v>
      </c>
      <c r="X29" s="3701">
        <v>0</v>
      </c>
      <c r="Y29" s="3290"/>
      <c r="Z29" s="3701"/>
      <c r="AA29" s="3142">
        <f t="shared" si="4"/>
        <v>11.111981740409844</v>
      </c>
      <c r="AB29" s="4502">
        <f>($L$29-O29)*110*O5/1000</f>
        <v>0</v>
      </c>
      <c r="AC29" s="4137">
        <f>($L$29-P29)*110*P5/1000</f>
        <v>0</v>
      </c>
      <c r="AD29" s="4137">
        <f t="shared" ref="AD29:AM29" si="8">($L$29-Q29)*110*Q5/1000</f>
        <v>-90377.242997483685</v>
      </c>
      <c r="AE29" s="4137">
        <f t="shared" si="8"/>
        <v>0</v>
      </c>
      <c r="AF29" s="4137">
        <f t="shared" si="8"/>
        <v>0</v>
      </c>
      <c r="AG29" s="4137">
        <f t="shared" si="8"/>
        <v>0</v>
      </c>
      <c r="AH29" s="4137">
        <f t="shared" si="8"/>
        <v>0</v>
      </c>
      <c r="AI29" s="4137">
        <f t="shared" si="8"/>
        <v>0</v>
      </c>
      <c r="AJ29" s="4137">
        <f t="shared" si="8"/>
        <v>0</v>
      </c>
      <c r="AK29" s="4137">
        <f t="shared" si="8"/>
        <v>0</v>
      </c>
      <c r="AL29" s="4137">
        <f t="shared" si="8"/>
        <v>0</v>
      </c>
      <c r="AM29" s="4137">
        <f t="shared" si="8"/>
        <v>0</v>
      </c>
      <c r="AN29" s="4137">
        <f>(L29-M29)*110*M5/1000</f>
        <v>-224860.51987418631</v>
      </c>
      <c r="AO29" s="4137">
        <f>SUM(AB29:AM29)</f>
        <v>-90377.242997483685</v>
      </c>
      <c r="AP29" s="3702">
        <f>AO29/AN29</f>
        <v>0.40192579403468182</v>
      </c>
      <c r="AQ29" s="3331" t="s">
        <v>2233</v>
      </c>
      <c r="AR29" s="1451"/>
    </row>
    <row r="30" spans="1:44" s="340" customFormat="1" ht="15.75" customHeight="1">
      <c r="A30" s="8071"/>
      <c r="B30" s="8074"/>
      <c r="C30" s="920" t="s">
        <v>775</v>
      </c>
      <c r="D30" s="984"/>
      <c r="E30" s="1026"/>
      <c r="F30" s="1026"/>
      <c r="G30" s="1027">
        <v>8430</v>
      </c>
      <c r="H30" s="1027">
        <v>8310</v>
      </c>
      <c r="I30" s="3258">
        <v>8913</v>
      </c>
      <c r="J30" s="5750">
        <v>8445.14</v>
      </c>
      <c r="K30" s="5750">
        <v>8428.0276622529946</v>
      </c>
      <c r="L30" s="5728">
        <v>7767.0690209038994</v>
      </c>
      <c r="M30" s="5930"/>
      <c r="N30" s="5931"/>
      <c r="O30" s="3721">
        <v>0</v>
      </c>
      <c r="P30" s="2015">
        <v>0</v>
      </c>
      <c r="Q30" s="7522">
        <v>10561.32748385515</v>
      </c>
      <c r="R30" s="4618">
        <v>0</v>
      </c>
      <c r="S30" s="3258">
        <v>0</v>
      </c>
      <c r="T30" s="3258">
        <v>0</v>
      </c>
      <c r="U30" s="3258">
        <v>0</v>
      </c>
      <c r="V30" s="3258">
        <v>0</v>
      </c>
      <c r="W30" s="3258">
        <v>0</v>
      </c>
      <c r="X30" s="3722">
        <v>0</v>
      </c>
      <c r="Y30" s="4618"/>
      <c r="Z30" s="3722"/>
      <c r="AA30" s="3142">
        <f t="shared" si="4"/>
        <v>1056.132748385515</v>
      </c>
      <c r="AB30" s="4492"/>
      <c r="AC30" s="3686"/>
      <c r="AD30" s="3686"/>
      <c r="AE30" s="3686"/>
      <c r="AF30" s="3686"/>
      <c r="AG30" s="3686"/>
      <c r="AH30" s="3686"/>
      <c r="AI30" s="3686"/>
      <c r="AJ30" s="3686"/>
      <c r="AK30" s="3686"/>
      <c r="AL30" s="3686"/>
      <c r="AM30" s="3686"/>
      <c r="AN30" s="3686"/>
      <c r="AO30" s="3686"/>
      <c r="AP30" s="3698"/>
      <c r="AQ30" s="3699"/>
      <c r="AR30" s="298"/>
    </row>
    <row r="31" spans="1:44" s="340" customFormat="1" ht="15.75" customHeight="1">
      <c r="A31" s="8071"/>
      <c r="B31" s="1029" t="s">
        <v>316</v>
      </c>
      <c r="C31" s="920" t="s">
        <v>317</v>
      </c>
      <c r="D31" s="985">
        <v>10.3</v>
      </c>
      <c r="E31" s="1030">
        <v>12.67</v>
      </c>
      <c r="F31" s="1030">
        <v>8.89</v>
      </c>
      <c r="G31" s="1026">
        <v>10.385022137857394</v>
      </c>
      <c r="H31" s="1026">
        <v>12.894324301022847</v>
      </c>
      <c r="I31" s="3252">
        <v>12.42</v>
      </c>
      <c r="J31" s="5751">
        <v>11.36</v>
      </c>
      <c r="K31" s="5751">
        <v>10.144948041854921</v>
      </c>
      <c r="L31" s="5729">
        <v>19.45</v>
      </c>
      <c r="M31" s="5932">
        <v>20.617000000000001</v>
      </c>
      <c r="N31" s="5933">
        <f>M31</f>
        <v>20.617000000000001</v>
      </c>
      <c r="O31" s="3700">
        <v>0</v>
      </c>
      <c r="P31" s="2016">
        <v>0</v>
      </c>
      <c r="Q31" s="7304">
        <v>13.090677135218355</v>
      </c>
      <c r="R31" s="3290">
        <v>0</v>
      </c>
      <c r="S31" s="3252">
        <v>0</v>
      </c>
      <c r="T31" s="3252">
        <v>0</v>
      </c>
      <c r="U31" s="3252">
        <v>0</v>
      </c>
      <c r="V31" s="3252">
        <v>0</v>
      </c>
      <c r="W31" s="3252">
        <v>0</v>
      </c>
      <c r="X31" s="3701">
        <v>0</v>
      </c>
      <c r="Y31" s="3290"/>
      <c r="Z31" s="3701"/>
      <c r="AA31" s="3142">
        <f t="shared" si="4"/>
        <v>1.3090677135218356</v>
      </c>
      <c r="AB31" s="4502">
        <f>($L$31-O31)*180*O5/1000</f>
        <v>0</v>
      </c>
      <c r="AC31" s="4137">
        <f t="shared" ref="AC31:AM31" si="9">($L$31-P31)*180*P5/1000</f>
        <v>0</v>
      </c>
      <c r="AD31" s="4137">
        <f t="shared" si="9"/>
        <v>26163.942029999998</v>
      </c>
      <c r="AE31" s="4137">
        <f t="shared" si="9"/>
        <v>0</v>
      </c>
      <c r="AF31" s="4137">
        <f t="shared" si="9"/>
        <v>0</v>
      </c>
      <c r="AG31" s="4137">
        <f t="shared" si="9"/>
        <v>0</v>
      </c>
      <c r="AH31" s="4137">
        <f t="shared" si="9"/>
        <v>0</v>
      </c>
      <c r="AI31" s="4137">
        <f t="shared" si="9"/>
        <v>0</v>
      </c>
      <c r="AJ31" s="4137">
        <f t="shared" si="9"/>
        <v>0</v>
      </c>
      <c r="AK31" s="4137">
        <f t="shared" si="9"/>
        <v>0</v>
      </c>
      <c r="AL31" s="4137">
        <f t="shared" si="9"/>
        <v>0</v>
      </c>
      <c r="AM31" s="4137">
        <f t="shared" si="9"/>
        <v>0</v>
      </c>
      <c r="AN31" s="4137">
        <f>(L31-M31)*180*M5/1000</f>
        <v>-56308.683600000077</v>
      </c>
      <c r="AO31" s="4137">
        <f>SUM(AB31:AM31)</f>
        <v>26163.942029999998</v>
      </c>
      <c r="AP31" s="3702">
        <f>AO31/AN31</f>
        <v>-0.46465199250369199</v>
      </c>
      <c r="AQ31" s="3331" t="s">
        <v>1105</v>
      </c>
      <c r="AR31" s="298"/>
    </row>
    <row r="32" spans="1:44" s="340" customFormat="1" ht="15.75" customHeight="1">
      <c r="A32" s="8071"/>
      <c r="B32" s="1029" t="s">
        <v>318</v>
      </c>
      <c r="C32" s="920" t="s">
        <v>313</v>
      </c>
      <c r="D32" s="985">
        <v>1.25</v>
      </c>
      <c r="E32" s="1030">
        <v>1.3</v>
      </c>
      <c r="F32" s="1030">
        <v>1.1200000000000001</v>
      </c>
      <c r="G32" s="1030">
        <v>1.18</v>
      </c>
      <c r="H32" s="1026">
        <v>1.3297110344024723</v>
      </c>
      <c r="I32" s="3252">
        <v>1.18</v>
      </c>
      <c r="J32" s="5751">
        <v>1.05</v>
      </c>
      <c r="K32" s="5751">
        <v>0.95723359147669773</v>
      </c>
      <c r="L32" s="5729">
        <v>0.93194693127221551</v>
      </c>
      <c r="M32" s="5934">
        <v>0.9</v>
      </c>
      <c r="N32" s="5935">
        <v>0.9</v>
      </c>
      <c r="O32" s="3700">
        <v>0</v>
      </c>
      <c r="P32" s="2016">
        <v>0</v>
      </c>
      <c r="Q32" s="7304">
        <v>0.82324781478608555</v>
      </c>
      <c r="R32" s="3290">
        <v>0</v>
      </c>
      <c r="S32" s="3252">
        <v>0</v>
      </c>
      <c r="T32" s="3252">
        <v>0</v>
      </c>
      <c r="U32" s="3252">
        <v>0</v>
      </c>
      <c r="V32" s="3252">
        <v>0</v>
      </c>
      <c r="W32" s="3252">
        <v>0</v>
      </c>
      <c r="X32" s="3701">
        <v>0</v>
      </c>
      <c r="Y32" s="3290"/>
      <c r="Z32" s="3701"/>
      <c r="AA32" s="3142">
        <f t="shared" si="4"/>
        <v>8.2324781478608555E-2</v>
      </c>
      <c r="AB32" s="4502">
        <f>($L$32-O32)*570*O5/1000</f>
        <v>0</v>
      </c>
      <c r="AC32" s="4137">
        <f t="shared" ref="AC32:AM32" si="10">($L$32-P32)*570*P5/1000</f>
        <v>0</v>
      </c>
      <c r="AD32" s="4137">
        <f t="shared" si="10"/>
        <v>1416.1872109032711</v>
      </c>
      <c r="AE32" s="4137">
        <f t="shared" si="10"/>
        <v>0</v>
      </c>
      <c r="AF32" s="4137">
        <f t="shared" si="10"/>
        <v>0</v>
      </c>
      <c r="AG32" s="4137">
        <f t="shared" si="10"/>
        <v>0</v>
      </c>
      <c r="AH32" s="4137">
        <f t="shared" si="10"/>
        <v>0</v>
      </c>
      <c r="AI32" s="4137">
        <f t="shared" si="10"/>
        <v>0</v>
      </c>
      <c r="AJ32" s="4137">
        <f t="shared" si="10"/>
        <v>0</v>
      </c>
      <c r="AK32" s="4137">
        <f t="shared" si="10"/>
        <v>0</v>
      </c>
      <c r="AL32" s="4137">
        <f t="shared" si="10"/>
        <v>0</v>
      </c>
      <c r="AM32" s="4137">
        <f t="shared" si="10"/>
        <v>0</v>
      </c>
      <c r="AN32" s="4137">
        <f>(L32-M32)*570*M5/1000</f>
        <v>4881.305806193147</v>
      </c>
      <c r="AO32" s="4137">
        <f t="shared" ref="AO32:AO38" si="11">SUM(AB32:AM32)</f>
        <v>1416.1872109032711</v>
      </c>
      <c r="AP32" s="3702">
        <f>AO32/AN32</f>
        <v>0.29012466481950105</v>
      </c>
      <c r="AQ32" s="3331" t="s">
        <v>605</v>
      </c>
      <c r="AR32" s="298"/>
    </row>
    <row r="33" spans="1:44" s="340" customFormat="1" ht="15.75" customHeight="1" thickBot="1">
      <c r="A33" s="8072"/>
      <c r="B33" s="1012" t="s">
        <v>319</v>
      </c>
      <c r="C33" s="2955" t="s">
        <v>313</v>
      </c>
      <c r="D33" s="799">
        <v>0.17</v>
      </c>
      <c r="E33" s="1031">
        <v>0.34</v>
      </c>
      <c r="F33" s="1031">
        <v>0.35</v>
      </c>
      <c r="G33" s="1032">
        <v>0.33255950224809949</v>
      </c>
      <c r="H33" s="1032">
        <v>0.24203781851766429</v>
      </c>
      <c r="I33" s="2111">
        <v>0.36</v>
      </c>
      <c r="J33" s="5752">
        <v>0.34</v>
      </c>
      <c r="K33" s="5752">
        <v>0.28923301933330509</v>
      </c>
      <c r="L33" s="5730">
        <v>0.21623376139175071</v>
      </c>
      <c r="M33" s="5936">
        <v>0.21</v>
      </c>
      <c r="N33" s="5937">
        <v>0.21</v>
      </c>
      <c r="O33" s="3723">
        <v>0</v>
      </c>
      <c r="P33" s="2111">
        <v>0</v>
      </c>
      <c r="Q33" s="7523">
        <v>0.13</v>
      </c>
      <c r="R33" s="4619">
        <v>0</v>
      </c>
      <c r="S33" s="2111">
        <v>0</v>
      </c>
      <c r="T33" s="2111">
        <v>0</v>
      </c>
      <c r="U33" s="2111">
        <v>0</v>
      </c>
      <c r="V33" s="2111">
        <v>0</v>
      </c>
      <c r="W33" s="2111">
        <v>0</v>
      </c>
      <c r="X33" s="2110">
        <v>0</v>
      </c>
      <c r="Y33" s="4619"/>
      <c r="Z33" s="2110"/>
      <c r="AA33" s="2111">
        <f t="shared" si="4"/>
        <v>1.3000000000000001E-2</v>
      </c>
      <c r="AB33" s="4503">
        <f>($L$33-O33)*923*O5/1000</f>
        <v>0</v>
      </c>
      <c r="AC33" s="2954">
        <f t="shared" ref="AC33:AM33" si="12">($L$33-P33)*923*P5/1000</f>
        <v>0</v>
      </c>
      <c r="AD33" s="2954">
        <f t="shared" si="12"/>
        <v>1819.2770004659928</v>
      </c>
      <c r="AE33" s="2954">
        <f t="shared" si="12"/>
        <v>0</v>
      </c>
      <c r="AF33" s="2954">
        <f t="shared" si="12"/>
        <v>0</v>
      </c>
      <c r="AG33" s="2954">
        <f t="shared" si="12"/>
        <v>0</v>
      </c>
      <c r="AH33" s="2954">
        <f t="shared" si="12"/>
        <v>0</v>
      </c>
      <c r="AI33" s="2954">
        <f t="shared" si="12"/>
        <v>0</v>
      </c>
      <c r="AJ33" s="2954">
        <f t="shared" si="12"/>
        <v>0</v>
      </c>
      <c r="AK33" s="2954">
        <f t="shared" si="12"/>
        <v>0</v>
      </c>
      <c r="AL33" s="2954">
        <f t="shared" si="12"/>
        <v>0</v>
      </c>
      <c r="AM33" s="2954">
        <f t="shared" si="12"/>
        <v>0</v>
      </c>
      <c r="AN33" s="2954">
        <f>(L33-M33)*923*M5/1000</f>
        <v>1542.3533786149001</v>
      </c>
      <c r="AO33" s="2954">
        <f t="shared" si="11"/>
        <v>1819.2770004659928</v>
      </c>
      <c r="AP33" s="3724">
        <f>AO33/AN33</f>
        <v>1.1795461569901589</v>
      </c>
      <c r="AQ33" s="2878" t="s">
        <v>788</v>
      </c>
      <c r="AR33" s="298"/>
    </row>
    <row r="34" spans="1:44" s="340" customFormat="1" ht="15.75" customHeight="1">
      <c r="A34" s="8068" t="s">
        <v>321</v>
      </c>
      <c r="B34" s="992" t="s">
        <v>322</v>
      </c>
      <c r="C34" s="871" t="s">
        <v>317</v>
      </c>
      <c r="D34" s="997">
        <v>2.1800000000000002</v>
      </c>
      <c r="E34" s="850">
        <v>1.02</v>
      </c>
      <c r="F34" s="850">
        <v>1.27</v>
      </c>
      <c r="G34" s="994">
        <v>1.1929619727718364</v>
      </c>
      <c r="H34" s="994">
        <v>0.86263579417339953</v>
      </c>
      <c r="I34" s="995">
        <v>1.03</v>
      </c>
      <c r="J34" s="5747">
        <v>0.93</v>
      </c>
      <c r="K34" s="5747">
        <v>1.5107186589069637</v>
      </c>
      <c r="L34" s="5725">
        <v>0.80852257858792209</v>
      </c>
      <c r="M34" s="5938">
        <v>0.79</v>
      </c>
      <c r="N34" s="5939">
        <f>M34</f>
        <v>0.79</v>
      </c>
      <c r="O34" s="3719">
        <v>0</v>
      </c>
      <c r="P34" s="995">
        <v>0</v>
      </c>
      <c r="Q34" s="7521">
        <v>0.84700418208314909</v>
      </c>
      <c r="R34" s="1563">
        <v>0</v>
      </c>
      <c r="S34" s="995">
        <v>0</v>
      </c>
      <c r="T34" s="995">
        <v>0</v>
      </c>
      <c r="U34" s="995">
        <v>0</v>
      </c>
      <c r="V34" s="995">
        <v>0</v>
      </c>
      <c r="W34" s="995">
        <v>0</v>
      </c>
      <c r="X34" s="994">
        <v>0</v>
      </c>
      <c r="Y34" s="1563"/>
      <c r="Z34" s="994"/>
      <c r="AA34" s="1757">
        <f t="shared" si="4"/>
        <v>8.4700418208314907E-2</v>
      </c>
      <c r="AB34" s="4501">
        <f>($L$34-O34)*448*O5/1000</f>
        <v>0</v>
      </c>
      <c r="AC34" s="7089">
        <f>($L$34-P34)*448*P5/1000</f>
        <v>0</v>
      </c>
      <c r="AD34" s="7089">
        <f t="shared" ref="AD34:AM34" si="13">($L$34-Q34)*448*Q5/1000</f>
        <v>-394.04967416125174</v>
      </c>
      <c r="AE34" s="7089">
        <f t="shared" si="13"/>
        <v>0</v>
      </c>
      <c r="AF34" s="7089">
        <f t="shared" si="13"/>
        <v>0</v>
      </c>
      <c r="AG34" s="7089">
        <f t="shared" si="13"/>
        <v>0</v>
      </c>
      <c r="AH34" s="7089">
        <f t="shared" si="13"/>
        <v>0</v>
      </c>
      <c r="AI34" s="7089">
        <f t="shared" si="13"/>
        <v>0</v>
      </c>
      <c r="AJ34" s="7089">
        <f t="shared" si="13"/>
        <v>0</v>
      </c>
      <c r="AK34" s="7089">
        <f t="shared" si="13"/>
        <v>0</v>
      </c>
      <c r="AL34" s="7089">
        <f t="shared" si="13"/>
        <v>0</v>
      </c>
      <c r="AM34" s="7089">
        <f t="shared" si="13"/>
        <v>0</v>
      </c>
      <c r="AN34" s="4182">
        <f>(L34-M34)*448*$M$5/1000</f>
        <v>2224.3927624927173</v>
      </c>
      <c r="AO34" s="4182">
        <f t="shared" si="11"/>
        <v>-394.04967416125174</v>
      </c>
      <c r="AP34" s="3411">
        <f>AO34/AN34</f>
        <v>-0.17714932398883934</v>
      </c>
      <c r="AQ34" s="7086" t="s">
        <v>2226</v>
      </c>
      <c r="AR34" s="298"/>
    </row>
    <row r="35" spans="1:44" s="340" customFormat="1" ht="15.75" customHeight="1" thickBot="1">
      <c r="A35" s="8063"/>
      <c r="B35" s="988" t="s">
        <v>324</v>
      </c>
      <c r="C35" s="888" t="s">
        <v>325</v>
      </c>
      <c r="D35" s="986">
        <v>0.56000000000000005</v>
      </c>
      <c r="E35" s="849">
        <v>0.41</v>
      </c>
      <c r="F35" s="849">
        <v>0.48</v>
      </c>
      <c r="G35" s="889">
        <v>0.48649455339370778</v>
      </c>
      <c r="H35" s="889">
        <v>0.35233195521157751</v>
      </c>
      <c r="I35" s="3142">
        <v>0.31</v>
      </c>
      <c r="J35" s="5748">
        <v>0.27</v>
      </c>
      <c r="K35" s="5748">
        <v>0.27824003334002306</v>
      </c>
      <c r="L35" s="5726">
        <v>0.29793476598354685</v>
      </c>
      <c r="M35" s="5940">
        <v>0.28999999999999998</v>
      </c>
      <c r="N35" s="5941">
        <f>M35</f>
        <v>0.28999999999999998</v>
      </c>
      <c r="O35" s="3703">
        <v>0</v>
      </c>
      <c r="P35" s="3142">
        <v>0</v>
      </c>
      <c r="Q35" s="7258">
        <v>0.4361896536864151</v>
      </c>
      <c r="R35" s="3141">
        <v>0</v>
      </c>
      <c r="S35" s="3142">
        <v>0</v>
      </c>
      <c r="T35" s="3142">
        <v>0</v>
      </c>
      <c r="U35" s="3142">
        <v>0</v>
      </c>
      <c r="V35" s="3142">
        <v>0</v>
      </c>
      <c r="W35" s="3142">
        <v>0</v>
      </c>
      <c r="X35" s="3220">
        <v>0</v>
      </c>
      <c r="Y35" s="3141"/>
      <c r="Z35" s="3220"/>
      <c r="AA35" s="4733">
        <f t="shared" si="4"/>
        <v>4.3618965368641509E-2</v>
      </c>
      <c r="AB35" s="4494">
        <f>($L$35-O35)*1980*O5/1000</f>
        <v>0</v>
      </c>
      <c r="AC35" s="7087">
        <f t="shared" ref="AC35:AM35" si="14">($L$35-P35)*1980*P5/1000</f>
        <v>0</v>
      </c>
      <c r="AD35" s="7087">
        <f t="shared" si="14"/>
        <v>-6256.9903094247593</v>
      </c>
      <c r="AE35" s="7087">
        <f t="shared" si="14"/>
        <v>0</v>
      </c>
      <c r="AF35" s="7087">
        <f t="shared" si="14"/>
        <v>0</v>
      </c>
      <c r="AG35" s="7087">
        <f t="shared" si="14"/>
        <v>0</v>
      </c>
      <c r="AH35" s="7087">
        <f t="shared" si="14"/>
        <v>0</v>
      </c>
      <c r="AI35" s="7087">
        <f t="shared" si="14"/>
        <v>0</v>
      </c>
      <c r="AJ35" s="7087">
        <f t="shared" si="14"/>
        <v>0</v>
      </c>
      <c r="AK35" s="7087">
        <f t="shared" si="14"/>
        <v>0</v>
      </c>
      <c r="AL35" s="7087">
        <f t="shared" si="14"/>
        <v>0</v>
      </c>
      <c r="AM35" s="7087">
        <f t="shared" si="14"/>
        <v>0</v>
      </c>
      <c r="AN35" s="4138">
        <f>(L35-M35)*1980*$M$5/1000</f>
        <v>4211.4468717081536</v>
      </c>
      <c r="AO35" s="4138">
        <f t="shared" si="11"/>
        <v>-6256.9903094247593</v>
      </c>
      <c r="AP35" s="3704">
        <f>AO35/AN35</f>
        <v>-1.4857103746121669</v>
      </c>
      <c r="AQ35" s="3720" t="s">
        <v>529</v>
      </c>
      <c r="AR35" s="298"/>
    </row>
    <row r="36" spans="1:44" s="340" customFormat="1" ht="15.75" customHeight="1">
      <c r="A36" s="8070" t="s">
        <v>326</v>
      </c>
      <c r="B36" s="1006" t="s">
        <v>327</v>
      </c>
      <c r="C36" s="879" t="s">
        <v>317</v>
      </c>
      <c r="D36" s="1033">
        <v>0.08</v>
      </c>
      <c r="E36" s="1034">
        <v>0.06</v>
      </c>
      <c r="F36" s="1034">
        <v>7.0000000000000007E-2</v>
      </c>
      <c r="G36" s="1034">
        <v>7.0000000000000007E-2</v>
      </c>
      <c r="H36" s="1008">
        <v>7.9920743537899089E-2</v>
      </c>
      <c r="I36" s="1025">
        <v>0.14000000000000001</v>
      </c>
      <c r="J36" s="5749">
        <v>0.13</v>
      </c>
      <c r="K36" s="5749">
        <v>0.14111543781775723</v>
      </c>
      <c r="L36" s="5727">
        <v>0.13725808435918158</v>
      </c>
      <c r="M36" s="5942">
        <v>0.14000000000000001</v>
      </c>
      <c r="N36" s="5943">
        <f>M36</f>
        <v>0.14000000000000001</v>
      </c>
      <c r="O36" s="3705">
        <v>0</v>
      </c>
      <c r="P36" s="1025">
        <v>0</v>
      </c>
      <c r="Q36" s="7513">
        <v>8.7500432033383174E-2</v>
      </c>
      <c r="R36" s="4609">
        <v>0</v>
      </c>
      <c r="S36" s="1025">
        <v>0</v>
      </c>
      <c r="T36" s="1025">
        <v>0</v>
      </c>
      <c r="U36" s="1025">
        <v>0</v>
      </c>
      <c r="V36" s="1025">
        <v>0</v>
      </c>
      <c r="W36" s="1025">
        <v>0</v>
      </c>
      <c r="X36" s="1008">
        <v>0</v>
      </c>
      <c r="Y36" s="4609"/>
      <c r="Z36" s="1008"/>
      <c r="AA36" s="1758">
        <f t="shared" si="4"/>
        <v>8.7500432033383174E-3</v>
      </c>
      <c r="AB36" s="4495">
        <f>($L$36-O36)*2250*O55/1000</f>
        <v>0</v>
      </c>
      <c r="AC36" s="4136">
        <f t="shared" ref="AC36:AM36" si="15">($L$36-P36)*2250*P55/1000</f>
        <v>0</v>
      </c>
      <c r="AD36" s="4136">
        <f t="shared" si="15"/>
        <v>905.54125619503657</v>
      </c>
      <c r="AE36" s="4136">
        <f t="shared" si="15"/>
        <v>0</v>
      </c>
      <c r="AF36" s="4136">
        <f t="shared" si="15"/>
        <v>0</v>
      </c>
      <c r="AG36" s="4136">
        <f t="shared" si="15"/>
        <v>0</v>
      </c>
      <c r="AH36" s="4136">
        <f t="shared" si="15"/>
        <v>0</v>
      </c>
      <c r="AI36" s="4136">
        <f t="shared" si="15"/>
        <v>0</v>
      </c>
      <c r="AJ36" s="4136">
        <f t="shared" si="15"/>
        <v>0</v>
      </c>
      <c r="AK36" s="4136">
        <f t="shared" si="15"/>
        <v>0</v>
      </c>
      <c r="AL36" s="4136">
        <f t="shared" si="15"/>
        <v>0</v>
      </c>
      <c r="AM36" s="4136">
        <f t="shared" si="15"/>
        <v>0</v>
      </c>
      <c r="AN36" s="4136">
        <f>(L36-M36)*2250*$M$5/1000</f>
        <v>-1653.7452900250285</v>
      </c>
      <c r="AO36" s="4136">
        <f t="shared" si="11"/>
        <v>905.54125619503657</v>
      </c>
      <c r="AP36" s="1011"/>
      <c r="AQ36" s="886" t="s">
        <v>328</v>
      </c>
      <c r="AR36" s="298"/>
    </row>
    <row r="37" spans="1:44" s="340" customFormat="1" ht="15.75" customHeight="1" thickBot="1">
      <c r="A37" s="8072"/>
      <c r="B37" s="1012" t="s">
        <v>329</v>
      </c>
      <c r="C37" s="869" t="s">
        <v>317</v>
      </c>
      <c r="D37" s="799">
        <v>1.72</v>
      </c>
      <c r="E37" s="1031">
        <v>1.59</v>
      </c>
      <c r="F37" s="1031">
        <v>1.76</v>
      </c>
      <c r="G37" s="1031">
        <v>1.74</v>
      </c>
      <c r="H37" s="1032">
        <v>1.547402994966701</v>
      </c>
      <c r="I37" s="2111">
        <v>1.45</v>
      </c>
      <c r="J37" s="5752">
        <v>1.31</v>
      </c>
      <c r="K37" s="5752">
        <v>1.6841320490416061</v>
      </c>
      <c r="L37" s="5730">
        <v>1.7026247290405709</v>
      </c>
      <c r="M37" s="5944">
        <v>1.5</v>
      </c>
      <c r="N37" s="5998">
        <f>M37</f>
        <v>1.5</v>
      </c>
      <c r="O37" s="3723">
        <v>0</v>
      </c>
      <c r="P37" s="2111">
        <v>0</v>
      </c>
      <c r="Q37" s="7524">
        <v>0.13125064805007475</v>
      </c>
      <c r="R37" s="4619">
        <v>0</v>
      </c>
      <c r="S37" s="2111">
        <v>0</v>
      </c>
      <c r="T37" s="2111">
        <v>0</v>
      </c>
      <c r="U37" s="2111">
        <v>0</v>
      </c>
      <c r="V37" s="2111">
        <v>0</v>
      </c>
      <c r="W37" s="2111">
        <v>0</v>
      </c>
      <c r="X37" s="2110">
        <v>0</v>
      </c>
      <c r="Y37" s="4619"/>
      <c r="Z37" s="2110"/>
      <c r="AA37" s="2111">
        <f t="shared" si="4"/>
        <v>1.3125064805007474E-2</v>
      </c>
      <c r="AB37" s="4503">
        <f>($L$37-O37)*6000*O56/1000</f>
        <v>0</v>
      </c>
      <c r="AC37" s="2954">
        <f t="shared" ref="AC37:AM37" si="16">($L$37-P37)*6000*P56/1000</f>
        <v>0</v>
      </c>
      <c r="AD37" s="2954">
        <f t="shared" si="16"/>
        <v>16439.27565057989</v>
      </c>
      <c r="AE37" s="2954">
        <f t="shared" si="16"/>
        <v>0</v>
      </c>
      <c r="AF37" s="2954">
        <f t="shared" si="16"/>
        <v>0</v>
      </c>
      <c r="AG37" s="2954">
        <f t="shared" si="16"/>
        <v>0</v>
      </c>
      <c r="AH37" s="2954">
        <f t="shared" si="16"/>
        <v>0</v>
      </c>
      <c r="AI37" s="2954">
        <f t="shared" si="16"/>
        <v>0</v>
      </c>
      <c r="AJ37" s="2954">
        <f t="shared" si="16"/>
        <v>0</v>
      </c>
      <c r="AK37" s="2954">
        <f t="shared" si="16"/>
        <v>0</v>
      </c>
      <c r="AL37" s="2954">
        <f t="shared" si="16"/>
        <v>0</v>
      </c>
      <c r="AM37" s="2954">
        <f t="shared" si="16"/>
        <v>0</v>
      </c>
      <c r="AN37" s="2954">
        <f>(L37-M37)*6000*(M5*0.117338)/1000</f>
        <v>38239.692582473537</v>
      </c>
      <c r="AO37" s="2954">
        <f t="shared" si="11"/>
        <v>16439.27565057989</v>
      </c>
      <c r="AP37" s="3724">
        <f t="shared" ref="AP37:AP42" si="17">AO37/AN37</f>
        <v>0.42990083184179495</v>
      </c>
      <c r="AQ37" s="2878" t="s">
        <v>1333</v>
      </c>
      <c r="AR37" s="1426"/>
    </row>
    <row r="38" spans="1:44" s="340" customFormat="1" ht="15.75" customHeight="1" thickBot="1">
      <c r="A38" s="998" t="s">
        <v>749</v>
      </c>
      <c r="B38" s="999" t="s">
        <v>735</v>
      </c>
      <c r="C38" s="867" t="s">
        <v>736</v>
      </c>
      <c r="D38" s="1000"/>
      <c r="E38" s="1001"/>
      <c r="F38" s="1001"/>
      <c r="G38" s="1002"/>
      <c r="H38" s="1003">
        <v>143.37170477617013</v>
      </c>
      <c r="I38" s="1004">
        <v>860</v>
      </c>
      <c r="J38" s="5753">
        <v>71.52</v>
      </c>
      <c r="K38" s="5753">
        <v>23.333646133822892</v>
      </c>
      <c r="L38" s="5731">
        <v>1.9207552409607502</v>
      </c>
      <c r="M38" s="5945">
        <v>0</v>
      </c>
      <c r="N38" s="5946">
        <v>0</v>
      </c>
      <c r="O38" s="3725">
        <v>0</v>
      </c>
      <c r="P38" s="1208">
        <v>0</v>
      </c>
      <c r="Q38" s="7525">
        <v>0</v>
      </c>
      <c r="R38" s="1564">
        <v>0</v>
      </c>
      <c r="S38" s="1208">
        <v>0</v>
      </c>
      <c r="T38" s="1208">
        <v>0</v>
      </c>
      <c r="U38" s="1208">
        <v>0</v>
      </c>
      <c r="V38" s="1208">
        <v>0</v>
      </c>
      <c r="W38" s="1208">
        <v>0</v>
      </c>
      <c r="X38" s="2647">
        <v>0</v>
      </c>
      <c r="Y38" s="1564"/>
      <c r="Z38" s="2647"/>
      <c r="AA38" s="1757">
        <f t="shared" si="4"/>
        <v>0</v>
      </c>
      <c r="AB38" s="4493">
        <f>($L$38-O38)*O5/1000</f>
        <v>0</v>
      </c>
      <c r="AC38" s="7088">
        <f t="shared" ref="AC38:AM38" si="18">($L$38-P38)*P5/1000</f>
        <v>0</v>
      </c>
      <c r="AD38" s="7088">
        <f t="shared" si="18"/>
        <v>43.902760165297089</v>
      </c>
      <c r="AE38" s="7088">
        <f t="shared" si="18"/>
        <v>0</v>
      </c>
      <c r="AF38" s="7088">
        <f t="shared" si="18"/>
        <v>0</v>
      </c>
      <c r="AG38" s="7088">
        <f t="shared" si="18"/>
        <v>0</v>
      </c>
      <c r="AH38" s="7088">
        <f t="shared" si="18"/>
        <v>0</v>
      </c>
      <c r="AI38" s="7088">
        <f t="shared" si="18"/>
        <v>0</v>
      </c>
      <c r="AJ38" s="7088">
        <f t="shared" si="18"/>
        <v>0</v>
      </c>
      <c r="AK38" s="7088">
        <f t="shared" si="18"/>
        <v>0</v>
      </c>
      <c r="AL38" s="7088">
        <f t="shared" si="18"/>
        <v>0</v>
      </c>
      <c r="AM38" s="7088">
        <f t="shared" si="18"/>
        <v>0</v>
      </c>
      <c r="AN38" s="4181">
        <f>(L38-M38)*M5/1000</f>
        <v>514.87764989193874</v>
      </c>
      <c r="AO38" s="4181">
        <f t="shared" si="11"/>
        <v>43.902760165297089</v>
      </c>
      <c r="AP38" s="3410">
        <f t="shared" si="17"/>
        <v>8.5268335447287902E-2</v>
      </c>
      <c r="AQ38" s="3409" t="s">
        <v>739</v>
      </c>
      <c r="AR38" s="298"/>
    </row>
    <row r="39" spans="1:44" s="340" customFormat="1" ht="15.75" customHeight="1" thickBot="1">
      <c r="A39" s="1035" t="s">
        <v>746</v>
      </c>
      <c r="B39" s="1036" t="s">
        <v>760</v>
      </c>
      <c r="C39" s="897" t="s">
        <v>330</v>
      </c>
      <c r="D39" s="1037">
        <v>1025</v>
      </c>
      <c r="E39" s="1038">
        <v>856</v>
      </c>
      <c r="F39" s="1038">
        <v>980</v>
      </c>
      <c r="G39" s="1039"/>
      <c r="H39" s="1038">
        <v>6617.8326432033155</v>
      </c>
      <c r="I39" s="1040">
        <v>7820</v>
      </c>
      <c r="J39" s="5754">
        <v>5759</v>
      </c>
      <c r="K39" s="5754">
        <v>6270.6033332895695</v>
      </c>
      <c r="L39" s="5732">
        <v>5681.7422428610062</v>
      </c>
      <c r="M39" s="5947">
        <v>5512</v>
      </c>
      <c r="N39" s="5948">
        <f>M39</f>
        <v>5512</v>
      </c>
      <c r="O39" s="3726">
        <v>0</v>
      </c>
      <c r="P39" s="1040">
        <v>0</v>
      </c>
      <c r="Q39" s="7526">
        <v>6935.3027055571092</v>
      </c>
      <c r="R39" s="4620">
        <v>0</v>
      </c>
      <c r="S39" s="1040">
        <v>0</v>
      </c>
      <c r="T39" s="1040">
        <v>0</v>
      </c>
      <c r="U39" s="1040">
        <v>0</v>
      </c>
      <c r="V39" s="1040">
        <v>0</v>
      </c>
      <c r="W39" s="1040">
        <v>0</v>
      </c>
      <c r="X39" s="1038">
        <v>0</v>
      </c>
      <c r="Y39" s="4620"/>
      <c r="Z39" s="1038"/>
      <c r="AA39" s="1759">
        <f t="shared" si="4"/>
        <v>693.5302705557109</v>
      </c>
      <c r="AB39" s="4504">
        <f>($L$39-O39)*O5/1000</f>
        <v>0</v>
      </c>
      <c r="AC39" s="4139">
        <f t="shared" ref="AC39:AM39" si="19">($L$39-P39)*P5/1000</f>
        <v>0</v>
      </c>
      <c r="AD39" s="4139">
        <f t="shared" si="19"/>
        <v>-28652.669102658707</v>
      </c>
      <c r="AE39" s="4139">
        <f t="shared" si="19"/>
        <v>0</v>
      </c>
      <c r="AF39" s="4139">
        <f t="shared" si="19"/>
        <v>0</v>
      </c>
      <c r="AG39" s="4139">
        <f t="shared" si="19"/>
        <v>0</v>
      </c>
      <c r="AH39" s="4139">
        <f t="shared" si="19"/>
        <v>0</v>
      </c>
      <c r="AI39" s="4139">
        <f t="shared" si="19"/>
        <v>0</v>
      </c>
      <c r="AJ39" s="4139">
        <f t="shared" si="19"/>
        <v>0</v>
      </c>
      <c r="AK39" s="4139">
        <f t="shared" si="19"/>
        <v>0</v>
      </c>
      <c r="AL39" s="4139">
        <f t="shared" si="19"/>
        <v>0</v>
      </c>
      <c r="AM39" s="4139">
        <f t="shared" si="19"/>
        <v>0</v>
      </c>
      <c r="AN39" s="4139">
        <f>(L39-M39)*$M$5/1000</f>
        <v>45501.105621321316</v>
      </c>
      <c r="AO39" s="4248">
        <f>SUM(AB39:AM39)</f>
        <v>-28652.669102658707</v>
      </c>
      <c r="AP39" s="1041">
        <f t="shared" si="17"/>
        <v>-0.62971368962147556</v>
      </c>
      <c r="AQ39" s="1042"/>
      <c r="AR39" s="1451"/>
    </row>
    <row r="40" spans="1:44" s="340" customFormat="1" ht="15.75" customHeight="1">
      <c r="A40" s="8068" t="s">
        <v>331</v>
      </c>
      <c r="B40" s="992" t="s">
        <v>773</v>
      </c>
      <c r="C40" s="871" t="s">
        <v>330</v>
      </c>
      <c r="D40" s="997"/>
      <c r="E40" s="853">
        <v>4635</v>
      </c>
      <c r="F40" s="853">
        <v>4706</v>
      </c>
      <c r="G40" s="853">
        <v>5059</v>
      </c>
      <c r="H40" s="853">
        <v>3837.0636378627969</v>
      </c>
      <c r="I40" s="1005">
        <v>2952</v>
      </c>
      <c r="J40" s="5755">
        <v>2816</v>
      </c>
      <c r="K40" s="5755">
        <v>4379.3263231981045</v>
      </c>
      <c r="L40" s="5733">
        <v>2604.703078518347</v>
      </c>
      <c r="M40" s="5949">
        <v>2527</v>
      </c>
      <c r="N40" s="6233">
        <f>M40</f>
        <v>2527</v>
      </c>
      <c r="O40" s="3727">
        <v>0</v>
      </c>
      <c r="P40" s="1005">
        <v>0</v>
      </c>
      <c r="Q40" s="7527">
        <v>532.40849751695657</v>
      </c>
      <c r="R40" s="5491">
        <v>0</v>
      </c>
      <c r="S40" s="1005">
        <v>0</v>
      </c>
      <c r="T40" s="1005">
        <v>0</v>
      </c>
      <c r="U40" s="1005">
        <v>0</v>
      </c>
      <c r="V40" s="1005">
        <v>0</v>
      </c>
      <c r="W40" s="1005">
        <v>0</v>
      </c>
      <c r="X40" s="3697">
        <v>0</v>
      </c>
      <c r="Y40" s="5491"/>
      <c r="Z40" s="853"/>
      <c r="AA40" s="1760">
        <f t="shared" si="4"/>
        <v>53.240849751695656</v>
      </c>
      <c r="AB40" s="4501">
        <f>($L$40-O40)*O57/1000</f>
        <v>0</v>
      </c>
      <c r="AC40" s="7089">
        <f t="shared" ref="AC40:AM40" si="20">($L$40-P40)*P57/1000</f>
        <v>0</v>
      </c>
      <c r="AD40" s="7089">
        <f t="shared" si="20"/>
        <v>20374.966103972147</v>
      </c>
      <c r="AE40" s="7089">
        <f t="shared" si="20"/>
        <v>0</v>
      </c>
      <c r="AF40" s="7089">
        <f t="shared" si="20"/>
        <v>0</v>
      </c>
      <c r="AG40" s="7089">
        <f t="shared" si="20"/>
        <v>0</v>
      </c>
      <c r="AH40" s="7089">
        <f t="shared" si="20"/>
        <v>0</v>
      </c>
      <c r="AI40" s="7089">
        <f t="shared" si="20"/>
        <v>0</v>
      </c>
      <c r="AJ40" s="7089">
        <f t="shared" si="20"/>
        <v>0</v>
      </c>
      <c r="AK40" s="7089">
        <f t="shared" si="20"/>
        <v>0</v>
      </c>
      <c r="AL40" s="7089">
        <f t="shared" si="20"/>
        <v>0</v>
      </c>
      <c r="AM40" s="7089">
        <f t="shared" si="20"/>
        <v>0</v>
      </c>
      <c r="AN40" s="4182">
        <f>(L40-M40)*$N$57/1000</f>
        <v>8454.0949427961477</v>
      </c>
      <c r="AO40" s="4182">
        <f>SUM(AB40:AM40)</f>
        <v>20374.966103972147</v>
      </c>
      <c r="AP40" s="3411">
        <f t="shared" si="17"/>
        <v>2.4100706511859014</v>
      </c>
      <c r="AQ40" s="996"/>
    </row>
    <row r="41" spans="1:44" s="340" customFormat="1" ht="15.75" customHeight="1">
      <c r="A41" s="8061"/>
      <c r="B41" s="987" t="s">
        <v>332</v>
      </c>
      <c r="C41" s="865" t="s">
        <v>330</v>
      </c>
      <c r="D41" s="798"/>
      <c r="E41" s="620">
        <v>1652</v>
      </c>
      <c r="F41" s="620">
        <v>1696</v>
      </c>
      <c r="G41" s="620">
        <v>1418</v>
      </c>
      <c r="H41" s="620">
        <v>1808.8376984726422</v>
      </c>
      <c r="I41" s="3251">
        <v>1699</v>
      </c>
      <c r="J41" s="5756">
        <v>1437</v>
      </c>
      <c r="K41" s="5756">
        <v>1819.8876303629272</v>
      </c>
      <c r="L41" s="5734">
        <v>2098.2376784125627</v>
      </c>
      <c r="M41" s="5950">
        <v>2035</v>
      </c>
      <c r="N41" s="6234">
        <f>M41</f>
        <v>2035</v>
      </c>
      <c r="O41" s="3728">
        <v>0</v>
      </c>
      <c r="P41" s="3251">
        <v>0</v>
      </c>
      <c r="Q41" s="7341">
        <v>2239.5106013335944</v>
      </c>
      <c r="R41" s="4608">
        <v>0</v>
      </c>
      <c r="S41" s="3251">
        <v>0</v>
      </c>
      <c r="T41" s="3251">
        <v>0</v>
      </c>
      <c r="U41" s="3251">
        <v>0</v>
      </c>
      <c r="V41" s="3251">
        <v>0</v>
      </c>
      <c r="W41" s="3251">
        <v>0</v>
      </c>
      <c r="X41" s="3697">
        <v>0</v>
      </c>
      <c r="Y41" s="4608"/>
      <c r="Z41" s="3697"/>
      <c r="AA41" s="3258">
        <f t="shared" si="4"/>
        <v>223.95106013335945</v>
      </c>
      <c r="AB41" s="4502">
        <f>($L$41-O41)*O57/1000</f>
        <v>0</v>
      </c>
      <c r="AC41" s="4137">
        <f t="shared" ref="AC41:AM41" si="21">($L$41-P41)*P57/1000</f>
        <v>0</v>
      </c>
      <c r="AD41" s="4137">
        <f t="shared" si="21"/>
        <v>-1389.0066799934177</v>
      </c>
      <c r="AE41" s="4137">
        <f t="shared" si="21"/>
        <v>0</v>
      </c>
      <c r="AF41" s="4137">
        <f t="shared" si="21"/>
        <v>0</v>
      </c>
      <c r="AG41" s="4137">
        <f t="shared" si="21"/>
        <v>0</v>
      </c>
      <c r="AH41" s="4137">
        <f t="shared" si="21"/>
        <v>0</v>
      </c>
      <c r="AI41" s="4137">
        <f t="shared" si="21"/>
        <v>0</v>
      </c>
      <c r="AJ41" s="4137">
        <f t="shared" si="21"/>
        <v>0</v>
      </c>
      <c r="AK41" s="4137">
        <f t="shared" si="21"/>
        <v>0</v>
      </c>
      <c r="AL41" s="4137">
        <f t="shared" si="21"/>
        <v>0</v>
      </c>
      <c r="AM41" s="4137">
        <f t="shared" si="21"/>
        <v>0</v>
      </c>
      <c r="AN41" s="4137">
        <f>(L41-M41)*$M$5/1000</f>
        <v>16951.492075271552</v>
      </c>
      <c r="AO41" s="4137">
        <f>SUM(AB41:AM41)</f>
        <v>-1389.0066799934177</v>
      </c>
      <c r="AP41" s="3702">
        <f t="shared" si="17"/>
        <v>-8.194008372983691E-2</v>
      </c>
      <c r="AQ41" s="3331"/>
    </row>
    <row r="42" spans="1:44" s="340" customFormat="1" ht="15.75" customHeight="1" thickBot="1">
      <c r="A42" s="8063"/>
      <c r="B42" s="988" t="s">
        <v>333</v>
      </c>
      <c r="C42" s="888" t="s">
        <v>330</v>
      </c>
      <c r="D42" s="986"/>
      <c r="E42" s="852">
        <v>2950</v>
      </c>
      <c r="F42" s="852">
        <v>2721</v>
      </c>
      <c r="G42" s="852">
        <v>2737</v>
      </c>
      <c r="H42" s="852">
        <v>2748.7798342693204</v>
      </c>
      <c r="I42" s="3259">
        <v>2650</v>
      </c>
      <c r="J42" s="5757">
        <v>2064</v>
      </c>
      <c r="K42" s="5757">
        <v>2675.6321990295987</v>
      </c>
      <c r="L42" s="5735">
        <v>2452.2109128875081</v>
      </c>
      <c r="M42" s="5951">
        <v>2378</v>
      </c>
      <c r="N42" s="6235">
        <f>M42</f>
        <v>2378</v>
      </c>
      <c r="O42" s="3729">
        <v>0</v>
      </c>
      <c r="P42" s="3259">
        <v>0</v>
      </c>
      <c r="Q42" s="7528">
        <v>1182.6667769172111</v>
      </c>
      <c r="R42" s="4621">
        <v>0</v>
      </c>
      <c r="S42" s="3259">
        <v>0</v>
      </c>
      <c r="T42" s="3259">
        <v>0</v>
      </c>
      <c r="U42" s="3259">
        <v>0</v>
      </c>
      <c r="V42" s="3259">
        <v>0</v>
      </c>
      <c r="W42" s="3259">
        <v>0</v>
      </c>
      <c r="X42" s="3730">
        <v>0</v>
      </c>
      <c r="Y42" s="4621"/>
      <c r="Z42" s="3730"/>
      <c r="AA42" s="1760">
        <f t="shared" si="4"/>
        <v>118.26667769172111</v>
      </c>
      <c r="AB42" s="4503">
        <f>($L$42-O42)*O57/1000</f>
        <v>0</v>
      </c>
      <c r="AC42" s="2954">
        <f t="shared" ref="AC42:AM42" si="22">($L$42-P42)*P57/1000</f>
        <v>0</v>
      </c>
      <c r="AD42" s="2954">
        <f t="shared" si="22"/>
        <v>12482.259508390838</v>
      </c>
      <c r="AE42" s="2954">
        <f t="shared" si="22"/>
        <v>0</v>
      </c>
      <c r="AF42" s="2954">
        <f t="shared" si="22"/>
        <v>0</v>
      </c>
      <c r="AG42" s="2954">
        <f t="shared" si="22"/>
        <v>0</v>
      </c>
      <c r="AH42" s="2954">
        <f t="shared" si="22"/>
        <v>0</v>
      </c>
      <c r="AI42" s="2954">
        <f t="shared" si="22"/>
        <v>0</v>
      </c>
      <c r="AJ42" s="2954">
        <f t="shared" si="22"/>
        <v>0</v>
      </c>
      <c r="AK42" s="2954">
        <f t="shared" si="22"/>
        <v>0</v>
      </c>
      <c r="AL42" s="2954">
        <f t="shared" si="22"/>
        <v>0</v>
      </c>
      <c r="AM42" s="2954">
        <f t="shared" si="22"/>
        <v>0</v>
      </c>
      <c r="AN42" s="4138">
        <f>(L42-M42)*$M$5/1000</f>
        <v>19892.977308625428</v>
      </c>
      <c r="AO42" s="4138">
        <f>SUM(AB42:AM42)</f>
        <v>12482.259508390838</v>
      </c>
      <c r="AP42" s="3704">
        <f t="shared" si="17"/>
        <v>0.62747065533416335</v>
      </c>
      <c r="AQ42" s="3720"/>
    </row>
    <row r="43" spans="1:44" s="340" customFormat="1" ht="15.75" customHeight="1">
      <c r="A43" s="8066" t="s">
        <v>741</v>
      </c>
      <c r="B43" s="1043" t="s">
        <v>743</v>
      </c>
      <c r="C43" s="954" t="s">
        <v>745</v>
      </c>
      <c r="D43" s="1044"/>
      <c r="E43" s="1045"/>
      <c r="F43" s="1045"/>
      <c r="G43" s="1045">
        <v>4</v>
      </c>
      <c r="H43" s="1045">
        <v>14</v>
      </c>
      <c r="I43" s="1046">
        <v>16</v>
      </c>
      <c r="J43" s="5758">
        <v>10</v>
      </c>
      <c r="K43" s="5758">
        <v>7</v>
      </c>
      <c r="L43" s="5736">
        <v>9</v>
      </c>
      <c r="M43" s="5952"/>
      <c r="N43" s="5953"/>
      <c r="O43" s="4636">
        <v>0</v>
      </c>
      <c r="P43" s="4637">
        <v>0</v>
      </c>
      <c r="Q43" s="7529">
        <v>0</v>
      </c>
      <c r="R43" s="7510">
        <v>0</v>
      </c>
      <c r="S43" s="4637">
        <v>0</v>
      </c>
      <c r="T43" s="1046">
        <v>0</v>
      </c>
      <c r="U43" s="1046">
        <v>0</v>
      </c>
      <c r="V43" s="1046">
        <v>0</v>
      </c>
      <c r="W43" s="1046">
        <v>0</v>
      </c>
      <c r="X43" s="1045">
        <v>0</v>
      </c>
      <c r="Y43" s="4622"/>
      <c r="Z43" s="1045"/>
      <c r="AA43" s="1046">
        <f>SUM(O43:Z43)</f>
        <v>0</v>
      </c>
      <c r="AB43" s="4505"/>
      <c r="AC43" s="4249"/>
      <c r="AD43" s="4249"/>
      <c r="AE43" s="4249"/>
      <c r="AF43" s="4249"/>
      <c r="AG43" s="4249"/>
      <c r="AH43" s="4249"/>
      <c r="AI43" s="4249"/>
      <c r="AJ43" s="4249"/>
      <c r="AK43" s="4249"/>
      <c r="AL43" s="4249"/>
      <c r="AM43" s="4249"/>
      <c r="AN43" s="4250">
        <f>(K43-M43)*$M$5/1000</f>
        <v>1876.42</v>
      </c>
      <c r="AO43" s="4250"/>
      <c r="AP43" s="1047"/>
      <c r="AQ43" s="1048"/>
    </row>
    <row r="44" spans="1:44" s="340" customFormat="1" ht="15.75" customHeight="1" thickBot="1">
      <c r="A44" s="8067"/>
      <c r="B44" s="1012" t="s">
        <v>742</v>
      </c>
      <c r="C44" s="869" t="s">
        <v>744</v>
      </c>
      <c r="D44" s="799"/>
      <c r="E44" s="1049"/>
      <c r="F44" s="1049"/>
      <c r="G44" s="1049">
        <v>-40715.40512100701</v>
      </c>
      <c r="H44" s="1049">
        <v>1492216.1689492157</v>
      </c>
      <c r="I44" s="5739">
        <v>1896509</v>
      </c>
      <c r="J44" s="5759">
        <v>1766066.6837757656</v>
      </c>
      <c r="K44" s="5759">
        <v>82785.042955935292</v>
      </c>
      <c r="L44" s="5737">
        <v>1052964.4624756929</v>
      </c>
      <c r="M44" s="5954"/>
      <c r="N44" s="5955"/>
      <c r="O44" s="3731"/>
      <c r="P44" s="2226"/>
      <c r="Q44" s="7530"/>
      <c r="R44" s="4623"/>
      <c r="S44" s="2226"/>
      <c r="T44" s="2226"/>
      <c r="U44" s="2226"/>
      <c r="V44" s="2226"/>
      <c r="W44" s="2226"/>
      <c r="X44" s="2648"/>
      <c r="Y44" s="4623"/>
      <c r="Z44" s="2648"/>
      <c r="AA44" s="2226"/>
      <c r="AB44" s="4506"/>
      <c r="AC44" s="2983"/>
      <c r="AD44" s="2983"/>
      <c r="AE44" s="2983"/>
      <c r="AF44" s="2983"/>
      <c r="AG44" s="2983"/>
      <c r="AH44" s="2983"/>
      <c r="AI44" s="2983"/>
      <c r="AJ44" s="2983"/>
      <c r="AK44" s="2983"/>
      <c r="AL44" s="2983"/>
      <c r="AM44" s="2983"/>
      <c r="AN44" s="2958"/>
      <c r="AO44" s="2958"/>
      <c r="AP44" s="2984"/>
      <c r="AQ44" s="3732"/>
    </row>
    <row r="45" spans="1:44" ht="15.75" customHeight="1" thickBot="1">
      <c r="A45" s="8011" t="s">
        <v>304</v>
      </c>
      <c r="B45" s="8012"/>
      <c r="C45" s="870" t="s">
        <v>414</v>
      </c>
      <c r="D45" s="1253"/>
      <c r="E45" s="1253"/>
      <c r="F45" s="1253"/>
      <c r="G45" s="1256"/>
      <c r="H45" s="1254"/>
      <c r="I45" s="1255"/>
      <c r="J45" s="5760"/>
      <c r="K45" s="5760"/>
      <c r="L45" s="5738"/>
      <c r="M45" s="1256"/>
      <c r="N45" s="1461"/>
      <c r="O45" s="3733">
        <f t="shared" ref="O45:V45" si="23">AB45</f>
        <v>0</v>
      </c>
      <c r="P45" s="1255">
        <f t="shared" si="23"/>
        <v>0</v>
      </c>
      <c r="Q45" s="7531">
        <f t="shared" si="23"/>
        <v>-305985.15320218209</v>
      </c>
      <c r="R45" s="7511" t="e">
        <f t="shared" si="23"/>
        <v>#DIV/0!</v>
      </c>
      <c r="S45" s="4466" t="e">
        <f t="shared" si="23"/>
        <v>#DIV/0!</v>
      </c>
      <c r="T45" s="4466" t="e">
        <f t="shared" si="23"/>
        <v>#DIV/0!</v>
      </c>
      <c r="U45" s="4466" t="e">
        <f t="shared" si="23"/>
        <v>#DIV/0!</v>
      </c>
      <c r="V45" s="4466" t="e">
        <f t="shared" si="23"/>
        <v>#DIV/0!</v>
      </c>
      <c r="W45" s="4466" t="e">
        <f>AJ45</f>
        <v>#DIV/0!</v>
      </c>
      <c r="X45" s="4466" t="e">
        <f>AK45</f>
        <v>#DIV/0!</v>
      </c>
      <c r="Y45" s="4624"/>
      <c r="Z45" s="3734"/>
      <c r="AA45" s="1252"/>
      <c r="AB45" s="4507">
        <v>0</v>
      </c>
      <c r="AC45" s="2243">
        <v>0</v>
      </c>
      <c r="AD45" s="2243">
        <f t="shared" ref="AD45:AM45" si="24">SUM(AD5:AD9)+SUM(AD25:AD30)+AD33+SUM(AD39:AD42)</f>
        <v>-305985.15320218209</v>
      </c>
      <c r="AE45" s="2243" t="e">
        <f t="shared" si="24"/>
        <v>#DIV/0!</v>
      </c>
      <c r="AF45" s="2243" t="e">
        <f t="shared" si="24"/>
        <v>#DIV/0!</v>
      </c>
      <c r="AG45" s="2243" t="e">
        <f t="shared" si="24"/>
        <v>#DIV/0!</v>
      </c>
      <c r="AH45" s="2243" t="e">
        <f t="shared" si="24"/>
        <v>#DIV/0!</v>
      </c>
      <c r="AI45" s="2243" t="e">
        <f t="shared" si="24"/>
        <v>#DIV/0!</v>
      </c>
      <c r="AJ45" s="2243" t="e">
        <f t="shared" si="24"/>
        <v>#DIV/0!</v>
      </c>
      <c r="AK45" s="2243" t="e">
        <f t="shared" si="24"/>
        <v>#DIV/0!</v>
      </c>
      <c r="AL45" s="2243" t="e">
        <f t="shared" si="24"/>
        <v>#DIV/0!</v>
      </c>
      <c r="AM45" s="2243" t="e">
        <f t="shared" si="24"/>
        <v>#DIV/0!</v>
      </c>
      <c r="AN45" s="6125">
        <f>SUM(AN5:AN9)+SUM(AN25:AN30)+AN33+SUM(AN39:AN42)</f>
        <v>465923.1343153129</v>
      </c>
      <c r="AO45" s="2243">
        <f>SUM(AO5:AO9)+SUM(AO25:AO30)+AO33+SUM(AO39:AO42)</f>
        <v>-305985.15320218209</v>
      </c>
      <c r="AP45" s="1257">
        <f>AO45/AN45</f>
        <v>-0.65672882642291597</v>
      </c>
      <c r="AQ45" s="1258"/>
      <c r="AR45" s="340"/>
    </row>
    <row r="46" spans="1:44">
      <c r="A46" s="753" t="s">
        <v>774</v>
      </c>
      <c r="AN46" s="329"/>
      <c r="AO46" s="329"/>
      <c r="AR46" s="340"/>
    </row>
    <row r="47" spans="1:44" hidden="1">
      <c r="O47" s="298"/>
      <c r="AG47" s="363"/>
      <c r="AH47" s="363"/>
      <c r="AN47" s="340"/>
      <c r="AO47" s="340"/>
      <c r="AR47" s="340"/>
    </row>
    <row r="48" spans="1:44" hidden="1">
      <c r="A48" s="298"/>
      <c r="B48" s="298"/>
      <c r="C48" s="298"/>
      <c r="D48" s="298"/>
      <c r="E48" s="298"/>
      <c r="F48" s="298">
        <v>875.15999999999985</v>
      </c>
      <c r="O48" s="732"/>
      <c r="P48" s="298"/>
      <c r="Q48" s="298"/>
      <c r="R48" s="298"/>
      <c r="S48" s="298"/>
      <c r="T48" s="298"/>
      <c r="U48" s="298"/>
      <c r="W48" s="298"/>
      <c r="X48" s="353"/>
      <c r="AN48" s="340"/>
      <c r="AO48" s="340"/>
    </row>
    <row r="49" spans="1:43" hidden="1">
      <c r="A49" s="298"/>
      <c r="B49" s="298"/>
      <c r="C49" s="298"/>
      <c r="D49" s="298"/>
      <c r="E49" s="298"/>
      <c r="I49" s="619"/>
      <c r="J49" s="1455"/>
      <c r="K49" s="1455"/>
      <c r="L49" s="1455"/>
      <c r="M49" s="619"/>
      <c r="N49" s="619"/>
      <c r="O49" s="298"/>
      <c r="P49" s="298"/>
      <c r="Q49" s="298"/>
      <c r="R49" s="298"/>
      <c r="S49" s="298"/>
      <c r="T49" s="298"/>
      <c r="U49" s="298"/>
      <c r="W49" s="298"/>
      <c r="X49" s="298"/>
      <c r="Y49" s="298"/>
      <c r="Z49" s="298"/>
      <c r="AA49" s="298"/>
      <c r="AB49" s="690"/>
      <c r="AC49" s="298"/>
      <c r="AD49" s="298"/>
      <c r="AE49" s="298"/>
      <c r="AF49" s="298"/>
      <c r="AG49" s="298"/>
      <c r="AH49" s="298"/>
      <c r="AN49" s="340"/>
      <c r="AO49" s="340"/>
    </row>
    <row r="50" spans="1:43" ht="16.5" hidden="1" customHeight="1">
      <c r="A50" s="298"/>
      <c r="B50" s="298"/>
      <c r="C50" s="298"/>
      <c r="D50" s="298"/>
      <c r="E50" s="298"/>
      <c r="F50" s="715"/>
      <c r="G50" s="715"/>
      <c r="H50" s="298"/>
      <c r="I50" s="298"/>
      <c r="J50" s="1451"/>
      <c r="K50" s="1451"/>
      <c r="L50" s="1451"/>
      <c r="M50" s="298"/>
      <c r="N50" s="298"/>
      <c r="O50" s="298"/>
      <c r="AH50" s="629"/>
      <c r="AN50" s="340"/>
      <c r="AO50" s="340"/>
    </row>
    <row r="51" spans="1:43" hidden="1">
      <c r="B51" s="298"/>
      <c r="C51" s="298"/>
      <c r="D51" s="298"/>
      <c r="E51" s="298"/>
      <c r="F51" s="715"/>
      <c r="G51" s="715"/>
      <c r="H51" s="715"/>
      <c r="I51" s="619"/>
      <c r="J51" s="1455"/>
      <c r="K51" s="1455"/>
      <c r="L51" s="1455"/>
      <c r="M51" s="619"/>
      <c r="N51" s="619"/>
      <c r="AH51" s="353"/>
      <c r="AN51" s="340"/>
      <c r="AO51" s="340"/>
    </row>
    <row r="52" spans="1:43" hidden="1">
      <c r="B52" s="298"/>
      <c r="C52" s="298"/>
      <c r="D52" s="298"/>
      <c r="E52" s="298"/>
      <c r="F52" s="715"/>
      <c r="G52" s="715"/>
      <c r="H52" s="715"/>
      <c r="I52" s="619"/>
      <c r="J52" s="1455"/>
      <c r="K52" s="1455"/>
      <c r="L52" s="1455"/>
      <c r="M52" s="619"/>
      <c r="N52" s="619"/>
      <c r="AN52" s="340"/>
      <c r="AO52" s="340"/>
      <c r="AQ52" s="715"/>
    </row>
    <row r="53" spans="1:43">
      <c r="B53" s="298"/>
      <c r="C53" s="298"/>
      <c r="D53" s="298"/>
      <c r="E53" s="298"/>
      <c r="F53" s="715"/>
      <c r="G53" s="715"/>
      <c r="H53" s="715"/>
      <c r="I53" s="619"/>
      <c r="J53" s="1455"/>
      <c r="K53" s="1455"/>
      <c r="L53" s="1455"/>
      <c r="M53" s="8069" t="s">
        <v>1115</v>
      </c>
      <c r="N53" s="8069"/>
      <c r="AN53" s="340"/>
      <c r="AO53" s="340"/>
      <c r="AQ53" s="715"/>
    </row>
    <row r="54" spans="1:43">
      <c r="A54" s="298"/>
      <c r="B54" s="298"/>
      <c r="C54" s="298"/>
      <c r="D54" s="298"/>
      <c r="E54" s="298"/>
      <c r="F54" s="715"/>
      <c r="G54" s="715"/>
      <c r="H54" s="715"/>
      <c r="I54" s="619"/>
      <c r="J54" s="1455"/>
      <c r="K54" s="1455"/>
      <c r="L54" s="1455"/>
      <c r="M54" s="2059" t="s">
        <v>401</v>
      </c>
      <c r="N54" s="2060" t="s">
        <v>2258</v>
      </c>
      <c r="O54" s="2061" t="s">
        <v>402</v>
      </c>
      <c r="P54" s="2061" t="s">
        <v>5</v>
      </c>
      <c r="Q54" s="2061" t="s">
        <v>6</v>
      </c>
      <c r="R54" s="2061" t="s">
        <v>7</v>
      </c>
      <c r="S54" s="2061" t="s">
        <v>8</v>
      </c>
      <c r="T54" s="2061" t="s">
        <v>9</v>
      </c>
      <c r="U54" s="2061" t="s">
        <v>10</v>
      </c>
      <c r="V54" s="2061" t="s">
        <v>11</v>
      </c>
      <c r="W54" s="2061" t="s">
        <v>12</v>
      </c>
      <c r="X54" s="2061" t="s">
        <v>13</v>
      </c>
      <c r="Y54" s="2061" t="s">
        <v>14</v>
      </c>
      <c r="Z54" s="2061" t="s">
        <v>15</v>
      </c>
      <c r="AA54" s="2062" t="s">
        <v>2259</v>
      </c>
      <c r="AB54" s="2521"/>
      <c r="AN54" s="340"/>
      <c r="AO54" s="340"/>
      <c r="AQ54" s="715"/>
    </row>
    <row r="55" spans="1:43">
      <c r="A55" s="298"/>
      <c r="B55" s="298"/>
      <c r="C55" s="298"/>
      <c r="D55" s="298"/>
      <c r="E55" s="298"/>
      <c r="F55" s="715"/>
      <c r="G55" s="715"/>
      <c r="H55" s="715"/>
      <c r="I55" s="619"/>
      <c r="J55" s="1455"/>
      <c r="K55" s="1455"/>
      <c r="L55" s="1455"/>
      <c r="M55" s="2059" t="s">
        <v>399</v>
      </c>
      <c r="N55" s="2060"/>
      <c r="O55" s="2061">
        <f t="shared" ref="O55:Z55" si="25">O57-O56</f>
        <v>0</v>
      </c>
      <c r="P55" s="2061">
        <f t="shared" si="25"/>
        <v>0</v>
      </c>
      <c r="Q55" s="2061">
        <f t="shared" si="25"/>
        <v>8088.46</v>
      </c>
      <c r="R55" s="2061">
        <f t="shared" si="25"/>
        <v>0</v>
      </c>
      <c r="S55" s="2061">
        <f t="shared" si="25"/>
        <v>0</v>
      </c>
      <c r="T55" s="2061">
        <f t="shared" si="25"/>
        <v>0</v>
      </c>
      <c r="U55" s="2061">
        <f t="shared" si="25"/>
        <v>0</v>
      </c>
      <c r="V55" s="2061">
        <f t="shared" si="25"/>
        <v>0</v>
      </c>
      <c r="W55" s="2061">
        <f t="shared" si="25"/>
        <v>0</v>
      </c>
      <c r="X55" s="2061">
        <f t="shared" si="25"/>
        <v>0</v>
      </c>
      <c r="Y55" s="2061">
        <f t="shared" si="25"/>
        <v>0</v>
      </c>
      <c r="Z55" s="2061">
        <f t="shared" si="25"/>
        <v>0</v>
      </c>
      <c r="AA55" s="2061">
        <f>AA57-AA56</f>
        <v>8088.46</v>
      </c>
      <c r="AB55" s="2521"/>
      <c r="AF55" s="340" t="s">
        <v>1734</v>
      </c>
      <c r="AN55" s="340"/>
      <c r="AO55" s="340"/>
      <c r="AQ55" s="715"/>
    </row>
    <row r="56" spans="1:43">
      <c r="A56" s="298"/>
      <c r="B56" s="298"/>
      <c r="C56" s="298"/>
      <c r="D56" s="298"/>
      <c r="E56" s="298"/>
      <c r="F56" s="715"/>
      <c r="G56" s="715"/>
      <c r="H56" s="715"/>
      <c r="I56" s="619"/>
      <c r="J56" s="1455"/>
      <c r="K56" s="1455"/>
      <c r="L56" s="1455"/>
      <c r="M56" s="2059" t="s">
        <v>400</v>
      </c>
      <c r="N56" s="2060"/>
      <c r="O56" s="2060"/>
      <c r="P56" s="2063"/>
      <c r="Q56" s="2061">
        <v>1743.62</v>
      </c>
      <c r="R56" s="2061"/>
      <c r="S56" s="2061"/>
      <c r="T56" s="2061"/>
      <c r="U56" s="2061"/>
      <c r="V56" s="2061"/>
      <c r="W56" s="2061"/>
      <c r="X56" s="2061"/>
      <c r="Y56" s="2061"/>
      <c r="Z56" s="2061"/>
      <c r="AA56" s="2062">
        <f>SUM(O56:Z56)</f>
        <v>1743.62</v>
      </c>
      <c r="AB56" s="2521"/>
      <c r="AC56" s="340" t="s">
        <v>1683</v>
      </c>
      <c r="AN56" s="340"/>
      <c r="AO56" s="340"/>
      <c r="AQ56" s="715"/>
    </row>
    <row r="57" spans="1:43">
      <c r="A57" s="298"/>
      <c r="B57" s="298"/>
      <c r="C57" s="298"/>
      <c r="D57" s="298"/>
      <c r="E57" s="298"/>
      <c r="F57" s="715"/>
      <c r="G57" s="715"/>
      <c r="H57" s="715"/>
      <c r="I57" s="619"/>
      <c r="J57" s="1455"/>
      <c r="K57" s="1455"/>
      <c r="L57" s="1455"/>
      <c r="M57" s="2059" t="s">
        <v>411</v>
      </c>
      <c r="N57" s="2060">
        <v>108800</v>
      </c>
      <c r="O57" s="2060"/>
      <c r="P57" s="2061"/>
      <c r="Q57" s="2061">
        <v>9832.08</v>
      </c>
      <c r="R57" s="2061"/>
      <c r="S57" s="2061"/>
      <c r="T57" s="2061"/>
      <c r="U57" s="2061"/>
      <c r="V57" s="2061"/>
      <c r="W57" s="2061"/>
      <c r="X57" s="2061"/>
      <c r="Y57" s="2061"/>
      <c r="Z57" s="2061"/>
      <c r="AA57" s="2062">
        <f>SUM(O57:Z57)</f>
        <v>9832.08</v>
      </c>
      <c r="AB57" s="2521"/>
      <c r="AN57" s="340"/>
      <c r="AO57" s="340"/>
      <c r="AQ57" s="715"/>
    </row>
    <row r="58" spans="1:43">
      <c r="A58" s="298"/>
      <c r="B58" s="298"/>
      <c r="C58" s="298"/>
      <c r="D58" s="298"/>
      <c r="E58" s="298"/>
      <c r="F58" s="715"/>
      <c r="G58" s="715"/>
      <c r="H58" s="715"/>
      <c r="I58" s="619"/>
      <c r="J58" s="1455"/>
      <c r="K58" s="1455"/>
      <c r="L58" s="1455"/>
      <c r="M58" s="297" t="s">
        <v>1849</v>
      </c>
      <c r="O58" s="5172">
        <f>O5-O57</f>
        <v>0</v>
      </c>
      <c r="P58" s="5172">
        <f t="shared" ref="P58:W58" si="26">P5-P57</f>
        <v>0</v>
      </c>
      <c r="Q58" s="5172">
        <f t="shared" si="26"/>
        <v>13024.949999999999</v>
      </c>
      <c r="R58" s="5172">
        <f t="shared" si="26"/>
        <v>0</v>
      </c>
      <c r="S58" s="5172">
        <f t="shared" si="26"/>
        <v>0</v>
      </c>
      <c r="T58" s="5172">
        <f t="shared" si="26"/>
        <v>0</v>
      </c>
      <c r="U58" s="5172">
        <f t="shared" si="26"/>
        <v>0</v>
      </c>
      <c r="V58" s="5172">
        <f t="shared" si="26"/>
        <v>0</v>
      </c>
      <c r="W58" s="5172">
        <f t="shared" si="26"/>
        <v>0</v>
      </c>
      <c r="AC58" s="297"/>
      <c r="AN58" s="340"/>
      <c r="AO58" s="340"/>
      <c r="AQ58" s="715"/>
    </row>
    <row r="59" spans="1:43">
      <c r="A59" s="298"/>
      <c r="B59" s="298"/>
      <c r="C59" s="298"/>
      <c r="D59" s="298"/>
      <c r="E59" s="298"/>
      <c r="F59" s="715"/>
      <c r="G59" s="715"/>
      <c r="H59" s="715"/>
      <c r="I59" s="619"/>
      <c r="J59" s="1455"/>
      <c r="K59" s="1455"/>
      <c r="L59" s="1455"/>
      <c r="M59" s="715" t="s">
        <v>2358</v>
      </c>
      <c r="P59" s="363"/>
      <c r="Q59" s="7634">
        <v>6223.0599999999986</v>
      </c>
      <c r="AC59" s="297"/>
      <c r="AK59" s="631">
        <f>SUM(O5:X5)</f>
        <v>22857.03</v>
      </c>
      <c r="AL59" s="340">
        <f>Y59/AK59</f>
        <v>0</v>
      </c>
      <c r="AN59" s="340"/>
      <c r="AO59" s="340"/>
      <c r="AQ59" s="715"/>
    </row>
    <row r="60" spans="1:43">
      <c r="A60" s="298"/>
      <c r="B60" s="298"/>
      <c r="C60" s="298"/>
      <c r="D60" s="298"/>
      <c r="E60" s="298"/>
      <c r="F60" s="715"/>
      <c r="G60" s="715"/>
      <c r="H60" s="715"/>
      <c r="I60" s="619"/>
      <c r="J60" s="1455"/>
      <c r="K60" s="1455"/>
      <c r="L60" s="1455"/>
      <c r="M60" s="715" t="s">
        <v>2359</v>
      </c>
      <c r="Q60" s="1452">
        <v>23.99</v>
      </c>
      <c r="Z60" s="7635">
        <f>Q60/(Q59+Q61)</f>
        <v>3.8374728665554409E-3</v>
      </c>
      <c r="AC60" s="297"/>
      <c r="AK60" s="340">
        <v>264718.55</v>
      </c>
      <c r="AL60" s="340">
        <f>Y60/AK60</f>
        <v>0</v>
      </c>
      <c r="AN60" s="340"/>
      <c r="AO60" s="340"/>
      <c r="AQ60" s="715"/>
    </row>
    <row r="61" spans="1:43" s="1451" customFormat="1">
      <c r="F61" s="7633"/>
      <c r="G61" s="7633"/>
      <c r="H61" s="7633"/>
      <c r="I61" s="1455"/>
      <c r="J61" s="1455"/>
      <c r="K61" s="1455"/>
      <c r="L61" s="1455"/>
      <c r="M61" s="7633" t="s">
        <v>2360</v>
      </c>
      <c r="N61" s="7633"/>
      <c r="O61" s="1453"/>
      <c r="P61" s="1453"/>
      <c r="Q61" s="1452">
        <v>28.45</v>
      </c>
      <c r="R61" s="1453"/>
      <c r="S61" s="1453"/>
      <c r="T61" s="1453"/>
      <c r="U61" s="1453"/>
      <c r="V61" s="1453"/>
      <c r="W61" s="1453"/>
      <c r="X61" s="1453"/>
      <c r="Y61" s="1453"/>
      <c r="Z61" s="7635">
        <f>Q61/(Q59+Q61)</f>
        <v>4.5509005024386116E-3</v>
      </c>
      <c r="AA61" s="1453"/>
      <c r="AB61" s="808"/>
      <c r="AC61" s="7633"/>
      <c r="AD61" s="1453"/>
      <c r="AE61" s="1453"/>
      <c r="AF61" s="1453"/>
      <c r="AG61" s="1453"/>
      <c r="AH61" s="1453"/>
      <c r="AI61" s="1453"/>
      <c r="AJ61" s="1453"/>
      <c r="AK61" s="1453"/>
      <c r="AL61" s="1453"/>
      <c r="AM61" s="1453"/>
      <c r="AN61" s="1453"/>
      <c r="AO61" s="1453"/>
      <c r="AP61" s="1453"/>
      <c r="AQ61" s="7633"/>
    </row>
    <row r="62" spans="1:43" s="1451" customFormat="1">
      <c r="F62" s="7633"/>
      <c r="G62" s="7633"/>
      <c r="H62" s="7633"/>
      <c r="I62" s="1455"/>
      <c r="J62" s="1455"/>
      <c r="K62" s="1455"/>
      <c r="L62" s="1455"/>
      <c r="M62" s="7633"/>
      <c r="N62" s="7633"/>
      <c r="O62" s="1453"/>
      <c r="P62" s="1453"/>
      <c r="Q62" s="1453"/>
      <c r="R62" s="1453"/>
      <c r="S62" s="1453"/>
      <c r="T62" s="1453"/>
      <c r="U62" s="1453"/>
      <c r="V62" s="1453"/>
      <c r="W62" s="1453"/>
      <c r="X62" s="1453"/>
      <c r="Y62" s="1453"/>
      <c r="Z62" s="1453"/>
      <c r="AA62" s="1453"/>
      <c r="AB62" s="808"/>
      <c r="AC62" s="7633"/>
      <c r="AD62" s="1453"/>
      <c r="AE62" s="1453"/>
      <c r="AF62" s="1453"/>
      <c r="AG62" s="1453"/>
      <c r="AH62" s="1453"/>
      <c r="AI62" s="1453"/>
      <c r="AJ62" s="1453"/>
      <c r="AK62" s="1453"/>
      <c r="AL62" s="1453"/>
      <c r="AM62" s="1453"/>
      <c r="AN62" s="1453"/>
      <c r="AO62" s="1453"/>
      <c r="AP62" s="1453"/>
      <c r="AQ62" s="7633"/>
    </row>
    <row r="63" spans="1:43" s="1451" customFormat="1">
      <c r="F63" s="7633"/>
      <c r="G63" s="7633"/>
      <c r="H63" s="7633"/>
      <c r="I63" s="1455"/>
      <c r="J63" s="1455"/>
      <c r="K63" s="1455"/>
      <c r="L63" s="1455"/>
      <c r="M63" s="7633"/>
      <c r="N63" s="7633"/>
      <c r="O63" s="1453"/>
      <c r="P63" s="1453"/>
      <c r="Q63" s="1453"/>
      <c r="R63" s="1453"/>
      <c r="S63" s="1453"/>
      <c r="T63" s="1453"/>
      <c r="U63" s="1453"/>
      <c r="V63" s="1453"/>
      <c r="W63" s="1453"/>
      <c r="X63" s="1453"/>
      <c r="Y63" s="1453"/>
      <c r="Z63" s="1453"/>
      <c r="AA63" s="1453"/>
      <c r="AB63" s="808"/>
      <c r="AC63" s="7633"/>
      <c r="AD63" s="1453"/>
      <c r="AE63" s="1453"/>
      <c r="AF63" s="1453"/>
      <c r="AG63" s="1453"/>
      <c r="AH63" s="1453"/>
      <c r="AI63" s="1453"/>
      <c r="AJ63" s="1453"/>
      <c r="AK63" s="1453"/>
      <c r="AL63" s="1453"/>
      <c r="AM63" s="1453"/>
      <c r="AN63" s="1453"/>
      <c r="AO63" s="1453"/>
      <c r="AP63" s="1453"/>
      <c r="AQ63" s="7633"/>
    </row>
    <row r="64" spans="1:43">
      <c r="A64" s="298"/>
      <c r="B64" s="298"/>
      <c r="C64" s="298"/>
      <c r="D64" s="298"/>
      <c r="E64" s="298"/>
      <c r="F64" s="715"/>
      <c r="G64" s="715"/>
      <c r="H64" s="715"/>
      <c r="I64" s="619"/>
      <c r="J64" s="1455"/>
      <c r="K64" s="1455"/>
      <c r="L64" s="1455"/>
      <c r="M64" s="8008" t="s">
        <v>1738</v>
      </c>
      <c r="N64" s="8008" t="s">
        <v>1927</v>
      </c>
      <c r="O64" s="8008" t="s">
        <v>2357</v>
      </c>
      <c r="P64" s="8008"/>
      <c r="Q64" s="8008"/>
      <c r="R64" s="8008"/>
      <c r="S64" s="8008"/>
      <c r="T64" s="8008"/>
      <c r="U64" s="8008"/>
      <c r="V64" s="8008"/>
      <c r="W64" s="8008"/>
      <c r="X64" s="8008"/>
      <c r="Y64" s="8008"/>
      <c r="Z64" s="8008"/>
      <c r="AA64" s="8008"/>
      <c r="AC64" s="297"/>
      <c r="AK64" s="340">
        <v>264718.55</v>
      </c>
      <c r="AL64" s="340">
        <f>Y64/AK64</f>
        <v>0</v>
      </c>
      <c r="AN64" s="340"/>
      <c r="AO64" s="340"/>
      <c r="AQ64" s="715"/>
    </row>
    <row r="65" spans="1:43" ht="16.5" customHeight="1">
      <c r="A65" s="298"/>
      <c r="B65" s="298"/>
      <c r="C65" s="298"/>
      <c r="D65" s="298"/>
      <c r="E65" s="298"/>
      <c r="F65" s="715"/>
      <c r="G65" s="715"/>
      <c r="H65" s="715"/>
      <c r="I65" s="619"/>
      <c r="J65" s="1455"/>
      <c r="K65" s="1455"/>
      <c r="L65" s="1455"/>
      <c r="M65" s="8008"/>
      <c r="N65" s="8008"/>
      <c r="O65" s="6061" t="s">
        <v>1740</v>
      </c>
      <c r="P65" s="6061" t="s">
        <v>5</v>
      </c>
      <c r="Q65" s="6061" t="s">
        <v>6</v>
      </c>
      <c r="R65" s="6061" t="s">
        <v>7</v>
      </c>
      <c r="S65" s="6061" t="s">
        <v>8</v>
      </c>
      <c r="T65" s="6061" t="s">
        <v>9</v>
      </c>
      <c r="U65" s="6061" t="s">
        <v>10</v>
      </c>
      <c r="V65" s="6061" t="s">
        <v>11</v>
      </c>
      <c r="W65" s="6061" t="s">
        <v>12</v>
      </c>
      <c r="X65" s="6061" t="s">
        <v>13</v>
      </c>
      <c r="Y65" s="6061" t="s">
        <v>14</v>
      </c>
      <c r="Z65" s="6061" t="s">
        <v>15</v>
      </c>
      <c r="AA65" s="6061" t="s">
        <v>1741</v>
      </c>
      <c r="AC65" s="297"/>
      <c r="AK65" s="340">
        <v>264718.55</v>
      </c>
      <c r="AL65" s="340" t="e">
        <f>Y65/AK65</f>
        <v>#VALUE!</v>
      </c>
      <c r="AN65" s="340"/>
      <c r="AO65" s="340"/>
      <c r="AQ65" s="715"/>
    </row>
    <row r="66" spans="1:43">
      <c r="B66" s="298"/>
      <c r="C66" s="298"/>
      <c r="D66" s="298"/>
      <c r="E66" s="298"/>
      <c r="F66" s="715"/>
      <c r="G66" s="715"/>
      <c r="H66" s="715"/>
      <c r="I66" s="619"/>
      <c r="J66" s="1455"/>
      <c r="K66" s="1455"/>
      <c r="L66" s="1455"/>
      <c r="M66" s="6064" t="s">
        <v>1742</v>
      </c>
      <c r="N66" s="6064">
        <v>60.293596370134942</v>
      </c>
      <c r="O66" s="4959">
        <v>0</v>
      </c>
      <c r="P66" s="4959">
        <f t="shared" ref="P66:Z66" si="27">P6</f>
        <v>0</v>
      </c>
      <c r="Q66" s="4959">
        <f t="shared" si="27"/>
        <v>37.159860185335717</v>
      </c>
      <c r="R66" s="4959" t="e">
        <f t="shared" si="27"/>
        <v>#DIV/0!</v>
      </c>
      <c r="S66" s="4959" t="e">
        <f t="shared" si="27"/>
        <v>#DIV/0!</v>
      </c>
      <c r="T66" s="4959" t="e">
        <f t="shared" si="27"/>
        <v>#DIV/0!</v>
      </c>
      <c r="U66" s="4959" t="e">
        <f t="shared" si="27"/>
        <v>#DIV/0!</v>
      </c>
      <c r="V66" s="4959" t="e">
        <f t="shared" si="27"/>
        <v>#DIV/0!</v>
      </c>
      <c r="W66" s="4959" t="e">
        <f t="shared" si="27"/>
        <v>#DIV/0!</v>
      </c>
      <c r="X66" s="4959" t="e">
        <f t="shared" si="27"/>
        <v>#DIV/0!</v>
      </c>
      <c r="Y66" s="4959" t="e">
        <f t="shared" si="27"/>
        <v>#DIV/0!</v>
      </c>
      <c r="Z66" s="4959" t="e">
        <f t="shared" si="27"/>
        <v>#DIV/0!</v>
      </c>
      <c r="AA66" s="5020">
        <f>년간!V119</f>
        <v>37.159860185335717</v>
      </c>
      <c r="AC66" s="297"/>
      <c r="AK66" s="340">
        <v>264718.55</v>
      </c>
      <c r="AL66" s="340" t="e">
        <f>Y66/AK66</f>
        <v>#DIV/0!</v>
      </c>
      <c r="AN66" s="340"/>
      <c r="AO66" s="340"/>
      <c r="AQ66" s="715"/>
    </row>
    <row r="67" spans="1:43">
      <c r="A67" s="298"/>
      <c r="B67" s="298"/>
      <c r="C67" s="298"/>
      <c r="D67" s="298"/>
      <c r="E67" s="298"/>
      <c r="F67" s="298"/>
      <c r="G67" s="298"/>
      <c r="H67" s="298"/>
      <c r="I67" s="298"/>
      <c r="J67" s="1451"/>
      <c r="K67" s="1451"/>
      <c r="L67" s="1451"/>
      <c r="M67" s="6064" t="s">
        <v>1743</v>
      </c>
      <c r="N67" s="6064">
        <v>0.80290909090909079</v>
      </c>
      <c r="O67" s="6064">
        <v>0</v>
      </c>
      <c r="P67" s="6064">
        <v>0</v>
      </c>
      <c r="Q67" s="6064">
        <v>0.78700000000000003</v>
      </c>
      <c r="R67" s="6064"/>
      <c r="S67" s="6064"/>
      <c r="T67" s="6064"/>
      <c r="U67" s="6064"/>
      <c r="V67" s="6064"/>
      <c r="W67" s="6064"/>
      <c r="X67" s="6064"/>
      <c r="Y67" s="6064"/>
      <c r="Z67" s="6064"/>
      <c r="AA67" s="4968">
        <f>AVERAGE(Q67:Z67)</f>
        <v>0.78700000000000003</v>
      </c>
    </row>
    <row r="68" spans="1:43">
      <c r="A68" s="298"/>
      <c r="B68" s="298"/>
      <c r="C68" s="298"/>
      <c r="D68" s="298"/>
      <c r="E68" s="298"/>
      <c r="F68" s="298"/>
      <c r="G68" s="298"/>
      <c r="H68" s="298"/>
      <c r="I68" s="298"/>
      <c r="J68" s="1451"/>
      <c r="K68" s="1451"/>
      <c r="L68" s="1451"/>
      <c r="M68" s="6064" t="s">
        <v>1744</v>
      </c>
      <c r="N68" s="4960">
        <v>1142.4500000000003</v>
      </c>
      <c r="O68" s="4960">
        <v>0</v>
      </c>
      <c r="P68" s="4960">
        <v>0</v>
      </c>
      <c r="Q68" s="4960">
        <v>1160.529</v>
      </c>
      <c r="R68" s="4960"/>
      <c r="S68" s="4960"/>
      <c r="T68" s="4960"/>
      <c r="U68" s="4960"/>
      <c r="V68" s="4960"/>
      <c r="W68" s="4960"/>
      <c r="X68" s="4960"/>
      <c r="Y68" s="4960"/>
      <c r="Z68" s="4960"/>
      <c r="AA68" s="4960">
        <f>AVERAGE(Q68:Z68)</f>
        <v>1160.529</v>
      </c>
    </row>
    <row r="69" spans="1:43">
      <c r="A69" s="298"/>
      <c r="B69" s="298"/>
      <c r="C69" s="298"/>
      <c r="D69" s="298"/>
      <c r="E69" s="298"/>
      <c r="F69" s="298"/>
      <c r="G69" s="298"/>
      <c r="H69" s="298"/>
      <c r="I69" s="298"/>
      <c r="J69" s="1451"/>
      <c r="K69" s="1451"/>
      <c r="L69" s="1451"/>
      <c r="M69" s="6064" t="s">
        <v>1745</v>
      </c>
      <c r="N69" s="4961">
        <f>N68*N67</f>
        <v>917.28349090909103</v>
      </c>
      <c r="O69" s="4961">
        <f>O68*O67</f>
        <v>0</v>
      </c>
      <c r="P69" s="4961">
        <f t="shared" ref="P69:AA69" si="28">P68*P67</f>
        <v>0</v>
      </c>
      <c r="Q69" s="4961">
        <f t="shared" si="28"/>
        <v>913.33632299999999</v>
      </c>
      <c r="R69" s="4961">
        <f t="shared" si="28"/>
        <v>0</v>
      </c>
      <c r="S69" s="4961">
        <f t="shared" si="28"/>
        <v>0</v>
      </c>
      <c r="T69" s="4961">
        <f t="shared" si="28"/>
        <v>0</v>
      </c>
      <c r="U69" s="4961">
        <f t="shared" si="28"/>
        <v>0</v>
      </c>
      <c r="V69" s="4961">
        <f t="shared" si="28"/>
        <v>0</v>
      </c>
      <c r="W69" s="4961">
        <f t="shared" si="28"/>
        <v>0</v>
      </c>
      <c r="X69" s="4961">
        <f t="shared" si="28"/>
        <v>0</v>
      </c>
      <c r="Y69" s="4961">
        <f t="shared" si="28"/>
        <v>0</v>
      </c>
      <c r="Z69" s="4961">
        <f t="shared" si="28"/>
        <v>0</v>
      </c>
      <c r="AA69" s="4961">
        <f t="shared" si="28"/>
        <v>913.33632299999999</v>
      </c>
    </row>
    <row r="70" spans="1:43">
      <c r="A70" s="298"/>
      <c r="B70" s="298"/>
      <c r="C70" s="298"/>
      <c r="D70" s="298"/>
      <c r="E70" s="298"/>
      <c r="F70" s="298"/>
      <c r="G70" s="298"/>
      <c r="H70" s="298"/>
      <c r="I70" s="298"/>
      <c r="J70" s="1451"/>
      <c r="K70" s="1451"/>
      <c r="L70" s="1451"/>
      <c r="M70" s="6064" t="s">
        <v>1746</v>
      </c>
      <c r="N70" s="6064">
        <v>1</v>
      </c>
      <c r="O70" s="4962" t="e">
        <f>$N$69/O69</f>
        <v>#DIV/0!</v>
      </c>
      <c r="P70" s="4962" t="e">
        <f t="shared" ref="P70:Z70" si="29">$N$69/P69</f>
        <v>#DIV/0!</v>
      </c>
      <c r="Q70" s="4962">
        <f t="shared" si="29"/>
        <v>1.0043217025423077</v>
      </c>
      <c r="R70" s="4962" t="e">
        <f t="shared" si="29"/>
        <v>#DIV/0!</v>
      </c>
      <c r="S70" s="4962" t="e">
        <f t="shared" si="29"/>
        <v>#DIV/0!</v>
      </c>
      <c r="T70" s="4962" t="e">
        <f t="shared" si="29"/>
        <v>#DIV/0!</v>
      </c>
      <c r="U70" s="4962" t="e">
        <f t="shared" si="29"/>
        <v>#DIV/0!</v>
      </c>
      <c r="V70" s="4962" t="e">
        <f t="shared" si="29"/>
        <v>#DIV/0!</v>
      </c>
      <c r="W70" s="4962" t="e">
        <f t="shared" si="29"/>
        <v>#DIV/0!</v>
      </c>
      <c r="X70" s="4962" t="e">
        <f t="shared" si="29"/>
        <v>#DIV/0!</v>
      </c>
      <c r="Y70" s="4962" t="e">
        <f t="shared" si="29"/>
        <v>#DIV/0!</v>
      </c>
      <c r="Z70" s="4962" t="e">
        <f t="shared" si="29"/>
        <v>#DIV/0!</v>
      </c>
      <c r="AA70" s="4962">
        <f>$N$69/AA69</f>
        <v>1.0043217025423077</v>
      </c>
    </row>
    <row r="71" spans="1:43">
      <c r="A71" s="340"/>
      <c r="B71" s="340"/>
      <c r="C71" s="340"/>
      <c r="D71" s="340"/>
      <c r="E71" s="340"/>
      <c r="F71" s="340"/>
      <c r="G71" s="340"/>
      <c r="H71" s="340"/>
      <c r="I71" s="340"/>
      <c r="J71" s="1453"/>
      <c r="K71" s="1453"/>
      <c r="L71" s="1453"/>
      <c r="M71" s="6064" t="s">
        <v>1747</v>
      </c>
      <c r="N71" s="4959">
        <f>N70*N66</f>
        <v>60.293596370134942</v>
      </c>
      <c r="O71" s="4959" t="e">
        <f>O70*O66</f>
        <v>#DIV/0!</v>
      </c>
      <c r="P71" s="4959" t="e">
        <f t="shared" ref="P71:Z71" si="30">P70*P66</f>
        <v>#DIV/0!</v>
      </c>
      <c r="Q71" s="4959">
        <f t="shared" si="30"/>
        <v>37.320454047570479</v>
      </c>
      <c r="R71" s="4959" t="e">
        <f t="shared" si="30"/>
        <v>#DIV/0!</v>
      </c>
      <c r="S71" s="4959" t="e">
        <f t="shared" si="30"/>
        <v>#DIV/0!</v>
      </c>
      <c r="T71" s="4959" t="e">
        <f t="shared" si="30"/>
        <v>#DIV/0!</v>
      </c>
      <c r="U71" s="4959" t="e">
        <f t="shared" si="30"/>
        <v>#DIV/0!</v>
      </c>
      <c r="V71" s="4959" t="e">
        <f t="shared" si="30"/>
        <v>#DIV/0!</v>
      </c>
      <c r="W71" s="4959" t="e">
        <f t="shared" si="30"/>
        <v>#DIV/0!</v>
      </c>
      <c r="X71" s="4959" t="e">
        <f t="shared" si="30"/>
        <v>#DIV/0!</v>
      </c>
      <c r="Y71" s="4959" t="e">
        <f t="shared" si="30"/>
        <v>#DIV/0!</v>
      </c>
      <c r="Z71" s="4959" t="e">
        <f t="shared" si="30"/>
        <v>#DIV/0!</v>
      </c>
      <c r="AA71" s="4959">
        <f>AA70*AA66</f>
        <v>37.320454047570479</v>
      </c>
    </row>
    <row r="72" spans="1:43">
      <c r="M72" s="4963" t="s">
        <v>1748</v>
      </c>
      <c r="N72" s="3489">
        <v>263836.87</v>
      </c>
      <c r="O72" s="4967">
        <f>O5</f>
        <v>0</v>
      </c>
      <c r="P72" s="4967">
        <f t="shared" ref="P72:Z72" si="31">P5</f>
        <v>0</v>
      </c>
      <c r="Q72" s="4967">
        <f t="shared" si="31"/>
        <v>22857.03</v>
      </c>
      <c r="R72" s="4967">
        <f t="shared" si="31"/>
        <v>0</v>
      </c>
      <c r="S72" s="4967">
        <f t="shared" si="31"/>
        <v>0</v>
      </c>
      <c r="T72" s="4967">
        <f t="shared" si="31"/>
        <v>0</v>
      </c>
      <c r="U72" s="4967">
        <f t="shared" si="31"/>
        <v>0</v>
      </c>
      <c r="V72" s="4967">
        <f t="shared" si="31"/>
        <v>0</v>
      </c>
      <c r="W72" s="4967">
        <f t="shared" si="31"/>
        <v>0</v>
      </c>
      <c r="X72" s="4967">
        <f t="shared" si="31"/>
        <v>0</v>
      </c>
      <c r="Y72" s="4967">
        <f t="shared" si="31"/>
        <v>0</v>
      </c>
      <c r="Z72" s="4967">
        <f t="shared" si="31"/>
        <v>0</v>
      </c>
      <c r="AA72" s="4967">
        <f>SUM(O72:Z72)</f>
        <v>22857.03</v>
      </c>
    </row>
    <row r="73" spans="1:43">
      <c r="M73" s="4964" t="s">
        <v>1749</v>
      </c>
      <c r="N73" s="4964"/>
      <c r="O73" s="4965" t="e">
        <f>(O72/$N$71-O72/O71)*2265654/1000</f>
        <v>#DIV/0!</v>
      </c>
      <c r="P73" s="4965" t="e">
        <f t="shared" ref="P73:Z73" si="32">(P72/$N$66-P72/P71)*2265654/1000</f>
        <v>#DIV/0!</v>
      </c>
      <c r="Q73" s="4965">
        <f t="shared" si="32"/>
        <v>-528707.75488991861</v>
      </c>
      <c r="R73" s="4965" t="e">
        <f t="shared" si="32"/>
        <v>#DIV/0!</v>
      </c>
      <c r="S73" s="4965" t="e">
        <f t="shared" si="32"/>
        <v>#DIV/0!</v>
      </c>
      <c r="T73" s="4965" t="e">
        <f t="shared" si="32"/>
        <v>#DIV/0!</v>
      </c>
      <c r="U73" s="4965" t="e">
        <f t="shared" si="32"/>
        <v>#DIV/0!</v>
      </c>
      <c r="V73" s="4965" t="e">
        <f t="shared" si="32"/>
        <v>#DIV/0!</v>
      </c>
      <c r="W73" s="4965" t="e">
        <f t="shared" si="32"/>
        <v>#DIV/0!</v>
      </c>
      <c r="X73" s="4965" t="e">
        <f t="shared" si="32"/>
        <v>#DIV/0!</v>
      </c>
      <c r="Y73" s="4965" t="e">
        <f t="shared" si="32"/>
        <v>#DIV/0!</v>
      </c>
      <c r="Z73" s="4965" t="e">
        <f t="shared" si="32"/>
        <v>#DIV/0!</v>
      </c>
      <c r="AA73" s="4966">
        <f>Q73</f>
        <v>-528707.75488991861</v>
      </c>
    </row>
    <row r="83" spans="1:43">
      <c r="A83" s="298"/>
      <c r="B83" s="298"/>
      <c r="C83" s="298"/>
      <c r="D83" s="298"/>
      <c r="E83" s="298"/>
      <c r="F83" s="298"/>
      <c r="G83" s="298"/>
      <c r="H83" s="298"/>
      <c r="I83" s="298"/>
      <c r="J83" s="1451"/>
      <c r="K83" s="1451"/>
      <c r="L83" s="1451"/>
      <c r="M83" s="298"/>
      <c r="N83" s="298"/>
      <c r="O83" s="298"/>
      <c r="P83" s="298"/>
      <c r="Q83" s="298"/>
      <c r="R83" s="298"/>
      <c r="S83" s="298"/>
      <c r="T83" s="298"/>
      <c r="U83" s="298"/>
      <c r="V83" s="298"/>
      <c r="W83" s="298"/>
      <c r="X83" s="298"/>
      <c r="Y83" s="298"/>
      <c r="Z83" s="298"/>
      <c r="AA83" s="298"/>
      <c r="AB83" s="690"/>
      <c r="AC83" s="298"/>
      <c r="AD83" s="298"/>
      <c r="AE83" s="298"/>
      <c r="AF83" s="298"/>
      <c r="AG83" s="298"/>
      <c r="AH83" s="298"/>
      <c r="AI83" s="298"/>
      <c r="AJ83" s="298"/>
      <c r="AK83" s="298"/>
      <c r="AL83" s="298"/>
      <c r="AM83" s="298"/>
      <c r="AN83" s="298"/>
      <c r="AO83" s="298"/>
      <c r="AP83" s="298"/>
      <c r="AQ83" s="298"/>
    </row>
    <row r="84" spans="1:43">
      <c r="A84" s="298"/>
      <c r="B84" s="298"/>
      <c r="C84" s="298"/>
      <c r="D84" s="298"/>
      <c r="E84" s="298"/>
      <c r="F84" s="298"/>
      <c r="G84" s="298"/>
      <c r="H84" s="298"/>
      <c r="I84" s="298"/>
      <c r="J84" s="1451"/>
      <c r="K84" s="1451"/>
      <c r="L84" s="1451"/>
      <c r="M84" s="298"/>
      <c r="N84" s="298"/>
      <c r="O84" s="298"/>
      <c r="P84" s="298"/>
      <c r="Q84" s="298"/>
      <c r="R84" s="298"/>
      <c r="S84" s="298"/>
      <c r="T84" s="298"/>
      <c r="U84" s="298"/>
      <c r="V84" s="298"/>
      <c r="W84" s="298"/>
      <c r="X84" s="298"/>
      <c r="Y84" s="298"/>
      <c r="Z84" s="298"/>
      <c r="AA84" s="298"/>
      <c r="AB84" s="690"/>
      <c r="AC84" s="298"/>
      <c r="AD84" s="298"/>
      <c r="AE84" s="298"/>
      <c r="AF84" s="298"/>
      <c r="AG84" s="298"/>
      <c r="AH84" s="298"/>
      <c r="AI84" s="298"/>
      <c r="AJ84" s="298"/>
      <c r="AK84" s="298"/>
      <c r="AL84" s="298"/>
      <c r="AM84" s="298"/>
      <c r="AN84" s="298"/>
      <c r="AO84" s="298"/>
      <c r="AP84" s="298"/>
      <c r="AQ84" s="298"/>
    </row>
  </sheetData>
  <mergeCells count="31">
    <mergeCell ref="M64:M65"/>
    <mergeCell ref="N64:N65"/>
    <mergeCell ref="O64:AA64"/>
    <mergeCell ref="A9:A10"/>
    <mergeCell ref="A45:B45"/>
    <mergeCell ref="A40:A42"/>
    <mergeCell ref="A43:A44"/>
    <mergeCell ref="M53:N53"/>
    <mergeCell ref="A27:A33"/>
    <mergeCell ref="A34:A35"/>
    <mergeCell ref="A25:A26"/>
    <mergeCell ref="A36:A37"/>
    <mergeCell ref="B27:B28"/>
    <mergeCell ref="B29:B30"/>
    <mergeCell ref="A11:A18"/>
    <mergeCell ref="A19:A24"/>
    <mergeCell ref="B19:B20"/>
    <mergeCell ref="B21:B22"/>
    <mergeCell ref="B23:B24"/>
    <mergeCell ref="A5:A8"/>
    <mergeCell ref="A1:AQ1"/>
    <mergeCell ref="AP3:AP4"/>
    <mergeCell ref="O3:AM3"/>
    <mergeCell ref="AN3:AN4"/>
    <mergeCell ref="AQ3:AQ4"/>
    <mergeCell ref="AO3:AO4"/>
    <mergeCell ref="M3:N3"/>
    <mergeCell ref="A3:A4"/>
    <mergeCell ref="B3:B4"/>
    <mergeCell ref="C3:C4"/>
    <mergeCell ref="D3:L3"/>
  </mergeCells>
  <phoneticPr fontId="23" type="noConversion"/>
  <pageMargins left="0" right="0" top="0.35433070866141736" bottom="0" header="0.31496062992125984" footer="0.31496062992125984"/>
  <pageSetup paperSize="9" scale="70"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74"/>
  <sheetViews>
    <sheetView zoomScale="70" zoomScaleNormal="70" workbookViewId="0">
      <pane xSplit="8" ySplit="4" topLeftCell="I5" activePane="bottomRight" state="frozen"/>
      <selection pane="topRight" activeCell="I1" sqref="I1"/>
      <selection pane="bottomLeft" activeCell="A5" sqref="A5"/>
      <selection pane="bottomRight" activeCell="AB46" sqref="AB46"/>
    </sheetView>
  </sheetViews>
  <sheetFormatPr defaultColWidth="8.88671875" defaultRowHeight="16.5"/>
  <cols>
    <col min="1" max="1" width="8.88671875" style="340"/>
    <col min="2" max="2" width="14.44140625" style="340" customWidth="1"/>
    <col min="3" max="3" width="8.6640625" style="340" customWidth="1"/>
    <col min="4" max="8" width="8.6640625" style="330" hidden="1" customWidth="1"/>
    <col min="9" max="9" width="9.44140625" style="330" customWidth="1"/>
    <col min="10" max="10" width="9.109375" style="1452" customWidth="1"/>
    <col min="11" max="12" width="8.6640625" style="1452" customWidth="1"/>
    <col min="13" max="13" width="9.109375" style="330" customWidth="1"/>
    <col min="14" max="14" width="8.6640625" style="330" customWidth="1"/>
    <col min="15" max="17" width="8.77734375" style="330" customWidth="1"/>
    <col min="18" max="21" width="8.77734375" style="330" hidden="1" customWidth="1"/>
    <col min="22" max="22" width="9.21875" style="330" hidden="1" customWidth="1"/>
    <col min="23" max="25" width="8.77734375" style="330" hidden="1" customWidth="1"/>
    <col min="26" max="26" width="8.77734375" style="330" customWidth="1"/>
    <col min="27" max="27" width="8.77734375" style="1452" customWidth="1"/>
    <col min="28" max="30" width="8.77734375" style="330" customWidth="1"/>
    <col min="31" max="38" width="8.77734375" style="330" hidden="1" customWidth="1"/>
    <col min="39" max="39" width="8.77734375" style="330" customWidth="1"/>
    <col min="40" max="40" width="10.6640625" style="330" customWidth="1"/>
    <col min="41" max="41" width="9.77734375" style="330" customWidth="1"/>
    <col min="42" max="42" width="7.77734375" style="340" bestFit="1" customWidth="1"/>
    <col min="43" max="43" width="19.6640625" style="340" customWidth="1"/>
    <col min="44" max="44" width="8.88671875" style="340"/>
    <col min="45" max="45" width="11.6640625" style="340" bestFit="1" customWidth="1"/>
    <col min="46" max="16384" width="8.88671875" style="340"/>
  </cols>
  <sheetData>
    <row r="1" spans="1:44" ht="31.5">
      <c r="A1" s="8009" t="s">
        <v>1301</v>
      </c>
      <c r="B1" s="8009"/>
      <c r="C1" s="8009"/>
      <c r="D1" s="8009"/>
      <c r="E1" s="8009"/>
      <c r="F1" s="8009"/>
      <c r="G1" s="8009"/>
      <c r="H1" s="8009"/>
      <c r="I1" s="8009"/>
      <c r="J1" s="8009"/>
      <c r="K1" s="8009"/>
      <c r="L1" s="8009"/>
      <c r="M1" s="8009"/>
      <c r="N1" s="8009"/>
      <c r="O1" s="8009"/>
      <c r="P1" s="8009"/>
      <c r="Q1" s="8009"/>
      <c r="R1" s="8009"/>
      <c r="S1" s="8009"/>
      <c r="T1" s="8009"/>
      <c r="U1" s="8009"/>
      <c r="V1" s="8009"/>
      <c r="W1" s="8009"/>
      <c r="X1" s="8009"/>
      <c r="Y1" s="8009"/>
      <c r="Z1" s="8009"/>
      <c r="AA1" s="8009"/>
      <c r="AB1" s="8009"/>
      <c r="AC1" s="8009"/>
      <c r="AD1" s="8009"/>
      <c r="AE1" s="8009"/>
      <c r="AF1" s="8009"/>
      <c r="AG1" s="8009"/>
      <c r="AH1" s="8009"/>
      <c r="AI1" s="8009"/>
      <c r="AJ1" s="8009"/>
      <c r="AK1" s="8009"/>
      <c r="AL1" s="8009"/>
      <c r="AM1" s="8009"/>
      <c r="AN1" s="8009"/>
      <c r="AO1" s="8009"/>
      <c r="AP1" s="8009"/>
      <c r="AQ1" s="8009"/>
    </row>
    <row r="2" spans="1:44" ht="13.15" customHeight="1" thickBot="1">
      <c r="M2" s="8020" t="s">
        <v>398</v>
      </c>
      <c r="N2" s="8020"/>
      <c r="O2" s="8021"/>
      <c r="P2" s="8021"/>
      <c r="Q2" s="8021"/>
      <c r="R2" s="8021"/>
      <c r="S2" s="8021"/>
      <c r="T2" s="8021"/>
      <c r="U2" s="8021"/>
      <c r="V2" s="8021"/>
      <c r="W2" s="8021"/>
      <c r="X2" s="8021"/>
      <c r="Y2" s="8021"/>
      <c r="Z2" s="8021"/>
      <c r="AA2" s="8021"/>
      <c r="AB2" s="8021"/>
      <c r="AC2" s="8021"/>
      <c r="AD2" s="8021"/>
      <c r="AE2" s="8021"/>
      <c r="AF2" s="8021"/>
      <c r="AG2" s="8021"/>
      <c r="AH2" s="8021"/>
      <c r="AI2" s="8021"/>
      <c r="AJ2" s="8021"/>
      <c r="AK2" s="8021"/>
      <c r="AL2" s="8021"/>
      <c r="AM2" s="8021"/>
      <c r="AN2" s="8021"/>
      <c r="AO2" s="8021"/>
      <c r="AP2" s="8021"/>
      <c r="AQ2" s="8022"/>
    </row>
    <row r="3" spans="1:44" ht="17.25" thickBot="1">
      <c r="A3" s="7980" t="s">
        <v>335</v>
      </c>
      <c r="B3" s="7983" t="s">
        <v>336</v>
      </c>
      <c r="C3" s="8090" t="s">
        <v>337</v>
      </c>
      <c r="D3" s="8042" t="s">
        <v>338</v>
      </c>
      <c r="E3" s="7954"/>
      <c r="F3" s="7954"/>
      <c r="G3" s="7954"/>
      <c r="H3" s="7954"/>
      <c r="I3" s="7954"/>
      <c r="J3" s="7954"/>
      <c r="K3" s="7954"/>
      <c r="L3" s="7954"/>
      <c r="M3" s="7980" t="s">
        <v>339</v>
      </c>
      <c r="N3" s="7983"/>
      <c r="O3" s="7954" t="s">
        <v>1299</v>
      </c>
      <c r="P3" s="7954"/>
      <c r="Q3" s="7954"/>
      <c r="R3" s="7954"/>
      <c r="S3" s="7954"/>
      <c r="T3" s="7954"/>
      <c r="U3" s="7954"/>
      <c r="V3" s="7954"/>
      <c r="W3" s="7954"/>
      <c r="X3" s="7954"/>
      <c r="Y3" s="7954"/>
      <c r="Z3" s="7954"/>
      <c r="AA3" s="7954"/>
      <c r="AB3" s="8004"/>
      <c r="AC3" s="8004"/>
      <c r="AD3" s="8004"/>
      <c r="AE3" s="8004"/>
      <c r="AF3" s="8004"/>
      <c r="AG3" s="8004"/>
      <c r="AH3" s="8004"/>
      <c r="AI3" s="8004"/>
      <c r="AJ3" s="8004"/>
      <c r="AK3" s="8004"/>
      <c r="AL3" s="8004"/>
      <c r="AM3" s="8005"/>
      <c r="AN3" s="7955" t="s">
        <v>1912</v>
      </c>
      <c r="AO3" s="7955" t="s">
        <v>434</v>
      </c>
      <c r="AP3" s="7955" t="s">
        <v>361</v>
      </c>
      <c r="AQ3" s="7983" t="s">
        <v>340</v>
      </c>
    </row>
    <row r="4" spans="1:44" ht="16.5" customHeight="1" thickTop="1">
      <c r="A4" s="8103"/>
      <c r="B4" s="8086"/>
      <c r="C4" s="8091"/>
      <c r="D4" s="2936" t="s">
        <v>252</v>
      </c>
      <c r="E4" s="2937" t="s">
        <v>253</v>
      </c>
      <c r="F4" s="2937" t="s">
        <v>191</v>
      </c>
      <c r="G4" s="2937" t="s">
        <v>254</v>
      </c>
      <c r="H4" s="2938" t="s">
        <v>544</v>
      </c>
      <c r="I4" s="3271" t="s">
        <v>697</v>
      </c>
      <c r="J4" s="3271" t="s">
        <v>699</v>
      </c>
      <c r="K4" s="3271" t="s">
        <v>1008</v>
      </c>
      <c r="L4" s="3271" t="s">
        <v>1883</v>
      </c>
      <c r="M4" s="6115" t="s">
        <v>1887</v>
      </c>
      <c r="N4" s="6116" t="s">
        <v>801</v>
      </c>
      <c r="O4" s="4604" t="s">
        <v>366</v>
      </c>
      <c r="P4" s="7445" t="s">
        <v>368</v>
      </c>
      <c r="Q4" s="7250" t="s">
        <v>369</v>
      </c>
      <c r="R4" s="4604" t="s">
        <v>370</v>
      </c>
      <c r="S4" s="3228" t="s">
        <v>371</v>
      </c>
      <c r="T4" s="3228" t="s">
        <v>372</v>
      </c>
      <c r="U4" s="3228" t="s">
        <v>373</v>
      </c>
      <c r="V4" s="3228" t="s">
        <v>374</v>
      </c>
      <c r="W4" s="3228" t="s">
        <v>375</v>
      </c>
      <c r="X4" s="3236" t="s">
        <v>376</v>
      </c>
      <c r="Y4" s="5463" t="s">
        <v>377</v>
      </c>
      <c r="Z4" s="2649" t="s">
        <v>378</v>
      </c>
      <c r="AA4" s="3228" t="s">
        <v>983</v>
      </c>
      <c r="AB4" s="3284" t="s">
        <v>367</v>
      </c>
      <c r="AC4" s="858" t="s">
        <v>379</v>
      </c>
      <c r="AD4" s="858" t="s">
        <v>380</v>
      </c>
      <c r="AE4" s="858" t="s">
        <v>381</v>
      </c>
      <c r="AF4" s="858" t="s">
        <v>382</v>
      </c>
      <c r="AG4" s="858" t="s">
        <v>383</v>
      </c>
      <c r="AH4" s="858" t="s">
        <v>384</v>
      </c>
      <c r="AI4" s="858" t="s">
        <v>385</v>
      </c>
      <c r="AJ4" s="858" t="s">
        <v>386</v>
      </c>
      <c r="AK4" s="858" t="s">
        <v>387</v>
      </c>
      <c r="AL4" s="858" t="s">
        <v>388</v>
      </c>
      <c r="AM4" s="858" t="s">
        <v>389</v>
      </c>
      <c r="AN4" s="8023"/>
      <c r="AO4" s="8023"/>
      <c r="AP4" s="8023"/>
      <c r="AQ4" s="8086"/>
    </row>
    <row r="5" spans="1:44">
      <c r="A5" s="8089" t="s">
        <v>341</v>
      </c>
      <c r="B5" s="2939" t="s">
        <v>342</v>
      </c>
      <c r="C5" s="2940" t="s">
        <v>343</v>
      </c>
      <c r="D5" s="2941">
        <v>117306.192</v>
      </c>
      <c r="E5" s="2942">
        <v>131569.45000000001</v>
      </c>
      <c r="F5" s="2942">
        <v>124779.053</v>
      </c>
      <c r="G5" s="2942">
        <v>102108.323</v>
      </c>
      <c r="H5" s="2942">
        <v>119735.24</v>
      </c>
      <c r="I5" s="3272">
        <v>125950</v>
      </c>
      <c r="J5" s="3272">
        <v>143690.20500000002</v>
      </c>
      <c r="K5" s="3272">
        <f>년간!C11</f>
        <v>151508.71799999999</v>
      </c>
      <c r="L5" s="3272">
        <f>년간!D11</f>
        <v>157631.48800000001</v>
      </c>
      <c r="M5" s="5956">
        <f>년간!E11</f>
        <v>162042</v>
      </c>
      <c r="N5" s="5957">
        <f>M5/12</f>
        <v>13503.5</v>
      </c>
      <c r="O5" s="6284">
        <f>년간!F11</f>
        <v>12404.550000000001</v>
      </c>
      <c r="P5" s="7537">
        <f>년간!G11</f>
        <v>11953.14</v>
      </c>
      <c r="Q5" s="7321">
        <f>년간!H11</f>
        <v>13031.1</v>
      </c>
      <c r="R5" s="6284">
        <f>년간!I11</f>
        <v>0</v>
      </c>
      <c r="S5" s="4459">
        <f>년간!J11</f>
        <v>0</v>
      </c>
      <c r="T5" s="4459">
        <f>년간!K11</f>
        <v>0</v>
      </c>
      <c r="U5" s="4459">
        <f>년간!L11</f>
        <v>0</v>
      </c>
      <c r="V5" s="4459">
        <f>년간!M11</f>
        <v>0</v>
      </c>
      <c r="W5" s="4459">
        <f>년간!N11</f>
        <v>0</v>
      </c>
      <c r="X5" s="4846">
        <f>년간!O11</f>
        <v>0</v>
      </c>
      <c r="Y5" s="5492">
        <f>년간!P11</f>
        <v>0</v>
      </c>
      <c r="Z5" s="2650">
        <f>년간!Q11</f>
        <v>0</v>
      </c>
      <c r="AA5" s="4846">
        <f>SUM(O5:Z5)</f>
        <v>37388.79</v>
      </c>
      <c r="AB5" s="4842"/>
      <c r="AC5" s="2943"/>
      <c r="AD5" s="2943"/>
      <c r="AE5" s="2943"/>
      <c r="AF5" s="2943"/>
      <c r="AG5" s="2943"/>
      <c r="AH5" s="2943"/>
      <c r="AI5" s="2943"/>
      <c r="AJ5" s="2943"/>
      <c r="AK5" s="2943"/>
      <c r="AL5" s="2943"/>
      <c r="AM5" s="2943"/>
      <c r="AN5" s="2257"/>
      <c r="AO5" s="2257"/>
      <c r="AP5" s="2257"/>
      <c r="AQ5" s="2944"/>
    </row>
    <row r="6" spans="1:44">
      <c r="A6" s="7799"/>
      <c r="B6" s="2939" t="s">
        <v>344</v>
      </c>
      <c r="C6" s="2945" t="s">
        <v>345</v>
      </c>
      <c r="D6" s="1538">
        <v>21.77</v>
      </c>
      <c r="E6" s="2946">
        <v>22.81</v>
      </c>
      <c r="F6" s="2947">
        <v>21.43</v>
      </c>
      <c r="G6" s="2947">
        <v>20.03</v>
      </c>
      <c r="H6" s="2947">
        <v>19.959255318262262</v>
      </c>
      <c r="I6" s="3273">
        <v>22.3</v>
      </c>
      <c r="J6" s="3273">
        <v>23.635136290988044</v>
      </c>
      <c r="K6" s="3273">
        <f>년간!C121</f>
        <v>23.126629659404287</v>
      </c>
      <c r="L6" s="3273">
        <f>년간!D121</f>
        <v>22.529190340300044</v>
      </c>
      <c r="M6" s="5958">
        <f>년간!E121</f>
        <v>24</v>
      </c>
      <c r="N6" s="5959">
        <f>M6</f>
        <v>24</v>
      </c>
      <c r="O6" s="5716">
        <f>년간!F121</f>
        <v>21.081832087015638</v>
      </c>
      <c r="P6" s="7447">
        <f>년간!G121</f>
        <v>21.265148550080056</v>
      </c>
      <c r="Q6" s="7252">
        <f>년간!H121</f>
        <v>21.541975478716076</v>
      </c>
      <c r="R6" s="5716" t="e">
        <f>년간!I121</f>
        <v>#DIV/0!</v>
      </c>
      <c r="S6" s="3230" t="e">
        <f>년간!J121</f>
        <v>#DIV/0!</v>
      </c>
      <c r="T6" s="3230" t="e">
        <f>년간!K121</f>
        <v>#DIV/0!</v>
      </c>
      <c r="U6" s="3230" t="e">
        <f>년간!L121</f>
        <v>#DIV/0!</v>
      </c>
      <c r="V6" s="3230" t="e">
        <f>년간!M121</f>
        <v>#DIV/0!</v>
      </c>
      <c r="W6" s="3230" t="e">
        <f>년간!N121</f>
        <v>#DIV/0!</v>
      </c>
      <c r="X6" s="3238" t="e">
        <f>년간!O121</f>
        <v>#DIV/0!</v>
      </c>
      <c r="Y6" s="5464" t="e">
        <f>년간!P121</f>
        <v>#DIV/0!</v>
      </c>
      <c r="Z6" s="2632" t="e">
        <f>년간!Q121</f>
        <v>#DIV/0!</v>
      </c>
      <c r="AA6" s="3238">
        <f>년간!V121</f>
        <v>21.299097080465227</v>
      </c>
      <c r="AB6" s="4809">
        <f>년간!F150/1000</f>
        <v>-54769.923419098479</v>
      </c>
      <c r="AC6" s="2948">
        <f>년간!G150/1000</f>
        <v>-65553.952883274367</v>
      </c>
      <c r="AD6" s="2948">
        <f>년간!H150/1000</f>
        <v>-60056.043465342846</v>
      </c>
      <c r="AE6" s="2948" t="e">
        <f>년간!I150/1000</f>
        <v>#DIV/0!</v>
      </c>
      <c r="AF6" s="2948" t="e">
        <f>년간!J150/1000</f>
        <v>#DIV/0!</v>
      </c>
      <c r="AG6" s="2948" t="e">
        <f>년간!K150/1000</f>
        <v>#DIV/0!</v>
      </c>
      <c r="AH6" s="2948" t="e">
        <f>년간!L150/1000</f>
        <v>#DIV/0!</v>
      </c>
      <c r="AI6" s="2948" t="e">
        <f>년간!M150/1000</f>
        <v>#DIV/0!</v>
      </c>
      <c r="AJ6" s="2948" t="e">
        <f>년간!N150/1000</f>
        <v>#DIV/0!</v>
      </c>
      <c r="AK6" s="2948" t="e">
        <f>년간!O150/1000</f>
        <v>#DIV/0!</v>
      </c>
      <c r="AL6" s="2948" t="e">
        <f>년간!P150/1000</f>
        <v>#DIV/0!</v>
      </c>
      <c r="AM6" s="2948" t="e">
        <f>년간!Q150/1000</f>
        <v>#DIV/0!</v>
      </c>
      <c r="AN6" s="2012">
        <f>년간!E150/1000</f>
        <v>638528.7869871509</v>
      </c>
      <c r="AO6" s="2949">
        <f>AB6+AC6+AD6</f>
        <v>-180379.91976771568</v>
      </c>
      <c r="AP6" s="2950">
        <f>AO6/AN6</f>
        <v>-0.28249301119034037</v>
      </c>
      <c r="AQ6" s="2879" t="s">
        <v>1914</v>
      </c>
    </row>
    <row r="7" spans="1:44" s="1453" customFormat="1">
      <c r="A7" s="7799"/>
      <c r="B7" s="3793" t="s">
        <v>1926</v>
      </c>
      <c r="C7" s="2945" t="s">
        <v>260</v>
      </c>
      <c r="D7" s="6107"/>
      <c r="E7" s="2946"/>
      <c r="F7" s="2947"/>
      <c r="G7" s="2947"/>
      <c r="H7" s="2947"/>
      <c r="I7" s="3273"/>
      <c r="J7" s="3273"/>
      <c r="K7" s="3273"/>
      <c r="L7" s="3273">
        <v>22.529190340300044</v>
      </c>
      <c r="M7" s="5958">
        <f>년간!E122</f>
        <v>24</v>
      </c>
      <c r="N7" s="5959">
        <f>M7</f>
        <v>24</v>
      </c>
      <c r="O7" s="5716">
        <f>O64</f>
        <v>22.729410156012456</v>
      </c>
      <c r="P7" s="7447">
        <f t="shared" ref="P7:Z7" si="0">P64</f>
        <v>22.227810806017338</v>
      </c>
      <c r="Q7" s="7252">
        <f t="shared" si="0"/>
        <v>20.853383780964851</v>
      </c>
      <c r="R7" s="5716" t="e">
        <f t="shared" si="0"/>
        <v>#DIV/0!</v>
      </c>
      <c r="S7" s="5716" t="e">
        <f t="shared" si="0"/>
        <v>#DIV/0!</v>
      </c>
      <c r="T7" s="5716" t="e">
        <f t="shared" si="0"/>
        <v>#DIV/0!</v>
      </c>
      <c r="U7" s="5716" t="e">
        <f t="shared" si="0"/>
        <v>#DIV/0!</v>
      </c>
      <c r="V7" s="5716" t="e">
        <f t="shared" si="0"/>
        <v>#DIV/0!</v>
      </c>
      <c r="W7" s="5716" t="e">
        <f t="shared" si="0"/>
        <v>#DIV/0!</v>
      </c>
      <c r="X7" s="5716" t="e">
        <f t="shared" si="0"/>
        <v>#DIV/0!</v>
      </c>
      <c r="Y7" s="5716" t="e">
        <f t="shared" si="0"/>
        <v>#DIV/0!</v>
      </c>
      <c r="Z7" s="3238" t="e">
        <f t="shared" si="0"/>
        <v>#DIV/0!</v>
      </c>
      <c r="AA7" s="3238">
        <f>AA64</f>
        <v>21.913417873119961</v>
      </c>
      <c r="AB7" s="4809">
        <f>년간!F151/1000</f>
        <v>7027.3783017139785</v>
      </c>
      <c r="AC7" s="4809">
        <f>년간!G151/1000</f>
        <v>-30281.972040986588</v>
      </c>
      <c r="AD7" s="4809">
        <f>년간!H151/1000</f>
        <v>-88997.461644212264</v>
      </c>
      <c r="AE7" s="4809" t="e">
        <f>년간!I151/1000</f>
        <v>#DIV/0!</v>
      </c>
      <c r="AF7" s="4809" t="e">
        <f>년간!J151/1000</f>
        <v>#DIV/0!</v>
      </c>
      <c r="AG7" s="4809" t="e">
        <f>년간!K151/1000</f>
        <v>#DIV/0!</v>
      </c>
      <c r="AH7" s="4809" t="e">
        <f>년간!L151/1000</f>
        <v>#DIV/0!</v>
      </c>
      <c r="AI7" s="4809" t="e">
        <f>년간!M151/1000</f>
        <v>#DIV/0!</v>
      </c>
      <c r="AJ7" s="4809" t="e">
        <f>년간!N151/1000</f>
        <v>#DIV/0!</v>
      </c>
      <c r="AK7" s="4809" t="e">
        <f>년간!O151/1000</f>
        <v>#DIV/0!</v>
      </c>
      <c r="AL7" s="4809" t="e">
        <f>년간!P151/1000</f>
        <v>#DIV/0!</v>
      </c>
      <c r="AM7" s="4809" t="e">
        <f>년간!Q151/1000</f>
        <v>#DIV/0!</v>
      </c>
      <c r="AN7" s="7138">
        <f>년간!E151/1000</f>
        <v>638528.7869871509</v>
      </c>
      <c r="AO7" s="2949">
        <f>AB7+AC7+AD7</f>
        <v>-112252.05538348487</v>
      </c>
      <c r="AP7" s="5002"/>
      <c r="AQ7" s="3331"/>
    </row>
    <row r="8" spans="1:44">
      <c r="A8" s="7799"/>
      <c r="B8" s="2939" t="s">
        <v>346</v>
      </c>
      <c r="C8" s="2945" t="s">
        <v>347</v>
      </c>
      <c r="D8" s="1470">
        <v>86.72</v>
      </c>
      <c r="E8" s="2951">
        <v>89.84</v>
      </c>
      <c r="F8" s="2952">
        <v>78.11</v>
      </c>
      <c r="G8" s="2952">
        <v>78.27</v>
      </c>
      <c r="H8" s="2952">
        <v>79.456908293395784</v>
      </c>
      <c r="I8" s="3274">
        <v>83.23</v>
      </c>
      <c r="J8" s="3274">
        <v>84.853947953038173</v>
      </c>
      <c r="K8" s="3274">
        <f>년간!C114*100</f>
        <v>85.941544812145807</v>
      </c>
      <c r="L8" s="3274">
        <f>년간!D114*100</f>
        <v>86.855215790127033</v>
      </c>
      <c r="M8" s="5960">
        <f>년간!E114*100</f>
        <v>89</v>
      </c>
      <c r="N8" s="5959">
        <v>89</v>
      </c>
      <c r="O8" s="4626">
        <f>년간!F114*100</f>
        <v>83.977164605137972</v>
      </c>
      <c r="P8" s="7538">
        <f>년간!G114*100</f>
        <v>85.948012232415905</v>
      </c>
      <c r="Q8" s="7299">
        <f>년간!H114*100</f>
        <v>82.978966620941932</v>
      </c>
      <c r="R8" s="4626" t="e">
        <f>년간!I114*100</f>
        <v>#DIV/0!</v>
      </c>
      <c r="S8" s="4460" t="e">
        <f>년간!J114*100</f>
        <v>#DIV/0!</v>
      </c>
      <c r="T8" s="4460" t="e">
        <f>년간!K114*100</f>
        <v>#DIV/0!</v>
      </c>
      <c r="U8" s="4460" t="e">
        <f>년간!L114*100</f>
        <v>#DIV/0!</v>
      </c>
      <c r="V8" s="4460" t="e">
        <f>년간!M114*100</f>
        <v>#DIV/0!</v>
      </c>
      <c r="W8" s="4460" t="e">
        <f>년간!N114*100</f>
        <v>#DIV/0!</v>
      </c>
      <c r="X8" s="3308" t="e">
        <f>년간!O114*100</f>
        <v>#DIV/0!</v>
      </c>
      <c r="Y8" s="4630" t="e">
        <f>년간!P114*100</f>
        <v>#DIV/0!</v>
      </c>
      <c r="Z8" s="2651" t="e">
        <f>년간!Q114*100</f>
        <v>#DIV/0!</v>
      </c>
      <c r="AA8" s="3238">
        <f>년간!V114*100</f>
        <v>84.246520556710919</v>
      </c>
      <c r="AB8" s="4843">
        <f>년간!F149/1000</f>
        <v>-24536.363070506293</v>
      </c>
      <c r="AC8" s="2948">
        <f>년간!G149/1000</f>
        <v>52.672469540865642</v>
      </c>
      <c r="AD8" s="2948">
        <f>년간!H149/1000</f>
        <v>-25965.960000447692</v>
      </c>
      <c r="AE8" s="2948" t="e">
        <f>년간!I149/1000</f>
        <v>#DIV/0!</v>
      </c>
      <c r="AF8" s="2948" t="e">
        <f>년간!J149/1000</f>
        <v>#DIV/0!</v>
      </c>
      <c r="AG8" s="2948" t="e">
        <f>년간!K149/1000</f>
        <v>#DIV/0!</v>
      </c>
      <c r="AH8" s="2948" t="e">
        <f>년간!L149/1000</f>
        <v>#DIV/0!</v>
      </c>
      <c r="AI8" s="2948" t="e">
        <f>년간!M149/1000</f>
        <v>#DIV/0!</v>
      </c>
      <c r="AJ8" s="2948" t="e">
        <f>년간!N149/1000</f>
        <v>#DIV/0!</v>
      </c>
      <c r="AK8" s="2948" t="e">
        <f>년간!O149/1000</f>
        <v>#DIV/0!</v>
      </c>
      <c r="AL8" s="2948" t="e">
        <f>년간!P149/1000</f>
        <v>#DIV/0!</v>
      </c>
      <c r="AM8" s="2948" t="e">
        <f>년간!Q149/1000</f>
        <v>#DIV/0!</v>
      </c>
      <c r="AN8" s="2042">
        <f>년간!E149/1000</f>
        <v>235701.95743649753</v>
      </c>
      <c r="AO8" s="2949">
        <f>AB8+AC8+AD8</f>
        <v>-50449.650601413116</v>
      </c>
      <c r="AP8" s="2950">
        <f>AO8/AN8</f>
        <v>-0.21404001540803999</v>
      </c>
      <c r="AQ8" s="2879" t="s">
        <v>1913</v>
      </c>
    </row>
    <row r="9" spans="1:44" ht="17.25" thickBot="1">
      <c r="A9" s="7799"/>
      <c r="B9" s="2939" t="s">
        <v>829</v>
      </c>
      <c r="C9" s="2945" t="s">
        <v>830</v>
      </c>
      <c r="D9" s="1470"/>
      <c r="E9" s="2951"/>
      <c r="F9" s="2952"/>
      <c r="G9" s="2953">
        <v>620.37000000000023</v>
      </c>
      <c r="H9" s="1117">
        <v>420.60000000000008</v>
      </c>
      <c r="I9" s="1444">
        <v>1029.94</v>
      </c>
      <c r="J9" s="1444">
        <v>384</v>
      </c>
      <c r="K9" s="3275">
        <v>1686.7099999999998</v>
      </c>
      <c r="L9" s="3275">
        <v>216.29</v>
      </c>
      <c r="M9" s="5961">
        <v>36</v>
      </c>
      <c r="N9" s="5959">
        <v>3</v>
      </c>
      <c r="O9" s="4626">
        <v>0</v>
      </c>
      <c r="P9" s="7539">
        <v>0</v>
      </c>
      <c r="Q9" s="7299">
        <v>0</v>
      </c>
      <c r="R9" s="7289">
        <v>0</v>
      </c>
      <c r="S9" s="4508">
        <v>0</v>
      </c>
      <c r="T9" s="4508">
        <v>0</v>
      </c>
      <c r="U9" s="4508">
        <v>0</v>
      </c>
      <c r="V9" s="4508">
        <v>0</v>
      </c>
      <c r="W9" s="4508">
        <v>0</v>
      </c>
      <c r="X9" s="4850">
        <v>0</v>
      </c>
      <c r="Y9" s="5493"/>
      <c r="Z9" s="1566"/>
      <c r="AA9" s="2652">
        <f>SUM(O9:Z9)</f>
        <v>0</v>
      </c>
      <c r="AB9" s="3150">
        <f>($L$9/12-O9)/20*년간!$E$216/1000</f>
        <v>1305.7625565833332</v>
      </c>
      <c r="AC9" s="6017">
        <f>($L$9/12-P9)/20*년간!$E$216/1000</f>
        <v>1305.7625565833332</v>
      </c>
      <c r="AD9" s="6017">
        <f>($L$9/12-Q9)/20*년간!$E$216/1000</f>
        <v>1305.7625565833332</v>
      </c>
      <c r="AE9" s="6017">
        <f>($L$9/12-R9)/20*년간!$E$216/1000</f>
        <v>1305.7625565833332</v>
      </c>
      <c r="AF9" s="6017">
        <f>($L$9/12-S9)/20*년간!$E$216/1000</f>
        <v>1305.7625565833332</v>
      </c>
      <c r="AG9" s="6017">
        <f>($L$9/12-T9)/20*년간!$E$216/1000</f>
        <v>1305.7625565833332</v>
      </c>
      <c r="AH9" s="6017">
        <f>($L$9/12-U9)/20*년간!$E$216/1000</f>
        <v>1305.7625565833332</v>
      </c>
      <c r="AI9" s="6017">
        <f>($L$9/12-V9)/20*년간!$E$216/1000</f>
        <v>1305.7625565833332</v>
      </c>
      <c r="AJ9" s="6017">
        <f>($L$9/12-W9)/20*년간!$E$216/1000</f>
        <v>1305.7625565833332</v>
      </c>
      <c r="AK9" s="6017">
        <f>($L$9/12-X9)/20*년간!$E$216/1000</f>
        <v>1305.7625565833332</v>
      </c>
      <c r="AL9" s="6017">
        <f>($L$9/12-Y9)/20*년간!$E$216/1000</f>
        <v>1305.7625565833332</v>
      </c>
      <c r="AM9" s="6017">
        <f>($L$9/12-Z9)/20*년간!$E$216/1000</f>
        <v>1305.7625565833332</v>
      </c>
      <c r="AN9" s="1967">
        <f>(L9/20-M9/20)*1051.683</f>
        <v>9480.3964034999972</v>
      </c>
      <c r="AO9" s="2954">
        <f>AB9+AC9+AD9</f>
        <v>3917.2876697499996</v>
      </c>
      <c r="AP9" s="1539">
        <f>AO9/AN9</f>
        <v>0.41319872113193551</v>
      </c>
      <c r="AQ9" s="2879" t="s">
        <v>1913</v>
      </c>
      <c r="AR9" s="340" t="s">
        <v>991</v>
      </c>
    </row>
    <row r="10" spans="1:44">
      <c r="A10" s="7979" t="s">
        <v>348</v>
      </c>
      <c r="B10" s="878" t="s">
        <v>349</v>
      </c>
      <c r="C10" s="879" t="s">
        <v>347</v>
      </c>
      <c r="D10" s="1052">
        <v>100.41446490736</v>
      </c>
      <c r="E10" s="1053">
        <v>100.42935120169599</v>
      </c>
      <c r="F10" s="1053">
        <v>100.606244705544</v>
      </c>
      <c r="G10" s="1053">
        <v>100.05369360660397</v>
      </c>
      <c r="H10" s="1053">
        <v>100.05700705029608</v>
      </c>
      <c r="I10" s="1448">
        <v>100.32</v>
      </c>
      <c r="J10" s="1448">
        <v>100.5338473118038</v>
      </c>
      <c r="K10" s="1448">
        <f>년간!C90*100</f>
        <v>100.40908537375219</v>
      </c>
      <c r="L10" s="1448">
        <f>년간!D90*100</f>
        <v>100.48416087822143</v>
      </c>
      <c r="M10" s="5911">
        <f>년간!E90*100</f>
        <v>100.53</v>
      </c>
      <c r="N10" s="5912">
        <f>M10</f>
        <v>100.53</v>
      </c>
      <c r="O10" s="1576">
        <f>년간!F90*100</f>
        <v>100.38500733750388</v>
      </c>
      <c r="P10" s="7540">
        <f>년간!G90*100</f>
        <v>100.52442303626457</v>
      </c>
      <c r="Q10" s="7322">
        <f>년간!H90*100</f>
        <v>100.50994294971281</v>
      </c>
      <c r="R10" s="1576" t="e">
        <f>년간!I90*100</f>
        <v>#DIV/0!</v>
      </c>
      <c r="S10" s="1209" t="e">
        <f>년간!J90*100</f>
        <v>#DIV/0!</v>
      </c>
      <c r="T10" s="1209" t="e">
        <f>년간!K90*100</f>
        <v>#DIV/0!</v>
      </c>
      <c r="U10" s="1209" t="e">
        <f>년간!L90*100</f>
        <v>#DIV/0!</v>
      </c>
      <c r="V10" s="1209" t="e">
        <f>년간!M90*100</f>
        <v>#DIV/0!</v>
      </c>
      <c r="W10" s="1209" t="e">
        <f>년간!N90*100</f>
        <v>#DIV/0!</v>
      </c>
      <c r="X10" s="1567" t="e">
        <f>년간!O90*100</f>
        <v>#DIV/0!</v>
      </c>
      <c r="Y10" s="5494" t="e">
        <f>년간!P90*100</f>
        <v>#DIV/0!</v>
      </c>
      <c r="Z10" s="1567" t="e">
        <f>년간!Q90*100</f>
        <v>#DIV/0!</v>
      </c>
      <c r="AA10" s="4829">
        <f>년간!V90*100</f>
        <v>100.4731014370178</v>
      </c>
      <c r="AB10" s="4810">
        <f>년간!F147/1000</f>
        <v>-8899.3267814737792</v>
      </c>
      <c r="AC10" s="883">
        <f>년간!G147/1000</f>
        <v>9970.628719676939</v>
      </c>
      <c r="AD10" s="883">
        <f>년간!H147/1000</f>
        <v>9499.7571415978782</v>
      </c>
      <c r="AE10" s="883" t="e">
        <f>년간!I147/1000</f>
        <v>#DIV/0!</v>
      </c>
      <c r="AF10" s="883" t="e">
        <f>년간!J147/1000</f>
        <v>#DIV/0!</v>
      </c>
      <c r="AG10" s="883" t="e">
        <f>년간!K147/1000</f>
        <v>#DIV/0!</v>
      </c>
      <c r="AH10" s="883" t="e">
        <f>년간!L147/1000</f>
        <v>#DIV/0!</v>
      </c>
      <c r="AI10" s="883" t="e">
        <f>년간!M147/1000</f>
        <v>#DIV/0!</v>
      </c>
      <c r="AJ10" s="883" t="e">
        <f>년간!N147/1000</f>
        <v>#DIV/0!</v>
      </c>
      <c r="AK10" s="883" t="e">
        <f>년간!O147/1000</f>
        <v>#DIV/0!</v>
      </c>
      <c r="AL10" s="883" t="e">
        <f>년간!P147/1000</f>
        <v>#DIV/0!</v>
      </c>
      <c r="AM10" s="883" t="e">
        <f>년간!Q147/1000</f>
        <v>#DIV/0!</v>
      </c>
      <c r="AN10" s="1054">
        <f>년간!E147/1000</f>
        <v>53706.074496399357</v>
      </c>
      <c r="AO10" s="2115">
        <f>AB10+AC10+AD10</f>
        <v>10571.059079801038</v>
      </c>
      <c r="AP10" s="885">
        <f>AO10/AN10</f>
        <v>0.19683172115865141</v>
      </c>
      <c r="AQ10" s="886" t="s">
        <v>1916</v>
      </c>
    </row>
    <row r="11" spans="1:44" ht="17.25" thickBot="1">
      <c r="A11" s="7821"/>
      <c r="B11" s="2249" t="s">
        <v>350</v>
      </c>
      <c r="C11" s="2955" t="s">
        <v>305</v>
      </c>
      <c r="D11" s="1686">
        <v>138.85</v>
      </c>
      <c r="E11" s="1687">
        <v>144.58000000000001</v>
      </c>
      <c r="F11" s="1687">
        <v>223.98999999999995</v>
      </c>
      <c r="G11" s="1687">
        <v>118.37</v>
      </c>
      <c r="H11" s="1687">
        <v>139.78</v>
      </c>
      <c r="I11" s="5761">
        <v>125.91</v>
      </c>
      <c r="J11" s="5761">
        <v>92.647999999999996</v>
      </c>
      <c r="K11" s="5761">
        <f>년간!C23</f>
        <v>83.9</v>
      </c>
      <c r="L11" s="5761">
        <f>년간!D23</f>
        <v>50.17</v>
      </c>
      <c r="M11" s="5909">
        <f>년간!E23</f>
        <v>32</v>
      </c>
      <c r="N11" s="5910">
        <v>2.6666666666666665</v>
      </c>
      <c r="O11" s="2045">
        <f>년간!F23</f>
        <v>11.54</v>
      </c>
      <c r="P11" s="7539">
        <f>년간!G23</f>
        <v>0</v>
      </c>
      <c r="Q11" s="7300">
        <f>년간!H23</f>
        <v>9.27</v>
      </c>
      <c r="R11" s="2045">
        <f>년간!I23</f>
        <v>0</v>
      </c>
      <c r="S11" s="2112">
        <f>년간!J23</f>
        <v>0</v>
      </c>
      <c r="T11" s="2112">
        <f>년간!K23</f>
        <v>0</v>
      </c>
      <c r="U11" s="2112">
        <f>년간!L23</f>
        <v>0</v>
      </c>
      <c r="V11" s="2112">
        <f>년간!M23</f>
        <v>0</v>
      </c>
      <c r="W11" s="2112">
        <f>년간!N23</f>
        <v>0</v>
      </c>
      <c r="X11" s="2652">
        <f>년간!O23</f>
        <v>0</v>
      </c>
      <c r="Y11" s="5495">
        <f>년간!P23</f>
        <v>0</v>
      </c>
      <c r="Z11" s="2652">
        <f>년간!Q23</f>
        <v>0</v>
      </c>
      <c r="AA11" s="2658">
        <f>SUM(O11:Z11)</f>
        <v>20.81</v>
      </c>
      <c r="AB11" s="2956"/>
      <c r="AC11" s="2956"/>
      <c r="AD11" s="2956"/>
      <c r="AE11" s="2956"/>
      <c r="AF11" s="2956"/>
      <c r="AG11" s="2956"/>
      <c r="AH11" s="2956"/>
      <c r="AI11" s="2956"/>
      <c r="AJ11" s="2956"/>
      <c r="AK11" s="2956"/>
      <c r="AL11" s="2956"/>
      <c r="AM11" s="2956"/>
      <c r="AN11" s="2957"/>
      <c r="AO11" s="2958"/>
      <c r="AP11" s="2959"/>
      <c r="AQ11" s="2878" t="s">
        <v>351</v>
      </c>
    </row>
    <row r="12" spans="1:44">
      <c r="A12" s="7798" t="s">
        <v>540</v>
      </c>
      <c r="B12" s="2893" t="s">
        <v>598</v>
      </c>
      <c r="C12" s="954" t="s">
        <v>352</v>
      </c>
      <c r="D12" s="3292">
        <f>952/12</f>
        <v>79.333333333333329</v>
      </c>
      <c r="E12" s="3293">
        <f>912/12</f>
        <v>76</v>
      </c>
      <c r="F12" s="3294">
        <f>799/12</f>
        <v>66.583333333333329</v>
      </c>
      <c r="G12" s="3295">
        <f>720</f>
        <v>720</v>
      </c>
      <c r="H12" s="3260">
        <f>스크!R13</f>
        <v>742.44</v>
      </c>
      <c r="I12" s="3261">
        <f>스크!R14</f>
        <v>542.54</v>
      </c>
      <c r="J12" s="3261">
        <f>스크!R15</f>
        <v>423.25</v>
      </c>
      <c r="K12" s="3261">
        <v>437.47500000000008</v>
      </c>
      <c r="L12" s="3261">
        <v>465.10999999999996</v>
      </c>
      <c r="M12" s="5962">
        <v>400.875</v>
      </c>
      <c r="N12" s="5873">
        <f t="shared" ref="N12:N20" si="1">M12/12</f>
        <v>33.40625</v>
      </c>
      <c r="O12" s="3262">
        <f>스크!R19</f>
        <v>37.229999999999997</v>
      </c>
      <c r="P12" s="7541">
        <v>0</v>
      </c>
      <c r="Q12" s="7323">
        <v>0</v>
      </c>
      <c r="R12" s="3262">
        <v>0</v>
      </c>
      <c r="S12" s="3263">
        <v>0</v>
      </c>
      <c r="T12" s="3263">
        <v>0</v>
      </c>
      <c r="U12" s="3263">
        <v>0</v>
      </c>
      <c r="V12" s="3263">
        <v>0</v>
      </c>
      <c r="W12" s="3263">
        <v>0</v>
      </c>
      <c r="X12" s="3264">
        <v>0</v>
      </c>
      <c r="Y12" s="5496">
        <f>스크!R33</f>
        <v>0</v>
      </c>
      <c r="Z12" s="3264">
        <f>스크!R34</f>
        <v>0</v>
      </c>
      <c r="AA12" s="3265">
        <f t="shared" ref="AA12:AA22" si="2">SUM(O12:Z12)</f>
        <v>37.229999999999997</v>
      </c>
      <c r="AB12" s="4844"/>
      <c r="AC12" s="3266"/>
      <c r="AD12" s="3266"/>
      <c r="AE12" s="3266"/>
      <c r="AF12" s="3266"/>
      <c r="AG12" s="3266"/>
      <c r="AH12" s="3266"/>
      <c r="AI12" s="3266"/>
      <c r="AJ12" s="3266"/>
      <c r="AK12" s="3266"/>
      <c r="AL12" s="3266"/>
      <c r="AM12" s="3266"/>
      <c r="AN12" s="3267"/>
      <c r="AO12" s="3268"/>
      <c r="AP12" s="3269"/>
      <c r="AQ12" s="3270" t="s">
        <v>1405</v>
      </c>
    </row>
    <row r="13" spans="1:44" ht="16.5" customHeight="1">
      <c r="A13" s="7799"/>
      <c r="B13" s="1521" t="s">
        <v>532</v>
      </c>
      <c r="C13" s="1522" t="s">
        <v>850</v>
      </c>
      <c r="D13" s="2960">
        <v>0</v>
      </c>
      <c r="E13" s="2961">
        <v>0</v>
      </c>
      <c r="F13" s="2962">
        <v>0</v>
      </c>
      <c r="G13" s="2946">
        <v>0</v>
      </c>
      <c r="H13" s="2946">
        <v>60</v>
      </c>
      <c r="I13" s="5767">
        <v>58.59</v>
      </c>
      <c r="J13" s="5762">
        <v>5.56</v>
      </c>
      <c r="K13" s="5762">
        <v>13.93</v>
      </c>
      <c r="L13" s="5762">
        <v>6.6199999999999992</v>
      </c>
      <c r="M13" s="5963">
        <v>7.215749999999999</v>
      </c>
      <c r="N13" s="5964">
        <f t="shared" si="1"/>
        <v>0.60131249999999992</v>
      </c>
      <c r="O13" s="3141">
        <v>0</v>
      </c>
      <c r="P13" s="7454">
        <v>0</v>
      </c>
      <c r="Q13" s="7258">
        <v>0</v>
      </c>
      <c r="R13" s="3141">
        <v>0</v>
      </c>
      <c r="S13" s="3142">
        <v>0</v>
      </c>
      <c r="T13" s="3142">
        <v>0</v>
      </c>
      <c r="U13" s="3142">
        <v>0</v>
      </c>
      <c r="V13" s="3142">
        <v>0</v>
      </c>
      <c r="W13" s="3142">
        <v>0</v>
      </c>
      <c r="X13" s="3220">
        <v>0</v>
      </c>
      <c r="Y13" s="5466"/>
      <c r="Z13" s="1561"/>
      <c r="AA13" s="3308">
        <f t="shared" si="2"/>
        <v>0</v>
      </c>
      <c r="AB13" s="4823"/>
      <c r="AC13" s="1498"/>
      <c r="AD13" s="1498"/>
      <c r="AE13" s="1498"/>
      <c r="AF13" s="1498"/>
      <c r="AG13" s="1498"/>
      <c r="AH13" s="1498"/>
      <c r="AI13" s="1498"/>
      <c r="AJ13" s="1498"/>
      <c r="AK13" s="1498"/>
      <c r="AL13" s="1498"/>
      <c r="AM13" s="1498"/>
      <c r="AN13" s="2233"/>
      <c r="AO13" s="2234"/>
      <c r="AP13" s="1501"/>
      <c r="AQ13" s="1497" t="s">
        <v>1406</v>
      </c>
    </row>
    <row r="14" spans="1:44" ht="16.5" customHeight="1">
      <c r="A14" s="7799"/>
      <c r="B14" s="1521" t="s">
        <v>533</v>
      </c>
      <c r="C14" s="1522" t="s">
        <v>851</v>
      </c>
      <c r="D14" s="2963">
        <v>0</v>
      </c>
      <c r="E14" s="2964">
        <f>600</f>
        <v>600</v>
      </c>
      <c r="F14" s="2965">
        <f>878</f>
        <v>878</v>
      </c>
      <c r="G14" s="2966">
        <f>973</f>
        <v>973</v>
      </c>
      <c r="H14" s="2966">
        <f>527</f>
        <v>527</v>
      </c>
      <c r="I14" s="5767">
        <v>145</v>
      </c>
      <c r="J14" s="5762">
        <v>52.56</v>
      </c>
      <c r="K14" s="5762">
        <v>21.73</v>
      </c>
      <c r="L14" s="5762">
        <v>41.653999999999996</v>
      </c>
      <c r="M14" s="5965">
        <v>32.07</v>
      </c>
      <c r="N14" s="5966">
        <f t="shared" si="1"/>
        <v>2.6724999999999999</v>
      </c>
      <c r="O14" s="3290">
        <v>2.7</v>
      </c>
      <c r="P14" s="7542">
        <v>1.9</v>
      </c>
      <c r="Q14" s="7304">
        <v>1.83</v>
      </c>
      <c r="R14" s="3290">
        <v>0</v>
      </c>
      <c r="S14" s="3255">
        <v>0</v>
      </c>
      <c r="T14" s="3252">
        <v>0</v>
      </c>
      <c r="U14" s="3252">
        <v>0</v>
      </c>
      <c r="V14" s="3252">
        <v>0</v>
      </c>
      <c r="W14" s="3252">
        <v>0</v>
      </c>
      <c r="X14" s="3701">
        <v>0</v>
      </c>
      <c r="Y14" s="4984"/>
      <c r="Z14" s="2641"/>
      <c r="AA14" s="3308">
        <f t="shared" si="2"/>
        <v>6.43</v>
      </c>
      <c r="AB14" s="3150">
        <f>($L$14/12-O14)*년간!$C$216/1000</f>
        <v>560.64664949999974</v>
      </c>
      <c r="AC14" s="6017">
        <f>($L$14/12-P14)*년간!$C$216/1000</f>
        <v>1142.2554494999999</v>
      </c>
      <c r="AD14" s="6017">
        <f>($L$14/12-Q14)*년간!$C$216/1000</f>
        <v>1193.1462194999999</v>
      </c>
      <c r="AE14" s="6017">
        <f>($L$14/12-R14)*년간!$C$216/1000</f>
        <v>2523.5763495000001</v>
      </c>
      <c r="AF14" s="6017">
        <f>($L$14/12-S14)*년간!$C$216/1000</f>
        <v>2523.5763495000001</v>
      </c>
      <c r="AG14" s="6017">
        <f>($L$14/12-T14)*년간!$C$216/1000</f>
        <v>2523.5763495000001</v>
      </c>
      <c r="AH14" s="6017">
        <f>($L$14/12-U14)*년간!$C$216/1000</f>
        <v>2523.5763495000001</v>
      </c>
      <c r="AI14" s="6017">
        <f>($L$14/12-V14)*년간!$C$216/1000</f>
        <v>2523.5763495000001</v>
      </c>
      <c r="AJ14" s="6017">
        <f>($L$14/12-W14)*년간!$C$216/1000</f>
        <v>2523.5763495000001</v>
      </c>
      <c r="AK14" s="6017">
        <f>($L$14/12-X14)*년간!$C$216/1000</f>
        <v>2523.5763495000001</v>
      </c>
      <c r="AL14" s="6017">
        <f>($L$14/12-Y14)*년간!$C$216/1000</f>
        <v>2523.5763495000001</v>
      </c>
      <c r="AM14" s="6017">
        <f>($L$14/12-Z14)*년간!$C$216/1000</f>
        <v>2523.5763495000001</v>
      </c>
      <c r="AN14" s="1540">
        <f>(L14-M14)*년간!C216/1000</f>
        <v>6967.6734239999969</v>
      </c>
      <c r="AO14" s="2116">
        <f>AB14+AC14+AD14</f>
        <v>2896.0483184999994</v>
      </c>
      <c r="AP14" s="2967">
        <f>AO14/AN14</f>
        <v>0.41564065108514198</v>
      </c>
      <c r="AQ14" s="2968" t="s">
        <v>1407</v>
      </c>
    </row>
    <row r="15" spans="1:44" ht="16.5" customHeight="1">
      <c r="A15" s="7799"/>
      <c r="B15" s="1521" t="s">
        <v>534</v>
      </c>
      <c r="C15" s="1522" t="s">
        <v>850</v>
      </c>
      <c r="D15" s="2960">
        <v>0</v>
      </c>
      <c r="E15" s="2961">
        <v>0</v>
      </c>
      <c r="F15" s="2962">
        <v>0</v>
      </c>
      <c r="G15" s="2946">
        <v>0</v>
      </c>
      <c r="H15" s="2946">
        <f>832</f>
        <v>832</v>
      </c>
      <c r="I15" s="5767">
        <v>422.05</v>
      </c>
      <c r="J15" s="5762">
        <v>492.53</v>
      </c>
      <c r="K15" s="5762">
        <v>542.02199999999993</v>
      </c>
      <c r="L15" s="5762">
        <v>502.80999999999995</v>
      </c>
      <c r="M15" s="5963">
        <v>481.05</v>
      </c>
      <c r="N15" s="5964">
        <f t="shared" si="1"/>
        <v>40.087499999999999</v>
      </c>
      <c r="O15" s="3141">
        <v>41.34</v>
      </c>
      <c r="P15" s="7454">
        <v>45.2</v>
      </c>
      <c r="Q15" s="7258">
        <v>38.090000000000003</v>
      </c>
      <c r="R15" s="3290">
        <v>0</v>
      </c>
      <c r="S15" s="3252">
        <v>0</v>
      </c>
      <c r="T15" s="3252">
        <v>0</v>
      </c>
      <c r="U15" s="3252">
        <v>0</v>
      </c>
      <c r="V15" s="3252">
        <v>0</v>
      </c>
      <c r="W15" s="3252">
        <v>0</v>
      </c>
      <c r="X15" s="3701">
        <v>0</v>
      </c>
      <c r="Y15" s="4984"/>
      <c r="Z15" s="2641"/>
      <c r="AA15" s="3308">
        <f t="shared" si="2"/>
        <v>124.63000000000001</v>
      </c>
      <c r="AB15" s="4808"/>
      <c r="AC15" s="2969"/>
      <c r="AD15" s="2969"/>
      <c r="AE15" s="2969"/>
      <c r="AF15" s="2969"/>
      <c r="AG15" s="2969"/>
      <c r="AH15" s="2969"/>
      <c r="AI15" s="2969"/>
      <c r="AJ15" s="2969"/>
      <c r="AK15" s="2969"/>
      <c r="AL15" s="2969"/>
      <c r="AM15" s="2969"/>
      <c r="AN15" s="2257"/>
      <c r="AO15" s="2970"/>
      <c r="AP15" s="1501"/>
      <c r="AQ15" s="2968" t="s">
        <v>1408</v>
      </c>
    </row>
    <row r="16" spans="1:44" s="1453" customFormat="1" ht="16.5" customHeight="1">
      <c r="A16" s="7799"/>
      <c r="B16" s="1521" t="s">
        <v>1076</v>
      </c>
      <c r="C16" s="1522" t="s">
        <v>996</v>
      </c>
      <c r="D16" s="2960"/>
      <c r="E16" s="2961">
        <v>196</v>
      </c>
      <c r="F16" s="2962">
        <v>196</v>
      </c>
      <c r="G16" s="2971">
        <v>196</v>
      </c>
      <c r="H16" s="2971">
        <v>196</v>
      </c>
      <c r="I16" s="5768">
        <v>196</v>
      </c>
      <c r="J16" s="5763">
        <v>196</v>
      </c>
      <c r="K16" s="5763">
        <v>81.070000000000007</v>
      </c>
      <c r="L16" s="5763">
        <v>43.701000000000001</v>
      </c>
      <c r="M16" s="5963">
        <v>43.294499999999999</v>
      </c>
      <c r="N16" s="5967">
        <f t="shared" si="1"/>
        <v>3.6078749999999999</v>
      </c>
      <c r="O16" s="3141">
        <v>8.52</v>
      </c>
      <c r="P16" s="7454">
        <v>0</v>
      </c>
      <c r="Q16" s="7258">
        <v>0</v>
      </c>
      <c r="R16" s="1563">
        <v>0</v>
      </c>
      <c r="S16" s="995">
        <v>0</v>
      </c>
      <c r="T16" s="995">
        <v>0</v>
      </c>
      <c r="U16" s="995">
        <v>0</v>
      </c>
      <c r="V16" s="995">
        <v>0</v>
      </c>
      <c r="W16" s="995">
        <v>0</v>
      </c>
      <c r="X16" s="994">
        <v>0</v>
      </c>
      <c r="Y16" s="5497"/>
      <c r="Z16" s="994"/>
      <c r="AA16" s="3308">
        <f t="shared" si="2"/>
        <v>8.52</v>
      </c>
      <c r="AB16" s="4814"/>
      <c r="AC16" s="784"/>
      <c r="AD16" s="784"/>
      <c r="AE16" s="784"/>
      <c r="AF16" s="784"/>
      <c r="AG16" s="784"/>
      <c r="AH16" s="784"/>
      <c r="AI16" s="784"/>
      <c r="AJ16" s="784"/>
      <c r="AK16" s="784"/>
      <c r="AL16" s="784"/>
      <c r="AM16" s="784"/>
      <c r="AN16" s="1968"/>
      <c r="AO16" s="2117"/>
      <c r="AP16" s="1501"/>
      <c r="AQ16" s="2972" t="s">
        <v>1409</v>
      </c>
    </row>
    <row r="17" spans="1:46" s="1453" customFormat="1" ht="16.5" customHeight="1">
      <c r="A17" s="7799"/>
      <c r="B17" s="1521" t="s">
        <v>1111</v>
      </c>
      <c r="C17" s="1522" t="s">
        <v>436</v>
      </c>
      <c r="D17" s="3296"/>
      <c r="E17" s="3297"/>
      <c r="F17" s="3298"/>
      <c r="G17" s="3299"/>
      <c r="H17" s="3299"/>
      <c r="I17" s="3682"/>
      <c r="J17" s="3683"/>
      <c r="K17" s="3683">
        <v>201.822</v>
      </c>
      <c r="L17" s="3683">
        <v>222.501</v>
      </c>
      <c r="M17" s="5963">
        <v>128.28</v>
      </c>
      <c r="N17" s="5964">
        <f t="shared" si="1"/>
        <v>10.69</v>
      </c>
      <c r="O17" s="3688">
        <v>8.2200000000000006</v>
      </c>
      <c r="P17" s="7543">
        <v>21.52</v>
      </c>
      <c r="Q17" s="7311">
        <v>18.21</v>
      </c>
      <c r="R17" s="7535">
        <v>0</v>
      </c>
      <c r="S17" s="3689">
        <v>0</v>
      </c>
      <c r="T17" s="3689">
        <v>0</v>
      </c>
      <c r="U17" s="3689">
        <v>0</v>
      </c>
      <c r="V17" s="3689">
        <v>0</v>
      </c>
      <c r="W17" s="3689">
        <v>0</v>
      </c>
      <c r="X17" s="3690">
        <v>0</v>
      </c>
      <c r="Y17" s="5498"/>
      <c r="Z17" s="3690"/>
      <c r="AA17" s="4847">
        <f t="shared" si="2"/>
        <v>47.95</v>
      </c>
      <c r="AB17" s="4808"/>
      <c r="AC17" s="2969"/>
      <c r="AD17" s="2969"/>
      <c r="AE17" s="2969"/>
      <c r="AF17" s="2969"/>
      <c r="AG17" s="2969"/>
      <c r="AH17" s="2969"/>
      <c r="AI17" s="2969"/>
      <c r="AJ17" s="2969"/>
      <c r="AK17" s="2969"/>
      <c r="AL17" s="2969"/>
      <c r="AM17" s="2969"/>
      <c r="AN17" s="2973"/>
      <c r="AO17" s="2970"/>
      <c r="AP17" s="1501"/>
      <c r="AQ17" s="2972" t="s">
        <v>1410</v>
      </c>
    </row>
    <row r="18" spans="1:46" s="1453" customFormat="1" ht="16.5" customHeight="1">
      <c r="A18" s="7799"/>
      <c r="B18" s="3134" t="s">
        <v>1552</v>
      </c>
      <c r="C18" s="1522" t="s">
        <v>436</v>
      </c>
      <c r="D18" s="3680"/>
      <c r="E18" s="3297"/>
      <c r="F18" s="3681"/>
      <c r="G18" s="3299"/>
      <c r="H18" s="3299"/>
      <c r="I18" s="3682"/>
      <c r="J18" s="3683"/>
      <c r="K18" s="3683"/>
      <c r="L18" s="3683">
        <v>9.4400000000000013</v>
      </c>
      <c r="M18" s="5963">
        <v>0</v>
      </c>
      <c r="N18" s="5964">
        <f t="shared" si="1"/>
        <v>0</v>
      </c>
      <c r="O18" s="3688">
        <v>0</v>
      </c>
      <c r="P18" s="7543">
        <v>0</v>
      </c>
      <c r="Q18" s="7311">
        <v>0</v>
      </c>
      <c r="R18" s="7535">
        <v>0</v>
      </c>
      <c r="S18" s="3689">
        <v>0</v>
      </c>
      <c r="T18" s="3689">
        <v>0</v>
      </c>
      <c r="U18" s="3689">
        <v>0</v>
      </c>
      <c r="V18" s="3689">
        <v>0</v>
      </c>
      <c r="W18" s="3689">
        <v>0</v>
      </c>
      <c r="X18" s="3690">
        <v>0</v>
      </c>
      <c r="Y18" s="5498"/>
      <c r="Z18" s="3690"/>
      <c r="AA18" s="4847">
        <f t="shared" si="2"/>
        <v>0</v>
      </c>
      <c r="AB18" s="4808"/>
      <c r="AC18" s="3684"/>
      <c r="AD18" s="3684"/>
      <c r="AE18" s="3684"/>
      <c r="AF18" s="3684"/>
      <c r="AG18" s="3684"/>
      <c r="AH18" s="3684"/>
      <c r="AI18" s="3684"/>
      <c r="AJ18" s="3684"/>
      <c r="AK18" s="3684"/>
      <c r="AL18" s="3684"/>
      <c r="AM18" s="3684"/>
      <c r="AN18" s="3685"/>
      <c r="AO18" s="3686"/>
      <c r="AP18" s="3140"/>
      <c r="AQ18" s="3687" t="s">
        <v>1553</v>
      </c>
    </row>
    <row r="19" spans="1:46" s="1453" customFormat="1" ht="16.5" customHeight="1">
      <c r="A19" s="7799"/>
      <c r="B19" s="1521" t="s">
        <v>1017</v>
      </c>
      <c r="C19" s="1522" t="s">
        <v>996</v>
      </c>
      <c r="D19" s="2960"/>
      <c r="E19" s="2961"/>
      <c r="F19" s="2962"/>
      <c r="G19" s="2971"/>
      <c r="H19" s="2971"/>
      <c r="I19" s="5768"/>
      <c r="J19" s="5763">
        <v>193.06</v>
      </c>
      <c r="K19" s="5763">
        <v>171.13900000000001</v>
      </c>
      <c r="L19" s="5763">
        <v>134.01599999999996</v>
      </c>
      <c r="M19" s="5963">
        <v>96.21</v>
      </c>
      <c r="N19" s="5964">
        <f t="shared" si="1"/>
        <v>8.0175000000000001</v>
      </c>
      <c r="O19" s="3141">
        <f>173-135.39+0.9</f>
        <v>38.510000000000012</v>
      </c>
      <c r="P19" s="7454">
        <f>66.288+0.25</f>
        <v>66.537999999999997</v>
      </c>
      <c r="Q19" s="7258">
        <v>53.424999999999997</v>
      </c>
      <c r="R19" s="1563">
        <v>0</v>
      </c>
      <c r="S19" s="995">
        <v>0</v>
      </c>
      <c r="T19" s="995">
        <v>0</v>
      </c>
      <c r="U19" s="995">
        <v>0</v>
      </c>
      <c r="V19" s="995">
        <v>0</v>
      </c>
      <c r="W19" s="995">
        <v>0</v>
      </c>
      <c r="X19" s="994">
        <v>0</v>
      </c>
      <c r="Y19" s="5497"/>
      <c r="Z19" s="994"/>
      <c r="AA19" s="3308">
        <f t="shared" si="2"/>
        <v>158.47300000000001</v>
      </c>
      <c r="AB19" s="4808"/>
      <c r="AC19" s="2969"/>
      <c r="AD19" s="2969"/>
      <c r="AE19" s="2969"/>
      <c r="AF19" s="2969"/>
      <c r="AG19" s="2969"/>
      <c r="AH19" s="2969"/>
      <c r="AI19" s="2969"/>
      <c r="AJ19" s="2969"/>
      <c r="AK19" s="2969"/>
      <c r="AL19" s="2969"/>
      <c r="AM19" s="2969"/>
      <c r="AN19" s="2973"/>
      <c r="AO19" s="2970"/>
      <c r="AP19" s="1501"/>
      <c r="AQ19" s="2968" t="s">
        <v>1411</v>
      </c>
    </row>
    <row r="20" spans="1:46" s="1453" customFormat="1" ht="16.5" customHeight="1">
      <c r="A20" s="7799"/>
      <c r="B20" s="1521" t="s">
        <v>1018</v>
      </c>
      <c r="C20" s="1522" t="s">
        <v>996</v>
      </c>
      <c r="D20" s="3296"/>
      <c r="E20" s="3297"/>
      <c r="F20" s="3298"/>
      <c r="G20" s="3299"/>
      <c r="H20" s="3299"/>
      <c r="I20" s="3682"/>
      <c r="J20" s="3683">
        <v>91.61999999999999</v>
      </c>
      <c r="K20" s="3683">
        <v>32.479999999999997</v>
      </c>
      <c r="L20" s="3683">
        <v>53.389999999999993</v>
      </c>
      <c r="M20" s="5963">
        <v>64.14</v>
      </c>
      <c r="N20" s="5968">
        <f t="shared" si="1"/>
        <v>5.3449999999999998</v>
      </c>
      <c r="O20" s="3688">
        <v>0</v>
      </c>
      <c r="P20" s="7543">
        <v>0</v>
      </c>
      <c r="Q20" s="7311">
        <v>10.199999999999999</v>
      </c>
      <c r="R20" s="7535">
        <v>0</v>
      </c>
      <c r="S20" s="3689">
        <v>0</v>
      </c>
      <c r="T20" s="3689">
        <v>0</v>
      </c>
      <c r="U20" s="3689">
        <v>0</v>
      </c>
      <c r="V20" s="3689">
        <v>0</v>
      </c>
      <c r="W20" s="3689">
        <v>0</v>
      </c>
      <c r="X20" s="3690">
        <v>0</v>
      </c>
      <c r="Y20" s="5498"/>
      <c r="Z20" s="3690"/>
      <c r="AA20" s="4847">
        <f t="shared" si="2"/>
        <v>10.199999999999999</v>
      </c>
      <c r="AB20" s="4808"/>
      <c r="AC20" s="2969"/>
      <c r="AD20" s="2969"/>
      <c r="AE20" s="2969"/>
      <c r="AF20" s="2969"/>
      <c r="AG20" s="2969"/>
      <c r="AH20" s="2969"/>
      <c r="AI20" s="2969"/>
      <c r="AJ20" s="2969"/>
      <c r="AK20" s="2969"/>
      <c r="AL20" s="2969"/>
      <c r="AM20" s="2969"/>
      <c r="AN20" s="2973"/>
      <c r="AO20" s="2970"/>
      <c r="AP20" s="1501"/>
      <c r="AQ20" s="2968" t="s">
        <v>1412</v>
      </c>
      <c r="AR20" s="1453" t="s">
        <v>1388</v>
      </c>
    </row>
    <row r="21" spans="1:46" ht="16.5" customHeight="1">
      <c r="A21" s="7799"/>
      <c r="B21" s="1521" t="s">
        <v>897</v>
      </c>
      <c r="C21" s="1522" t="s">
        <v>898</v>
      </c>
      <c r="D21" s="3296"/>
      <c r="E21" s="3297"/>
      <c r="F21" s="3298"/>
      <c r="G21" s="3299">
        <v>487.3</v>
      </c>
      <c r="H21" s="3299">
        <v>163.19999999999999</v>
      </c>
      <c r="I21" s="3682">
        <v>608.5</v>
      </c>
      <c r="J21" s="3683">
        <v>595.41999999999996</v>
      </c>
      <c r="K21" s="3683">
        <v>568.35</v>
      </c>
      <c r="L21" s="3683">
        <v>336.80000000000007</v>
      </c>
      <c r="M21" s="5969" t="s">
        <v>855</v>
      </c>
      <c r="N21" s="5970" t="s">
        <v>855</v>
      </c>
      <c r="O21" s="3692">
        <v>0</v>
      </c>
      <c r="P21" s="7544">
        <v>0</v>
      </c>
      <c r="Q21" s="7324">
        <v>0</v>
      </c>
      <c r="R21" s="7535">
        <v>0</v>
      </c>
      <c r="S21" s="3689">
        <v>0</v>
      </c>
      <c r="T21" s="3689">
        <v>0</v>
      </c>
      <c r="U21" s="3689">
        <v>0</v>
      </c>
      <c r="V21" s="3689">
        <v>0</v>
      </c>
      <c r="W21" s="3689">
        <v>0</v>
      </c>
      <c r="X21" s="3690">
        <v>0</v>
      </c>
      <c r="Y21" s="5498">
        <f>스크!P33</f>
        <v>0</v>
      </c>
      <c r="Z21" s="3690">
        <f>스크!P34</f>
        <v>0</v>
      </c>
      <c r="AA21" s="4847">
        <f t="shared" si="2"/>
        <v>0</v>
      </c>
      <c r="AB21" s="4814"/>
      <c r="AC21" s="784"/>
      <c r="AD21" s="784"/>
      <c r="AE21" s="784"/>
      <c r="AF21" s="784"/>
      <c r="AG21" s="784"/>
      <c r="AH21" s="784"/>
      <c r="AI21" s="784"/>
      <c r="AJ21" s="784"/>
      <c r="AK21" s="784"/>
      <c r="AL21" s="784"/>
      <c r="AM21" s="784"/>
      <c r="AN21" s="1968"/>
      <c r="AO21" s="2117"/>
      <c r="AP21" s="1501"/>
      <c r="AQ21" s="2972" t="s">
        <v>1413</v>
      </c>
      <c r="AR21" s="1245" t="s">
        <v>1557</v>
      </c>
      <c r="AS21" s="3773"/>
      <c r="AT21" s="3773"/>
    </row>
    <row r="22" spans="1:46">
      <c r="A22" s="7799"/>
      <c r="B22" s="1521" t="s">
        <v>751</v>
      </c>
      <c r="C22" s="1522" t="s">
        <v>305</v>
      </c>
      <c r="D22" s="2974"/>
      <c r="E22" s="2975"/>
      <c r="F22" s="2976"/>
      <c r="G22" s="2935">
        <f t="shared" ref="G22:Q22" si="3">SUM(G13:G21)</f>
        <v>1656.3</v>
      </c>
      <c r="H22" s="2935">
        <f t="shared" si="3"/>
        <v>1778.2</v>
      </c>
      <c r="I22" s="5764">
        <f t="shared" si="3"/>
        <v>1430.1399999999999</v>
      </c>
      <c r="J22" s="5764">
        <f t="shared" si="3"/>
        <v>1626.75</v>
      </c>
      <c r="K22" s="5764">
        <f t="shared" si="3"/>
        <v>1632.5430000000001</v>
      </c>
      <c r="L22" s="5764">
        <v>1350.932</v>
      </c>
      <c r="M22" s="5971">
        <f t="shared" si="3"/>
        <v>852.26024999999993</v>
      </c>
      <c r="N22" s="5875">
        <f t="shared" si="3"/>
        <v>71.021687499999999</v>
      </c>
      <c r="O22" s="5858">
        <f t="shared" si="3"/>
        <v>99.29000000000002</v>
      </c>
      <c r="P22" s="7545">
        <f t="shared" si="3"/>
        <v>135.15800000000002</v>
      </c>
      <c r="Q22" s="7312">
        <f t="shared" si="3"/>
        <v>121.75500000000001</v>
      </c>
      <c r="R22" s="5858">
        <f t="shared" ref="R22:Z22" si="4">SUM(R13:R21)</f>
        <v>0</v>
      </c>
      <c r="S22" s="4482">
        <f t="shared" si="4"/>
        <v>0</v>
      </c>
      <c r="T22" s="4482">
        <f t="shared" si="4"/>
        <v>0</v>
      </c>
      <c r="U22" s="4482">
        <f t="shared" si="4"/>
        <v>0</v>
      </c>
      <c r="V22" s="4482">
        <f t="shared" si="4"/>
        <v>0</v>
      </c>
      <c r="W22" s="4482">
        <f t="shared" si="4"/>
        <v>0</v>
      </c>
      <c r="X22" s="3288">
        <f t="shared" si="4"/>
        <v>0</v>
      </c>
      <c r="Y22" s="3291">
        <f t="shared" si="4"/>
        <v>0</v>
      </c>
      <c r="Z22" s="3288">
        <f t="shared" si="4"/>
        <v>0</v>
      </c>
      <c r="AA22" s="3308">
        <f t="shared" si="2"/>
        <v>356.20300000000003</v>
      </c>
      <c r="AB22" s="4808"/>
      <c r="AC22" s="1498"/>
      <c r="AD22" s="1498"/>
      <c r="AE22" s="1498"/>
      <c r="AF22" s="1498"/>
      <c r="AG22" s="1498"/>
      <c r="AH22" s="1498"/>
      <c r="AI22" s="1498"/>
      <c r="AJ22" s="1498"/>
      <c r="AK22" s="1498"/>
      <c r="AL22" s="1498"/>
      <c r="AM22" s="1498"/>
      <c r="AN22" s="1526"/>
      <c r="AO22" s="2977"/>
      <c r="AP22" s="2978"/>
      <c r="AQ22" s="7192" t="s">
        <v>1414</v>
      </c>
    </row>
    <row r="23" spans="1:46" ht="16.5" customHeight="1">
      <c r="A23" s="7799"/>
      <c r="B23" s="2895" t="s">
        <v>863</v>
      </c>
      <c r="C23" s="1522" t="s">
        <v>531</v>
      </c>
      <c r="D23" s="2960">
        <v>11.385725986556967</v>
      </c>
      <c r="E23" s="3289">
        <f>(E13+E14+E15+E16+E19)/E5*1000</f>
        <v>6.050036691648403</v>
      </c>
      <c r="F23" s="3289">
        <f>(F13+F14+F15+F16+F19)/F5*1000</f>
        <v>8.6072139047248584</v>
      </c>
      <c r="G23" s="3289">
        <f>(G13+G14+G15+G16+G19)/G5*1000</f>
        <v>11.44862598517067</v>
      </c>
      <c r="H23" s="3289">
        <f>(H13+H14+H15+H16+H19)/H5*1000</f>
        <v>13.488092561554977</v>
      </c>
      <c r="I23" s="3408">
        <f>(I13+I14+I15+I16+I19)/I5*1000</f>
        <v>6.5235410877332276</v>
      </c>
      <c r="J23" s="5766">
        <f>(J13+J14+J15+J16+J18+J19)/J5*1000</f>
        <v>6.5398333866946601</v>
      </c>
      <c r="K23" s="5766">
        <f>(K13+K14+K15+K16+K18+K19)/K5*1000</f>
        <v>5.4775131817827143</v>
      </c>
      <c r="L23" s="5713">
        <v>4.683334588581693</v>
      </c>
      <c r="M23" s="6012">
        <f>(M13+M14+M15+M16+M18+M19)/M5*1000</f>
        <v>4.072032250897915</v>
      </c>
      <c r="N23" s="6013">
        <f>(N13+N14+N15+N16+N18+N19)/N5*1000</f>
        <v>4.072032250897915</v>
      </c>
      <c r="O23" s="7317">
        <f>(O13+O14+O15+O16+O18+O19)/O5*1000</f>
        <v>7.3416609228065512</v>
      </c>
      <c r="P23" s="7546">
        <f t="shared" ref="P23:AA23" si="5">(P13+P14+P15+P16+P18+P19)/P5*1000</f>
        <v>9.5069580043402819</v>
      </c>
      <c r="Q23" s="7325">
        <f>(Q13+Q14+Q15+Q16+Q18+Q19)/Q5*1000</f>
        <v>7.1632479222782415</v>
      </c>
      <c r="R23" s="7317" t="e">
        <f t="shared" si="5"/>
        <v>#DIV/0!</v>
      </c>
      <c r="S23" s="3408" t="e">
        <f t="shared" si="5"/>
        <v>#DIV/0!</v>
      </c>
      <c r="T23" s="3408" t="e">
        <f>(T13+T14+T15+T16+T18+T19)/T5*1000</f>
        <v>#DIV/0!</v>
      </c>
      <c r="U23" s="3408" t="e">
        <f t="shared" si="5"/>
        <v>#DIV/0!</v>
      </c>
      <c r="V23" s="3408" t="e">
        <f t="shared" si="5"/>
        <v>#DIV/0!</v>
      </c>
      <c r="W23" s="3408" t="e">
        <f>(W13+W14+W15+W16+W18+W19)/W5*1000</f>
        <v>#DIV/0!</v>
      </c>
      <c r="X23" s="3289" t="e">
        <f t="shared" si="5"/>
        <v>#DIV/0!</v>
      </c>
      <c r="Y23" s="4627" t="e">
        <f t="shared" si="5"/>
        <v>#DIV/0!</v>
      </c>
      <c r="Z23" s="3289" t="e">
        <f t="shared" si="5"/>
        <v>#DIV/0!</v>
      </c>
      <c r="AA23" s="3289">
        <f t="shared" si="5"/>
        <v>7.9717209356066352</v>
      </c>
      <c r="AB23" s="3113">
        <f>($L$23-O23)*년간!$C$216/1000*O5/1000</f>
        <v>-23973.43631129614</v>
      </c>
      <c r="AC23" s="3113">
        <f>($L$23-P23)*년간!$C$216/1000*P5/1000</f>
        <v>-41917.59747088208</v>
      </c>
      <c r="AD23" s="3113">
        <f>($L$23-Q23)*년간!$C$216/1000*Q5/1000</f>
        <v>-23494.086489252026</v>
      </c>
      <c r="AE23" s="3113" t="e">
        <f>($L$23-R23)*년간!$C$216/1000*R5/1000</f>
        <v>#DIV/0!</v>
      </c>
      <c r="AF23" s="3113" t="e">
        <f>($L$23-S23)*년간!$C$216/1000*S5/1000</f>
        <v>#DIV/0!</v>
      </c>
      <c r="AG23" s="3113" t="e">
        <f>($L$23-T23)*년간!$C$216/1000*T5/1000</f>
        <v>#DIV/0!</v>
      </c>
      <c r="AH23" s="3113" t="e">
        <f>($L$23-U23)*년간!$C$216/1000*U5/1000</f>
        <v>#DIV/0!</v>
      </c>
      <c r="AI23" s="3113" t="e">
        <f>($L$23-V23)*년간!$C$216/1000*V5/1000</f>
        <v>#DIV/0!</v>
      </c>
      <c r="AJ23" s="3113" t="e">
        <f>($L$23-W23)*년간!$C$216/1000*W5/1000</f>
        <v>#DIV/0!</v>
      </c>
      <c r="AK23" s="3113" t="e">
        <f>($L$23-X23)*년간!$C$216/1000*X5/1000</f>
        <v>#DIV/0!</v>
      </c>
      <c r="AL23" s="3113" t="e">
        <f>($L$23-Y23)*년간!$C$216/1000*Y5/1000</f>
        <v>#DIV/0!</v>
      </c>
      <c r="AM23" s="3113" t="e">
        <f>($L$23-Z23)*년간!$C$216/1000*Z5/1000</f>
        <v>#DIV/0!</v>
      </c>
      <c r="AN23" s="1967">
        <f>(L23-M23)*M5*년간!C216/1000000</f>
        <v>72015.276647135543</v>
      </c>
      <c r="AO23" s="2116">
        <f>AB23+AC23+AD23</f>
        <v>-89385.120271430234</v>
      </c>
      <c r="AP23" s="1539">
        <f>AO23/AN23</f>
        <v>-1.2411966520576518</v>
      </c>
      <c r="AQ23" s="3331" t="s">
        <v>1415</v>
      </c>
    </row>
    <row r="24" spans="1:46" s="1453" customFormat="1" ht="17.25" thickBot="1">
      <c r="A24" s="7827"/>
      <c r="B24" s="2979" t="s">
        <v>1455</v>
      </c>
      <c r="C24" s="2955" t="s">
        <v>266</v>
      </c>
      <c r="D24" s="1969">
        <f>스크!U9</f>
        <v>11.385725986556967</v>
      </c>
      <c r="E24" s="3282">
        <f>스크!U10</f>
        <v>13.3530832979393</v>
      </c>
      <c r="F24" s="3283">
        <f>스크!U11</f>
        <v>15.469047818621421</v>
      </c>
      <c r="G24" s="1970">
        <f>스크!U12</f>
        <v>15.753150207654006</v>
      </c>
      <c r="H24" s="1543">
        <f>스크!U13</f>
        <v>10.999915883094561</v>
      </c>
      <c r="I24" s="4653">
        <f>스크!U14</f>
        <v>10.125404504155878</v>
      </c>
      <c r="J24" s="4653">
        <f>스크!U15</f>
        <v>7.4771619816489139</v>
      </c>
      <c r="K24" s="4654">
        <f>스크!U16</f>
        <v>6.9260370878459945</v>
      </c>
      <c r="L24" s="4654">
        <v>6.2407581916628239</v>
      </c>
      <c r="M24" s="5997"/>
      <c r="N24" s="5998"/>
      <c r="O24" s="7318">
        <f>스크!U19</f>
        <v>3.0041128022974242</v>
      </c>
      <c r="P24" s="7547">
        <f>스크!U20</f>
        <v>6.3849331640054405</v>
      </c>
      <c r="Q24" s="7326">
        <f>스크!U21</f>
        <v>6.5328759475434719</v>
      </c>
      <c r="R24" s="7318" t="e">
        <f>스크!U23</f>
        <v>#DIV/0!</v>
      </c>
      <c r="S24" s="4656" t="e">
        <f>스크!U24</f>
        <v>#DIV/0!</v>
      </c>
      <c r="T24" s="4656" t="e">
        <f>스크!U25</f>
        <v>#DIV/0!</v>
      </c>
      <c r="U24" s="4656" t="e">
        <f>스크!U28</f>
        <v>#DIV/0!</v>
      </c>
      <c r="V24" s="4656" t="e">
        <f>스크!U29</f>
        <v>#DIV/0!</v>
      </c>
      <c r="W24" s="4656" t="e">
        <f>스크!U30</f>
        <v>#DIV/0!</v>
      </c>
      <c r="X24" s="4848" t="e">
        <f>스크!U32</f>
        <v>#DIV/0!</v>
      </c>
      <c r="Y24" s="4657" t="e">
        <f>스크!U33</f>
        <v>#DIV/0!</v>
      </c>
      <c r="Z24" s="4655" t="e">
        <f>스크!U34</f>
        <v>#DIV/0!</v>
      </c>
      <c r="AA24" s="4848">
        <f>스크!U37</f>
        <v>6.8331229036196213</v>
      </c>
      <c r="AB24" s="4811"/>
      <c r="AC24" s="2831"/>
      <c r="AD24" s="2831"/>
      <c r="AE24" s="2831"/>
      <c r="AF24" s="2831"/>
      <c r="AG24" s="2831"/>
      <c r="AH24" s="2831"/>
      <c r="AI24" s="2831"/>
      <c r="AJ24" s="2831"/>
      <c r="AK24" s="2831"/>
      <c r="AL24" s="2831"/>
      <c r="AM24" s="2831"/>
      <c r="AN24" s="2957"/>
      <c r="AO24" s="2958"/>
      <c r="AP24" s="2959"/>
      <c r="AQ24" s="2878" t="s">
        <v>1915</v>
      </c>
    </row>
    <row r="25" spans="1:46" ht="16.5" customHeight="1">
      <c r="A25" s="7799" t="s">
        <v>772</v>
      </c>
      <c r="B25" s="7828" t="s">
        <v>763</v>
      </c>
      <c r="C25" s="867" t="s">
        <v>720</v>
      </c>
      <c r="D25" s="1115"/>
      <c r="E25" s="1116"/>
      <c r="F25" s="1116"/>
      <c r="G25" s="1118">
        <v>185</v>
      </c>
      <c r="H25" s="1118">
        <v>139</v>
      </c>
      <c r="I25" s="1464">
        <v>112</v>
      </c>
      <c r="J25" s="1464">
        <v>46</v>
      </c>
      <c r="K25" s="1464">
        <v>49</v>
      </c>
      <c r="L25" s="1464">
        <f>29/10*12</f>
        <v>34.799999999999997</v>
      </c>
      <c r="M25" s="5880">
        <v>24</v>
      </c>
      <c r="N25" s="5881">
        <v>2</v>
      </c>
      <c r="O25" s="1636">
        <f>19-7</f>
        <v>12</v>
      </c>
      <c r="P25" s="7548">
        <v>8</v>
      </c>
      <c r="Q25" s="7327">
        <v>11</v>
      </c>
      <c r="R25" s="7319">
        <v>0</v>
      </c>
      <c r="S25" s="1004">
        <v>0</v>
      </c>
      <c r="T25" s="1004">
        <v>0</v>
      </c>
      <c r="U25" s="1004">
        <v>0</v>
      </c>
      <c r="V25" s="1004">
        <v>0</v>
      </c>
      <c r="W25" s="1004">
        <v>0</v>
      </c>
      <c r="X25" s="1003">
        <v>0</v>
      </c>
      <c r="Y25" s="5477"/>
      <c r="Z25" s="1003"/>
      <c r="AA25" s="4849">
        <f t="shared" ref="AA25:AA30" si="6">SUM(O25:Z25)</f>
        <v>31</v>
      </c>
      <c r="AB25" s="4814"/>
      <c r="AC25" s="784"/>
      <c r="AD25" s="784"/>
      <c r="AE25" s="784"/>
      <c r="AF25" s="784"/>
      <c r="AG25" s="784"/>
      <c r="AH25" s="784"/>
      <c r="AI25" s="784"/>
      <c r="AJ25" s="784"/>
      <c r="AK25" s="784"/>
      <c r="AL25" s="784"/>
      <c r="AM25" s="784"/>
      <c r="AN25" s="1968"/>
      <c r="AO25" s="2117"/>
      <c r="AP25" s="896"/>
      <c r="AQ25" s="1202"/>
    </row>
    <row r="26" spans="1:46" ht="16.5" customHeight="1">
      <c r="A26" s="7799"/>
      <c r="B26" s="7824"/>
      <c r="C26" s="1522" t="s">
        <v>770</v>
      </c>
      <c r="D26" s="1474"/>
      <c r="E26" s="1475"/>
      <c r="F26" s="1475"/>
      <c r="G26" s="1475">
        <v>105.25</v>
      </c>
      <c r="H26" s="1475">
        <v>83.816666666666663</v>
      </c>
      <c r="I26" s="5008">
        <v>69.069999999999993</v>
      </c>
      <c r="J26" s="5008">
        <v>21.93</v>
      </c>
      <c r="K26" s="5008">
        <v>23.533333333333335</v>
      </c>
      <c r="L26" s="5008">
        <f>19.65/10*12</f>
        <v>23.58</v>
      </c>
      <c r="M26" s="5961">
        <v>12</v>
      </c>
      <c r="N26" s="5972">
        <v>1</v>
      </c>
      <c r="O26" s="3688">
        <f>(1112-500)/60</f>
        <v>10.199999999999999</v>
      </c>
      <c r="P26" s="7543">
        <f>327/60</f>
        <v>5.45</v>
      </c>
      <c r="Q26" s="7311">
        <f>350/60</f>
        <v>5.833333333333333</v>
      </c>
      <c r="R26" s="3688">
        <v>0</v>
      </c>
      <c r="S26" s="3691">
        <v>0</v>
      </c>
      <c r="T26" s="3691">
        <v>0</v>
      </c>
      <c r="U26" s="3691">
        <v>0</v>
      </c>
      <c r="V26" s="3691">
        <v>0</v>
      </c>
      <c r="W26" s="3691">
        <v>0</v>
      </c>
      <c r="X26" s="3844">
        <v>0</v>
      </c>
      <c r="Y26" s="5478"/>
      <c r="Z26" s="1558"/>
      <c r="AA26" s="3308">
        <f t="shared" si="6"/>
        <v>21.483333333333331</v>
      </c>
      <c r="AB26" s="4843">
        <f>($L$26/12-O26)*년간!$E$216/1000</f>
        <v>-11931.707969999999</v>
      </c>
      <c r="AC26" s="4843">
        <f>($L$26/12-P26)*년간!$E$216/1000</f>
        <v>-5049.4234700000006</v>
      </c>
      <c r="AD26" s="4843">
        <f>($L$26/12-Q26)*년간!$E$216/1000</f>
        <v>-5604.8359033333336</v>
      </c>
      <c r="AE26" s="4843">
        <f>($L$26/12-R26)*년간!$E$216/1000</f>
        <v>2847.0924299999997</v>
      </c>
      <c r="AF26" s="4843">
        <f>($L$26/12-S26)*년간!$E$216/1000</f>
        <v>2847.0924299999997</v>
      </c>
      <c r="AG26" s="4843">
        <f>($L$26/12-T26)*년간!$E$216/1000</f>
        <v>2847.0924299999997</v>
      </c>
      <c r="AH26" s="4843">
        <f>($L$26/12-U26)*년간!$E$216/1000</f>
        <v>2847.0924299999997</v>
      </c>
      <c r="AI26" s="4843">
        <f>($L$26/12-V26)*년간!$E$216/1000</f>
        <v>2847.0924299999997</v>
      </c>
      <c r="AJ26" s="4843">
        <f>($L$26/12-W26)*년간!$E$216/1000</f>
        <v>2847.0924299999997</v>
      </c>
      <c r="AK26" s="4843">
        <f>($L$26/12-X26)*년간!$E$216/1000</f>
        <v>2847.0924299999997</v>
      </c>
      <c r="AL26" s="4843">
        <f>($L$26/12-Y26)*년간!$E$216/1000</f>
        <v>2847.0924299999997</v>
      </c>
      <c r="AM26" s="4843">
        <f>($L$26/12-Z26)*년간!$E$216/1000</f>
        <v>2847.0924299999997</v>
      </c>
      <c r="AN26" s="2042">
        <f>(L26-M26)*년간!E216/1000</f>
        <v>16778.285159999996</v>
      </c>
      <c r="AO26" s="2949">
        <f>AB26+AC26+AD26</f>
        <v>-22585.967343333334</v>
      </c>
      <c r="AP26" s="2950">
        <f>AO26/AN26</f>
        <v>-1.346142774899252</v>
      </c>
      <c r="AQ26" s="1502"/>
      <c r="AR26" s="479"/>
    </row>
    <row r="27" spans="1:46" ht="16.5" customHeight="1">
      <c r="A27" s="7799"/>
      <c r="B27" s="7825" t="s">
        <v>768</v>
      </c>
      <c r="C27" s="1522" t="s">
        <v>720</v>
      </c>
      <c r="D27" s="1474"/>
      <c r="E27" s="1475"/>
      <c r="F27" s="1475"/>
      <c r="G27" s="1476">
        <v>19</v>
      </c>
      <c r="H27" s="1476">
        <v>30</v>
      </c>
      <c r="I27" s="5711">
        <v>15</v>
      </c>
      <c r="J27" s="5711">
        <v>4</v>
      </c>
      <c r="K27" s="5711">
        <v>6</v>
      </c>
      <c r="L27" s="5711">
        <f>5/10*12</f>
        <v>6</v>
      </c>
      <c r="M27" s="5973">
        <f>년간!E43</f>
        <v>6</v>
      </c>
      <c r="N27" s="5974">
        <f>M27/12</f>
        <v>0.5</v>
      </c>
      <c r="O27" s="6285">
        <f>년간!F43</f>
        <v>0</v>
      </c>
      <c r="P27" s="7549">
        <f>년간!G43</f>
        <v>1</v>
      </c>
      <c r="Q27" s="7328">
        <f>년간!H43</f>
        <v>1</v>
      </c>
      <c r="R27" s="5499">
        <f>년간!I43</f>
        <v>0</v>
      </c>
      <c r="S27" s="5987">
        <f>년간!J43</f>
        <v>0</v>
      </c>
      <c r="T27" s="5987">
        <f>년간!K43</f>
        <v>0</v>
      </c>
      <c r="U27" s="5987">
        <f>년간!L43</f>
        <v>0</v>
      </c>
      <c r="V27" s="5987">
        <f>년간!M43</f>
        <v>0</v>
      </c>
      <c r="W27" s="4625">
        <f>년간!N43</f>
        <v>0</v>
      </c>
      <c r="X27" s="5987">
        <f>년간!O43</f>
        <v>0</v>
      </c>
      <c r="Y27" s="5499">
        <f>년간!P43</f>
        <v>0</v>
      </c>
      <c r="Z27" s="1568">
        <f>년간!Q43</f>
        <v>0</v>
      </c>
      <c r="AA27" s="4846">
        <f t="shared" si="6"/>
        <v>2</v>
      </c>
      <c r="AB27" s="4823"/>
      <c r="AC27" s="1498"/>
      <c r="AD27" s="1498"/>
      <c r="AE27" s="1498"/>
      <c r="AF27" s="1498"/>
      <c r="AG27" s="1498"/>
      <c r="AH27" s="1498"/>
      <c r="AI27" s="1498"/>
      <c r="AJ27" s="1498"/>
      <c r="AK27" s="1498"/>
      <c r="AL27" s="1498"/>
      <c r="AM27" s="1498"/>
      <c r="AN27" s="2233"/>
      <c r="AO27" s="2234"/>
      <c r="AP27" s="1501"/>
      <c r="AQ27" s="1502"/>
    </row>
    <row r="28" spans="1:46" ht="16.5" customHeight="1">
      <c r="A28" s="7799"/>
      <c r="B28" s="7824"/>
      <c r="C28" s="1522" t="s">
        <v>770</v>
      </c>
      <c r="D28" s="1474"/>
      <c r="E28" s="1475"/>
      <c r="F28" s="1475"/>
      <c r="G28" s="1475">
        <v>22.1</v>
      </c>
      <c r="H28" s="1475">
        <v>50</v>
      </c>
      <c r="I28" s="5008">
        <v>32</v>
      </c>
      <c r="J28" s="5008">
        <v>3.93</v>
      </c>
      <c r="K28" s="5008">
        <v>15.983333333333334</v>
      </c>
      <c r="L28" s="5008">
        <f>6.26666666666667/10*12</f>
        <v>7.5200000000000049</v>
      </c>
      <c r="M28" s="5961">
        <f>년간!E53/60</f>
        <v>7</v>
      </c>
      <c r="N28" s="5974">
        <f>M28/12</f>
        <v>0.58333333333333337</v>
      </c>
      <c r="O28" s="3688">
        <f>년간!F53/60</f>
        <v>0</v>
      </c>
      <c r="P28" s="7543">
        <f>년간!G53/60</f>
        <v>0.58333333333333337</v>
      </c>
      <c r="Q28" s="7311">
        <f>년간!H53/60</f>
        <v>1.9333333333333333</v>
      </c>
      <c r="R28" s="5478">
        <f>년간!I53/60</f>
        <v>0</v>
      </c>
      <c r="S28" s="5478">
        <f>년간!J53/60</f>
        <v>0</v>
      </c>
      <c r="T28" s="5478">
        <f>년간!K53/60</f>
        <v>0</v>
      </c>
      <c r="U28" s="5478">
        <f>년간!L53/60</f>
        <v>0</v>
      </c>
      <c r="V28" s="5478">
        <f>년간!M53/60</f>
        <v>0</v>
      </c>
      <c r="W28" s="5478">
        <f>년간!N53/60</f>
        <v>0</v>
      </c>
      <c r="X28" s="5478">
        <f>년간!O53/60</f>
        <v>0</v>
      </c>
      <c r="Y28" s="5478">
        <f>년간!P53/60</f>
        <v>0</v>
      </c>
      <c r="Z28" s="1558">
        <f>년간!Q53/60</f>
        <v>0</v>
      </c>
      <c r="AA28" s="3308">
        <f t="shared" si="6"/>
        <v>2.5166666666666666</v>
      </c>
      <c r="AB28" s="3150">
        <f>년간!F179/1000</f>
        <v>1516.9015302850996</v>
      </c>
      <c r="AC28" s="1503">
        <f>년간!G179/1000</f>
        <v>722.67340755644227</v>
      </c>
      <c r="AD28" s="1503">
        <f>년간!H179/1000</f>
        <v>-764.93387879110912</v>
      </c>
      <c r="AE28" s="1503" t="e">
        <f>년간!I179/1000</f>
        <v>#DIV/0!</v>
      </c>
      <c r="AF28" s="1503" t="e">
        <f>년간!J179/1000</f>
        <v>#DIV/0!</v>
      </c>
      <c r="AG28" s="1503" t="e">
        <f>년간!K179/1000</f>
        <v>#DIV/0!</v>
      </c>
      <c r="AH28" s="1503" t="e">
        <f>년간!L179/1000</f>
        <v>#DIV/0!</v>
      </c>
      <c r="AI28" s="1503" t="e">
        <f>년간!M179/1000</f>
        <v>#DIV/0!</v>
      </c>
      <c r="AJ28" s="1503" t="e">
        <f>년간!N179/1000</f>
        <v>#DIV/0!</v>
      </c>
      <c r="AK28" s="1503" t="e">
        <f>년간!O179/1000</f>
        <v>#DIV/0!</v>
      </c>
      <c r="AL28" s="1503" t="e">
        <f>년간!P179/1000</f>
        <v>#DIV/0!</v>
      </c>
      <c r="AM28" s="1503" t="e">
        <f>년간!Q179/1000</f>
        <v>#DIV/0!</v>
      </c>
      <c r="AN28" s="2018">
        <f>년간!E179/1000</f>
        <v>8375.9873308373681</v>
      </c>
      <c r="AO28" s="2118">
        <f>AB28+AC28+AD28</f>
        <v>1474.6410590504329</v>
      </c>
      <c r="AP28" s="2950">
        <f>AO28/AN28</f>
        <v>0.17605578910337361</v>
      </c>
      <c r="AQ28" s="1515"/>
    </row>
    <row r="29" spans="1:46" ht="16.5" customHeight="1">
      <c r="A29" s="7799"/>
      <c r="B29" s="7825" t="s">
        <v>769</v>
      </c>
      <c r="C29" s="1522" t="s">
        <v>720</v>
      </c>
      <c r="D29" s="1474"/>
      <c r="E29" s="1475"/>
      <c r="F29" s="1475"/>
      <c r="G29" s="1476">
        <v>13</v>
      </c>
      <c r="H29" s="1476">
        <v>14</v>
      </c>
      <c r="I29" s="5711">
        <v>18</v>
      </c>
      <c r="J29" s="5711">
        <v>6</v>
      </c>
      <c r="K29" s="5711">
        <v>6</v>
      </c>
      <c r="L29" s="5711">
        <f>1/10*12</f>
        <v>1.2000000000000002</v>
      </c>
      <c r="M29" s="5973">
        <f>년간!E48</f>
        <v>3</v>
      </c>
      <c r="N29" s="5974">
        <f>M29/12</f>
        <v>0.25</v>
      </c>
      <c r="O29" s="6285">
        <f>년간!F48</f>
        <v>1</v>
      </c>
      <c r="P29" s="7549">
        <f>년간!G48</f>
        <v>0</v>
      </c>
      <c r="Q29" s="7328">
        <f>년간!H48</f>
        <v>1</v>
      </c>
      <c r="R29" s="5499">
        <f>년간!I48</f>
        <v>0</v>
      </c>
      <c r="S29" s="5987">
        <f>년간!J48</f>
        <v>0</v>
      </c>
      <c r="T29" s="5987">
        <f>년간!K48</f>
        <v>0</v>
      </c>
      <c r="U29" s="5987">
        <f>년간!L48</f>
        <v>0</v>
      </c>
      <c r="V29" s="5987">
        <f>년간!M48</f>
        <v>0</v>
      </c>
      <c r="W29" s="4625">
        <f>년간!N48</f>
        <v>0</v>
      </c>
      <c r="X29" s="5987">
        <f>년간!O48</f>
        <v>0</v>
      </c>
      <c r="Y29" s="5499">
        <f>년간!P48</f>
        <v>0</v>
      </c>
      <c r="Z29" s="1568">
        <f>년간!Q48</f>
        <v>0</v>
      </c>
      <c r="AA29" s="4846">
        <f t="shared" si="6"/>
        <v>2</v>
      </c>
      <c r="AB29" s="4808"/>
      <c r="AC29" s="1498"/>
      <c r="AD29" s="1498"/>
      <c r="AE29" s="1498"/>
      <c r="AF29" s="1498"/>
      <c r="AG29" s="1498"/>
      <c r="AH29" s="1498"/>
      <c r="AI29" s="1498"/>
      <c r="AJ29" s="1498"/>
      <c r="AK29" s="1498"/>
      <c r="AL29" s="1498"/>
      <c r="AM29" s="1498"/>
      <c r="AN29" s="2233"/>
      <c r="AO29" s="2234"/>
      <c r="AP29" s="1501"/>
      <c r="AQ29" s="1502"/>
      <c r="AR29" s="1607"/>
      <c r="AS29" s="1607"/>
      <c r="AT29" s="1607"/>
    </row>
    <row r="30" spans="1:46" ht="16.5" customHeight="1" thickBot="1">
      <c r="A30" s="7827"/>
      <c r="B30" s="7826"/>
      <c r="C30" s="2955" t="s">
        <v>770</v>
      </c>
      <c r="D30" s="1977"/>
      <c r="E30" s="1978"/>
      <c r="F30" s="1978"/>
      <c r="G30" s="1978">
        <v>16.516666666666666</v>
      </c>
      <c r="H30" s="1978">
        <v>16</v>
      </c>
      <c r="I30" s="5008">
        <v>37</v>
      </c>
      <c r="J30" s="5008">
        <v>4.93</v>
      </c>
      <c r="K30" s="5008">
        <v>7.7833333333333341</v>
      </c>
      <c r="L30" s="5008">
        <f>2.33333333333333/10*12</f>
        <v>2.7999999999999963</v>
      </c>
      <c r="M30" s="5963">
        <f>년간!E58/60</f>
        <v>2.5</v>
      </c>
      <c r="N30" s="6102">
        <f>M30/12</f>
        <v>0.20833333333333334</v>
      </c>
      <c r="O30" s="3688">
        <f>년간!F58/60</f>
        <v>1.1666666666666667</v>
      </c>
      <c r="P30" s="7543">
        <f>년간!G58/60</f>
        <v>0</v>
      </c>
      <c r="Q30" s="7311">
        <f>년간!H58/60</f>
        <v>2.5666666666666669</v>
      </c>
      <c r="R30" s="5478">
        <f>년간!I58/60</f>
        <v>0</v>
      </c>
      <c r="S30" s="5478">
        <f>년간!J58/60</f>
        <v>0</v>
      </c>
      <c r="T30" s="5478">
        <f>년간!K58/60</f>
        <v>0</v>
      </c>
      <c r="U30" s="5478">
        <f>년간!L58/60</f>
        <v>0</v>
      </c>
      <c r="V30" s="5478">
        <f>년간!M58/60</f>
        <v>0</v>
      </c>
      <c r="W30" s="5478">
        <f>년간!N58/60</f>
        <v>0</v>
      </c>
      <c r="X30" s="5478">
        <f>년간!O58/60</f>
        <v>0</v>
      </c>
      <c r="Y30" s="5478">
        <f>년간!P58/60</f>
        <v>0</v>
      </c>
      <c r="Z30" s="1558">
        <f>년간!Q58/60</f>
        <v>0</v>
      </c>
      <c r="AA30" s="4850">
        <f t="shared" si="6"/>
        <v>3.7333333333333334</v>
      </c>
      <c r="AB30" s="3150">
        <f>년간!F185/1000</f>
        <v>-440.60731502782522</v>
      </c>
      <c r="AC30" s="1503">
        <f>년간!G185/1000</f>
        <v>935.17490147928982</v>
      </c>
      <c r="AD30" s="1503">
        <f>년간!H185/1000</f>
        <v>-2079.4523424568183</v>
      </c>
      <c r="AE30" s="1503" t="e">
        <f>년간!I185/1000</f>
        <v>#DIV/0!</v>
      </c>
      <c r="AF30" s="1503" t="e">
        <f>년간!J185/1000</f>
        <v>#DIV/0!</v>
      </c>
      <c r="AG30" s="1503" t="e">
        <f>년간!K185/1000</f>
        <v>#DIV/0!</v>
      </c>
      <c r="AH30" s="1503" t="e">
        <f>년간!L185/1000</f>
        <v>#DIV/0!</v>
      </c>
      <c r="AI30" s="1503" t="e">
        <f>년간!M185/1000</f>
        <v>#DIV/0!</v>
      </c>
      <c r="AJ30" s="1503" t="e">
        <f>년간!N185/1000</f>
        <v>#DIV/0!</v>
      </c>
      <c r="AK30" s="1503" t="e">
        <f>년간!O185/1000</f>
        <v>#DIV/0!</v>
      </c>
      <c r="AL30" s="1503" t="e">
        <f>년간!P185/1000</f>
        <v>#DIV/0!</v>
      </c>
      <c r="AM30" s="1503" t="e">
        <f>년간!Q185/1000</f>
        <v>#DIV/0!</v>
      </c>
      <c r="AN30" s="2018">
        <f>년간!E185/1000</f>
        <v>8006.9709208310915</v>
      </c>
      <c r="AO30" s="2118">
        <f>AB30+AC30+AD30</f>
        <v>-1584.8847560053537</v>
      </c>
      <c r="AP30" s="1539">
        <f>AO30/AN30</f>
        <v>-0.19793811813180021</v>
      </c>
      <c r="AQ30" s="1515"/>
      <c r="AR30" s="1607"/>
      <c r="AS30" s="1607"/>
      <c r="AT30" s="1607"/>
    </row>
    <row r="31" spans="1:46">
      <c r="A31" s="7798" t="s">
        <v>353</v>
      </c>
      <c r="B31" s="7823" t="s">
        <v>354</v>
      </c>
      <c r="C31" s="913" t="s">
        <v>355</v>
      </c>
      <c r="D31" s="3323">
        <v>24.72544279546339</v>
      </c>
      <c r="E31" s="2021">
        <v>26.141686980240948</v>
      </c>
      <c r="F31" s="2021">
        <v>29.95</v>
      </c>
      <c r="G31" s="2021">
        <v>27.847944510753116</v>
      </c>
      <c r="H31" s="7181">
        <v>26.925635918047181</v>
      </c>
      <c r="I31" s="7175">
        <v>24.51</v>
      </c>
      <c r="J31" s="5770">
        <v>25.5164081871166</v>
      </c>
      <c r="K31" s="5770">
        <v>24.863893783777399</v>
      </c>
      <c r="L31" s="5770">
        <v>24.336999999999996</v>
      </c>
      <c r="M31" s="5975">
        <v>24.336999999999996</v>
      </c>
      <c r="N31" s="5976">
        <f>M31</f>
        <v>24.336999999999996</v>
      </c>
      <c r="O31" s="2020">
        <v>24.97</v>
      </c>
      <c r="P31" s="7550">
        <v>25.808281338627342</v>
      </c>
      <c r="Q31" s="7329">
        <v>24.73</v>
      </c>
      <c r="R31" s="2020">
        <v>0</v>
      </c>
      <c r="S31" s="2019">
        <v>0</v>
      </c>
      <c r="T31" s="2019">
        <v>0</v>
      </c>
      <c r="U31" s="2019">
        <v>0</v>
      </c>
      <c r="V31" s="2019">
        <v>0</v>
      </c>
      <c r="W31" s="2019">
        <v>0</v>
      </c>
      <c r="X31" s="2654">
        <v>0</v>
      </c>
      <c r="Y31" s="5500"/>
      <c r="Z31" s="2654"/>
      <c r="AA31" s="1567">
        <f t="shared" ref="AA31:AA43" si="7">AVERAGE(O31:Z31)</f>
        <v>7.5508281338627343</v>
      </c>
      <c r="AB31" s="8034">
        <f>($L$31-O31)*O5*3.913</f>
        <v>-30725.18962695013</v>
      </c>
      <c r="AC31" s="8034">
        <f t="shared" ref="AC31:AM31" si="8">($L$31-P31)*P5*3.913</f>
        <v>-68815.707711660289</v>
      </c>
      <c r="AD31" s="8034">
        <f t="shared" si="8"/>
        <v>-20039.342859900215</v>
      </c>
      <c r="AE31" s="8034">
        <f t="shared" si="8"/>
        <v>0</v>
      </c>
      <c r="AF31" s="8034">
        <f t="shared" si="8"/>
        <v>0</v>
      </c>
      <c r="AG31" s="8034">
        <f t="shared" si="8"/>
        <v>0</v>
      </c>
      <c r="AH31" s="8034">
        <f t="shared" si="8"/>
        <v>0</v>
      </c>
      <c r="AI31" s="8034">
        <f t="shared" si="8"/>
        <v>0</v>
      </c>
      <c r="AJ31" s="8034">
        <f t="shared" si="8"/>
        <v>0</v>
      </c>
      <c r="AK31" s="8034">
        <f t="shared" si="8"/>
        <v>0</v>
      </c>
      <c r="AL31" s="8034">
        <f t="shared" si="8"/>
        <v>0</v>
      </c>
      <c r="AM31" s="8034">
        <f t="shared" si="8"/>
        <v>0</v>
      </c>
      <c r="AN31" s="8100">
        <f>(L31-M31)*3913*M5/1000</f>
        <v>0</v>
      </c>
      <c r="AO31" s="8098">
        <f>SUM(AB31:AM32)</f>
        <v>-119580.24019851064</v>
      </c>
      <c r="AP31" s="8095" t="e">
        <f>AO31/AN31</f>
        <v>#DIV/0!</v>
      </c>
      <c r="AQ31" s="919" t="s">
        <v>356</v>
      </c>
      <c r="AR31" s="1607" t="s">
        <v>2228</v>
      </c>
      <c r="AS31" s="1608" t="s">
        <v>2229</v>
      </c>
      <c r="AT31" s="1607"/>
    </row>
    <row r="32" spans="1:46" ht="17.25" thickBot="1">
      <c r="A32" s="7799"/>
      <c r="B32" s="7828"/>
      <c r="C32" s="933" t="s">
        <v>357</v>
      </c>
      <c r="D32" s="6257">
        <v>105283.06681791833</v>
      </c>
      <c r="E32" s="6258">
        <v>114065.66260715712</v>
      </c>
      <c r="F32" s="6258">
        <v>134458</v>
      </c>
      <c r="G32" s="6258">
        <v>117950.72450326069</v>
      </c>
      <c r="H32" s="7182">
        <v>106044</v>
      </c>
      <c r="I32" s="7176">
        <v>91380</v>
      </c>
      <c r="J32" s="5705">
        <v>94521.411917584599</v>
      </c>
      <c r="K32" s="5705">
        <v>94499.699186638114</v>
      </c>
      <c r="L32" s="5705">
        <v>94293.921000000002</v>
      </c>
      <c r="M32" s="6259">
        <v>94500</v>
      </c>
      <c r="N32" s="6260">
        <f>M32</f>
        <v>94500</v>
      </c>
      <c r="O32" s="6261">
        <v>104457.97711323669</v>
      </c>
      <c r="P32" s="7551">
        <v>95632.419598532273</v>
      </c>
      <c r="Q32" s="7330">
        <v>97886</v>
      </c>
      <c r="R32" s="6261">
        <v>0</v>
      </c>
      <c r="S32" s="3195">
        <v>0</v>
      </c>
      <c r="T32" s="3195">
        <v>0</v>
      </c>
      <c r="U32" s="3195">
        <v>0</v>
      </c>
      <c r="V32" s="3195">
        <v>0</v>
      </c>
      <c r="W32" s="3195">
        <v>0</v>
      </c>
      <c r="X32" s="6262">
        <v>0</v>
      </c>
      <c r="Y32" s="4825"/>
      <c r="Z32" s="6262"/>
      <c r="AA32" s="5018">
        <f t="shared" si="7"/>
        <v>29797.639671176894</v>
      </c>
      <c r="AB32" s="8055"/>
      <c r="AC32" s="8055"/>
      <c r="AD32" s="8055"/>
      <c r="AE32" s="8055"/>
      <c r="AF32" s="8055"/>
      <c r="AG32" s="8055"/>
      <c r="AH32" s="8055"/>
      <c r="AI32" s="8055"/>
      <c r="AJ32" s="8055"/>
      <c r="AK32" s="8055"/>
      <c r="AL32" s="8055"/>
      <c r="AM32" s="8055"/>
      <c r="AN32" s="8101"/>
      <c r="AO32" s="8099"/>
      <c r="AP32" s="8097"/>
      <c r="AQ32" s="1050" t="s">
        <v>2246</v>
      </c>
      <c r="AR32" s="1610" t="s">
        <v>2227</v>
      </c>
      <c r="AS32" s="1607" t="s">
        <v>2230</v>
      </c>
      <c r="AT32" s="1607"/>
    </row>
    <row r="33" spans="1:47" ht="16.5" customHeight="1">
      <c r="A33" s="7795" t="s">
        <v>1933</v>
      </c>
      <c r="B33" s="8092" t="s">
        <v>1934</v>
      </c>
      <c r="C33" s="879" t="s">
        <v>1006</v>
      </c>
      <c r="D33" s="5014"/>
      <c r="E33" s="5015"/>
      <c r="F33" s="5015"/>
      <c r="G33" s="6263"/>
      <c r="H33" s="7183"/>
      <c r="I33" s="7177"/>
      <c r="J33" s="5016">
        <v>31450</v>
      </c>
      <c r="K33" s="5016">
        <v>46830</v>
      </c>
      <c r="L33" s="5016">
        <v>24520</v>
      </c>
      <c r="M33" s="5901">
        <v>24053</v>
      </c>
      <c r="N33" s="5988">
        <f>M33/12</f>
        <v>2004.4166666666667</v>
      </c>
      <c r="O33" s="6406">
        <v>1950</v>
      </c>
      <c r="P33" s="7552">
        <v>3180</v>
      </c>
      <c r="Q33" s="7331">
        <v>2380</v>
      </c>
      <c r="R33" s="6406">
        <v>0</v>
      </c>
      <c r="S33" s="6264">
        <v>0</v>
      </c>
      <c r="T33" s="6264">
        <v>0</v>
      </c>
      <c r="U33" s="6264">
        <v>0</v>
      </c>
      <c r="V33" s="6264">
        <v>0</v>
      </c>
      <c r="W33" s="6264">
        <v>0</v>
      </c>
      <c r="X33" s="6265">
        <v>0</v>
      </c>
      <c r="Y33" s="6266"/>
      <c r="Z33" s="6265"/>
      <c r="AA33" s="1575">
        <f t="shared" si="7"/>
        <v>751</v>
      </c>
      <c r="AB33" s="4845"/>
      <c r="AC33" s="1055"/>
      <c r="AD33" s="1055"/>
      <c r="AE33" s="1055"/>
      <c r="AF33" s="1055"/>
      <c r="AG33" s="1055"/>
      <c r="AH33" s="1055"/>
      <c r="AI33" s="1055"/>
      <c r="AJ33" s="1055"/>
      <c r="AK33" s="1055"/>
      <c r="AL33" s="1055"/>
      <c r="AM33" s="1055"/>
      <c r="AN33" s="1056"/>
      <c r="AO33" s="6267"/>
      <c r="AP33" s="1057"/>
      <c r="AQ33" s="6268" t="s">
        <v>1007</v>
      </c>
      <c r="AR33" s="1607"/>
      <c r="AS33" s="1607"/>
      <c r="AT33" s="1607"/>
    </row>
    <row r="34" spans="1:47" s="1453" customFormat="1" ht="16.5" customHeight="1" thickBot="1">
      <c r="A34" s="7796"/>
      <c r="B34" s="7824"/>
      <c r="C34" s="871" t="s">
        <v>1935</v>
      </c>
      <c r="D34" s="791"/>
      <c r="E34" s="763"/>
      <c r="F34" s="763"/>
      <c r="G34" s="1983"/>
      <c r="H34" s="7184"/>
      <c r="I34" s="7178"/>
      <c r="J34" s="1984">
        <f t="shared" ref="J34:Z34" si="9">J33/J5</f>
        <v>0.21887365252210472</v>
      </c>
      <c r="K34" s="1984">
        <f t="shared" si="9"/>
        <v>0.30909112438005054</v>
      </c>
      <c r="L34" s="1984">
        <f t="shared" si="9"/>
        <v>0.15555267739399883</v>
      </c>
      <c r="M34" s="6286">
        <f t="shared" si="9"/>
        <v>0.14843682502067365</v>
      </c>
      <c r="N34" s="5989">
        <f t="shared" si="9"/>
        <v>0.14843682502067365</v>
      </c>
      <c r="O34" s="2086">
        <v>0.16</v>
      </c>
      <c r="P34" s="7553">
        <v>0.26603888183356006</v>
      </c>
      <c r="Q34" s="7332">
        <v>0.18263999201909278</v>
      </c>
      <c r="R34" s="2086" t="e">
        <f t="shared" si="9"/>
        <v>#DIV/0!</v>
      </c>
      <c r="S34" s="2086" t="e">
        <f t="shared" si="9"/>
        <v>#DIV/0!</v>
      </c>
      <c r="T34" s="2086" t="e">
        <f t="shared" si="9"/>
        <v>#DIV/0!</v>
      </c>
      <c r="U34" s="2086" t="e">
        <f t="shared" si="9"/>
        <v>#DIV/0!</v>
      </c>
      <c r="V34" s="2086" t="e">
        <f t="shared" si="9"/>
        <v>#DIV/0!</v>
      </c>
      <c r="W34" s="2086" t="e">
        <f t="shared" si="9"/>
        <v>#DIV/0!</v>
      </c>
      <c r="X34" s="2086" t="e">
        <f t="shared" si="9"/>
        <v>#DIV/0!</v>
      </c>
      <c r="Y34" s="2086" t="e">
        <f t="shared" si="9"/>
        <v>#DIV/0!</v>
      </c>
      <c r="Z34" s="6293" t="e">
        <f t="shared" si="9"/>
        <v>#DIV/0!</v>
      </c>
      <c r="AA34" s="4849"/>
      <c r="AB34" s="6119">
        <f>($L$34-O34)*O5*3.785</f>
        <v>-208.80722986814882</v>
      </c>
      <c r="AC34" s="6119">
        <f t="shared" ref="AC34:AM34" si="10">($L$34-P34)*P5*3.785</f>
        <v>-4998.6870089458271</v>
      </c>
      <c r="AD34" s="6119">
        <f t="shared" si="10"/>
        <v>-1336.0198587378688</v>
      </c>
      <c r="AE34" s="6119" t="e">
        <f t="shared" si="10"/>
        <v>#DIV/0!</v>
      </c>
      <c r="AF34" s="6119" t="e">
        <f t="shared" si="10"/>
        <v>#DIV/0!</v>
      </c>
      <c r="AG34" s="6119" t="e">
        <f t="shared" si="10"/>
        <v>#DIV/0!</v>
      </c>
      <c r="AH34" s="6119" t="e">
        <f t="shared" si="10"/>
        <v>#DIV/0!</v>
      </c>
      <c r="AI34" s="6119" t="e">
        <f t="shared" si="10"/>
        <v>#DIV/0!</v>
      </c>
      <c r="AJ34" s="6119" t="e">
        <f t="shared" si="10"/>
        <v>#DIV/0!</v>
      </c>
      <c r="AK34" s="6119" t="e">
        <f t="shared" si="10"/>
        <v>#DIV/0!</v>
      </c>
      <c r="AL34" s="6119" t="e">
        <f t="shared" si="10"/>
        <v>#DIV/0!</v>
      </c>
      <c r="AM34" s="6119" t="e">
        <f t="shared" si="10"/>
        <v>#DIV/0!</v>
      </c>
      <c r="AN34" s="6288">
        <f>(L34-M34)*3785*M5/1000</f>
        <v>4364.3584068035889</v>
      </c>
      <c r="AO34" s="4247">
        <f>AB34+AC34+AD34</f>
        <v>-6543.5140975518452</v>
      </c>
      <c r="AP34" s="6289"/>
      <c r="AQ34" s="1722"/>
      <c r="AR34" s="1607"/>
      <c r="AS34" s="1607"/>
      <c r="AT34" s="1607"/>
    </row>
    <row r="35" spans="1:47" ht="16.5" customHeight="1">
      <c r="A35" s="7799"/>
      <c r="B35" s="8017" t="s">
        <v>1931</v>
      </c>
      <c r="C35" s="879" t="s">
        <v>1006</v>
      </c>
      <c r="D35" s="6269"/>
      <c r="E35" s="2981"/>
      <c r="F35" s="2981"/>
      <c r="G35" s="2981"/>
      <c r="H35" s="7185"/>
      <c r="I35" s="1742"/>
      <c r="J35" s="3277">
        <v>18660</v>
      </c>
      <c r="K35" s="3277">
        <v>25930</v>
      </c>
      <c r="L35" s="3277">
        <v>19450</v>
      </c>
      <c r="M35" s="5956">
        <v>12828</v>
      </c>
      <c r="N35" s="5957">
        <f>M35/12</f>
        <v>1069</v>
      </c>
      <c r="O35" s="5700">
        <v>2650</v>
      </c>
      <c r="P35" s="7467">
        <v>1200</v>
      </c>
      <c r="Q35" s="7270">
        <v>1350</v>
      </c>
      <c r="R35" s="5700">
        <v>0</v>
      </c>
      <c r="S35" s="3235">
        <v>0</v>
      </c>
      <c r="T35" s="3235">
        <v>0</v>
      </c>
      <c r="U35" s="3235">
        <v>0</v>
      </c>
      <c r="V35" s="3235">
        <v>0</v>
      </c>
      <c r="W35" s="3235">
        <v>0</v>
      </c>
      <c r="X35" s="5848">
        <v>0</v>
      </c>
      <c r="Y35" s="5468"/>
      <c r="Z35" s="5848"/>
      <c r="AA35" s="4846">
        <f t="shared" si="7"/>
        <v>520</v>
      </c>
      <c r="AB35" s="4808"/>
      <c r="AC35" s="3684"/>
      <c r="AD35" s="3684"/>
      <c r="AE35" s="3684"/>
      <c r="AF35" s="3684"/>
      <c r="AG35" s="3684"/>
      <c r="AH35" s="3684"/>
      <c r="AI35" s="3684"/>
      <c r="AJ35" s="3684"/>
      <c r="AK35" s="3684"/>
      <c r="AL35" s="3684"/>
      <c r="AM35" s="3684"/>
      <c r="AN35" s="4458"/>
      <c r="AO35" s="4756"/>
      <c r="AP35" s="3698"/>
      <c r="AQ35" s="3334"/>
      <c r="AR35" s="1607"/>
      <c r="AS35" s="1608"/>
      <c r="AT35" s="1607"/>
    </row>
    <row r="36" spans="1:47" s="1453" customFormat="1" ht="16.5" customHeight="1">
      <c r="A36" s="7799"/>
      <c r="B36" s="7824"/>
      <c r="C36" s="871" t="s">
        <v>1935</v>
      </c>
      <c r="D36" s="791"/>
      <c r="E36" s="763"/>
      <c r="F36" s="763"/>
      <c r="G36" s="763"/>
      <c r="H36" s="7186"/>
      <c r="I36" s="5010"/>
      <c r="J36" s="1984">
        <f t="shared" ref="J36:Z36" si="11">J35/J5</f>
        <v>0.12986271402424401</v>
      </c>
      <c r="K36" s="1984">
        <f t="shared" si="11"/>
        <v>0.17114526703341257</v>
      </c>
      <c r="L36" s="1984">
        <f t="shared" si="11"/>
        <v>0.12338905282680576</v>
      </c>
      <c r="M36" s="6286">
        <f t="shared" si="11"/>
        <v>7.9164661013811227E-2</v>
      </c>
      <c r="N36" s="5989">
        <f t="shared" si="11"/>
        <v>7.9164661013811227E-2</v>
      </c>
      <c r="O36" s="1984">
        <v>0.23</v>
      </c>
      <c r="P36" s="7554">
        <v>0.10039203088058871</v>
      </c>
      <c r="Q36" s="7332">
        <v>0.10359831480074591</v>
      </c>
      <c r="R36" s="2086" t="e">
        <f t="shared" si="11"/>
        <v>#DIV/0!</v>
      </c>
      <c r="S36" s="1984" t="e">
        <f t="shared" si="11"/>
        <v>#DIV/0!</v>
      </c>
      <c r="T36" s="1984" t="e">
        <f t="shared" si="11"/>
        <v>#DIV/0!</v>
      </c>
      <c r="U36" s="1984" t="e">
        <f t="shared" si="11"/>
        <v>#DIV/0!</v>
      </c>
      <c r="V36" s="1984" t="e">
        <f t="shared" si="11"/>
        <v>#DIV/0!</v>
      </c>
      <c r="W36" s="1984" t="e">
        <f t="shared" si="11"/>
        <v>#DIV/0!</v>
      </c>
      <c r="X36" s="1984" t="e">
        <f t="shared" si="11"/>
        <v>#DIV/0!</v>
      </c>
      <c r="Y36" s="1984" t="e">
        <f t="shared" si="11"/>
        <v>#DIV/0!</v>
      </c>
      <c r="Z36" s="6293" t="e">
        <f t="shared" si="11"/>
        <v>#DIV/0!</v>
      </c>
      <c r="AA36" s="4846"/>
      <c r="AB36" s="4812"/>
      <c r="AC36" s="875"/>
      <c r="AD36" s="875"/>
      <c r="AE36" s="875"/>
      <c r="AF36" s="875"/>
      <c r="AG36" s="875"/>
      <c r="AH36" s="875"/>
      <c r="AI36" s="875"/>
      <c r="AJ36" s="875"/>
      <c r="AK36" s="875"/>
      <c r="AL36" s="875"/>
      <c r="AM36" s="875"/>
      <c r="AN36" s="6288">
        <f>(L36-M36)*3785*M5/1000</f>
        <v>27124.100679540374</v>
      </c>
      <c r="AO36" s="4756"/>
      <c r="AP36" s="1721"/>
      <c r="AQ36" s="6118"/>
      <c r="AR36" s="1607"/>
      <c r="AS36" s="1608"/>
      <c r="AT36" s="1607"/>
    </row>
    <row r="37" spans="1:47" ht="16.5" customHeight="1" thickBot="1">
      <c r="A37" s="7827"/>
      <c r="B37" s="6117" t="s">
        <v>1932</v>
      </c>
      <c r="C37" s="6270" t="s">
        <v>1936</v>
      </c>
      <c r="D37" s="6271"/>
      <c r="E37" s="6272"/>
      <c r="F37" s="6272"/>
      <c r="G37" s="6272"/>
      <c r="H37" s="7187"/>
      <c r="I37" s="7179"/>
      <c r="J37" s="6273">
        <v>126</v>
      </c>
      <c r="K37" s="6273">
        <v>114</v>
      </c>
      <c r="L37" s="6273">
        <v>127</v>
      </c>
      <c r="M37" s="6290">
        <v>110</v>
      </c>
      <c r="N37" s="6291">
        <v>110</v>
      </c>
      <c r="O37" s="6274">
        <v>96.219931271477662</v>
      </c>
      <c r="P37" s="7555">
        <v>123</v>
      </c>
      <c r="Q37" s="7333">
        <v>107</v>
      </c>
      <c r="R37" s="6274">
        <v>0</v>
      </c>
      <c r="S37" s="6275">
        <v>0</v>
      </c>
      <c r="T37" s="6275">
        <v>0</v>
      </c>
      <c r="U37" s="6275">
        <v>0</v>
      </c>
      <c r="V37" s="6275">
        <v>0</v>
      </c>
      <c r="W37" s="6275">
        <v>0</v>
      </c>
      <c r="X37" s="6276">
        <v>0</v>
      </c>
      <c r="Y37" s="6277"/>
      <c r="Z37" s="6276"/>
      <c r="AA37" s="6292">
        <f t="shared" si="7"/>
        <v>32.621993127147768</v>
      </c>
      <c r="AB37" s="6278"/>
      <c r="AC37" s="6279"/>
      <c r="AD37" s="6279"/>
      <c r="AE37" s="6279"/>
      <c r="AF37" s="6279"/>
      <c r="AG37" s="6279"/>
      <c r="AH37" s="6279"/>
      <c r="AI37" s="6279"/>
      <c r="AJ37" s="6279"/>
      <c r="AK37" s="6279"/>
      <c r="AL37" s="6279"/>
      <c r="AM37" s="6279"/>
      <c r="AN37" s="6280"/>
      <c r="AO37" s="6281"/>
      <c r="AP37" s="6282"/>
      <c r="AQ37" s="6283"/>
      <c r="AR37" s="1607"/>
      <c r="AS37" s="1607"/>
      <c r="AT37" s="1607"/>
    </row>
    <row r="38" spans="1:47">
      <c r="A38" s="7799" t="s">
        <v>746</v>
      </c>
      <c r="B38" s="2894" t="s">
        <v>761</v>
      </c>
      <c r="C38" s="871" t="s">
        <v>273</v>
      </c>
      <c r="D38" s="791"/>
      <c r="E38" s="763"/>
      <c r="F38" s="763"/>
      <c r="G38" s="1120"/>
      <c r="H38" s="7186">
        <v>2912.3666731466255</v>
      </c>
      <c r="I38" s="5010">
        <v>2115</v>
      </c>
      <c r="J38" s="1458">
        <v>1397.29</v>
      </c>
      <c r="K38" s="1458">
        <v>1533.0851703840688</v>
      </c>
      <c r="L38" s="1458">
        <v>1574.6688924557354</v>
      </c>
      <c r="M38" s="5888">
        <v>1500</v>
      </c>
      <c r="N38" s="5889">
        <v>1500</v>
      </c>
      <c r="O38" s="1577">
        <v>1433.4498228472617</v>
      </c>
      <c r="P38" s="7556">
        <v>1643.526303548691</v>
      </c>
      <c r="Q38" s="7286">
        <v>1003.9904536071398</v>
      </c>
      <c r="R38" s="1577">
        <v>0</v>
      </c>
      <c r="S38" s="1211">
        <v>0</v>
      </c>
      <c r="T38" s="1211">
        <v>0</v>
      </c>
      <c r="U38" s="1211">
        <v>0</v>
      </c>
      <c r="V38" s="1211">
        <v>0</v>
      </c>
      <c r="W38" s="1211">
        <v>0</v>
      </c>
      <c r="X38" s="1570">
        <v>0</v>
      </c>
      <c r="Y38" s="5501"/>
      <c r="Z38" s="1570"/>
      <c r="AA38" s="4849">
        <f t="shared" si="7"/>
        <v>408.09665800030928</v>
      </c>
      <c r="AB38" s="4812"/>
      <c r="AC38" s="875"/>
      <c r="AD38" s="875"/>
      <c r="AE38" s="875"/>
      <c r="AF38" s="875"/>
      <c r="AG38" s="875"/>
      <c r="AH38" s="875"/>
      <c r="AI38" s="875"/>
      <c r="AJ38" s="875"/>
      <c r="AK38" s="875"/>
      <c r="AL38" s="875"/>
      <c r="AM38" s="875"/>
      <c r="AN38" s="1051"/>
      <c r="AO38" s="4756"/>
      <c r="AP38" s="1721"/>
      <c r="AQ38" s="2899" t="s">
        <v>791</v>
      </c>
      <c r="AR38" s="1607"/>
      <c r="AS38" s="1608"/>
      <c r="AT38" s="1607"/>
    </row>
    <row r="39" spans="1:47" ht="17.25" thickBot="1">
      <c r="A39" s="7799"/>
      <c r="B39" s="2895" t="s">
        <v>759</v>
      </c>
      <c r="C39" s="1522" t="s">
        <v>273</v>
      </c>
      <c r="D39" s="2985"/>
      <c r="E39" s="1735"/>
      <c r="F39" s="1735"/>
      <c r="G39" s="2986"/>
      <c r="H39" s="7188">
        <v>7519.3209617538841</v>
      </c>
      <c r="I39" s="7180">
        <v>5677</v>
      </c>
      <c r="J39" s="1584">
        <v>4118</v>
      </c>
      <c r="K39" s="1584">
        <v>4571.6205676967529</v>
      </c>
      <c r="L39" s="1584">
        <v>4183.5830391436812</v>
      </c>
      <c r="M39" s="6287">
        <v>4000</v>
      </c>
      <c r="N39" s="6003">
        <v>4000</v>
      </c>
      <c r="O39" s="2044">
        <v>4656.855266817417</v>
      </c>
      <c r="P39" s="7557">
        <v>5483.0622748499563</v>
      </c>
      <c r="Q39" s="7285">
        <v>5551.301118094405</v>
      </c>
      <c r="R39" s="2044">
        <v>0</v>
      </c>
      <c r="S39" s="2113">
        <v>0</v>
      </c>
      <c r="T39" s="2113">
        <v>0</v>
      </c>
      <c r="U39" s="2113">
        <v>0</v>
      </c>
      <c r="V39" s="2113">
        <v>0</v>
      </c>
      <c r="W39" s="2113">
        <v>0</v>
      </c>
      <c r="X39" s="2639">
        <v>0</v>
      </c>
      <c r="Y39" s="5487"/>
      <c r="Z39" s="2639"/>
      <c r="AA39" s="2658">
        <f t="shared" si="7"/>
        <v>1569.1218659761778</v>
      </c>
      <c r="AB39" s="2987">
        <f t="shared" ref="AB39:AM39" si="12">($L$39-O39)*O5/1000</f>
        <v>-5870.7290117902412</v>
      </c>
      <c r="AC39" s="2987">
        <f t="shared" si="12"/>
        <v>-15532.857231490105</v>
      </c>
      <c r="AD39" s="2987">
        <f t="shared" si="12"/>
        <v>-17822.871058614775</v>
      </c>
      <c r="AE39" s="2987">
        <f t="shared" si="12"/>
        <v>0</v>
      </c>
      <c r="AF39" s="2987">
        <f t="shared" si="12"/>
        <v>0</v>
      </c>
      <c r="AG39" s="2987">
        <f t="shared" si="12"/>
        <v>0</v>
      </c>
      <c r="AH39" s="2987">
        <f t="shared" si="12"/>
        <v>0</v>
      </c>
      <c r="AI39" s="2987">
        <f t="shared" si="12"/>
        <v>0</v>
      </c>
      <c r="AJ39" s="2987">
        <f t="shared" si="12"/>
        <v>0</v>
      </c>
      <c r="AK39" s="2987">
        <f t="shared" si="12"/>
        <v>0</v>
      </c>
      <c r="AL39" s="2987">
        <f t="shared" si="12"/>
        <v>0</v>
      </c>
      <c r="AM39" s="2987">
        <f t="shared" si="12"/>
        <v>0</v>
      </c>
      <c r="AN39" s="2988">
        <f>(L39-M39)*M5/1000</f>
        <v>29748.162828920384</v>
      </c>
      <c r="AO39" s="2989">
        <f>SUM(AB39:AM39)</f>
        <v>-39226.45730189512</v>
      </c>
      <c r="AP39" s="2990">
        <f>AO39/AN39</f>
        <v>-1.3186178093579677</v>
      </c>
      <c r="AQ39" s="2991" t="s">
        <v>778</v>
      </c>
      <c r="AR39" s="1607"/>
      <c r="AS39" s="1607"/>
      <c r="AT39" s="1607"/>
    </row>
    <row r="40" spans="1:47">
      <c r="A40" s="7798" t="s">
        <v>296</v>
      </c>
      <c r="B40" s="7823" t="s">
        <v>359</v>
      </c>
      <c r="C40" s="913" t="s">
        <v>270</v>
      </c>
      <c r="D40" s="1058">
        <v>25.992770160000781</v>
      </c>
      <c r="E40" s="1059">
        <v>27.501883360030146</v>
      </c>
      <c r="F40" s="1059">
        <v>30.594565248919942</v>
      </c>
      <c r="G40" s="1059">
        <v>34.94</v>
      </c>
      <c r="H40" s="1059">
        <v>36.084247210762676</v>
      </c>
      <c r="I40" s="1441">
        <v>27.81</v>
      </c>
      <c r="J40" s="1441">
        <v>24.83</v>
      </c>
      <c r="K40" s="1441">
        <v>23.751775128874105</v>
      </c>
      <c r="L40" s="1441">
        <v>25.514762264233507</v>
      </c>
      <c r="M40" s="5978">
        <v>24</v>
      </c>
      <c r="N40" s="5979">
        <v>24</v>
      </c>
      <c r="O40" s="1578">
        <v>26.291804217001022</v>
      </c>
      <c r="P40" s="7558">
        <v>27.79980825122102</v>
      </c>
      <c r="Q40" s="7334">
        <v>30.39789426832731</v>
      </c>
      <c r="R40" s="1578">
        <v>0</v>
      </c>
      <c r="S40" s="1212">
        <v>0</v>
      </c>
      <c r="T40" s="1212">
        <v>0</v>
      </c>
      <c r="U40" s="1212">
        <v>0</v>
      </c>
      <c r="V40" s="1212">
        <v>0</v>
      </c>
      <c r="W40" s="1212">
        <v>0</v>
      </c>
      <c r="X40" s="2656">
        <v>0</v>
      </c>
      <c r="Y40" s="5503"/>
      <c r="Z40" s="2656"/>
      <c r="AA40" s="4851">
        <f t="shared" si="7"/>
        <v>8.4489506736549345</v>
      </c>
      <c r="AB40" s="8087">
        <f>($L$40-O40)*504.3*O5/1000</f>
        <v>-4860.8749573485102</v>
      </c>
      <c r="AC40" s="8087">
        <f>($L$40-P40)*504.3*P5/1000</f>
        <v>-13774.185235182225</v>
      </c>
      <c r="AD40" s="8087">
        <f t="shared" ref="AD40:AM40" si="13">($L$40-Q40)*604.35*Q5/1000</f>
        <v>-38456.350604472726</v>
      </c>
      <c r="AE40" s="8087">
        <f t="shared" si="13"/>
        <v>0</v>
      </c>
      <c r="AF40" s="8087">
        <f t="shared" si="13"/>
        <v>0</v>
      </c>
      <c r="AG40" s="8087">
        <f t="shared" si="13"/>
        <v>0</v>
      </c>
      <c r="AH40" s="8087">
        <f t="shared" si="13"/>
        <v>0</v>
      </c>
      <c r="AI40" s="8087">
        <f t="shared" si="13"/>
        <v>0</v>
      </c>
      <c r="AJ40" s="8087">
        <f t="shared" si="13"/>
        <v>0</v>
      </c>
      <c r="AK40" s="8087">
        <f t="shared" si="13"/>
        <v>0</v>
      </c>
      <c r="AL40" s="8087">
        <f t="shared" si="13"/>
        <v>0</v>
      </c>
      <c r="AM40" s="8087">
        <f t="shared" si="13"/>
        <v>0</v>
      </c>
      <c r="AN40" s="8093">
        <f>(L40-M40)*504.3*M5/1000</f>
        <v>123783.01036979299</v>
      </c>
      <c r="AO40" s="8098">
        <f>SUM(AB40:AM41)</f>
        <v>-57091.41079700346</v>
      </c>
      <c r="AP40" s="8095">
        <f>AO40/AN40</f>
        <v>-0.46122170261045442</v>
      </c>
      <c r="AQ40" s="1060" t="s">
        <v>2236</v>
      </c>
      <c r="AR40" s="1607"/>
      <c r="AS40" s="1607"/>
      <c r="AT40" s="1607"/>
    </row>
    <row r="41" spans="1:47">
      <c r="A41" s="7799"/>
      <c r="B41" s="7824"/>
      <c r="C41" s="868" t="s">
        <v>273</v>
      </c>
      <c r="D41" s="794">
        <v>21528.90769784338</v>
      </c>
      <c r="E41" s="354">
        <v>24001.896460471191</v>
      </c>
      <c r="F41" s="354">
        <v>28328.75021096041</v>
      </c>
      <c r="G41" s="354">
        <v>25512</v>
      </c>
      <c r="H41" s="354">
        <v>20189.319102139714</v>
      </c>
      <c r="I41" s="2550">
        <v>16368</v>
      </c>
      <c r="J41" s="2550">
        <v>14200</v>
      </c>
      <c r="K41" s="2550">
        <v>14375.865880614154</v>
      </c>
      <c r="L41" s="2550">
        <v>14126.128323964527</v>
      </c>
      <c r="M41" s="5977">
        <v>13725.385145467953</v>
      </c>
      <c r="N41" s="5889">
        <v>13725.385145467953</v>
      </c>
      <c r="O41" s="1579">
        <v>13921.333596763849</v>
      </c>
      <c r="P41" s="7559">
        <v>15658.517259899911</v>
      </c>
      <c r="Q41" s="7335">
        <v>18487.254030741839</v>
      </c>
      <c r="R41" s="1579">
        <v>0</v>
      </c>
      <c r="S41" s="1213">
        <v>0</v>
      </c>
      <c r="T41" s="1213">
        <v>0</v>
      </c>
      <c r="U41" s="1213">
        <v>0</v>
      </c>
      <c r="V41" s="1213">
        <v>0</v>
      </c>
      <c r="W41" s="1213">
        <v>0</v>
      </c>
      <c r="X41" s="1572">
        <v>0</v>
      </c>
      <c r="Y41" s="5504"/>
      <c r="Z41" s="1572"/>
      <c r="AA41" s="1572">
        <f t="shared" si="7"/>
        <v>4806.7104887405603</v>
      </c>
      <c r="AB41" s="8088"/>
      <c r="AC41" s="8088"/>
      <c r="AD41" s="8088"/>
      <c r="AE41" s="8088"/>
      <c r="AF41" s="8088"/>
      <c r="AG41" s="8088"/>
      <c r="AH41" s="8088"/>
      <c r="AI41" s="8088"/>
      <c r="AJ41" s="8088"/>
      <c r="AK41" s="8088"/>
      <c r="AL41" s="8088"/>
      <c r="AM41" s="8088"/>
      <c r="AN41" s="8094"/>
      <c r="AO41" s="8102"/>
      <c r="AP41" s="8096"/>
      <c r="AQ41" s="355" t="s">
        <v>358</v>
      </c>
      <c r="AR41" s="1607"/>
      <c r="AS41" s="1607"/>
      <c r="AT41" s="1607"/>
    </row>
    <row r="42" spans="1:47">
      <c r="A42" s="7799"/>
      <c r="B42" s="7825" t="s">
        <v>297</v>
      </c>
      <c r="C42" s="866" t="s">
        <v>272</v>
      </c>
      <c r="D42" s="2992">
        <v>69.810011659497277</v>
      </c>
      <c r="E42" s="2993">
        <v>67.782646736571039</v>
      </c>
      <c r="F42" s="2993">
        <v>77.702166010315011</v>
      </c>
      <c r="G42" s="2993">
        <v>84.58</v>
      </c>
      <c r="H42" s="2993">
        <v>79.070682134390594</v>
      </c>
      <c r="I42" s="2994">
        <v>72.349999999999994</v>
      </c>
      <c r="J42" s="2994">
        <v>65.83</v>
      </c>
      <c r="K42" s="2994">
        <v>67.750527960591967</v>
      </c>
      <c r="L42" s="5761">
        <v>59.494253790444112</v>
      </c>
      <c r="M42" s="5960">
        <v>58</v>
      </c>
      <c r="N42" s="5957">
        <v>58</v>
      </c>
      <c r="O42" s="1580">
        <v>62.393154124896355</v>
      </c>
      <c r="P42" s="7560">
        <v>51.158942336490668</v>
      </c>
      <c r="Q42" s="7336">
        <v>72.947717383797226</v>
      </c>
      <c r="R42" s="1580">
        <v>0</v>
      </c>
      <c r="S42" s="1419">
        <v>0</v>
      </c>
      <c r="T42" s="1419">
        <v>0</v>
      </c>
      <c r="U42" s="1419">
        <v>0</v>
      </c>
      <c r="V42" s="1419">
        <v>0</v>
      </c>
      <c r="W42" s="1419">
        <v>0</v>
      </c>
      <c r="X42" s="2657">
        <v>0</v>
      </c>
      <c r="Y42" s="5505"/>
      <c r="Z42" s="2657"/>
      <c r="AA42" s="4850">
        <f t="shared" si="7"/>
        <v>18.649981384518423</v>
      </c>
      <c r="AB42" s="8081">
        <f>($L$42-O42)*110*O5/1000</f>
        <v>-3955.5509558102535</v>
      </c>
      <c r="AC42" s="8081">
        <f>($L$42-P42)*110*P5/1000</f>
        <v>10959.645922797996</v>
      </c>
      <c r="AD42" s="8081">
        <f t="shared" ref="AD42:AM42" si="14">($L$42-Q42)*101.42*Q5/1000</f>
        <v>-17780.288012926889</v>
      </c>
      <c r="AE42" s="8081">
        <f t="shared" si="14"/>
        <v>0</v>
      </c>
      <c r="AF42" s="8081">
        <f t="shared" si="14"/>
        <v>0</v>
      </c>
      <c r="AG42" s="8081">
        <f t="shared" si="14"/>
        <v>0</v>
      </c>
      <c r="AH42" s="8081">
        <f t="shared" si="14"/>
        <v>0</v>
      </c>
      <c r="AI42" s="8081">
        <f t="shared" si="14"/>
        <v>0</v>
      </c>
      <c r="AJ42" s="8081">
        <f t="shared" si="14"/>
        <v>0</v>
      </c>
      <c r="AK42" s="8081">
        <f t="shared" si="14"/>
        <v>0</v>
      </c>
      <c r="AL42" s="8081">
        <f t="shared" si="14"/>
        <v>0</v>
      </c>
      <c r="AM42" s="8081">
        <f t="shared" si="14"/>
        <v>0</v>
      </c>
      <c r="AN42" s="8079">
        <f>(L42-M42)*M5*110/1000</f>
        <v>26634.505998225937</v>
      </c>
      <c r="AO42" s="8083">
        <f>SUM(AB42:AM43)</f>
        <v>-10776.193045939146</v>
      </c>
      <c r="AP42" s="8077">
        <f>AO42/AN42</f>
        <v>-0.40459519116505949</v>
      </c>
      <c r="AQ42" s="3331" t="s">
        <v>2233</v>
      </c>
      <c r="AR42" s="1607"/>
      <c r="AS42" s="1608"/>
      <c r="AT42" s="1607"/>
    </row>
    <row r="43" spans="1:47" ht="17.25" thickBot="1">
      <c r="A43" s="7827"/>
      <c r="B43" s="7826"/>
      <c r="C43" s="921" t="s">
        <v>273</v>
      </c>
      <c r="D43" s="1061">
        <v>6502.9342017768859</v>
      </c>
      <c r="E43" s="1062">
        <v>6730.4308803025597</v>
      </c>
      <c r="F43" s="1062">
        <v>8256.6841510507002</v>
      </c>
      <c r="G43" s="1062">
        <v>8941</v>
      </c>
      <c r="H43" s="1062">
        <v>8137.251136154071</v>
      </c>
      <c r="I43" s="1440">
        <v>7587</v>
      </c>
      <c r="J43" s="1440">
        <v>6738</v>
      </c>
      <c r="K43" s="1440">
        <v>6737.730074162424</v>
      </c>
      <c r="L43" s="5769">
        <v>6587.8781324393631</v>
      </c>
      <c r="M43" s="6002">
        <v>6024.7542992401704</v>
      </c>
      <c r="N43" s="6003">
        <v>6024.7542992401704</v>
      </c>
      <c r="O43" s="1581">
        <v>8813.4671375387243</v>
      </c>
      <c r="P43" s="7561">
        <v>7729.6439103301263</v>
      </c>
      <c r="Q43" s="7337">
        <v>9175.8168619434327</v>
      </c>
      <c r="R43" s="1581">
        <v>0</v>
      </c>
      <c r="S43" s="1214">
        <v>0</v>
      </c>
      <c r="T43" s="1214">
        <v>0</v>
      </c>
      <c r="U43" s="1214">
        <v>0</v>
      </c>
      <c r="V43" s="1214">
        <v>0</v>
      </c>
      <c r="W43" s="1214">
        <v>0</v>
      </c>
      <c r="X43" s="1573">
        <v>0</v>
      </c>
      <c r="Y43" s="5506"/>
      <c r="Z43" s="1573"/>
      <c r="AA43" s="1573">
        <f t="shared" si="7"/>
        <v>2571.8927909812282</v>
      </c>
      <c r="AB43" s="8082"/>
      <c r="AC43" s="8082"/>
      <c r="AD43" s="8082"/>
      <c r="AE43" s="8082"/>
      <c r="AF43" s="8082"/>
      <c r="AG43" s="8082"/>
      <c r="AH43" s="8082"/>
      <c r="AI43" s="8082"/>
      <c r="AJ43" s="8082"/>
      <c r="AK43" s="8082"/>
      <c r="AL43" s="8082"/>
      <c r="AM43" s="8082"/>
      <c r="AN43" s="8080"/>
      <c r="AO43" s="8084"/>
      <c r="AP43" s="8078"/>
      <c r="AQ43" s="1063" t="s">
        <v>358</v>
      </c>
      <c r="AR43" s="1607"/>
      <c r="AS43" s="1607"/>
      <c r="AT43" s="1607"/>
    </row>
    <row r="44" spans="1:47">
      <c r="A44" s="7799" t="s">
        <v>741</v>
      </c>
      <c r="B44" s="2896" t="s">
        <v>743</v>
      </c>
      <c r="C44" s="867" t="s">
        <v>745</v>
      </c>
      <c r="D44" s="792"/>
      <c r="E44" s="747"/>
      <c r="F44" s="747"/>
      <c r="G44" s="747">
        <v>3</v>
      </c>
      <c r="H44" s="747">
        <v>14</v>
      </c>
      <c r="I44" s="1459">
        <v>21</v>
      </c>
      <c r="J44" s="1459">
        <v>16</v>
      </c>
      <c r="K44" s="1459">
        <v>16</v>
      </c>
      <c r="L44" s="1459">
        <v>9</v>
      </c>
      <c r="M44" s="5977">
        <v>23</v>
      </c>
      <c r="N44" s="5980">
        <f>M44/12</f>
        <v>1.9166666666666667</v>
      </c>
      <c r="O44" s="1427">
        <v>0</v>
      </c>
      <c r="P44" s="7562">
        <v>1</v>
      </c>
      <c r="Q44" s="7287">
        <v>0</v>
      </c>
      <c r="R44" s="1427">
        <v>0</v>
      </c>
      <c r="S44" s="1210">
        <v>0</v>
      </c>
      <c r="T44" s="1210">
        <v>0</v>
      </c>
      <c r="U44" s="1210">
        <v>0</v>
      </c>
      <c r="V44" s="1215">
        <v>0</v>
      </c>
      <c r="W44" s="1215">
        <v>0</v>
      </c>
      <c r="X44" s="1574">
        <v>0</v>
      </c>
      <c r="Y44" s="5507"/>
      <c r="Z44" s="1574"/>
      <c r="AA44" s="1574">
        <f>SUM(O44:Z44)</f>
        <v>1</v>
      </c>
      <c r="AB44" s="4814"/>
      <c r="AC44" s="784"/>
      <c r="AD44" s="784"/>
      <c r="AE44" s="784"/>
      <c r="AF44" s="784"/>
      <c r="AG44" s="784"/>
      <c r="AH44" s="784"/>
      <c r="AI44" s="784"/>
      <c r="AJ44" s="784"/>
      <c r="AK44" s="784"/>
      <c r="AL44" s="784"/>
      <c r="AM44" s="784"/>
      <c r="AN44" s="784"/>
      <c r="AO44" s="2119"/>
      <c r="AP44" s="787"/>
      <c r="AQ44" s="1202"/>
      <c r="AR44" s="1607"/>
      <c r="AS44" s="1607"/>
      <c r="AT44" s="1607"/>
    </row>
    <row r="45" spans="1:47" ht="17.25" thickBot="1">
      <c r="A45" s="7827"/>
      <c r="B45" s="2249" t="s">
        <v>742</v>
      </c>
      <c r="C45" s="2955" t="s">
        <v>744</v>
      </c>
      <c r="D45" s="1740"/>
      <c r="E45" s="1741"/>
      <c r="F45" s="1741"/>
      <c r="G45" s="1741">
        <v>329993.13338290306</v>
      </c>
      <c r="H45" s="1741">
        <v>558492.33285125135</v>
      </c>
      <c r="I45" s="2830">
        <v>3702640</v>
      </c>
      <c r="J45" s="1447">
        <v>1662468.3140091116</v>
      </c>
      <c r="K45" s="1447">
        <v>257254.93852279164</v>
      </c>
      <c r="L45" s="1447">
        <v>104819.89855306683</v>
      </c>
      <c r="M45" s="6002"/>
      <c r="N45" s="6003"/>
      <c r="O45" s="2046"/>
      <c r="P45" s="7563"/>
      <c r="Q45" s="7313"/>
      <c r="R45" s="2046"/>
      <c r="S45" s="2114"/>
      <c r="T45" s="2114"/>
      <c r="U45" s="2114"/>
      <c r="V45" s="2114"/>
      <c r="W45" s="2114"/>
      <c r="X45" s="2658"/>
      <c r="Y45" s="5508"/>
      <c r="Z45" s="2658"/>
      <c r="AA45" s="2658"/>
      <c r="AB45" s="4811"/>
      <c r="AC45" s="2831"/>
      <c r="AD45" s="2831"/>
      <c r="AE45" s="2831"/>
      <c r="AF45" s="2831"/>
      <c r="AG45" s="2831"/>
      <c r="AH45" s="2831"/>
      <c r="AI45" s="2831"/>
      <c r="AJ45" s="2831"/>
      <c r="AK45" s="2831"/>
      <c r="AL45" s="2831"/>
      <c r="AM45" s="2831"/>
      <c r="AN45" s="2831"/>
      <c r="AO45" s="2983"/>
      <c r="AP45" s="2984"/>
      <c r="AQ45" s="2995"/>
      <c r="AR45" s="1607"/>
      <c r="AS45" s="1607"/>
      <c r="AT45" s="1607"/>
    </row>
    <row r="46" spans="1:47" ht="17.25" thickBot="1">
      <c r="A46" s="8011" t="s">
        <v>360</v>
      </c>
      <c r="B46" s="8012"/>
      <c r="C46" s="897" t="s">
        <v>833</v>
      </c>
      <c r="D46" s="1121">
        <f>D32+D33+D39+D41+D43+D45</f>
        <v>133314.90871753861</v>
      </c>
      <c r="E46" s="1122">
        <f>E32+E33+E39+E41+E43+E45</f>
        <v>144797.98994793088</v>
      </c>
      <c r="F46" s="1462">
        <f>F32+F33+F39+F41+F43+F45</f>
        <v>171043.43436201109</v>
      </c>
      <c r="G46" s="1121">
        <f>G32+G33+G39+G41+G43+G45</f>
        <v>482396.85788616375</v>
      </c>
      <c r="H46" s="1122">
        <f>H32+H33+H39+H41+H43+H45</f>
        <v>700382.22405129904</v>
      </c>
      <c r="I46" s="1462"/>
      <c r="J46" s="1462"/>
      <c r="K46" s="1462"/>
      <c r="L46" s="1462"/>
      <c r="M46" s="5981"/>
      <c r="N46" s="5982"/>
      <c r="O46" s="2522">
        <f>AB46</f>
        <v>-70514.893545581901</v>
      </c>
      <c r="P46" s="7564">
        <f>AC46</f>
        <v>-106116.01255072007</v>
      </c>
      <c r="Q46" s="7536">
        <f>AD46</f>
        <v>-198256.75448239336</v>
      </c>
      <c r="R46" s="7320" t="e">
        <f t="shared" ref="R46:Z46" si="15">AE46</f>
        <v>#DIV/0!</v>
      </c>
      <c r="S46" s="904" t="e">
        <f t="shared" si="15"/>
        <v>#DIV/0!</v>
      </c>
      <c r="T46" s="904" t="e">
        <f t="shared" si="15"/>
        <v>#DIV/0!</v>
      </c>
      <c r="U46" s="904" t="e">
        <f t="shared" si="15"/>
        <v>#DIV/0!</v>
      </c>
      <c r="V46" s="904" t="e">
        <f t="shared" si="15"/>
        <v>#DIV/0!</v>
      </c>
      <c r="W46" s="904" t="e">
        <f t="shared" si="15"/>
        <v>#DIV/0!</v>
      </c>
      <c r="X46" s="356" t="e">
        <f t="shared" si="15"/>
        <v>#DIV/0!</v>
      </c>
      <c r="Y46" s="1418" t="e">
        <f t="shared" si="15"/>
        <v>#DIV/0!</v>
      </c>
      <c r="Z46" s="356" t="e">
        <f t="shared" si="15"/>
        <v>#DIV/0!</v>
      </c>
      <c r="AA46" s="356">
        <f>AO46</f>
        <v>-374887.66057869536</v>
      </c>
      <c r="AB46" s="7137">
        <f>SUM(AB7:AB10)+AB31+SUM(AB39:AB43)</f>
        <v>-70514.893545581901</v>
      </c>
      <c r="AC46" s="7137">
        <f>SUM(AC7:AC10)+AC31+SUM(AC39:AC43)</f>
        <v>-106116.01255072007</v>
      </c>
      <c r="AD46" s="7137">
        <f t="shared" ref="AD46:AL46" si="16">SUM(AD7:AD10)+AD31+SUM(AD39:AD43)</f>
        <v>-198256.75448239336</v>
      </c>
      <c r="AE46" s="7137" t="e">
        <f t="shared" si="16"/>
        <v>#DIV/0!</v>
      </c>
      <c r="AF46" s="7137" t="e">
        <f t="shared" si="16"/>
        <v>#DIV/0!</v>
      </c>
      <c r="AG46" s="7137" t="e">
        <f t="shared" si="16"/>
        <v>#DIV/0!</v>
      </c>
      <c r="AH46" s="7137" t="e">
        <f t="shared" si="16"/>
        <v>#DIV/0!</v>
      </c>
      <c r="AI46" s="7137" t="e">
        <f t="shared" si="16"/>
        <v>#DIV/0!</v>
      </c>
      <c r="AJ46" s="7137" t="e">
        <f t="shared" si="16"/>
        <v>#DIV/0!</v>
      </c>
      <c r="AK46" s="7137" t="e">
        <f t="shared" si="16"/>
        <v>#DIV/0!</v>
      </c>
      <c r="AL46" s="7137" t="e">
        <f t="shared" si="16"/>
        <v>#DIV/0!</v>
      </c>
      <c r="AM46" s="7137" t="e">
        <f>SUM(AM7:AM10)+AM31+SUM(AM39:AM43)</f>
        <v>#DIV/0!</v>
      </c>
      <c r="AN46" s="6126">
        <f>SUM(AN7:AN10)+AN31+SUM(AN39:AN43)</f>
        <v>1117582.8945204872</v>
      </c>
      <c r="AO46" s="1418">
        <f>SUM(AO7:AO10)+AO31+SUM(AO39:AO43)</f>
        <v>-374887.66057869536</v>
      </c>
      <c r="AP46" s="357">
        <f>AO46/AN46</f>
        <v>-0.33544505952692266</v>
      </c>
      <c r="AQ46" s="358"/>
      <c r="AR46" s="1607"/>
      <c r="AS46" s="1607"/>
      <c r="AT46" s="1607"/>
    </row>
    <row r="47" spans="1:47">
      <c r="D47" s="340"/>
      <c r="E47" s="340"/>
      <c r="F47" s="340"/>
      <c r="G47" s="340"/>
      <c r="H47" s="340"/>
      <c r="I47" s="340"/>
      <c r="J47" s="1453"/>
      <c r="K47" s="1453"/>
      <c r="L47" s="1453"/>
      <c r="M47" s="340"/>
      <c r="N47" s="340"/>
      <c r="O47" s="359"/>
      <c r="P47" s="8085" t="s">
        <v>902</v>
      </c>
      <c r="Q47" s="8085"/>
      <c r="R47" s="8085"/>
      <c r="S47" s="8085"/>
      <c r="T47" s="8085"/>
      <c r="U47" s="8085"/>
      <c r="V47" s="8085"/>
      <c r="W47" s="8085"/>
      <c r="X47" s="8085"/>
      <c r="Y47" s="8085"/>
      <c r="Z47" s="8085"/>
      <c r="AA47" s="8085"/>
      <c r="AB47" s="8085"/>
      <c r="AC47" s="8085"/>
      <c r="AD47" s="8085"/>
      <c r="AE47" s="340"/>
      <c r="AF47" s="340"/>
      <c r="AG47" s="692" t="e">
        <f>SUM(AB46:AG46)</f>
        <v>#DIV/0!</v>
      </c>
      <c r="AH47" s="340"/>
      <c r="AI47" s="340"/>
      <c r="AJ47" s="340"/>
      <c r="AK47" s="340"/>
      <c r="AL47" s="340"/>
      <c r="AM47" s="340"/>
      <c r="AN47" s="340"/>
      <c r="AO47" s="340"/>
    </row>
    <row r="48" spans="1:47">
      <c r="D48" s="340"/>
      <c r="E48" s="340"/>
      <c r="F48" s="340"/>
      <c r="G48" s="340"/>
      <c r="H48" s="340"/>
      <c r="I48" s="340"/>
      <c r="J48" s="1453"/>
      <c r="K48" s="1453"/>
      <c r="L48" s="1453"/>
      <c r="M48" s="340"/>
      <c r="N48" s="340"/>
      <c r="O48" s="340"/>
      <c r="P48" s="340"/>
      <c r="Q48" s="340"/>
      <c r="R48" s="340"/>
      <c r="S48" s="340"/>
      <c r="T48" s="340"/>
      <c r="U48" s="340"/>
      <c r="V48" s="340"/>
      <c r="W48" s="340"/>
      <c r="X48" s="340"/>
      <c r="Y48" s="340"/>
      <c r="Z48" s="340"/>
      <c r="AA48" s="1453"/>
      <c r="AB48" s="340"/>
      <c r="AC48" s="340"/>
      <c r="AD48" s="340"/>
      <c r="AE48" s="340"/>
      <c r="AF48" s="340"/>
      <c r="AG48" s="340" t="e">
        <f>AG47/AN46</f>
        <v>#DIV/0!</v>
      </c>
      <c r="AH48" s="340"/>
      <c r="AI48" s="340"/>
      <c r="AJ48" s="340"/>
      <c r="AK48" s="340"/>
      <c r="AL48" s="340"/>
      <c r="AM48" s="340"/>
      <c r="AN48" s="340"/>
      <c r="AO48" s="692"/>
      <c r="AQ48" s="1607"/>
      <c r="AR48" s="1607"/>
      <c r="AS48" s="1607"/>
      <c r="AT48" s="1607"/>
      <c r="AU48" s="1607"/>
    </row>
    <row r="49" spans="4:47">
      <c r="I49" s="360"/>
      <c r="J49" s="360"/>
      <c r="K49" s="360"/>
      <c r="L49" s="360"/>
      <c r="M49" s="481"/>
      <c r="N49" s="2219"/>
      <c r="O49" s="1612"/>
      <c r="P49" s="2764"/>
      <c r="Q49" s="1613"/>
      <c r="R49" s="2764"/>
      <c r="S49" s="1613"/>
      <c r="T49" s="2764"/>
      <c r="U49" s="2764"/>
      <c r="V49" s="757"/>
      <c r="W49" s="757"/>
      <c r="X49" s="757"/>
      <c r="Y49" s="757"/>
      <c r="Z49" s="757"/>
      <c r="AA49" s="757"/>
      <c r="AB49" s="1613"/>
      <c r="AC49" s="1613"/>
      <c r="AD49" s="1613"/>
      <c r="AE49" s="757"/>
      <c r="AF49" s="757"/>
      <c r="AG49" s="757"/>
      <c r="AH49" s="757"/>
      <c r="AI49" s="757"/>
      <c r="AJ49" s="757"/>
      <c r="AK49" s="757"/>
      <c r="AL49" s="757"/>
      <c r="AM49" s="757"/>
      <c r="AN49" s="1613"/>
      <c r="AO49" s="1613"/>
      <c r="AP49" s="1613"/>
      <c r="AQ49" s="1613"/>
      <c r="AR49" s="1613"/>
      <c r="AS49" s="1607"/>
      <c r="AT49" s="1607"/>
      <c r="AU49" s="1607"/>
    </row>
    <row r="50" spans="4:47">
      <c r="D50" s="622"/>
      <c r="E50" s="622"/>
      <c r="F50" s="622"/>
      <c r="H50" s="360"/>
      <c r="I50" s="622"/>
      <c r="J50" s="1456"/>
      <c r="K50" s="1456"/>
      <c r="L50" s="1456"/>
      <c r="M50" s="622"/>
      <c r="N50" s="1456"/>
      <c r="O50" s="1614"/>
      <c r="P50" s="1613"/>
      <c r="Q50" s="1613"/>
      <c r="R50" s="1615"/>
      <c r="S50" s="1613"/>
      <c r="T50" s="1613"/>
      <c r="U50" s="1613" t="s">
        <v>1309</v>
      </c>
      <c r="V50" s="1613"/>
      <c r="W50" s="1613"/>
      <c r="X50" s="757"/>
      <c r="Y50" s="1613"/>
      <c r="Z50" s="1613"/>
      <c r="AA50" s="1613"/>
      <c r="AB50" s="1613"/>
      <c r="AC50" s="1613"/>
      <c r="AD50" s="1613"/>
      <c r="AE50" s="1613"/>
      <c r="AF50" s="1613"/>
      <c r="AG50" s="1613"/>
      <c r="AH50" s="1613"/>
      <c r="AI50" s="1613"/>
      <c r="AJ50" s="1613"/>
      <c r="AK50" s="1613"/>
      <c r="AL50" s="1613"/>
      <c r="AM50" s="1614"/>
      <c r="AN50" s="757"/>
      <c r="AO50" s="1616"/>
      <c r="AP50" s="1616"/>
      <c r="AQ50" s="1613"/>
      <c r="AR50" s="1613"/>
      <c r="AS50" s="1607"/>
      <c r="AT50" s="1607"/>
      <c r="AU50" s="1607"/>
    </row>
    <row r="51" spans="4:47">
      <c r="D51" s="622"/>
      <c r="E51" s="622"/>
      <c r="F51" s="622"/>
      <c r="G51" s="622"/>
      <c r="H51" s="622"/>
      <c r="I51" s="479"/>
      <c r="J51" s="1454"/>
      <c r="K51" s="1454"/>
      <c r="L51" s="1454"/>
      <c r="M51" s="622"/>
      <c r="N51" s="1456"/>
      <c r="O51" s="1614"/>
      <c r="P51" s="1613" t="s">
        <v>1371</v>
      </c>
      <c r="Q51" s="1613">
        <v>151508.71799999999</v>
      </c>
      <c r="R51" s="2764"/>
      <c r="S51" s="1613"/>
      <c r="T51" s="2764"/>
      <c r="U51" s="2764"/>
      <c r="V51" s="757"/>
      <c r="W51" s="757"/>
      <c r="X51" s="757"/>
      <c r="Y51" s="757"/>
      <c r="Z51" s="757"/>
      <c r="AA51" s="757"/>
      <c r="AB51" s="757"/>
      <c r="AC51" s="757"/>
      <c r="AD51" s="757"/>
      <c r="AE51" s="757"/>
      <c r="AF51" s="757"/>
      <c r="AG51" s="757"/>
      <c r="AH51" s="757"/>
      <c r="AI51" s="757"/>
      <c r="AJ51" s="757"/>
      <c r="AK51" s="757"/>
      <c r="AL51" s="757"/>
      <c r="AM51" s="757"/>
      <c r="AN51" s="757"/>
      <c r="AO51" s="1617"/>
      <c r="AP51" s="1617"/>
      <c r="AQ51" s="1613"/>
      <c r="AR51" s="1613"/>
      <c r="AS51" s="1607"/>
      <c r="AT51" s="1607"/>
      <c r="AU51" s="1607"/>
    </row>
    <row r="52" spans="4:47">
      <c r="D52" s="622"/>
      <c r="E52" s="622"/>
      <c r="F52" s="622"/>
      <c r="G52" s="622"/>
      <c r="H52" s="479"/>
      <c r="I52" s="622"/>
      <c r="J52" s="1456"/>
      <c r="K52" s="1456"/>
      <c r="L52" s="1456"/>
      <c r="M52" s="622"/>
      <c r="N52" s="1456"/>
      <c r="O52" s="1614"/>
      <c r="P52" s="1613" t="s">
        <v>1311</v>
      </c>
      <c r="Q52" s="1613">
        <v>165980</v>
      </c>
      <c r="R52" s="2764"/>
      <c r="S52" s="1613" t="s">
        <v>1312</v>
      </c>
      <c r="T52" s="2764"/>
      <c r="U52" s="2764"/>
      <c r="V52" s="757"/>
      <c r="W52" s="757"/>
      <c r="X52" s="757"/>
      <c r="Y52" s="757"/>
      <c r="Z52" s="757"/>
      <c r="AA52" s="757"/>
      <c r="AB52" s="757"/>
      <c r="AC52" s="757"/>
      <c r="AD52" s="757"/>
      <c r="AE52" s="757"/>
      <c r="AF52" s="757"/>
      <c r="AG52" s="757"/>
      <c r="AH52" s="757"/>
      <c r="AI52" s="757"/>
      <c r="AJ52" s="757"/>
      <c r="AK52" s="757"/>
      <c r="AL52" s="757"/>
      <c r="AM52" s="757"/>
      <c r="AN52" s="757"/>
      <c r="AO52" s="1616"/>
      <c r="AP52" s="1616"/>
      <c r="AQ52" s="2072"/>
      <c r="AR52" s="2072"/>
      <c r="AS52" s="1607"/>
      <c r="AT52" s="1607"/>
      <c r="AU52" s="1607"/>
    </row>
    <row r="53" spans="4:47">
      <c r="D53" s="622"/>
      <c r="E53" s="622"/>
      <c r="F53" s="622"/>
      <c r="G53" s="622"/>
      <c r="H53" s="622"/>
      <c r="I53" s="622"/>
      <c r="J53" s="1456"/>
      <c r="K53" s="1456"/>
      <c r="L53" s="1456"/>
      <c r="M53" s="622"/>
      <c r="N53" s="1456"/>
      <c r="O53" s="1614" t="s">
        <v>1313</v>
      </c>
      <c r="P53" s="1613" t="s">
        <v>1310</v>
      </c>
      <c r="Q53" s="1613">
        <v>30774</v>
      </c>
      <c r="R53" s="2764">
        <v>73905</v>
      </c>
      <c r="S53" s="1618">
        <v>60000</v>
      </c>
      <c r="T53" s="2764"/>
      <c r="U53" s="2776">
        <f>Q52-S53</f>
        <v>105980</v>
      </c>
      <c r="V53" s="757"/>
      <c r="W53" s="757"/>
      <c r="X53" s="757"/>
      <c r="Y53" s="757"/>
      <c r="Z53" s="757"/>
      <c r="AA53" s="757"/>
      <c r="AB53" s="757"/>
      <c r="AC53" s="757"/>
      <c r="AD53" s="757"/>
      <c r="AE53" s="757"/>
      <c r="AF53" s="757"/>
      <c r="AG53" s="757"/>
      <c r="AH53" s="757"/>
      <c r="AI53" s="757"/>
      <c r="AJ53" s="757"/>
      <c r="AK53" s="757"/>
      <c r="AL53" s="757"/>
      <c r="AM53" s="757"/>
      <c r="AN53" s="757"/>
      <c r="AO53" s="1619"/>
      <c r="AP53" s="1619"/>
      <c r="AQ53" s="2072"/>
      <c r="AR53" s="2072"/>
      <c r="AS53" s="1607"/>
      <c r="AT53" s="1607"/>
      <c r="AU53" s="1607"/>
    </row>
    <row r="54" spans="4:47">
      <c r="G54" s="622"/>
      <c r="H54" s="622"/>
      <c r="I54" s="360"/>
      <c r="J54" s="360"/>
      <c r="K54" s="360"/>
      <c r="L54" s="360"/>
      <c r="M54" s="340"/>
      <c r="N54" s="340"/>
      <c r="O54" s="1614"/>
      <c r="P54" s="1613"/>
      <c r="Q54" s="1613"/>
      <c r="R54" s="757"/>
      <c r="S54" s="1618"/>
      <c r="T54" s="757"/>
      <c r="U54" s="757"/>
      <c r="V54" s="757"/>
      <c r="W54" s="757"/>
      <c r="X54" s="757"/>
      <c r="Y54" s="757"/>
      <c r="Z54" s="757"/>
      <c r="AA54" s="757"/>
      <c r="AB54" s="757"/>
      <c r="AC54" s="757"/>
      <c r="AD54" s="757"/>
      <c r="AE54" s="757"/>
      <c r="AF54" s="757"/>
      <c r="AG54" s="757"/>
      <c r="AH54" s="757"/>
      <c r="AI54" s="757"/>
      <c r="AJ54" s="757"/>
      <c r="AK54" s="757"/>
      <c r="AL54" s="757"/>
      <c r="AM54" s="757"/>
      <c r="AN54" s="757"/>
      <c r="AO54" s="1613"/>
      <c r="AP54" s="1613"/>
      <c r="AQ54" s="1613"/>
      <c r="AR54" s="1613"/>
      <c r="AS54" s="1607"/>
      <c r="AT54" s="1607"/>
      <c r="AU54" s="1607"/>
    </row>
    <row r="55" spans="4:47">
      <c r="H55" s="360"/>
      <c r="O55" s="1614"/>
      <c r="P55" s="1613"/>
      <c r="Q55" s="1613"/>
      <c r="R55" s="757"/>
      <c r="S55" s="1620"/>
      <c r="T55" s="757"/>
      <c r="U55" s="757"/>
      <c r="V55" s="757"/>
      <c r="W55" s="757"/>
      <c r="X55" s="757"/>
      <c r="Y55" s="757"/>
      <c r="Z55" s="757"/>
      <c r="AA55" s="757"/>
      <c r="AB55" s="757"/>
      <c r="AC55" s="757"/>
      <c r="AD55" s="757"/>
      <c r="AE55" s="757"/>
      <c r="AF55" s="757"/>
      <c r="AG55" s="757"/>
      <c r="AH55" s="757"/>
      <c r="AI55" s="757"/>
      <c r="AJ55" s="757"/>
      <c r="AK55" s="757"/>
      <c r="AL55" s="757"/>
      <c r="AM55" s="757"/>
      <c r="AN55" s="1613"/>
      <c r="AO55" s="1613"/>
      <c r="AP55" s="1613"/>
      <c r="AQ55" s="1613"/>
      <c r="AR55" s="1613"/>
      <c r="AS55" s="1607"/>
      <c r="AT55" s="1607"/>
      <c r="AU55" s="1607"/>
    </row>
    <row r="56" spans="4:47">
      <c r="H56" s="360"/>
      <c r="I56" s="360"/>
      <c r="J56" s="360"/>
      <c r="K56" s="360"/>
      <c r="L56" s="360"/>
      <c r="M56" s="340"/>
      <c r="N56" s="340" t="s">
        <v>1928</v>
      </c>
      <c r="O56" s="1614"/>
      <c r="P56" s="1613"/>
      <c r="Q56" s="1613"/>
      <c r="R56" s="757"/>
      <c r="S56" s="1613"/>
      <c r="T56" s="757"/>
      <c r="U56" s="757"/>
      <c r="V56" s="757"/>
      <c r="W56" s="757"/>
      <c r="X56" s="757"/>
      <c r="Y56" s="757"/>
      <c r="Z56" s="757"/>
      <c r="AA56" s="757"/>
      <c r="AB56" s="757"/>
      <c r="AC56" s="757"/>
      <c r="AD56" s="757"/>
      <c r="AE56" s="757"/>
      <c r="AF56" s="757"/>
      <c r="AG56" s="757"/>
      <c r="AH56" s="757"/>
      <c r="AI56" s="757"/>
      <c r="AJ56" s="757"/>
      <c r="AK56" s="757"/>
      <c r="AL56" s="757"/>
      <c r="AM56" s="757"/>
      <c r="AN56" s="1613"/>
      <c r="AO56" s="1613"/>
      <c r="AP56" s="1613"/>
      <c r="AQ56" s="1613"/>
      <c r="AR56" s="1613"/>
      <c r="AS56" s="1607"/>
      <c r="AT56" s="1607"/>
      <c r="AU56" s="1607"/>
    </row>
    <row r="57" spans="4:47">
      <c r="M57" s="8008" t="s">
        <v>1738</v>
      </c>
      <c r="N57" s="8008" t="s">
        <v>1927</v>
      </c>
      <c r="O57" s="8008" t="s">
        <v>1739</v>
      </c>
      <c r="P57" s="8008"/>
      <c r="Q57" s="8008"/>
      <c r="R57" s="8008"/>
      <c r="S57" s="8008"/>
      <c r="T57" s="8008"/>
      <c r="U57" s="8008"/>
      <c r="V57" s="8008"/>
      <c r="W57" s="8008"/>
      <c r="X57" s="8008"/>
      <c r="Y57" s="8008"/>
      <c r="Z57" s="8008"/>
      <c r="AA57" s="8008"/>
      <c r="AB57" s="757"/>
      <c r="AC57" s="757"/>
      <c r="AD57" s="757"/>
      <c r="AE57" s="757"/>
      <c r="AF57" s="757"/>
      <c r="AG57" s="757"/>
      <c r="AH57" s="757"/>
      <c r="AI57" s="757"/>
      <c r="AJ57" s="757"/>
      <c r="AK57" s="757"/>
      <c r="AL57" s="757"/>
      <c r="AM57" s="757"/>
      <c r="AN57" s="1613"/>
      <c r="AO57" s="1613"/>
      <c r="AP57" s="1613"/>
      <c r="AQ57" s="1613"/>
      <c r="AR57" s="1613"/>
      <c r="AS57" s="1607"/>
      <c r="AT57" s="1607"/>
      <c r="AU57" s="1607"/>
    </row>
    <row r="58" spans="4:47">
      <c r="H58" s="1159"/>
      <c r="I58" s="1159"/>
      <c r="J58" s="1159"/>
      <c r="K58" s="1159"/>
      <c r="L58" s="1159"/>
      <c r="M58" s="8008"/>
      <c r="N58" s="8008"/>
      <c r="O58" s="6090" t="s">
        <v>1740</v>
      </c>
      <c r="P58" s="6090" t="s">
        <v>5</v>
      </c>
      <c r="Q58" s="6090" t="s">
        <v>6</v>
      </c>
      <c r="R58" s="6090" t="s">
        <v>7</v>
      </c>
      <c r="S58" s="6090" t="s">
        <v>8</v>
      </c>
      <c r="T58" s="6090" t="s">
        <v>9</v>
      </c>
      <c r="U58" s="6090" t="s">
        <v>10</v>
      </c>
      <c r="V58" s="6090" t="s">
        <v>11</v>
      </c>
      <c r="W58" s="6090" t="s">
        <v>12</v>
      </c>
      <c r="X58" s="6090" t="s">
        <v>13</v>
      </c>
      <c r="Y58" s="6090" t="s">
        <v>14</v>
      </c>
      <c r="Z58" s="6090" t="s">
        <v>15</v>
      </c>
      <c r="AA58" s="6090" t="s">
        <v>1741</v>
      </c>
      <c r="AB58" s="757"/>
      <c r="AC58" s="757"/>
      <c r="AD58" s="757"/>
      <c r="AE58" s="757"/>
      <c r="AF58" s="757"/>
      <c r="AG58" s="757"/>
      <c r="AH58" s="757"/>
      <c r="AI58" s="757"/>
      <c r="AJ58" s="757"/>
      <c r="AK58" s="757"/>
      <c r="AL58" s="757"/>
      <c r="AM58" s="757"/>
      <c r="AN58" s="757"/>
      <c r="AO58" s="1613"/>
      <c r="AP58" s="1613"/>
      <c r="AQ58" s="1613"/>
      <c r="AR58" s="1613"/>
      <c r="AS58" s="1607"/>
      <c r="AT58" s="1607"/>
      <c r="AU58" s="1607"/>
    </row>
    <row r="59" spans="4:47">
      <c r="M59" s="6091" t="s">
        <v>1742</v>
      </c>
      <c r="N59" s="6457">
        <v>22.529190340300044</v>
      </c>
      <c r="O59" s="4959">
        <f>년간!F121</f>
        <v>21.081832087015638</v>
      </c>
      <c r="P59" s="4959">
        <f>년간!G121</f>
        <v>21.265148550080056</v>
      </c>
      <c r="Q59" s="4959">
        <f>년간!H121</f>
        <v>21.541975478716076</v>
      </c>
      <c r="R59" s="4959" t="e">
        <f>년간!I121</f>
        <v>#DIV/0!</v>
      </c>
      <c r="S59" s="4959" t="e">
        <f>년간!J121</f>
        <v>#DIV/0!</v>
      </c>
      <c r="T59" s="4959" t="e">
        <f>년간!K121</f>
        <v>#DIV/0!</v>
      </c>
      <c r="U59" s="4959" t="e">
        <f>년간!L121</f>
        <v>#DIV/0!</v>
      </c>
      <c r="V59" s="4959" t="e">
        <f>년간!M121</f>
        <v>#DIV/0!</v>
      </c>
      <c r="W59" s="4959" t="e">
        <f>년간!N121</f>
        <v>#DIV/0!</v>
      </c>
      <c r="X59" s="4959" t="e">
        <f>년간!O121</f>
        <v>#DIV/0!</v>
      </c>
      <c r="Y59" s="4959" t="e">
        <f>년간!P121</f>
        <v>#DIV/0!</v>
      </c>
      <c r="Z59" s="4959" t="e">
        <f>년간!Q121</f>
        <v>#DIV/0!</v>
      </c>
      <c r="AA59" s="5020">
        <f>년간!V121</f>
        <v>21.299097080465227</v>
      </c>
      <c r="AB59" s="757"/>
      <c r="AC59" s="757"/>
      <c r="AD59" s="757"/>
      <c r="AE59" s="757"/>
      <c r="AF59" s="757"/>
      <c r="AG59" s="757"/>
      <c r="AH59" s="757"/>
      <c r="AI59" s="757"/>
      <c r="AJ59" s="757"/>
      <c r="AK59" s="757"/>
      <c r="AL59" s="757"/>
      <c r="AM59" s="757"/>
      <c r="AN59" s="757"/>
      <c r="AO59" s="1613"/>
      <c r="AP59" s="1613"/>
      <c r="AQ59" s="1613"/>
      <c r="AR59" s="1613"/>
      <c r="AS59" s="1607"/>
      <c r="AT59" s="1607"/>
      <c r="AU59" s="1607"/>
    </row>
    <row r="60" spans="4:47">
      <c r="H60" s="360"/>
      <c r="I60" s="360"/>
      <c r="J60" s="360"/>
      <c r="K60" s="360"/>
      <c r="L60" s="7136" t="s">
        <v>2270</v>
      </c>
      <c r="M60" s="6091" t="s">
        <v>1743</v>
      </c>
      <c r="N60" s="6091">
        <v>0.48799999999999999</v>
      </c>
      <c r="O60" s="6091">
        <v>0.46100000000000002</v>
      </c>
      <c r="P60" s="6091">
        <v>0.46700000000000003</v>
      </c>
      <c r="Q60" s="6091">
        <v>0.49399999999999999</v>
      </c>
      <c r="R60" s="6091"/>
      <c r="S60" s="6091"/>
      <c r="T60" s="6091"/>
      <c r="U60" s="6091"/>
      <c r="V60" s="6091"/>
      <c r="W60" s="6091"/>
      <c r="X60" s="6091"/>
      <c r="Y60" s="6091"/>
      <c r="Z60" s="6091"/>
      <c r="AA60" s="4968">
        <f>AVERAGE(O60:Z60)</f>
        <v>0.47400000000000003</v>
      </c>
      <c r="AB60" s="757"/>
      <c r="AC60" s="757"/>
      <c r="AD60" s="757"/>
      <c r="AE60" s="757"/>
      <c r="AF60" s="757"/>
      <c r="AG60" s="757"/>
      <c r="AH60" s="757"/>
      <c r="AI60" s="757"/>
      <c r="AJ60" s="757"/>
      <c r="AK60" s="757"/>
      <c r="AL60" s="757"/>
      <c r="AM60" s="757"/>
      <c r="AN60" s="757"/>
      <c r="AO60" s="1613"/>
      <c r="AP60" s="1613"/>
      <c r="AQ60" s="1613"/>
      <c r="AR60" s="1613"/>
      <c r="AS60" s="1607"/>
      <c r="AT60" s="1607"/>
      <c r="AU60" s="1607"/>
    </row>
    <row r="61" spans="4:47">
      <c r="L61" s="1452" t="s">
        <v>2270</v>
      </c>
      <c r="M61" s="6091" t="s">
        <v>1744</v>
      </c>
      <c r="N61" s="4960">
        <v>1119.43</v>
      </c>
      <c r="O61" s="4960">
        <v>1099.097</v>
      </c>
      <c r="P61" s="4960">
        <v>1119.107</v>
      </c>
      <c r="Q61" s="4960">
        <v>1142.3489999999999</v>
      </c>
      <c r="R61" s="4960"/>
      <c r="S61" s="4960"/>
      <c r="T61" s="4960"/>
      <c r="U61" s="4960"/>
      <c r="V61" s="4960"/>
      <c r="W61" s="4960"/>
      <c r="X61" s="4960"/>
      <c r="Y61" s="4960"/>
      <c r="Z61" s="4960"/>
      <c r="AA61" s="6091">
        <f>AVERAGE(O61:Z61)</f>
        <v>1120.1843333333334</v>
      </c>
      <c r="AB61" s="757"/>
      <c r="AC61" s="757"/>
      <c r="AD61" s="757"/>
      <c r="AE61" s="757"/>
      <c r="AF61" s="757"/>
      <c r="AG61" s="757"/>
      <c r="AH61" s="757"/>
      <c r="AI61" s="757"/>
      <c r="AJ61" s="757"/>
      <c r="AK61" s="757"/>
      <c r="AL61" s="757"/>
      <c r="AM61" s="757"/>
      <c r="AN61" s="757"/>
      <c r="AO61" s="1613"/>
      <c r="AP61" s="1613"/>
      <c r="AQ61" s="1613"/>
      <c r="AR61" s="1613"/>
      <c r="AS61" s="1607"/>
      <c r="AT61" s="1607"/>
      <c r="AU61" s="1607"/>
    </row>
    <row r="62" spans="4:47">
      <c r="H62" s="360"/>
      <c r="I62" s="360"/>
      <c r="J62" s="360"/>
      <c r="K62" s="360"/>
      <c r="L62" s="360"/>
      <c r="M62" s="6091" t="s">
        <v>1745</v>
      </c>
      <c r="N62" s="4961">
        <f>N61*N60</f>
        <v>546.28183999999999</v>
      </c>
      <c r="O62" s="4961">
        <f t="shared" ref="O62:AA62" si="17">O61*O60</f>
        <v>506.683717</v>
      </c>
      <c r="P62" s="4961">
        <f t="shared" si="17"/>
        <v>522.62296900000001</v>
      </c>
      <c r="Q62" s="4961">
        <f t="shared" si="17"/>
        <v>564.32040599999993</v>
      </c>
      <c r="R62" s="4961">
        <f t="shared" si="17"/>
        <v>0</v>
      </c>
      <c r="S62" s="4961">
        <f t="shared" si="17"/>
        <v>0</v>
      </c>
      <c r="T62" s="4961">
        <f t="shared" si="17"/>
        <v>0</v>
      </c>
      <c r="U62" s="4961">
        <f t="shared" si="17"/>
        <v>0</v>
      </c>
      <c r="V62" s="4961">
        <f t="shared" si="17"/>
        <v>0</v>
      </c>
      <c r="W62" s="4961">
        <f t="shared" si="17"/>
        <v>0</v>
      </c>
      <c r="X62" s="4961">
        <f t="shared" si="17"/>
        <v>0</v>
      </c>
      <c r="Y62" s="4961">
        <f t="shared" si="17"/>
        <v>0</v>
      </c>
      <c r="Z62" s="4961">
        <f t="shared" si="17"/>
        <v>0</v>
      </c>
      <c r="AA62" s="4961">
        <f t="shared" si="17"/>
        <v>530.96737400000006</v>
      </c>
      <c r="AB62" s="757"/>
      <c r="AC62" s="757"/>
      <c r="AD62" s="757"/>
      <c r="AE62" s="757"/>
      <c r="AF62" s="757"/>
      <c r="AG62" s="757"/>
      <c r="AH62" s="757"/>
      <c r="AI62" s="757"/>
      <c r="AJ62" s="757"/>
      <c r="AK62" s="757"/>
      <c r="AL62" s="757"/>
      <c r="AM62" s="757"/>
      <c r="AN62" s="757"/>
      <c r="AO62" s="1613"/>
      <c r="AP62" s="1613"/>
      <c r="AQ62" s="1613"/>
      <c r="AR62" s="1613"/>
      <c r="AS62" s="1607"/>
      <c r="AT62" s="1607"/>
      <c r="AU62" s="1607"/>
    </row>
    <row r="63" spans="4:47">
      <c r="M63" s="6091" t="s">
        <v>1746</v>
      </c>
      <c r="N63" s="6091">
        <v>1</v>
      </c>
      <c r="O63" s="4962">
        <f t="shared" ref="O63:Z63" si="18">$N$62/O62</f>
        <v>1.0781515601773324</v>
      </c>
      <c r="P63" s="4962">
        <f t="shared" si="18"/>
        <v>1.0452694818317485</v>
      </c>
      <c r="Q63" s="4962">
        <f t="shared" si="18"/>
        <v>0.96803488619548528</v>
      </c>
      <c r="R63" s="4962" t="e">
        <f t="shared" si="18"/>
        <v>#DIV/0!</v>
      </c>
      <c r="S63" s="4962" t="e">
        <f t="shared" si="18"/>
        <v>#DIV/0!</v>
      </c>
      <c r="T63" s="4962" t="e">
        <f t="shared" si="18"/>
        <v>#DIV/0!</v>
      </c>
      <c r="U63" s="4962" t="e">
        <f t="shared" si="18"/>
        <v>#DIV/0!</v>
      </c>
      <c r="V63" s="4962" t="e">
        <f t="shared" si="18"/>
        <v>#DIV/0!</v>
      </c>
      <c r="W63" s="4962" t="e">
        <f t="shared" si="18"/>
        <v>#DIV/0!</v>
      </c>
      <c r="X63" s="4962" t="e">
        <f t="shared" si="18"/>
        <v>#DIV/0!</v>
      </c>
      <c r="Y63" s="4962" t="e">
        <f t="shared" si="18"/>
        <v>#DIV/0!</v>
      </c>
      <c r="Z63" s="4962" t="e">
        <f t="shared" si="18"/>
        <v>#DIV/0!</v>
      </c>
      <c r="AA63" s="4962">
        <f>$N$62/AA62</f>
        <v>1.028842574421531</v>
      </c>
      <c r="AO63" s="340"/>
      <c r="AQ63" s="1607"/>
      <c r="AR63" s="1607"/>
      <c r="AS63" s="1607"/>
      <c r="AT63" s="1607"/>
      <c r="AU63" s="1607"/>
    </row>
    <row r="64" spans="4:47">
      <c r="H64" s="360"/>
      <c r="I64" s="360"/>
      <c r="J64" s="360"/>
      <c r="K64" s="360"/>
      <c r="L64" s="360"/>
      <c r="M64" s="6091" t="s">
        <v>1747</v>
      </c>
      <c r="N64" s="4959">
        <f>N63*N59</f>
        <v>22.529190340300044</v>
      </c>
      <c r="O64" s="4959">
        <f>O63*O59</f>
        <v>22.729410156012456</v>
      </c>
      <c r="P64" s="4959">
        <f t="shared" ref="P64:Z64" si="19">P63*P59</f>
        <v>22.227810806017338</v>
      </c>
      <c r="Q64" s="4959">
        <f t="shared" si="19"/>
        <v>20.853383780964851</v>
      </c>
      <c r="R64" s="4959" t="e">
        <f t="shared" si="19"/>
        <v>#DIV/0!</v>
      </c>
      <c r="S64" s="4959" t="e">
        <f t="shared" si="19"/>
        <v>#DIV/0!</v>
      </c>
      <c r="T64" s="4959" t="e">
        <f t="shared" si="19"/>
        <v>#DIV/0!</v>
      </c>
      <c r="U64" s="4959" t="e">
        <f t="shared" si="19"/>
        <v>#DIV/0!</v>
      </c>
      <c r="V64" s="4959" t="e">
        <f t="shared" si="19"/>
        <v>#DIV/0!</v>
      </c>
      <c r="W64" s="4959" t="e">
        <f t="shared" si="19"/>
        <v>#DIV/0!</v>
      </c>
      <c r="X64" s="4959" t="e">
        <f t="shared" si="19"/>
        <v>#DIV/0!</v>
      </c>
      <c r="Y64" s="4959" t="e">
        <f t="shared" si="19"/>
        <v>#DIV/0!</v>
      </c>
      <c r="Z64" s="4959" t="e">
        <f t="shared" si="19"/>
        <v>#DIV/0!</v>
      </c>
      <c r="AA64" s="4959">
        <f>AA63*AA59</f>
        <v>21.913417873119961</v>
      </c>
      <c r="AO64" s="340"/>
      <c r="AQ64" s="1607"/>
      <c r="AR64" s="1607"/>
      <c r="AS64" s="1607"/>
      <c r="AT64" s="1607"/>
      <c r="AU64" s="1607"/>
    </row>
    <row r="65" spans="8:47">
      <c r="M65" s="4963" t="s">
        <v>1748</v>
      </c>
      <c r="N65" s="3489">
        <v>134748.01999999999</v>
      </c>
      <c r="O65" s="4967">
        <f t="shared" ref="O65:Z65" si="20">O5</f>
        <v>12404.550000000001</v>
      </c>
      <c r="P65" s="4967">
        <f t="shared" si="20"/>
        <v>11953.14</v>
      </c>
      <c r="Q65" s="4967">
        <f t="shared" si="20"/>
        <v>13031.1</v>
      </c>
      <c r="R65" s="4967">
        <f t="shared" si="20"/>
        <v>0</v>
      </c>
      <c r="S65" s="4967">
        <f t="shared" si="20"/>
        <v>0</v>
      </c>
      <c r="T65" s="4967">
        <f t="shared" si="20"/>
        <v>0</v>
      </c>
      <c r="U65" s="4967">
        <f t="shared" si="20"/>
        <v>0</v>
      </c>
      <c r="V65" s="4967">
        <f t="shared" si="20"/>
        <v>0</v>
      </c>
      <c r="W65" s="4967">
        <f t="shared" si="20"/>
        <v>0</v>
      </c>
      <c r="X65" s="4967">
        <f t="shared" si="20"/>
        <v>0</v>
      </c>
      <c r="Y65" s="4967">
        <f t="shared" si="20"/>
        <v>0</v>
      </c>
      <c r="Z65" s="4967">
        <f t="shared" si="20"/>
        <v>0</v>
      </c>
      <c r="AA65" s="4967">
        <f>SUM(O65:Z65)</f>
        <v>37388.79</v>
      </c>
      <c r="AO65" s="340"/>
      <c r="AQ65" s="1607"/>
      <c r="AR65" s="1607"/>
      <c r="AS65" s="1607"/>
      <c r="AT65" s="1607"/>
      <c r="AU65" s="1607"/>
    </row>
    <row r="66" spans="8:47">
      <c r="H66" s="360"/>
      <c r="I66" s="360"/>
      <c r="J66" s="360"/>
      <c r="K66" s="360"/>
      <c r="L66" s="360"/>
      <c r="M66" s="4964" t="s">
        <v>1749</v>
      </c>
      <c r="N66" s="4964"/>
      <c r="O66" s="4965">
        <f>(O65/$N$64-O65/O64)*년간!$E$216/1000</f>
        <v>7027.3783017139785</v>
      </c>
      <c r="P66" s="4965">
        <f>(P65/$N$64-P65/P64)*년간!$E$216/1000</f>
        <v>-10422.994286259605</v>
      </c>
      <c r="Q66" s="4965">
        <f>(Q65/$N$64-Q65/Q64)*년간!$E$216/1000</f>
        <v>-67347.558353560205</v>
      </c>
      <c r="R66" s="4965" t="e">
        <f>(R65/$N$64-R65/R64)*년간!$E$216/1000</f>
        <v>#DIV/0!</v>
      </c>
      <c r="S66" s="4965" t="e">
        <f>(S65/$N$64-S65/S64)*년간!$E$216/1000</f>
        <v>#DIV/0!</v>
      </c>
      <c r="T66" s="4965" t="e">
        <f>(T65/$N$64-T65/T64)*년간!$E$216/1000</f>
        <v>#DIV/0!</v>
      </c>
      <c r="U66" s="4965" t="e">
        <f>(U65/$N$64-U65/U64)*년간!$E$216/1000</f>
        <v>#DIV/0!</v>
      </c>
      <c r="V66" s="4965" t="e">
        <f>(V65/$N$64-V65/V64)*년간!$E$216/1000</f>
        <v>#DIV/0!</v>
      </c>
      <c r="W66" s="4965" t="e">
        <f>(W65/$N$64-W65/W64)*년간!$E$216/1000</f>
        <v>#DIV/0!</v>
      </c>
      <c r="X66" s="4965" t="e">
        <f>(X65/$N$64-X65/X64)*년간!$E$216/1000</f>
        <v>#DIV/0!</v>
      </c>
      <c r="Y66" s="4965" t="e">
        <f>(Y65/$N$64-Y65/Y64)*년간!$E$216/1000</f>
        <v>#DIV/0!</v>
      </c>
      <c r="Z66" s="4965" t="e">
        <f>(Z65/$N$64-Z65/Z64)*년간!$E$216/1000</f>
        <v>#DIV/0!</v>
      </c>
      <c r="AA66" s="4966">
        <f>O66+P66+Q66</f>
        <v>-70743.174338105833</v>
      </c>
      <c r="AO66" s="340"/>
      <c r="AQ66" s="1607"/>
      <c r="AR66" s="1607"/>
      <c r="AS66" s="1607"/>
      <c r="AT66" s="1607"/>
      <c r="AU66" s="1607"/>
    </row>
    <row r="67" spans="8:47">
      <c r="O67" s="361"/>
      <c r="P67" s="340"/>
      <c r="Q67" s="340"/>
      <c r="AO67" s="340"/>
      <c r="AQ67" s="1607"/>
      <c r="AR67" s="1607"/>
      <c r="AS67" s="1607"/>
      <c r="AT67" s="1607"/>
      <c r="AU67" s="1607"/>
    </row>
    <row r="68" spans="8:47">
      <c r="H68" s="360"/>
      <c r="I68" s="360"/>
      <c r="J68" s="360"/>
      <c r="K68" s="360"/>
      <c r="L68" s="360"/>
      <c r="M68" s="340"/>
      <c r="N68" s="340"/>
      <c r="O68" s="361"/>
      <c r="P68" s="340"/>
      <c r="Q68" s="340"/>
      <c r="AO68" s="340"/>
      <c r="AQ68" s="1607"/>
      <c r="AR68" s="1607"/>
      <c r="AS68" s="1607"/>
      <c r="AT68" s="1607"/>
      <c r="AU68" s="1607"/>
    </row>
    <row r="69" spans="8:47">
      <c r="O69" s="361"/>
      <c r="P69" s="340"/>
      <c r="Q69" s="340"/>
      <c r="AO69" s="340"/>
      <c r="AQ69" s="1607"/>
      <c r="AR69" s="1607"/>
      <c r="AS69" s="1607"/>
      <c r="AT69" s="1607"/>
      <c r="AU69" s="1607"/>
    </row>
    <row r="70" spans="8:47">
      <c r="H70" s="360"/>
      <c r="I70" s="360"/>
      <c r="J70" s="360"/>
      <c r="K70" s="360"/>
      <c r="L70" s="360"/>
      <c r="M70" s="340"/>
      <c r="N70" s="340"/>
      <c r="O70" s="361"/>
      <c r="P70" s="340"/>
      <c r="Q70" s="340"/>
      <c r="AO70" s="340"/>
      <c r="AQ70" s="1607"/>
      <c r="AR70" s="1607"/>
      <c r="AS70" s="1607"/>
      <c r="AT70" s="1607"/>
      <c r="AU70" s="1607"/>
    </row>
    <row r="71" spans="8:47">
      <c r="O71" s="361"/>
      <c r="P71" s="340"/>
      <c r="Q71" s="340"/>
      <c r="AO71" s="340"/>
      <c r="AQ71" s="1607"/>
      <c r="AR71" s="1607"/>
      <c r="AS71" s="1607"/>
      <c r="AT71" s="1607"/>
      <c r="AU71" s="1607"/>
    </row>
    <row r="72" spans="8:47">
      <c r="O72" s="361"/>
      <c r="P72" s="340"/>
      <c r="Q72" s="340"/>
    </row>
    <row r="73" spans="8:47">
      <c r="O73" s="361"/>
      <c r="P73" s="340"/>
      <c r="Q73" s="340"/>
    </row>
    <row r="74" spans="8:47">
      <c r="O74" s="361"/>
      <c r="P74" s="340"/>
      <c r="Q74" s="340"/>
    </row>
  </sheetData>
  <mergeCells count="79">
    <mergeCell ref="A1:AQ1"/>
    <mergeCell ref="A38:A39"/>
    <mergeCell ref="M2:AQ2"/>
    <mergeCell ref="AQ3:AQ4"/>
    <mergeCell ref="AK40:AK41"/>
    <mergeCell ref="AO3:AO4"/>
    <mergeCell ref="AO40:AO41"/>
    <mergeCell ref="AP3:AP4"/>
    <mergeCell ref="O3:AM3"/>
    <mergeCell ref="A3:A4"/>
    <mergeCell ref="A40:A43"/>
    <mergeCell ref="B40:B41"/>
    <mergeCell ref="AF40:AF41"/>
    <mergeCell ref="AG40:AG41"/>
    <mergeCell ref="AJ31:AJ32"/>
    <mergeCell ref="AH40:AH41"/>
    <mergeCell ref="AN3:AN4"/>
    <mergeCell ref="AM31:AM32"/>
    <mergeCell ref="AM40:AM41"/>
    <mergeCell ref="AN40:AN41"/>
    <mergeCell ref="AP40:AP41"/>
    <mergeCell ref="AP31:AP32"/>
    <mergeCell ref="AO31:AO32"/>
    <mergeCell ref="AN31:AN32"/>
    <mergeCell ref="AG42:AG43"/>
    <mergeCell ref="AK31:AK32"/>
    <mergeCell ref="AL31:AL32"/>
    <mergeCell ref="A25:A30"/>
    <mergeCell ref="B25:B26"/>
    <mergeCell ref="B27:B28"/>
    <mergeCell ref="B29:B30"/>
    <mergeCell ref="B31:B32"/>
    <mergeCell ref="AB40:AB41"/>
    <mergeCell ref="AC40:AC41"/>
    <mergeCell ref="AD40:AD41"/>
    <mergeCell ref="AE40:AE41"/>
    <mergeCell ref="AI40:AI41"/>
    <mergeCell ref="AL40:AL41"/>
    <mergeCell ref="B33:B34"/>
    <mergeCell ref="B35:B36"/>
    <mergeCell ref="M3:N3"/>
    <mergeCell ref="AF31:AF32"/>
    <mergeCell ref="AG31:AG32"/>
    <mergeCell ref="AI31:AI32"/>
    <mergeCell ref="C3:C4"/>
    <mergeCell ref="AE31:AE32"/>
    <mergeCell ref="AH31:AH32"/>
    <mergeCell ref="B3:B4"/>
    <mergeCell ref="A33:A37"/>
    <mergeCell ref="AJ40:AJ41"/>
    <mergeCell ref="D3:L3"/>
    <mergeCell ref="A46:B46"/>
    <mergeCell ref="A44:A45"/>
    <mergeCell ref="AH42:AH43"/>
    <mergeCell ref="AF42:AF43"/>
    <mergeCell ref="AB42:AB43"/>
    <mergeCell ref="AC42:AC43"/>
    <mergeCell ref="AD42:AD43"/>
    <mergeCell ref="AE42:AE43"/>
    <mergeCell ref="B42:B43"/>
    <mergeCell ref="A5:A9"/>
    <mergeCell ref="AC31:AC32"/>
    <mergeCell ref="AD31:AD32"/>
    <mergeCell ref="A10:A11"/>
    <mergeCell ref="AB31:AB32"/>
    <mergeCell ref="A31:A32"/>
    <mergeCell ref="M57:M58"/>
    <mergeCell ref="N57:N58"/>
    <mergeCell ref="O57:AA57"/>
    <mergeCell ref="P47:AD47"/>
    <mergeCell ref="A12:A24"/>
    <mergeCell ref="AP42:AP43"/>
    <mergeCell ref="AN42:AN43"/>
    <mergeCell ref="AL42:AL43"/>
    <mergeCell ref="AM42:AM43"/>
    <mergeCell ref="AI42:AI43"/>
    <mergeCell ref="AJ42:AJ43"/>
    <mergeCell ref="AK42:AK43"/>
    <mergeCell ref="AO42:AO43"/>
  </mergeCells>
  <phoneticPr fontId="23" type="noConversion"/>
  <pageMargins left="0" right="0" top="0.74803149606299213" bottom="0.74803149606299213" header="0.31496062992125984" footer="0.31496062992125984"/>
  <pageSetup paperSize="9" scale="65"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67"/>
  <sheetViews>
    <sheetView zoomScale="70" zoomScaleNormal="70" workbookViewId="0">
      <pane xSplit="8" ySplit="4" topLeftCell="J5" activePane="bottomRight" state="frozen"/>
      <selection pane="topRight" activeCell="I1" sqref="I1"/>
      <selection pane="bottomLeft" activeCell="A5" sqref="A5"/>
      <selection pane="bottomRight" activeCell="R4" sqref="R1:Y1048576"/>
    </sheetView>
  </sheetViews>
  <sheetFormatPr defaultColWidth="8.88671875" defaultRowHeight="24.95" customHeight="1"/>
  <cols>
    <col min="1" max="1" width="8.88671875" style="340"/>
    <col min="2" max="2" width="15.6640625" style="340" customWidth="1"/>
    <col min="3" max="3" width="8.6640625" style="340" bestFit="1" customWidth="1"/>
    <col min="4" max="6" width="8.33203125" style="340" hidden="1" customWidth="1"/>
    <col min="7" max="8" width="8.6640625" style="340" hidden="1" customWidth="1"/>
    <col min="9" max="9" width="8.6640625" style="1453" hidden="1" customWidth="1"/>
    <col min="10" max="10" width="8.6640625" style="1453" customWidth="1"/>
    <col min="11" max="11" width="8.6640625" style="340" customWidth="1"/>
    <col min="12" max="12" width="8.6640625" style="1453" customWidth="1"/>
    <col min="13" max="17" width="8.6640625" style="340" customWidth="1"/>
    <col min="18" max="25" width="8.6640625" style="340" hidden="1" customWidth="1"/>
    <col min="26" max="26" width="8.6640625" style="340" customWidth="1"/>
    <col min="27" max="27" width="9.6640625" style="1453" customWidth="1"/>
    <col min="28" max="30" width="8.6640625" style="340" customWidth="1"/>
    <col min="31" max="38" width="8.6640625" style="340" hidden="1" customWidth="1"/>
    <col min="39" max="39" width="8.6640625" style="340" customWidth="1"/>
    <col min="40" max="40" width="10.109375" style="340" customWidth="1"/>
    <col min="41" max="41" width="9.5546875" style="340" customWidth="1"/>
    <col min="42" max="42" width="7.77734375" style="340" bestFit="1" customWidth="1"/>
    <col min="43" max="43" width="19.6640625" style="340" bestFit="1" customWidth="1"/>
    <col min="44" max="44" width="11.21875" style="340" bestFit="1" customWidth="1"/>
    <col min="45" max="45" width="8.88671875" style="340"/>
    <col min="46" max="46" width="5.6640625" style="340" bestFit="1" customWidth="1"/>
    <col min="47" max="47" width="10.44140625" style="340" bestFit="1" customWidth="1"/>
    <col min="48" max="16384" width="8.88671875" style="340"/>
  </cols>
  <sheetData>
    <row r="1" spans="1:50" ht="24.95" customHeight="1">
      <c r="A1" s="8009" t="s">
        <v>1300</v>
      </c>
      <c r="B1" s="8009"/>
      <c r="C1" s="8009"/>
      <c r="D1" s="8009"/>
      <c r="E1" s="8009"/>
      <c r="F1" s="8009"/>
      <c r="G1" s="8009"/>
      <c r="H1" s="8009"/>
      <c r="I1" s="8009"/>
      <c r="J1" s="8009"/>
      <c r="K1" s="8009"/>
      <c r="L1" s="8009"/>
      <c r="M1" s="8009"/>
      <c r="N1" s="8009"/>
      <c r="O1" s="8009"/>
      <c r="P1" s="8009"/>
      <c r="Q1" s="8009"/>
      <c r="R1" s="8009"/>
      <c r="S1" s="8009"/>
      <c r="T1" s="8009"/>
      <c r="U1" s="8009"/>
      <c r="V1" s="8009"/>
      <c r="W1" s="8009"/>
      <c r="X1" s="8009"/>
      <c r="Y1" s="8009"/>
      <c r="Z1" s="8009"/>
      <c r="AA1" s="8009"/>
      <c r="AB1" s="8009"/>
      <c r="AC1" s="8009"/>
      <c r="AD1" s="8009"/>
      <c r="AE1" s="8009"/>
      <c r="AF1" s="8009"/>
      <c r="AG1" s="8009"/>
      <c r="AH1" s="8009"/>
      <c r="AI1" s="8009"/>
      <c r="AJ1" s="8009"/>
      <c r="AK1" s="8009"/>
      <c r="AL1" s="8009"/>
      <c r="AM1" s="8009"/>
      <c r="AN1" s="8009"/>
      <c r="AO1" s="8009"/>
      <c r="AP1" s="8009"/>
      <c r="AQ1" s="8009"/>
    </row>
    <row r="2" spans="1:50" ht="17.25" thickBot="1">
      <c r="M2" s="8020" t="s">
        <v>398</v>
      </c>
      <c r="N2" s="8020"/>
      <c r="O2" s="8021"/>
      <c r="P2" s="8021"/>
      <c r="Q2" s="8021"/>
      <c r="R2" s="8021"/>
      <c r="S2" s="8021"/>
      <c r="T2" s="8021"/>
      <c r="U2" s="8021"/>
      <c r="V2" s="8021"/>
      <c r="W2" s="8021"/>
      <c r="X2" s="8021"/>
      <c r="Y2" s="8021"/>
      <c r="Z2" s="8021"/>
      <c r="AA2" s="8021"/>
      <c r="AB2" s="8021"/>
      <c r="AC2" s="8021"/>
      <c r="AD2" s="8021"/>
      <c r="AE2" s="8021"/>
      <c r="AF2" s="8021"/>
      <c r="AG2" s="8021"/>
      <c r="AH2" s="8021"/>
      <c r="AI2" s="8021"/>
      <c r="AJ2" s="8021"/>
      <c r="AK2" s="8021"/>
      <c r="AL2" s="8021"/>
      <c r="AM2" s="8021"/>
      <c r="AN2" s="8021"/>
      <c r="AO2" s="8021"/>
      <c r="AP2" s="8021"/>
      <c r="AQ2" s="8022"/>
    </row>
    <row r="3" spans="1:50" ht="21" customHeight="1" thickBot="1">
      <c r="A3" s="7750" t="s">
        <v>335</v>
      </c>
      <c r="B3" s="7838" t="s">
        <v>336</v>
      </c>
      <c r="C3" s="8010" t="s">
        <v>337</v>
      </c>
      <c r="D3" s="8010" t="s">
        <v>338</v>
      </c>
      <c r="E3" s="8004"/>
      <c r="F3" s="8004"/>
      <c r="G3" s="8004"/>
      <c r="H3" s="8004"/>
      <c r="I3" s="8004"/>
      <c r="J3" s="8004"/>
      <c r="K3" s="8004"/>
      <c r="L3" s="8057"/>
      <c r="M3" s="7750" t="s">
        <v>802</v>
      </c>
      <c r="N3" s="7838"/>
      <c r="O3" s="7954" t="s">
        <v>1297</v>
      </c>
      <c r="P3" s="7954"/>
      <c r="Q3" s="7954"/>
      <c r="R3" s="7954"/>
      <c r="S3" s="7954"/>
      <c r="T3" s="7954"/>
      <c r="U3" s="7954"/>
      <c r="V3" s="7954"/>
      <c r="W3" s="7954"/>
      <c r="X3" s="7954"/>
      <c r="Y3" s="7954"/>
      <c r="Z3" s="7954"/>
      <c r="AA3" s="7954"/>
      <c r="AB3" s="8004"/>
      <c r="AC3" s="8004"/>
      <c r="AD3" s="8004"/>
      <c r="AE3" s="8004"/>
      <c r="AF3" s="8004"/>
      <c r="AG3" s="8004"/>
      <c r="AH3" s="8004"/>
      <c r="AI3" s="8004"/>
      <c r="AJ3" s="8004"/>
      <c r="AK3" s="8004"/>
      <c r="AL3" s="8004"/>
      <c r="AM3" s="8005"/>
      <c r="AN3" s="7844" t="s">
        <v>1912</v>
      </c>
      <c r="AO3" s="7844" t="s">
        <v>435</v>
      </c>
      <c r="AP3" s="7955" t="s">
        <v>361</v>
      </c>
      <c r="AQ3" s="7983" t="s">
        <v>340</v>
      </c>
    </row>
    <row r="4" spans="1:50" ht="21" customHeight="1" thickTop="1" thickBot="1">
      <c r="A4" s="7837"/>
      <c r="B4" s="7839"/>
      <c r="C4" s="7841"/>
      <c r="D4" s="1698" t="s">
        <v>252</v>
      </c>
      <c r="E4" s="1699" t="s">
        <v>253</v>
      </c>
      <c r="F4" s="1699" t="s">
        <v>191</v>
      </c>
      <c r="G4" s="1699" t="s">
        <v>254</v>
      </c>
      <c r="H4" s="1699" t="s">
        <v>255</v>
      </c>
      <c r="I4" s="1700" t="s">
        <v>986</v>
      </c>
      <c r="J4" s="1700" t="s">
        <v>701</v>
      </c>
      <c r="K4" s="5792" t="s">
        <v>978</v>
      </c>
      <c r="L4" s="5783" t="s">
        <v>1883</v>
      </c>
      <c r="M4" s="2565" t="s">
        <v>1897</v>
      </c>
      <c r="N4" s="2566" t="s">
        <v>801</v>
      </c>
      <c r="O4" s="3862" t="s">
        <v>366</v>
      </c>
      <c r="P4" s="7567" t="s">
        <v>368</v>
      </c>
      <c r="Q4" s="7297" t="s">
        <v>369</v>
      </c>
      <c r="R4" s="3862" t="s">
        <v>370</v>
      </c>
      <c r="S4" s="4510" t="s">
        <v>371</v>
      </c>
      <c r="T4" s="4510" t="s">
        <v>372</v>
      </c>
      <c r="U4" s="4510" t="s">
        <v>373</v>
      </c>
      <c r="V4" s="4510" t="s">
        <v>374</v>
      </c>
      <c r="W4" s="4510" t="s">
        <v>375</v>
      </c>
      <c r="X4" s="6104" t="s">
        <v>376</v>
      </c>
      <c r="Y4" s="5509" t="s">
        <v>377</v>
      </c>
      <c r="Z4" s="2514" t="s">
        <v>378</v>
      </c>
      <c r="AA4" s="4510" t="s">
        <v>984</v>
      </c>
      <c r="AB4" s="3350" t="s">
        <v>367</v>
      </c>
      <c r="AC4" s="1146" t="s">
        <v>379</v>
      </c>
      <c r="AD4" s="1146" t="s">
        <v>380</v>
      </c>
      <c r="AE4" s="1146" t="s">
        <v>381</v>
      </c>
      <c r="AF4" s="1146" t="s">
        <v>382</v>
      </c>
      <c r="AG4" s="1146" t="s">
        <v>383</v>
      </c>
      <c r="AH4" s="1146" t="s">
        <v>384</v>
      </c>
      <c r="AI4" s="1146" t="s">
        <v>385</v>
      </c>
      <c r="AJ4" s="1146" t="s">
        <v>386</v>
      </c>
      <c r="AK4" s="1146" t="s">
        <v>387</v>
      </c>
      <c r="AL4" s="1146" t="s">
        <v>388</v>
      </c>
      <c r="AM4" s="1146" t="s">
        <v>389</v>
      </c>
      <c r="AN4" s="7958"/>
      <c r="AO4" s="7958"/>
      <c r="AP4" s="7957"/>
      <c r="AQ4" s="8117"/>
    </row>
    <row r="5" spans="1:50" ht="21.6" customHeight="1">
      <c r="A5" s="7798" t="s">
        <v>341</v>
      </c>
      <c r="B5" s="878" t="s">
        <v>342</v>
      </c>
      <c r="C5" s="1708" t="s">
        <v>343</v>
      </c>
      <c r="D5" s="1709">
        <v>49405.777999999998</v>
      </c>
      <c r="E5" s="1710">
        <v>66093.62000000001</v>
      </c>
      <c r="F5" s="1710">
        <v>52374.959999999992</v>
      </c>
      <c r="G5" s="1710">
        <v>48708.025000000009</v>
      </c>
      <c r="H5" s="1710">
        <v>62835.138999999996</v>
      </c>
      <c r="I5" s="1711">
        <v>45182</v>
      </c>
      <c r="J5" s="1711">
        <v>54648</v>
      </c>
      <c r="K5" s="1711">
        <f>년간!C12</f>
        <v>52737.824999999997</v>
      </c>
      <c r="L5" s="1711">
        <f>년간!D12</f>
        <v>56112.341</v>
      </c>
      <c r="M5" s="5901">
        <f>년간!E12</f>
        <v>60387.205999999998</v>
      </c>
      <c r="N5" s="5988">
        <f>M5/12</f>
        <v>5032.2671666666665</v>
      </c>
      <c r="O5" s="1712">
        <f>년간!F12</f>
        <v>4934.12</v>
      </c>
      <c r="P5" s="7568">
        <f>년간!G12+72.75</f>
        <v>4837.6000000000004</v>
      </c>
      <c r="Q5" s="7298">
        <f>년간!H12+435.03</f>
        <v>5980.01</v>
      </c>
      <c r="R5" s="1712">
        <f>년간!I12</f>
        <v>0</v>
      </c>
      <c r="S5" s="884">
        <f>년간!J12</f>
        <v>0</v>
      </c>
      <c r="T5" s="884">
        <f>년간!K12</f>
        <v>0</v>
      </c>
      <c r="U5" s="884">
        <f>년간!L12</f>
        <v>0</v>
      </c>
      <c r="V5" s="884">
        <f>년간!M12</f>
        <v>0</v>
      </c>
      <c r="W5" s="884">
        <f>년간!N12</f>
        <v>0</v>
      </c>
      <c r="X5" s="1575">
        <f>년간!O12</f>
        <v>0</v>
      </c>
      <c r="Y5" s="5510">
        <f>년간!P12</f>
        <v>0</v>
      </c>
      <c r="Z5" s="1575">
        <f>년간!Q12</f>
        <v>0</v>
      </c>
      <c r="AA5" s="884">
        <f>SUM(O5:Z5)</f>
        <v>15751.730000000001</v>
      </c>
      <c r="AB5" s="4509"/>
      <c r="AC5" s="1713"/>
      <c r="AD5" s="1713"/>
      <c r="AE5" s="1713"/>
      <c r="AF5" s="1713"/>
      <c r="AG5" s="1713"/>
      <c r="AH5" s="1713"/>
      <c r="AI5" s="1713"/>
      <c r="AJ5" s="1713"/>
      <c r="AK5" s="1713"/>
      <c r="AL5" s="1713"/>
      <c r="AM5" s="1713"/>
      <c r="AN5" s="969"/>
      <c r="AO5" s="969"/>
      <c r="AP5" s="969"/>
      <c r="AQ5" s="1714"/>
      <c r="AX5" s="1449"/>
    </row>
    <row r="6" spans="1:50" ht="21" customHeight="1">
      <c r="A6" s="7799"/>
      <c r="B6" s="3793" t="s">
        <v>344</v>
      </c>
      <c r="C6" s="4999" t="s">
        <v>345</v>
      </c>
      <c r="D6" s="5000">
        <v>12.77</v>
      </c>
      <c r="E6" s="2951">
        <v>13.12</v>
      </c>
      <c r="F6" s="2952">
        <v>11.56</v>
      </c>
      <c r="G6" s="2952">
        <v>11.59</v>
      </c>
      <c r="H6" s="2952">
        <v>9.6301471114610937</v>
      </c>
      <c r="I6" s="3274">
        <v>9.7799999999999994</v>
      </c>
      <c r="J6" s="3274">
        <v>9.9899535671630861</v>
      </c>
      <c r="K6" s="3274">
        <f>년간!C123</f>
        <v>9.3511203248380532</v>
      </c>
      <c r="L6" s="3274">
        <f>년간!D123</f>
        <v>9.5212979035692769</v>
      </c>
      <c r="M6" s="5960">
        <f>년간!E123</f>
        <v>9.6999999999999993</v>
      </c>
      <c r="N6" s="5989">
        <v>9.6999999999999993</v>
      </c>
      <c r="O6" s="4626">
        <f>년간!F123</f>
        <v>9.2332969466363082</v>
      </c>
      <c r="P6" s="7538">
        <f>년간!G123</f>
        <v>9.9368709346114343</v>
      </c>
      <c r="Q6" s="7299">
        <f>년간!H123</f>
        <v>10.335309367438645</v>
      </c>
      <c r="R6" s="4626" t="e">
        <f>년간!I123</f>
        <v>#DIV/0!</v>
      </c>
      <c r="S6" s="4460" t="e">
        <f>년간!J123</f>
        <v>#DIV/0!</v>
      </c>
      <c r="T6" s="4460" t="e">
        <f>년간!K123</f>
        <v>#DIV/0!</v>
      </c>
      <c r="U6" s="4460" t="e">
        <f>년간!L123</f>
        <v>#DIV/0!</v>
      </c>
      <c r="V6" s="4460" t="e">
        <f>년간!M123</f>
        <v>#DIV/0!</v>
      </c>
      <c r="W6" s="4460" t="e">
        <f>년간!N123</f>
        <v>#DIV/0!</v>
      </c>
      <c r="X6" s="3308" t="e">
        <f>년간!O123</f>
        <v>#DIV/0!</v>
      </c>
      <c r="Y6" s="4630" t="e">
        <f>년간!P123</f>
        <v>#DIV/0!</v>
      </c>
      <c r="Z6" s="3308" t="e">
        <f>년간!Q123</f>
        <v>#DIV/0!</v>
      </c>
      <c r="AA6" s="4460">
        <f>년간!V123</f>
        <v>9.52856056423132</v>
      </c>
      <c r="AB6" s="4471">
        <f>년간!F158/1000</f>
        <v>-25773.265613504176</v>
      </c>
      <c r="AC6" s="4153">
        <f>년간!G158/1000</f>
        <v>33387.782676533716</v>
      </c>
      <c r="AD6" s="4153">
        <f>년간!H158/1000</f>
        <v>73113.29304550591</v>
      </c>
      <c r="AE6" s="4153" t="e">
        <f>년간!I158/1000</f>
        <v>#DIV/0!</v>
      </c>
      <c r="AF6" s="4153" t="e">
        <f>년간!J158/1000</f>
        <v>#DIV/0!</v>
      </c>
      <c r="AG6" s="4153" t="e">
        <f>년간!K158/1000</f>
        <v>#DIV/0!</v>
      </c>
      <c r="AH6" s="4153" t="e">
        <f>년간!L158/1000</f>
        <v>#DIV/0!</v>
      </c>
      <c r="AI6" s="4153" t="e">
        <f>년간!M158/1000</f>
        <v>#DIV/0!</v>
      </c>
      <c r="AJ6" s="4153" t="e">
        <f>년간!N158/1000</f>
        <v>#DIV/0!</v>
      </c>
      <c r="AK6" s="4153" t="e">
        <f>년간!O158/1000</f>
        <v>#DIV/0!</v>
      </c>
      <c r="AL6" s="4153" t="e">
        <f>년간!P158/1000</f>
        <v>#DIV/0!</v>
      </c>
      <c r="AM6" s="4153" t="e">
        <f>년간!Q158/1000</f>
        <v>#DIV/0!</v>
      </c>
      <c r="AN6" s="5001">
        <f>년간!E158/1000</f>
        <v>186321.65526925618</v>
      </c>
      <c r="AO6" s="5001">
        <f>AB6+AC6+AD6</f>
        <v>80727.810108535457</v>
      </c>
      <c r="AP6" s="5002">
        <f>AO6/AN6</f>
        <v>0.43327121580083916</v>
      </c>
      <c r="AQ6" s="3331" t="s">
        <v>1918</v>
      </c>
      <c r="AR6" s="4565"/>
      <c r="AU6" s="340" t="s">
        <v>2174</v>
      </c>
      <c r="AX6" s="2909"/>
    </row>
    <row r="7" spans="1:50" s="1453" customFormat="1" ht="21" customHeight="1">
      <c r="A7" s="7799"/>
      <c r="B7" s="3793" t="s">
        <v>1925</v>
      </c>
      <c r="C7" s="4999" t="s">
        <v>260</v>
      </c>
      <c r="D7" s="5000"/>
      <c r="E7" s="2951"/>
      <c r="F7" s="2952"/>
      <c r="G7" s="2952"/>
      <c r="H7" s="2952"/>
      <c r="I7" s="3274"/>
      <c r="J7" s="3274"/>
      <c r="K7" s="3274"/>
      <c r="L7" s="5773">
        <v>14.005076837001118</v>
      </c>
      <c r="M7" s="5960">
        <v>14.3</v>
      </c>
      <c r="N7" s="5989">
        <v>14.3</v>
      </c>
      <c r="O7" s="4626">
        <f>O65</f>
        <v>13.930524280323114</v>
      </c>
      <c r="P7" s="7538">
        <f>P65</f>
        <v>13.44</v>
      </c>
      <c r="Q7" s="7299">
        <f t="shared" ref="Q7:Z7" si="0">Q65</f>
        <v>0</v>
      </c>
      <c r="R7" s="4630">
        <f t="shared" si="0"/>
        <v>0</v>
      </c>
      <c r="S7" s="3308">
        <f t="shared" si="0"/>
        <v>0</v>
      </c>
      <c r="T7" s="3308">
        <f t="shared" si="0"/>
        <v>0</v>
      </c>
      <c r="U7" s="3308">
        <f t="shared" si="0"/>
        <v>0</v>
      </c>
      <c r="V7" s="3308">
        <f t="shared" si="0"/>
        <v>0</v>
      </c>
      <c r="W7" s="3308">
        <f t="shared" si="0"/>
        <v>0</v>
      </c>
      <c r="X7" s="3308">
        <f t="shared" si="0"/>
        <v>0</v>
      </c>
      <c r="Y7" s="3308">
        <f t="shared" si="0"/>
        <v>0</v>
      </c>
      <c r="Z7" s="3308">
        <f t="shared" si="0"/>
        <v>0</v>
      </c>
      <c r="AA7" s="4460">
        <f>AA57</f>
        <v>0</v>
      </c>
      <c r="AB7" s="7348"/>
      <c r="AC7" s="7316"/>
      <c r="AD7" s="3684"/>
      <c r="AE7" s="3684"/>
      <c r="AF7" s="3684"/>
      <c r="AG7" s="3684"/>
      <c r="AH7" s="3684"/>
      <c r="AI7" s="3684"/>
      <c r="AJ7" s="3684"/>
      <c r="AK7" s="3684"/>
      <c r="AL7" s="3684"/>
      <c r="AM7" s="3684"/>
      <c r="AN7" s="3817"/>
      <c r="AO7" s="3817"/>
      <c r="AP7" s="3801"/>
      <c r="AQ7" s="3331"/>
      <c r="AR7" s="4565" t="s">
        <v>2290</v>
      </c>
      <c r="AX7" s="2909"/>
    </row>
    <row r="8" spans="1:50" ht="21" customHeight="1">
      <c r="A8" s="7799"/>
      <c r="B8" s="3793" t="s">
        <v>346</v>
      </c>
      <c r="C8" s="4999" t="s">
        <v>347</v>
      </c>
      <c r="D8" s="5000">
        <v>75.510000000000005</v>
      </c>
      <c r="E8" s="2951">
        <v>76.02</v>
      </c>
      <c r="F8" s="2952">
        <v>76.05</v>
      </c>
      <c r="G8" s="2952">
        <v>75.959999999999994</v>
      </c>
      <c r="H8" s="2952">
        <v>74.620228230313629</v>
      </c>
      <c r="I8" s="3274">
        <v>74.44</v>
      </c>
      <c r="J8" s="3274">
        <v>73.695129891999912</v>
      </c>
      <c r="K8" s="3274">
        <f>년간!C115*100</f>
        <v>74.245931529902734</v>
      </c>
      <c r="L8" s="3274">
        <f>년간!D115*100</f>
        <v>76.120492198532702</v>
      </c>
      <c r="M8" s="5960">
        <f>년간!E115*100</f>
        <v>76.5</v>
      </c>
      <c r="N8" s="5989">
        <v>76.5</v>
      </c>
      <c r="O8" s="4626">
        <f>년간!F115*100</f>
        <v>78.065348656018699</v>
      </c>
      <c r="P8" s="7538">
        <f>년간!G115*100</f>
        <v>76.868421052631575</v>
      </c>
      <c r="Q8" s="7299">
        <f>년간!H115*100</f>
        <v>80.003687230659324</v>
      </c>
      <c r="R8" s="4626" t="e">
        <f>년간!I115*100</f>
        <v>#DIV/0!</v>
      </c>
      <c r="S8" s="4460" t="e">
        <f>년간!J115*100</f>
        <v>#DIV/0!</v>
      </c>
      <c r="T8" s="4460" t="e">
        <f>년간!K115*100</f>
        <v>#DIV/0!</v>
      </c>
      <c r="U8" s="4855" t="e">
        <f>년간!L115*100</f>
        <v>#DIV/0!</v>
      </c>
      <c r="V8" s="4460" t="e">
        <f>년간!M115*100</f>
        <v>#DIV/0!</v>
      </c>
      <c r="W8" s="4460" t="e">
        <f>년간!N115*100</f>
        <v>#DIV/0!</v>
      </c>
      <c r="X8" s="3308" t="e">
        <f>년간!O115*100</f>
        <v>#DIV/0!</v>
      </c>
      <c r="Y8" s="4630" t="e">
        <f>년간!P115*100</f>
        <v>#DIV/0!</v>
      </c>
      <c r="Z8" s="3308" t="e">
        <f>년간!Q115*100</f>
        <v>#DIV/0!</v>
      </c>
      <c r="AA8" s="4460">
        <f>년간!V115*100</f>
        <v>78.380761850324589</v>
      </c>
      <c r="AB8" s="4471">
        <f>년간!F157/1000</f>
        <v>21242.540453111906</v>
      </c>
      <c r="AC8" s="4153">
        <f>년간!G157/1000</f>
        <v>7558.1748410170412</v>
      </c>
      <c r="AD8" s="4153">
        <f>년간!H157/1000</f>
        <v>44810.720738177777</v>
      </c>
      <c r="AE8" s="4153" t="e">
        <f>년간!I157/1000</f>
        <v>#DIV/0!</v>
      </c>
      <c r="AF8" s="4153" t="e">
        <f>년간!J157/1000</f>
        <v>#DIV/0!</v>
      </c>
      <c r="AG8" s="4153" t="e">
        <f>년간!K157/1000</f>
        <v>#DIV/0!</v>
      </c>
      <c r="AH8" s="4153" t="e">
        <f>년간!L157/1000</f>
        <v>#DIV/0!</v>
      </c>
      <c r="AI8" s="4153" t="e">
        <f>년간!M157/1000</f>
        <v>#DIV/0!</v>
      </c>
      <c r="AJ8" s="4153" t="e">
        <f>년간!N157/1000</f>
        <v>#DIV/0!</v>
      </c>
      <c r="AK8" s="4153" t="e">
        <f>년간!O157/1000</f>
        <v>#DIV/0!</v>
      </c>
      <c r="AL8" s="4153" t="e">
        <f>년간!P157/1000</f>
        <v>#DIV/0!</v>
      </c>
      <c r="AM8" s="4153" t="e">
        <f>년간!Q157/1000</f>
        <v>#DIV/0!</v>
      </c>
      <c r="AN8" s="5001">
        <f>년간!E157/1000</f>
        <v>45928.851072086029</v>
      </c>
      <c r="AO8" s="5001">
        <f>AB8+AC8+AD8</f>
        <v>73611.436032306723</v>
      </c>
      <c r="AP8" s="5002">
        <f>AO8/AN8</f>
        <v>1.6027275734978099</v>
      </c>
      <c r="AQ8" s="3331" t="s">
        <v>1917</v>
      </c>
      <c r="AR8" s="4565"/>
      <c r="AU8" s="340" t="s">
        <v>2175</v>
      </c>
      <c r="AX8" s="2909"/>
    </row>
    <row r="9" spans="1:50" ht="21" customHeight="1" thickBot="1">
      <c r="A9" s="7827"/>
      <c r="B9" s="2249" t="s">
        <v>831</v>
      </c>
      <c r="C9" s="2306" t="s">
        <v>832</v>
      </c>
      <c r="D9" s="1716"/>
      <c r="E9" s="1717"/>
      <c r="F9" s="1718"/>
      <c r="G9" s="1719">
        <v>692.67000000000007</v>
      </c>
      <c r="H9" s="2857">
        <v>401.6500000000002</v>
      </c>
      <c r="I9" s="2858">
        <v>321.48</v>
      </c>
      <c r="J9" s="2858">
        <v>171.09</v>
      </c>
      <c r="K9" s="6723">
        <v>226.51299999999998</v>
      </c>
      <c r="L9" s="6724">
        <v>68.7</v>
      </c>
      <c r="M9" s="5909">
        <v>48</v>
      </c>
      <c r="N9" s="5910">
        <f>M9/12</f>
        <v>4</v>
      </c>
      <c r="O9" s="2045">
        <v>0</v>
      </c>
      <c r="P9" s="7539">
        <v>0</v>
      </c>
      <c r="Q9" s="7300">
        <v>0</v>
      </c>
      <c r="R9" s="2045">
        <v>0</v>
      </c>
      <c r="S9" s="2112">
        <v>0</v>
      </c>
      <c r="T9" s="2112">
        <v>0</v>
      </c>
      <c r="U9" s="2112">
        <v>0</v>
      </c>
      <c r="V9" s="2112">
        <v>0</v>
      </c>
      <c r="W9" s="2112">
        <v>0</v>
      </c>
      <c r="X9" s="2652">
        <v>0</v>
      </c>
      <c r="Y9" s="5495"/>
      <c r="Z9" s="2652"/>
      <c r="AA9" s="2112">
        <f>SUM(O9:Z9)</f>
        <v>0</v>
      </c>
      <c r="AB9" s="6050">
        <f>($L$9/12-O9)/10*년간!$E$217/1000</f>
        <v>913.48157249999997</v>
      </c>
      <c r="AC9" s="4154">
        <f>($L$9/12-P9)/10*년간!$E$217/1000</f>
        <v>913.48157249999997</v>
      </c>
      <c r="AD9" s="4154">
        <f>($L$9/12-Q9)/10*년간!$E$217/1000</f>
        <v>913.48157249999997</v>
      </c>
      <c r="AE9" s="4154">
        <f>($L$9/12-R9)/10*년간!$E$217/1000</f>
        <v>913.48157249999997</v>
      </c>
      <c r="AF9" s="4154">
        <f>($L$9/12-S9)/10*년간!$E$217/1000</f>
        <v>913.48157249999997</v>
      </c>
      <c r="AG9" s="4154">
        <f>($L$9/12-T9)/10*년간!$E$217/1000</f>
        <v>913.48157249999997</v>
      </c>
      <c r="AH9" s="4154">
        <f>($L$9/12-U9)/10*년간!$E$217/1000</f>
        <v>913.48157249999997</v>
      </c>
      <c r="AI9" s="4154">
        <f>($L$9/12-V9)/10*년간!$E$217/1000</f>
        <v>913.48157249999997</v>
      </c>
      <c r="AJ9" s="4154">
        <f>($L$9/12-W9)/10*년간!$E$217/1000</f>
        <v>913.48157249999997</v>
      </c>
      <c r="AK9" s="4154">
        <f>($L$9/12-X9)/10*년간!$E$217/1000</f>
        <v>913.48157249999997</v>
      </c>
      <c r="AL9" s="4154">
        <f>($L$9/12-Y9)/10*년간!$E$217/1000</f>
        <v>913.48157249999997</v>
      </c>
      <c r="AM9" s="4154">
        <f>($L$9/12-Z9)/10*년간!$E$217/1000</f>
        <v>913.48157249999997</v>
      </c>
      <c r="AN9" s="5003">
        <f>(L9/12-M9/12)*1268.988</f>
        <v>2189.004300000001</v>
      </c>
      <c r="AO9" s="5004">
        <f>AB9+AC9+AD9</f>
        <v>2740.4447175</v>
      </c>
      <c r="AP9" s="2990">
        <f>AO9/AN9</f>
        <v>1.2519138119098252</v>
      </c>
      <c r="AQ9" s="2878" t="s">
        <v>1917</v>
      </c>
      <c r="AR9" s="4565"/>
      <c r="AX9" s="1449"/>
    </row>
    <row r="10" spans="1:50" ht="21" customHeight="1">
      <c r="A10" s="7799" t="s">
        <v>263</v>
      </c>
      <c r="B10" s="1680" t="s">
        <v>349</v>
      </c>
      <c r="C10" s="1468" t="s">
        <v>347</v>
      </c>
      <c r="D10" s="1701">
        <v>100.36</v>
      </c>
      <c r="E10" s="1702">
        <v>100.34</v>
      </c>
      <c r="F10" s="1702">
        <v>100.06</v>
      </c>
      <c r="G10" s="1702">
        <v>99.993385966617737</v>
      </c>
      <c r="H10" s="1702">
        <v>99.508318971028757</v>
      </c>
      <c r="I10" s="1703">
        <v>99.83</v>
      </c>
      <c r="J10" s="1703">
        <v>100.34514607442676</v>
      </c>
      <c r="K10" s="1703">
        <f>년간!C91*100</f>
        <v>100.38300232567896</v>
      </c>
      <c r="L10" s="1703">
        <f>년간!D91*100</f>
        <v>100.57092906575997</v>
      </c>
      <c r="M10" s="5990">
        <f>년간!E91*100</f>
        <v>100.57000000000001</v>
      </c>
      <c r="N10" s="5991">
        <v>100.57</v>
      </c>
      <c r="O10" s="1705">
        <f>년간!F91*100</f>
        <v>100.34082893798045</v>
      </c>
      <c r="P10" s="7569">
        <f>년간!G91*100</f>
        <v>100.28494718498875</v>
      </c>
      <c r="Q10" s="7301">
        <f>년간!H91*100</f>
        <v>100.50867800872562</v>
      </c>
      <c r="R10" s="1705" t="e">
        <f>년간!I91*100</f>
        <v>#DIV/0!</v>
      </c>
      <c r="S10" s="1704" t="e">
        <f>년간!J91*100</f>
        <v>#DIV/0!</v>
      </c>
      <c r="T10" s="1704" t="e">
        <f>년간!K91*100</f>
        <v>#DIV/0!</v>
      </c>
      <c r="U10" s="1704" t="e">
        <f>년간!L91*100</f>
        <v>#DIV/0!</v>
      </c>
      <c r="V10" s="1704" t="e">
        <f>년간!M91*100</f>
        <v>#DIV/0!</v>
      </c>
      <c r="W10" s="1704" t="e">
        <f>년간!N91*100</f>
        <v>#DIV/0!</v>
      </c>
      <c r="X10" s="1604" t="e">
        <f>년간!O91*100</f>
        <v>#DIV/0!</v>
      </c>
      <c r="Y10" s="5511" t="e">
        <f>년간!P91*100</f>
        <v>#DIV/0!</v>
      </c>
      <c r="Z10" s="1604" t="e">
        <f>년간!Q91*100</f>
        <v>#DIV/0!</v>
      </c>
      <c r="AA10" s="1704">
        <f>년간!V91*100</f>
        <v>100.3842945000992</v>
      </c>
      <c r="AB10" s="4511">
        <f>년간!F155/1000</f>
        <v>-13786.65684650543</v>
      </c>
      <c r="AC10" s="1706">
        <f>년간!G155/1000</f>
        <v>-16564.567770030382</v>
      </c>
      <c r="AD10" s="1706">
        <f>년간!H155/1000</f>
        <v>-4183.3089854306663</v>
      </c>
      <c r="AE10" s="1706" t="e">
        <f>년간!I155/1000</f>
        <v>#DIV/0!</v>
      </c>
      <c r="AF10" s="1706" t="e">
        <f>년간!J155/1000</f>
        <v>#DIV/0!</v>
      </c>
      <c r="AG10" s="1706" t="e">
        <f>년간!K155/1000</f>
        <v>#DIV/0!</v>
      </c>
      <c r="AH10" s="1706" t="e">
        <f>년간!L155/1000</f>
        <v>#DIV/0!</v>
      </c>
      <c r="AI10" s="1706" t="e">
        <f>년간!M155/1000</f>
        <v>#DIV/0!</v>
      </c>
      <c r="AJ10" s="1706" t="e">
        <f>년간!N155/1000</f>
        <v>#DIV/0!</v>
      </c>
      <c r="AK10" s="1706" t="e">
        <f>년간!O155/1000</f>
        <v>#DIV/0!</v>
      </c>
      <c r="AL10" s="1706" t="e">
        <f>년간!P155/1000</f>
        <v>#DIV/0!</v>
      </c>
      <c r="AM10" s="1706" t="e">
        <f>년간!Q155/1000</f>
        <v>#DIV/0!</v>
      </c>
      <c r="AN10" s="780">
        <f>년간!E155/1000</f>
        <v>-679.78393099222922</v>
      </c>
      <c r="AO10" s="780">
        <f>AB10+AC10+AD10</f>
        <v>-34534.533601966476</v>
      </c>
      <c r="AP10" s="1707">
        <f>AO10/AN10</f>
        <v>50.802221158065663</v>
      </c>
      <c r="AQ10" s="996" t="s">
        <v>2254</v>
      </c>
      <c r="AR10" s="1607"/>
      <c r="AU10" s="6855" t="s">
        <v>2176</v>
      </c>
      <c r="AX10" s="2909"/>
    </row>
    <row r="11" spans="1:50" ht="21" customHeight="1" thickBot="1">
      <c r="A11" s="7799"/>
      <c r="B11" s="1528" t="s">
        <v>350</v>
      </c>
      <c r="C11" s="1465" t="s">
        <v>305</v>
      </c>
      <c r="D11" s="1686">
        <v>124</v>
      </c>
      <c r="E11" s="1687">
        <v>131.51</v>
      </c>
      <c r="F11" s="1687">
        <v>90.44</v>
      </c>
      <c r="G11" s="1481">
        <v>68.98</v>
      </c>
      <c r="H11" s="1481">
        <v>53.02000000000001</v>
      </c>
      <c r="I11" s="1445">
        <v>95</v>
      </c>
      <c r="J11" s="1445">
        <v>73.749999999999986</v>
      </c>
      <c r="K11" s="5761">
        <f>년간!C24</f>
        <v>73.5</v>
      </c>
      <c r="L11" s="5761">
        <f>년간!D24</f>
        <v>37.17</v>
      </c>
      <c r="M11" s="5992">
        <f>년간!E24</f>
        <v>37.205999999999996</v>
      </c>
      <c r="N11" s="5993">
        <v>3.1004999999999998</v>
      </c>
      <c r="O11" s="7289">
        <f>년간!F24</f>
        <v>3.47</v>
      </c>
      <c r="P11" s="7570">
        <f>년간!G24</f>
        <v>0.96</v>
      </c>
      <c r="Q11" s="7302">
        <f>년간!H24</f>
        <v>5.6</v>
      </c>
      <c r="R11" s="7289">
        <f>년간!I24</f>
        <v>0</v>
      </c>
      <c r="S11" s="4508">
        <f>년간!J24</f>
        <v>0</v>
      </c>
      <c r="T11" s="4508">
        <f>년간!K24</f>
        <v>0</v>
      </c>
      <c r="U11" s="4508">
        <f>년간!L24</f>
        <v>0</v>
      </c>
      <c r="V11" s="4508">
        <f>년간!M24</f>
        <v>0</v>
      </c>
      <c r="W11" s="4508">
        <f>년간!N24</f>
        <v>0</v>
      </c>
      <c r="X11" s="4850">
        <f>년간!O24</f>
        <v>0</v>
      </c>
      <c r="Y11" s="5493">
        <f>년간!P24</f>
        <v>0</v>
      </c>
      <c r="Z11" s="1566">
        <f>년간!Q24</f>
        <v>0</v>
      </c>
      <c r="AA11" s="4508">
        <f>SUM(O11:Z11)</f>
        <v>10.029999999999999</v>
      </c>
      <c r="AB11" s="4478"/>
      <c r="AC11" s="1500"/>
      <c r="AD11" s="1500"/>
      <c r="AE11" s="1500"/>
      <c r="AF11" s="1500"/>
      <c r="AG11" s="1500"/>
      <c r="AH11" s="1500"/>
      <c r="AI11" s="1500"/>
      <c r="AJ11" s="1500"/>
      <c r="AK11" s="1500"/>
      <c r="AL11" s="1500"/>
      <c r="AM11" s="1500"/>
      <c r="AN11" s="1527"/>
      <c r="AO11" s="1527"/>
      <c r="AP11" s="1501"/>
      <c r="AQ11" s="2997"/>
      <c r="AR11" s="1607"/>
      <c r="AX11" s="1449"/>
    </row>
    <row r="12" spans="1:50" ht="21" customHeight="1">
      <c r="A12" s="7798" t="s">
        <v>856</v>
      </c>
      <c r="B12" s="1681" t="s">
        <v>598</v>
      </c>
      <c r="C12" s="954" t="s">
        <v>758</v>
      </c>
      <c r="D12" s="3309">
        <f>281.85</f>
        <v>281.85000000000002</v>
      </c>
      <c r="E12" s="3310">
        <f>453.49</f>
        <v>453.49</v>
      </c>
      <c r="F12" s="3310">
        <f>593.92</f>
        <v>593.91999999999996</v>
      </c>
      <c r="G12" s="3310">
        <f>458.705</f>
        <v>458.70499999999998</v>
      </c>
      <c r="H12" s="3310">
        <f>스크!X13</f>
        <v>418.88499999999999</v>
      </c>
      <c r="I12" s="3311">
        <f>스크!X14</f>
        <v>235.17499999999998</v>
      </c>
      <c r="J12" s="3311">
        <v>310.24</v>
      </c>
      <c r="K12" s="3311">
        <v>272.18</v>
      </c>
      <c r="L12" s="5784">
        <v>307.07000000000005</v>
      </c>
      <c r="M12" s="5901">
        <v>279.04499999999996</v>
      </c>
      <c r="N12" s="5914">
        <f t="shared" ref="N12:N22" si="1">M12/12</f>
        <v>23.253749999999997</v>
      </c>
      <c r="O12" s="3312">
        <f>스크!X19</f>
        <v>38.6</v>
      </c>
      <c r="P12" s="7571">
        <f>스크!X20</f>
        <v>46.86</v>
      </c>
      <c r="Q12" s="7303">
        <f>스크!X21</f>
        <v>59.05</v>
      </c>
      <c r="R12" s="3312">
        <f>스크!X23</f>
        <v>0</v>
      </c>
      <c r="S12" s="3313">
        <f>스크!X24</f>
        <v>0</v>
      </c>
      <c r="T12" s="3313">
        <f>스크!X25</f>
        <v>0</v>
      </c>
      <c r="U12" s="3313">
        <f>스크!X28</f>
        <v>0</v>
      </c>
      <c r="V12" s="3313">
        <f>스크!X29</f>
        <v>0</v>
      </c>
      <c r="W12" s="3313">
        <f>스크!X30</f>
        <v>0</v>
      </c>
      <c r="X12" s="3265">
        <f>스크!X32</f>
        <v>0</v>
      </c>
      <c r="Y12" s="5512">
        <f>스크!X33</f>
        <v>0</v>
      </c>
      <c r="Z12" s="3265">
        <f>스크!X34</f>
        <v>0</v>
      </c>
      <c r="AA12" s="3313">
        <f t="shared" ref="AA12:AA30" si="2">SUM(O12:Z12)</f>
        <v>144.51</v>
      </c>
      <c r="AB12" s="4486"/>
      <c r="AC12" s="959"/>
      <c r="AD12" s="959"/>
      <c r="AE12" s="959"/>
      <c r="AF12" s="959"/>
      <c r="AG12" s="959"/>
      <c r="AH12" s="959"/>
      <c r="AI12" s="959"/>
      <c r="AJ12" s="959"/>
      <c r="AK12" s="959"/>
      <c r="AL12" s="959"/>
      <c r="AM12" s="959"/>
      <c r="AN12" s="1689" t="s">
        <v>530</v>
      </c>
      <c r="AO12" s="1690"/>
      <c r="AP12" s="1691"/>
      <c r="AQ12" s="2934" t="s">
        <v>1463</v>
      </c>
    </row>
    <row r="13" spans="1:50" ht="21" customHeight="1">
      <c r="A13" s="7799"/>
      <c r="B13" s="1528" t="s">
        <v>853</v>
      </c>
      <c r="C13" s="3108" t="s">
        <v>599</v>
      </c>
      <c r="D13" s="1542"/>
      <c r="E13" s="1472"/>
      <c r="F13" s="1472"/>
      <c r="G13" s="1472"/>
      <c r="H13" s="1472">
        <v>62</v>
      </c>
      <c r="I13" s="1473">
        <v>110.32</v>
      </c>
      <c r="J13" s="2551">
        <v>2.89</v>
      </c>
      <c r="K13" s="5778">
        <v>20.137</v>
      </c>
      <c r="L13" s="5785">
        <v>2.96</v>
      </c>
      <c r="M13" s="5913">
        <v>0</v>
      </c>
      <c r="N13" s="5914">
        <f t="shared" si="1"/>
        <v>0</v>
      </c>
      <c r="O13" s="3290">
        <v>0</v>
      </c>
      <c r="P13" s="7542">
        <v>0</v>
      </c>
      <c r="Q13" s="7304">
        <v>0</v>
      </c>
      <c r="R13" s="3290">
        <v>0</v>
      </c>
      <c r="S13" s="3252">
        <v>0</v>
      </c>
      <c r="T13" s="3252">
        <v>0</v>
      </c>
      <c r="U13" s="3252">
        <v>0</v>
      </c>
      <c r="V13" s="3252">
        <v>0</v>
      </c>
      <c r="W13" s="3252">
        <v>0</v>
      </c>
      <c r="X13" s="3701">
        <v>0</v>
      </c>
      <c r="Y13" s="4984"/>
      <c r="Z13" s="2641"/>
      <c r="AA13" s="4460">
        <f t="shared" si="2"/>
        <v>0</v>
      </c>
      <c r="AB13" s="4472"/>
      <c r="AC13" s="1540"/>
      <c r="AD13" s="1540"/>
      <c r="AE13" s="1540"/>
      <c r="AF13" s="1540"/>
      <c r="AG13" s="1540"/>
      <c r="AH13" s="1540"/>
      <c r="AI13" s="1540"/>
      <c r="AJ13" s="1540"/>
      <c r="AK13" s="1540"/>
      <c r="AL13" s="1540"/>
      <c r="AM13" s="1540"/>
      <c r="AN13" s="1541" t="s">
        <v>855</v>
      </c>
      <c r="AO13" s="1541"/>
      <c r="AP13" s="1539"/>
      <c r="AQ13" s="3720" t="s">
        <v>1464</v>
      </c>
    </row>
    <row r="14" spans="1:50" ht="21" customHeight="1">
      <c r="A14" s="7799"/>
      <c r="B14" s="1528" t="s">
        <v>854</v>
      </c>
      <c r="C14" s="3108" t="s">
        <v>599</v>
      </c>
      <c r="D14" s="1542">
        <v>277</v>
      </c>
      <c r="E14" s="1472">
        <v>379.22</v>
      </c>
      <c r="F14" s="1472">
        <v>449.47</v>
      </c>
      <c r="G14" s="1472">
        <f>679.82</f>
        <v>679.82</v>
      </c>
      <c r="H14" s="1472">
        <f>413.647</f>
        <v>413.64699999999999</v>
      </c>
      <c r="I14" s="1473">
        <f>77.4</f>
        <v>77.400000000000006</v>
      </c>
      <c r="J14" s="2551">
        <v>128.14100000000002</v>
      </c>
      <c r="K14" s="5778">
        <v>93.301999999999992</v>
      </c>
      <c r="L14" s="5785">
        <v>146.72999999999999</v>
      </c>
      <c r="M14" s="5913">
        <v>124.02</v>
      </c>
      <c r="N14" s="5914">
        <f t="shared" si="1"/>
        <v>10.334999999999999</v>
      </c>
      <c r="O14" s="3290">
        <v>13.234</v>
      </c>
      <c r="P14" s="7542">
        <v>9.9049999999999994</v>
      </c>
      <c r="Q14" s="7304">
        <v>6.6619999999999999</v>
      </c>
      <c r="R14" s="3290">
        <v>0</v>
      </c>
      <c r="S14" s="3252">
        <v>0</v>
      </c>
      <c r="T14" s="3252">
        <v>0</v>
      </c>
      <c r="U14" s="3252">
        <v>0</v>
      </c>
      <c r="V14" s="3252">
        <v>0</v>
      </c>
      <c r="W14" s="3252">
        <v>0</v>
      </c>
      <c r="X14" s="3701">
        <v>0</v>
      </c>
      <c r="Y14" s="4984"/>
      <c r="Z14" s="2641"/>
      <c r="AA14" s="4460">
        <f t="shared" si="2"/>
        <v>29.800999999999998</v>
      </c>
      <c r="AB14" s="6055">
        <f>($L$14/12-O14)*년간!$C$217/1000</f>
        <v>-1227.2396962049404</v>
      </c>
      <c r="AC14" s="4178">
        <f>($L$14/12-P14)*년간!$C$217/1000</f>
        <v>2831.85712313559</v>
      </c>
      <c r="AD14" s="4178">
        <f>($L$14/12-Q14)*년간!$C$217/1000</f>
        <v>6786.0929252146943</v>
      </c>
      <c r="AE14" s="4178">
        <f>($L$14/12-R14)*년간!$C$217/1000</f>
        <v>14909.163820512564</v>
      </c>
      <c r="AF14" s="4178">
        <f>($L$14/12-S14)*년간!$C$217/1000</f>
        <v>14909.163820512564</v>
      </c>
      <c r="AG14" s="4178">
        <f>($L$14/12-T14)*년간!$C$217/1000</f>
        <v>14909.163820512564</v>
      </c>
      <c r="AH14" s="4178">
        <f>($L$14/12-U14)*년간!$C$217/1000</f>
        <v>14909.163820512564</v>
      </c>
      <c r="AI14" s="4178">
        <f>($L$14/12-V14)*년간!$C$217/1000</f>
        <v>14909.163820512564</v>
      </c>
      <c r="AJ14" s="4178">
        <f>($L$14/12-W14)*년간!$C$217/1000</f>
        <v>14909.163820512564</v>
      </c>
      <c r="AK14" s="4178">
        <f>($L$14/12-X14)*년간!$C$217/1000</f>
        <v>14909.163820512564</v>
      </c>
      <c r="AL14" s="4178">
        <f>($L$14/12-Y14)*년간!$C$217/1000</f>
        <v>14909.163820512564</v>
      </c>
      <c r="AM14" s="4178">
        <f>($L$14/12-Z14)*년간!$C$217/1000</f>
        <v>14909.163820512564</v>
      </c>
      <c r="AN14" s="1540">
        <f>(L14-M14)*년간!C217/1000</f>
        <v>27690.624441941545</v>
      </c>
      <c r="AO14" s="1541">
        <f>AB14+AC14+AD14</f>
        <v>8390.7103521453446</v>
      </c>
      <c r="AP14" s="1692">
        <f>AO14/AN14</f>
        <v>0.30301629238221051</v>
      </c>
      <c r="AQ14" s="4512" t="s">
        <v>1465</v>
      </c>
      <c r="AR14" s="2109" t="s">
        <v>1120</v>
      </c>
      <c r="AS14" s="2109"/>
    </row>
    <row r="15" spans="1:50" ht="21" customHeight="1">
      <c r="A15" s="7799"/>
      <c r="B15" s="1528" t="s">
        <v>852</v>
      </c>
      <c r="C15" s="3108" t="s">
        <v>599</v>
      </c>
      <c r="D15" s="1542"/>
      <c r="E15" s="1472"/>
      <c r="F15" s="1472"/>
      <c r="G15" s="1472"/>
      <c r="H15" s="1472">
        <f>490</f>
        <v>490</v>
      </c>
      <c r="I15" s="1473">
        <v>304</v>
      </c>
      <c r="J15" s="2551">
        <v>305.80000000000007</v>
      </c>
      <c r="K15" s="5778">
        <v>265.07299999999998</v>
      </c>
      <c r="L15" s="5785">
        <v>256.37999999999994</v>
      </c>
      <c r="M15" s="5913">
        <v>272.84399999999999</v>
      </c>
      <c r="N15" s="5914">
        <f t="shared" si="1"/>
        <v>22.736999999999998</v>
      </c>
      <c r="O15" s="3141">
        <v>19.22</v>
      </c>
      <c r="P15" s="7542">
        <v>20.56</v>
      </c>
      <c r="Q15" s="7304">
        <v>20.28</v>
      </c>
      <c r="R15" s="3290">
        <v>0</v>
      </c>
      <c r="S15" s="3252">
        <v>0</v>
      </c>
      <c r="T15" s="3252">
        <v>0</v>
      </c>
      <c r="U15" s="3252">
        <v>0</v>
      </c>
      <c r="V15" s="3252">
        <v>0</v>
      </c>
      <c r="W15" s="3252">
        <v>0</v>
      </c>
      <c r="X15" s="3701">
        <v>0</v>
      </c>
      <c r="Y15" s="4984"/>
      <c r="Z15" s="2641"/>
      <c r="AA15" s="4460">
        <f t="shared" si="2"/>
        <v>60.06</v>
      </c>
      <c r="AB15" s="4472"/>
      <c r="AC15" s="1540"/>
      <c r="AD15" s="1540"/>
      <c r="AE15" s="1540"/>
      <c r="AF15" s="1540"/>
      <c r="AG15" s="1540"/>
      <c r="AH15" s="1540"/>
      <c r="AI15" s="1540"/>
      <c r="AJ15" s="1540"/>
      <c r="AK15" s="1540"/>
      <c r="AL15" s="1540"/>
      <c r="AM15" s="1540"/>
      <c r="AN15" s="1541" t="s">
        <v>855</v>
      </c>
      <c r="AO15" s="1541"/>
      <c r="AP15" s="1539"/>
      <c r="AQ15" s="4512" t="s">
        <v>1466</v>
      </c>
    </row>
    <row r="16" spans="1:50" s="1453" customFormat="1" ht="21" customHeight="1">
      <c r="A16" s="7799"/>
      <c r="B16" s="1521" t="s">
        <v>1076</v>
      </c>
      <c r="C16" s="3108" t="s">
        <v>996</v>
      </c>
      <c r="D16" s="2552">
        <v>248</v>
      </c>
      <c r="E16" s="2552">
        <v>248</v>
      </c>
      <c r="F16" s="2552">
        <v>248</v>
      </c>
      <c r="G16" s="2552">
        <v>248</v>
      </c>
      <c r="H16" s="2552">
        <v>248</v>
      </c>
      <c r="I16" s="2552"/>
      <c r="J16" s="2552">
        <v>248</v>
      </c>
      <c r="K16" s="5779">
        <v>211.26499999999999</v>
      </c>
      <c r="L16" s="5786">
        <v>13.66</v>
      </c>
      <c r="M16" s="5913">
        <v>12</v>
      </c>
      <c r="N16" s="5914">
        <f t="shared" si="1"/>
        <v>1</v>
      </c>
      <c r="O16" s="3141">
        <v>0</v>
      </c>
      <c r="P16" s="7572">
        <v>0</v>
      </c>
      <c r="Q16" s="7304">
        <v>0</v>
      </c>
      <c r="R16" s="3290">
        <v>0</v>
      </c>
      <c r="S16" s="3252">
        <v>0</v>
      </c>
      <c r="T16" s="3252">
        <v>0</v>
      </c>
      <c r="U16" s="3252">
        <v>0</v>
      </c>
      <c r="V16" s="3252">
        <v>0</v>
      </c>
      <c r="W16" s="3252">
        <v>0</v>
      </c>
      <c r="X16" s="3701">
        <v>0</v>
      </c>
      <c r="Y16" s="4984"/>
      <c r="Z16" s="2641"/>
      <c r="AA16" s="4460">
        <f t="shared" si="2"/>
        <v>0</v>
      </c>
      <c r="AB16" s="4472"/>
      <c r="AC16" s="1540"/>
      <c r="AD16" s="1540"/>
      <c r="AE16" s="1540"/>
      <c r="AF16" s="1540"/>
      <c r="AG16" s="1540"/>
      <c r="AH16" s="1540"/>
      <c r="AI16" s="1540"/>
      <c r="AJ16" s="1540"/>
      <c r="AK16" s="1540"/>
      <c r="AL16" s="1540"/>
      <c r="AM16" s="1540"/>
      <c r="AN16" s="1541"/>
      <c r="AO16" s="1541"/>
      <c r="AP16" s="1539"/>
      <c r="AQ16" s="3687" t="s">
        <v>1467</v>
      </c>
      <c r="AR16" s="1453" t="s">
        <v>1388</v>
      </c>
    </row>
    <row r="17" spans="1:48" s="1453" customFormat="1" ht="21" customHeight="1">
      <c r="A17" s="7799"/>
      <c r="B17" s="1521" t="s">
        <v>1113</v>
      </c>
      <c r="C17" s="3108" t="s">
        <v>996</v>
      </c>
      <c r="D17" s="3314"/>
      <c r="E17" s="3315"/>
      <c r="F17" s="3315"/>
      <c r="G17" s="3315"/>
      <c r="H17" s="3315"/>
      <c r="I17" s="3316"/>
      <c r="J17" s="3317"/>
      <c r="K17" s="5780">
        <v>151.458</v>
      </c>
      <c r="L17" s="5787">
        <v>86.700000000000017</v>
      </c>
      <c r="M17" s="5913">
        <v>86.813999999999993</v>
      </c>
      <c r="N17" s="5914">
        <f t="shared" si="1"/>
        <v>7.2344999999999997</v>
      </c>
      <c r="O17" s="3222">
        <v>3.8</v>
      </c>
      <c r="P17" s="7573">
        <v>0</v>
      </c>
      <c r="Q17" s="7306">
        <v>10.34</v>
      </c>
      <c r="R17" s="7290">
        <v>0</v>
      </c>
      <c r="S17" s="4628">
        <v>0</v>
      </c>
      <c r="T17" s="4628">
        <v>0</v>
      </c>
      <c r="U17" s="4628">
        <v>0</v>
      </c>
      <c r="V17" s="4628">
        <v>0</v>
      </c>
      <c r="W17" s="4628">
        <v>0</v>
      </c>
      <c r="X17" s="6105">
        <v>0</v>
      </c>
      <c r="Y17" s="5513"/>
      <c r="Z17" s="3318"/>
      <c r="AA17" s="4461">
        <f t="shared" si="2"/>
        <v>14.14</v>
      </c>
      <c r="AB17" s="4472"/>
      <c r="AC17" s="1540"/>
      <c r="AD17" s="1540"/>
      <c r="AE17" s="1540"/>
      <c r="AF17" s="1540"/>
      <c r="AG17" s="1540"/>
      <c r="AH17" s="1540"/>
      <c r="AI17" s="1540"/>
      <c r="AJ17" s="1540"/>
      <c r="AK17" s="1540"/>
      <c r="AL17" s="1540"/>
      <c r="AM17" s="1540"/>
      <c r="AN17" s="1541"/>
      <c r="AO17" s="1541"/>
      <c r="AP17" s="1539"/>
      <c r="AQ17" s="3687" t="s">
        <v>1468</v>
      </c>
    </row>
    <row r="18" spans="1:48" s="1453" customFormat="1" ht="21" customHeight="1">
      <c r="A18" s="7799"/>
      <c r="B18" s="1521" t="s">
        <v>1019</v>
      </c>
      <c r="C18" s="3108" t="s">
        <v>996</v>
      </c>
      <c r="D18" s="1542">
        <v>12.696</v>
      </c>
      <c r="E18" s="1472">
        <v>12.696</v>
      </c>
      <c r="F18" s="1472">
        <v>12.696</v>
      </c>
      <c r="G18" s="1472">
        <v>12.696</v>
      </c>
      <c r="H18" s="1652">
        <v>12.696</v>
      </c>
      <c r="I18" s="1653"/>
      <c r="J18" s="2552">
        <v>12.696</v>
      </c>
      <c r="K18" s="5779">
        <v>12.643999999999998</v>
      </c>
      <c r="L18" s="5786">
        <v>47.768000000000001</v>
      </c>
      <c r="M18" s="5913">
        <v>16</v>
      </c>
      <c r="N18" s="5914">
        <f t="shared" si="1"/>
        <v>1.3333333333333333</v>
      </c>
      <c r="O18" s="3141">
        <v>26.77</v>
      </c>
      <c r="P18" s="7542">
        <v>55.369</v>
      </c>
      <c r="Q18" s="7304">
        <v>35.39</v>
      </c>
      <c r="R18" s="3290">
        <v>0</v>
      </c>
      <c r="S18" s="3252">
        <v>0</v>
      </c>
      <c r="T18" s="3252">
        <v>0</v>
      </c>
      <c r="U18" s="3252">
        <v>0</v>
      </c>
      <c r="V18" s="3252">
        <v>0</v>
      </c>
      <c r="W18" s="3252">
        <v>0</v>
      </c>
      <c r="X18" s="3701">
        <v>0</v>
      </c>
      <c r="Y18" s="4984"/>
      <c r="Z18" s="2641"/>
      <c r="AA18" s="4460">
        <f t="shared" si="2"/>
        <v>117.529</v>
      </c>
      <c r="AB18" s="4472"/>
      <c r="AC18" s="1540"/>
      <c r="AD18" s="1540"/>
      <c r="AE18" s="1540"/>
      <c r="AF18" s="1540"/>
      <c r="AG18" s="1540"/>
      <c r="AH18" s="1540"/>
      <c r="AI18" s="1540"/>
      <c r="AJ18" s="1540"/>
      <c r="AK18" s="1540"/>
      <c r="AL18" s="1540"/>
      <c r="AM18" s="1540"/>
      <c r="AN18" s="1541"/>
      <c r="AO18" s="1541"/>
      <c r="AP18" s="1539"/>
      <c r="AQ18" s="4512" t="s">
        <v>1469</v>
      </c>
    </row>
    <row r="19" spans="1:48" s="1453" customFormat="1" ht="21" customHeight="1">
      <c r="A19" s="7799"/>
      <c r="B19" s="1521" t="s">
        <v>1018</v>
      </c>
      <c r="C19" s="3108" t="s">
        <v>996</v>
      </c>
      <c r="D19" s="3314"/>
      <c r="E19" s="3315"/>
      <c r="F19" s="3315"/>
      <c r="G19" s="3315"/>
      <c r="H19" s="3315"/>
      <c r="I19" s="3316"/>
      <c r="J19" s="3317">
        <v>50.28</v>
      </c>
      <c r="K19" s="5780">
        <v>31.545000000000002</v>
      </c>
      <c r="L19" s="5787">
        <v>62.910000000000004</v>
      </c>
      <c r="M19" s="5913">
        <v>48</v>
      </c>
      <c r="N19" s="5914">
        <f t="shared" si="1"/>
        <v>4</v>
      </c>
      <c r="O19" s="7290">
        <v>0.3</v>
      </c>
      <c r="P19" s="7574">
        <v>0</v>
      </c>
      <c r="Q19" s="7306">
        <v>0.6</v>
      </c>
      <c r="R19" s="7290">
        <v>0</v>
      </c>
      <c r="S19" s="4628">
        <v>0</v>
      </c>
      <c r="T19" s="4628">
        <v>0</v>
      </c>
      <c r="U19" s="4628">
        <v>0</v>
      </c>
      <c r="V19" s="4628">
        <v>0</v>
      </c>
      <c r="W19" s="4628">
        <v>0</v>
      </c>
      <c r="X19" s="6105">
        <v>0</v>
      </c>
      <c r="Y19" s="5513"/>
      <c r="Z19" s="3318"/>
      <c r="AA19" s="4461">
        <f t="shared" si="2"/>
        <v>0.89999999999999991</v>
      </c>
      <c r="AB19" s="4472"/>
      <c r="AC19" s="1540"/>
      <c r="AD19" s="1540"/>
      <c r="AE19" s="1540"/>
      <c r="AF19" s="1540"/>
      <c r="AG19" s="1540"/>
      <c r="AH19" s="1540"/>
      <c r="AI19" s="1540"/>
      <c r="AJ19" s="1540"/>
      <c r="AK19" s="1540"/>
      <c r="AL19" s="1540"/>
      <c r="AM19" s="1540"/>
      <c r="AN19" s="1541"/>
      <c r="AO19" s="1541"/>
      <c r="AP19" s="1539"/>
      <c r="AQ19" s="4512" t="s">
        <v>1470</v>
      </c>
      <c r="AR19" s="4565"/>
      <c r="AS19" s="4565"/>
      <c r="AT19" s="4565"/>
      <c r="AU19" s="4565"/>
      <c r="AV19" s="1607"/>
    </row>
    <row r="20" spans="1:48" s="1453" customFormat="1" ht="21" customHeight="1">
      <c r="A20" s="7799"/>
      <c r="B20" s="1521" t="s">
        <v>1729</v>
      </c>
      <c r="C20" s="3108"/>
      <c r="D20" s="1542">
        <v>6.5420000000000016</v>
      </c>
      <c r="E20" s="1472">
        <v>6.5420000000000016</v>
      </c>
      <c r="F20" s="1472">
        <v>6.5420000000000016</v>
      </c>
      <c r="G20" s="1472">
        <v>6.5420000000000016</v>
      </c>
      <c r="H20" s="1652">
        <v>6.5420000000000016</v>
      </c>
      <c r="I20" s="1653"/>
      <c r="J20" s="2552"/>
      <c r="K20" s="5779">
        <v>6.5420000000000016</v>
      </c>
      <c r="L20" s="5786">
        <v>18.358000000000001</v>
      </c>
      <c r="M20" s="5913">
        <v>12</v>
      </c>
      <c r="N20" s="5914">
        <f t="shared" si="1"/>
        <v>1</v>
      </c>
      <c r="O20" s="1563">
        <v>3</v>
      </c>
      <c r="P20" s="7542">
        <v>0</v>
      </c>
      <c r="Q20" s="7304">
        <v>2.1930000000000001</v>
      </c>
      <c r="R20" s="3290">
        <v>0</v>
      </c>
      <c r="S20" s="3252">
        <v>0</v>
      </c>
      <c r="T20" s="3252">
        <v>0</v>
      </c>
      <c r="U20" s="3252">
        <v>0</v>
      </c>
      <c r="V20" s="3252">
        <v>0</v>
      </c>
      <c r="W20" s="3252">
        <v>0</v>
      </c>
      <c r="X20" s="3701">
        <v>0</v>
      </c>
      <c r="Y20" s="4984"/>
      <c r="Z20" s="2641"/>
      <c r="AA20" s="4460">
        <f t="shared" si="2"/>
        <v>5.1929999999999996</v>
      </c>
      <c r="AB20" s="4472"/>
      <c r="AC20" s="1540"/>
      <c r="AD20" s="1540"/>
      <c r="AE20" s="1540"/>
      <c r="AF20" s="1540"/>
      <c r="AG20" s="1540"/>
      <c r="AH20" s="1540"/>
      <c r="AI20" s="1540"/>
      <c r="AJ20" s="1540"/>
      <c r="AK20" s="1540"/>
      <c r="AL20" s="1540"/>
      <c r="AM20" s="1540"/>
      <c r="AN20" s="1541"/>
      <c r="AO20" s="1541"/>
      <c r="AP20" s="1539"/>
      <c r="AQ20" s="3687" t="s">
        <v>1471</v>
      </c>
    </row>
    <row r="21" spans="1:48" ht="21" customHeight="1">
      <c r="A21" s="7799"/>
      <c r="B21" s="1528" t="s">
        <v>897</v>
      </c>
      <c r="C21" s="2980" t="s">
        <v>898</v>
      </c>
      <c r="D21" s="3314">
        <v>121.2</v>
      </c>
      <c r="E21" s="3315">
        <v>271.89999999999998</v>
      </c>
      <c r="F21" s="3315">
        <v>144.80000000000001</v>
      </c>
      <c r="G21" s="3315">
        <v>389.9</v>
      </c>
      <c r="H21" s="3315">
        <v>892.3</v>
      </c>
      <c r="I21" s="3316">
        <v>479.8</v>
      </c>
      <c r="J21" s="3317">
        <v>550.02</v>
      </c>
      <c r="K21" s="5780">
        <v>404.41999999999996</v>
      </c>
      <c r="L21" s="5787">
        <v>287.53999999999996</v>
      </c>
      <c r="M21" s="5913">
        <v>310.05</v>
      </c>
      <c r="N21" s="5914">
        <f t="shared" si="1"/>
        <v>25.837500000000002</v>
      </c>
      <c r="O21" s="3319">
        <f>스크!V19</f>
        <v>37.58</v>
      </c>
      <c r="P21" s="7575">
        <f>스크!V20</f>
        <v>11.29</v>
      </c>
      <c r="Q21" s="7566">
        <f>스크!V21</f>
        <v>79.33</v>
      </c>
      <c r="R21" s="7565">
        <f>스크!V23</f>
        <v>0</v>
      </c>
      <c r="S21" s="4461">
        <f>스크!V24</f>
        <v>0</v>
      </c>
      <c r="T21" s="4461">
        <f>스크!V25</f>
        <v>0</v>
      </c>
      <c r="U21" s="4461">
        <f>스크!V28</f>
        <v>0</v>
      </c>
      <c r="V21" s="4461">
        <f>스크!V29</f>
        <v>0</v>
      </c>
      <c r="W21" s="4461">
        <f>스크!V30</f>
        <v>0</v>
      </c>
      <c r="X21" s="4847">
        <f>스크!V32</f>
        <v>0</v>
      </c>
      <c r="Y21" s="5514">
        <f>스크!V33</f>
        <v>0</v>
      </c>
      <c r="Z21" s="3300">
        <f>스크!V34</f>
        <v>0</v>
      </c>
      <c r="AA21" s="4461">
        <f t="shared" si="2"/>
        <v>128.19999999999999</v>
      </c>
      <c r="AB21" s="4472"/>
      <c r="AC21" s="1540"/>
      <c r="AD21" s="1540"/>
      <c r="AE21" s="1540"/>
      <c r="AF21" s="1540"/>
      <c r="AG21" s="1540"/>
      <c r="AH21" s="1540"/>
      <c r="AI21" s="1540"/>
      <c r="AJ21" s="1540"/>
      <c r="AK21" s="1540"/>
      <c r="AL21" s="1540"/>
      <c r="AM21" s="1540"/>
      <c r="AN21" s="1541"/>
      <c r="AO21" s="1541"/>
      <c r="AP21" s="1539"/>
      <c r="AQ21" s="3687" t="s">
        <v>1472</v>
      </c>
    </row>
    <row r="22" spans="1:48" ht="21" customHeight="1">
      <c r="A22" s="7799"/>
      <c r="B22" s="1521" t="s">
        <v>751</v>
      </c>
      <c r="C22" s="3108" t="s">
        <v>762</v>
      </c>
      <c r="D22" s="3305">
        <f t="shared" ref="D22:K22" si="3">SUM(D13:D21)</f>
        <v>665.4380000000001</v>
      </c>
      <c r="E22" s="1471">
        <f t="shared" si="3"/>
        <v>918.35800000000006</v>
      </c>
      <c r="F22" s="1471">
        <f t="shared" si="3"/>
        <v>861.50800000000004</v>
      </c>
      <c r="G22" s="1471">
        <f t="shared" si="3"/>
        <v>1336.9580000000001</v>
      </c>
      <c r="H22" s="1471">
        <f t="shared" si="3"/>
        <v>2125.1849999999995</v>
      </c>
      <c r="I22" s="1471">
        <f t="shared" si="3"/>
        <v>971.52</v>
      </c>
      <c r="J22" s="1471">
        <f t="shared" si="3"/>
        <v>1297.8270000000002</v>
      </c>
      <c r="K22" s="3274">
        <f t="shared" si="3"/>
        <v>1196.386</v>
      </c>
      <c r="L22" s="5773">
        <v>923.00600000000009</v>
      </c>
      <c r="M22" s="5994">
        <f>SUM(M13:M21)</f>
        <v>881.72800000000007</v>
      </c>
      <c r="N22" s="5914">
        <f t="shared" si="1"/>
        <v>73.477333333333334</v>
      </c>
      <c r="O22" s="4988">
        <f>SUM(O13:O21)</f>
        <v>103.904</v>
      </c>
      <c r="P22" s="7538">
        <f>SUM(P13:P21)</f>
        <v>97.123999999999995</v>
      </c>
      <c r="Q22" s="7299">
        <f t="shared" ref="Q22:Z22" si="4">SUM(Q13:Q21)</f>
        <v>154.79499999999999</v>
      </c>
      <c r="R22" s="4626">
        <f t="shared" si="4"/>
        <v>0</v>
      </c>
      <c r="S22" s="4460">
        <f t="shared" si="4"/>
        <v>0</v>
      </c>
      <c r="T22" s="4460">
        <f t="shared" si="4"/>
        <v>0</v>
      </c>
      <c r="U22" s="4460">
        <f t="shared" si="4"/>
        <v>0</v>
      </c>
      <c r="V22" s="4460">
        <f t="shared" si="4"/>
        <v>0</v>
      </c>
      <c r="W22" s="4460">
        <f t="shared" si="4"/>
        <v>0</v>
      </c>
      <c r="X22" s="3308">
        <f t="shared" si="4"/>
        <v>0</v>
      </c>
      <c r="Y22" s="4630">
        <f t="shared" si="4"/>
        <v>0</v>
      </c>
      <c r="Z22" s="3308">
        <f t="shared" si="4"/>
        <v>0</v>
      </c>
      <c r="AA22" s="4460">
        <f t="shared" si="2"/>
        <v>355.82299999999998</v>
      </c>
      <c r="AB22" s="4478"/>
      <c r="AC22" s="1500"/>
      <c r="AD22" s="1500"/>
      <c r="AE22" s="1500"/>
      <c r="AF22" s="1500"/>
      <c r="AG22" s="1500"/>
      <c r="AH22" s="1500"/>
      <c r="AI22" s="1500"/>
      <c r="AJ22" s="1500"/>
      <c r="AK22" s="1500"/>
      <c r="AL22" s="1500"/>
      <c r="AM22" s="1500"/>
      <c r="AN22" s="1693"/>
      <c r="AO22" s="1694"/>
      <c r="AP22" s="1695"/>
      <c r="AQ22" s="4512" t="s">
        <v>1473</v>
      </c>
    </row>
    <row r="23" spans="1:48" ht="21" customHeight="1">
      <c r="A23" s="7799"/>
      <c r="B23" s="1963" t="s">
        <v>899</v>
      </c>
      <c r="C23" s="3108" t="s">
        <v>531</v>
      </c>
      <c r="D23" s="3306">
        <v>8.2911105922346788</v>
      </c>
      <c r="E23" s="3301">
        <v>11.655086504856463</v>
      </c>
      <c r="F23" s="3321">
        <f t="shared" ref="F23:K23" si="5">(F13+F14+F15+F16+F18+F20)*1000/F5</f>
        <v>13.684172742088972</v>
      </c>
      <c r="G23" s="3321">
        <f t="shared" si="5"/>
        <v>19.443572183433837</v>
      </c>
      <c r="H23" s="3321">
        <f t="shared" si="5"/>
        <v>19.620948081295719</v>
      </c>
      <c r="I23" s="3321">
        <f t="shared" si="5"/>
        <v>10.88309503784693</v>
      </c>
      <c r="J23" s="3321">
        <f t="shared" si="5"/>
        <v>12.763998682476945</v>
      </c>
      <c r="K23" s="5781">
        <f t="shared" si="5"/>
        <v>11.546987385240101</v>
      </c>
      <c r="L23" s="3302">
        <v>8.6586300150977475</v>
      </c>
      <c r="M23" s="5995">
        <f t="shared" ref="M23:AA23" si="6">(M13+M14+M15+M16+M18+M20)*1000/M5</f>
        <v>7.2343800771309077</v>
      </c>
      <c r="N23" s="5996">
        <f>(N13+N14+N15+N16+N18+N20)*1000/N5</f>
        <v>7.2343800771309068</v>
      </c>
      <c r="O23" s="3320">
        <f t="shared" si="6"/>
        <v>12.610962035783485</v>
      </c>
      <c r="P23" s="7576">
        <f>(P13+P14+P15+P16+P18+P20)*1000/P5</f>
        <v>17.743095749958655</v>
      </c>
      <c r="Q23" s="7307">
        <f t="shared" si="6"/>
        <v>10.790115735592416</v>
      </c>
      <c r="R23" s="4614" t="e">
        <f t="shared" si="6"/>
        <v>#DIV/0!</v>
      </c>
      <c r="S23" s="3255" t="e">
        <f t="shared" si="6"/>
        <v>#DIV/0!</v>
      </c>
      <c r="T23" s="3255" t="e">
        <f t="shared" si="6"/>
        <v>#DIV/0!</v>
      </c>
      <c r="U23" s="3255" t="e">
        <f t="shared" si="6"/>
        <v>#DIV/0!</v>
      </c>
      <c r="V23" s="3255" t="e">
        <f t="shared" si="6"/>
        <v>#DIV/0!</v>
      </c>
      <c r="W23" s="3255" t="e">
        <f t="shared" si="6"/>
        <v>#DIV/0!</v>
      </c>
      <c r="X23" s="3322" t="e">
        <f t="shared" si="6"/>
        <v>#DIV/0!</v>
      </c>
      <c r="Y23" s="4631" t="e">
        <f t="shared" si="6"/>
        <v>#DIV/0!</v>
      </c>
      <c r="Z23" s="3322" t="e">
        <f t="shared" si="6"/>
        <v>#DIV/0!</v>
      </c>
      <c r="AA23" s="3255">
        <f t="shared" si="6"/>
        <v>13.495850931929381</v>
      </c>
      <c r="AB23" s="6055">
        <f>($L$23-O23)*년간!$C$217*O5/1000000</f>
        <v>-23778.187302031445</v>
      </c>
      <c r="AC23" s="4178">
        <f>($L$23-P23)*년간!$C$217*P5/1000000</f>
        <v>-53585.213082432303</v>
      </c>
      <c r="AD23" s="4178">
        <f>($L$23-Q23)*년간!$C$217*Q5/1000000</f>
        <v>-15541.751226217026</v>
      </c>
      <c r="AE23" s="4178" t="e">
        <f>($L$23-R23)*년간!$C$217*R5/1000000</f>
        <v>#DIV/0!</v>
      </c>
      <c r="AF23" s="4178" t="e">
        <f>($L$23-S23)*년간!$C$217*S5/1000000</f>
        <v>#DIV/0!</v>
      </c>
      <c r="AG23" s="4178" t="e">
        <f>($L$23-T23)*년간!$C$217*T5/1000000</f>
        <v>#DIV/0!</v>
      </c>
      <c r="AH23" s="4178" t="e">
        <f>($L$23-U23)*년간!$C$217*U5/1000000</f>
        <v>#DIV/0!</v>
      </c>
      <c r="AI23" s="4178" t="e">
        <f>($L$23-V23)*년간!$C$217*V5/1000000</f>
        <v>#DIV/0!</v>
      </c>
      <c r="AJ23" s="4178" t="e">
        <f>($L$23-W23)*년간!$C$217*W5/1000000</f>
        <v>#DIV/0!</v>
      </c>
      <c r="AK23" s="4178" t="e">
        <f>($L$23-X23)*년간!$C$217*X5/1000000</f>
        <v>#DIV/0!</v>
      </c>
      <c r="AL23" s="4178" t="e">
        <f>($L$23-Y23)*년간!$C$217*Y5/1000000</f>
        <v>#DIV/0!</v>
      </c>
      <c r="AM23" s="4178" t="e">
        <f>($L$23-Z23)*년간!$C$217*Z5/1000000</f>
        <v>#DIV/0!</v>
      </c>
      <c r="AN23" s="4998">
        <f>(L23-M23)*M5*년간!C217/1000000</f>
        <v>104868.91158836459</v>
      </c>
      <c r="AO23" s="1541">
        <f>AB23+AC23+AD23</f>
        <v>-92905.151610680768</v>
      </c>
      <c r="AP23" s="1539">
        <f>AO23/AN23</f>
        <v>-0.8859170006012419</v>
      </c>
      <c r="AQ23" s="996" t="s">
        <v>2255</v>
      </c>
      <c r="AR23" s="340" t="s">
        <v>1110</v>
      </c>
    </row>
    <row r="24" spans="1:48" s="1453" customFormat="1" ht="17.25" thickBot="1">
      <c r="A24" s="7672"/>
      <c r="B24" s="1521" t="s">
        <v>1458</v>
      </c>
      <c r="C24" s="2955" t="s">
        <v>266</v>
      </c>
      <c r="D24" s="3307">
        <f>스크!AA9</f>
        <v>8.2911105922346788</v>
      </c>
      <c r="E24" s="3303">
        <f>스크!AA10</f>
        <v>11.655086504856463</v>
      </c>
      <c r="F24" s="3303">
        <f>스크!AA11</f>
        <v>15.074693663590669</v>
      </c>
      <c r="G24" s="3303">
        <f>스크!AA12</f>
        <v>19.343927791956471</v>
      </c>
      <c r="H24" s="3303">
        <f>스크!AA13</f>
        <v>20.895347900877322</v>
      </c>
      <c r="I24" s="3303">
        <f>스크!AA14</f>
        <v>15.856893496308224</v>
      </c>
      <c r="J24" s="3304">
        <f>스크!AA15</f>
        <v>15.807687922740499</v>
      </c>
      <c r="K24" s="5782">
        <f>스크!AA16</f>
        <v>12.840538296772625</v>
      </c>
      <c r="L24" s="2910">
        <v>12.392639259160473</v>
      </c>
      <c r="M24" s="5997"/>
      <c r="N24" s="5998"/>
      <c r="O24" s="7291">
        <f>스크!AA19</f>
        <v>15.450295599971609</v>
      </c>
      <c r="P24" s="7577">
        <f>스크!AA20</f>
        <v>12.2039518557772</v>
      </c>
      <c r="Q24" s="7308">
        <f>스크!AA21</f>
        <v>24.981135072878192</v>
      </c>
      <c r="R24" s="7291" t="e">
        <f>스크!AA23</f>
        <v>#DIV/0!</v>
      </c>
      <c r="S24" s="2227" t="e">
        <f>스크!AA24</f>
        <v>#DIV/0!</v>
      </c>
      <c r="T24" s="2227" t="e">
        <f>스크!AA25</f>
        <v>#DIV/0!</v>
      </c>
      <c r="U24" s="2227" t="e">
        <f>스크!AA28</f>
        <v>#DIV/0!</v>
      </c>
      <c r="V24" s="2227" t="e">
        <f>스크!AA29</f>
        <v>#DIV/0!</v>
      </c>
      <c r="W24" s="2227" t="e">
        <f>스크!AA30</f>
        <v>#DIV/0!</v>
      </c>
      <c r="X24" s="2661" t="e">
        <f>스크!AA32</f>
        <v>#DIV/0!</v>
      </c>
      <c r="Y24" s="2832" t="e">
        <f>스크!AA33</f>
        <v>#DIV/0!</v>
      </c>
      <c r="Z24" s="2661" t="e">
        <f>스크!AA34</f>
        <v>#DIV/0!</v>
      </c>
      <c r="AA24" s="2227">
        <f>스크!AA37</f>
        <v>17.900370728223653</v>
      </c>
      <c r="AB24" s="4472"/>
      <c r="AC24" s="1540"/>
      <c r="AD24" s="1540"/>
      <c r="AE24" s="1540"/>
      <c r="AF24" s="1540"/>
      <c r="AG24" s="1540"/>
      <c r="AH24" s="1540"/>
      <c r="AI24" s="1540"/>
      <c r="AJ24" s="1540"/>
      <c r="AK24" s="1540"/>
      <c r="AL24" s="1540"/>
      <c r="AM24" s="1540"/>
      <c r="AN24" s="1541"/>
      <c r="AO24" s="1541"/>
      <c r="AP24" s="1539"/>
      <c r="AQ24" s="3720"/>
    </row>
    <row r="25" spans="1:48" ht="21" customHeight="1">
      <c r="A25" s="7798" t="s">
        <v>772</v>
      </c>
      <c r="B25" s="7823" t="s">
        <v>763</v>
      </c>
      <c r="C25" s="1688" t="s">
        <v>720</v>
      </c>
      <c r="D25" s="1972"/>
      <c r="E25" s="1973"/>
      <c r="F25" s="1973"/>
      <c r="G25" s="1974">
        <v>239</v>
      </c>
      <c r="H25" s="1974">
        <v>259</v>
      </c>
      <c r="I25" s="956">
        <v>183</v>
      </c>
      <c r="J25" s="956">
        <v>199</v>
      </c>
      <c r="K25" s="956">
        <v>116</v>
      </c>
      <c r="L25" s="3808">
        <f>52/10*12</f>
        <v>62.400000000000006</v>
      </c>
      <c r="M25" s="5880">
        <v>36</v>
      </c>
      <c r="N25" s="5999">
        <f t="shared" ref="N25:N30" si="7">M25/12</f>
        <v>3</v>
      </c>
      <c r="O25" s="2087">
        <v>6</v>
      </c>
      <c r="P25" s="7578">
        <v>5</v>
      </c>
      <c r="Q25" s="7309">
        <v>6</v>
      </c>
      <c r="R25" s="7294">
        <v>0</v>
      </c>
      <c r="S25" s="1975">
        <v>0</v>
      </c>
      <c r="T25" s="1975">
        <v>0</v>
      </c>
      <c r="U25" s="1975">
        <v>0</v>
      </c>
      <c r="V25" s="1975">
        <v>0</v>
      </c>
      <c r="W25" s="1975">
        <v>0</v>
      </c>
      <c r="X25" s="2659">
        <v>0</v>
      </c>
      <c r="Y25" s="1363"/>
      <c r="Z25" s="2659"/>
      <c r="AA25" s="884">
        <f t="shared" si="2"/>
        <v>17</v>
      </c>
      <c r="AB25" s="4486"/>
      <c r="AC25" s="959"/>
      <c r="AD25" s="959"/>
      <c r="AE25" s="959"/>
      <c r="AF25" s="959"/>
      <c r="AG25" s="959"/>
      <c r="AH25" s="959"/>
      <c r="AI25" s="959"/>
      <c r="AJ25" s="959"/>
      <c r="AK25" s="959"/>
      <c r="AL25" s="959"/>
      <c r="AM25" s="959"/>
      <c r="AN25" s="1976"/>
      <c r="AO25" s="1976"/>
      <c r="AP25" s="960"/>
      <c r="AQ25" s="961"/>
    </row>
    <row r="26" spans="1:48" ht="21" customHeight="1">
      <c r="A26" s="7799"/>
      <c r="B26" s="7824"/>
      <c r="C26" s="1465" t="s">
        <v>770</v>
      </c>
      <c r="D26" s="1474"/>
      <c r="E26" s="1475"/>
      <c r="F26" s="1475"/>
      <c r="G26" s="1475">
        <v>113.46666666666667</v>
      </c>
      <c r="H26" s="1475">
        <v>120.05</v>
      </c>
      <c r="I26" s="1443">
        <v>107.2</v>
      </c>
      <c r="J26" s="1443">
        <v>78.86333333333333</v>
      </c>
      <c r="K26" s="5008">
        <v>64</v>
      </c>
      <c r="L26" s="5669">
        <f>33.0166666666667/10*12</f>
        <v>39.620000000000047</v>
      </c>
      <c r="M26" s="6000">
        <v>24</v>
      </c>
      <c r="N26" s="5883">
        <f t="shared" si="7"/>
        <v>2</v>
      </c>
      <c r="O26" s="4614">
        <f>177/60</f>
        <v>2.95</v>
      </c>
      <c r="P26" s="7576">
        <f>185/60</f>
        <v>3.0833333333333335</v>
      </c>
      <c r="Q26" s="7307">
        <f>190/60</f>
        <v>3.1666666666666665</v>
      </c>
      <c r="R26" s="4614">
        <v>0</v>
      </c>
      <c r="S26" s="3255">
        <v>0</v>
      </c>
      <c r="T26" s="3255">
        <v>0</v>
      </c>
      <c r="U26" s="3255">
        <v>0</v>
      </c>
      <c r="V26" s="3255">
        <v>0</v>
      </c>
      <c r="W26" s="3255">
        <v>0</v>
      </c>
      <c r="X26" s="3322">
        <v>0</v>
      </c>
      <c r="Y26" s="4631"/>
      <c r="Z26" s="2645"/>
      <c r="AA26" s="4460">
        <f t="shared" si="2"/>
        <v>9.1999999999999993</v>
      </c>
      <c r="AB26" s="6056">
        <f>($L$26/12-O26)*년간!$E$217/1000</f>
        <v>561.11968500000626</v>
      </c>
      <c r="AC26" s="4179">
        <f>($L$26/12-P26)*년간!$E$217/1000</f>
        <v>348.37288500000631</v>
      </c>
      <c r="AD26" s="4179">
        <f>($L$26/12-Q26)*년간!$E$217/1000</f>
        <v>215.40613500000674</v>
      </c>
      <c r="AE26" s="4179">
        <f>($L$26/12-R26)*년간!$E$217/1000</f>
        <v>5268.1426350000065</v>
      </c>
      <c r="AF26" s="4179">
        <f>($L$26/12-S26)*년간!$E$217/1000</f>
        <v>5268.1426350000065</v>
      </c>
      <c r="AG26" s="4179">
        <f>($L$26/12-T26)*년간!$E$217/1000</f>
        <v>5268.1426350000065</v>
      </c>
      <c r="AH26" s="4179">
        <f>($L$26/12-U26)*년간!$E$217/1000</f>
        <v>5268.1426350000065</v>
      </c>
      <c r="AI26" s="4179">
        <f>($L$26/12-V26)*년간!$E$217/1000</f>
        <v>5268.1426350000065</v>
      </c>
      <c r="AJ26" s="4179">
        <f>($L$26/12-W26)*년간!$E$217/1000</f>
        <v>5268.1426350000065</v>
      </c>
      <c r="AK26" s="4179">
        <f>($L$26/12-X26)*년간!$E$217/1000</f>
        <v>5268.1426350000065</v>
      </c>
      <c r="AL26" s="4179">
        <f>($L$26/12-Y26)*년간!$E$217/1000</f>
        <v>5268.1426350000065</v>
      </c>
      <c r="AM26" s="4179">
        <f>($L$26/12-Z26)*년간!$E$217/1000</f>
        <v>5268.1426350000065</v>
      </c>
      <c r="AN26" s="2834">
        <f>(L26/12-N26)*년간!$E$217/1000</f>
        <v>2076.9406350000068</v>
      </c>
      <c r="AO26" s="1582">
        <f>AB26+AC26+AD26</f>
        <v>1124.8987050000194</v>
      </c>
      <c r="AP26" s="1692">
        <f>AO26/AN26</f>
        <v>0.54161331626121112</v>
      </c>
      <c r="AQ26" s="2997"/>
      <c r="AR26" s="479"/>
    </row>
    <row r="27" spans="1:48" ht="21" customHeight="1">
      <c r="A27" s="7799"/>
      <c r="B27" s="7825" t="s">
        <v>768</v>
      </c>
      <c r="C27" s="1465" t="s">
        <v>720</v>
      </c>
      <c r="D27" s="1474"/>
      <c r="E27" s="1475"/>
      <c r="F27" s="1475"/>
      <c r="G27" s="1476">
        <v>13</v>
      </c>
      <c r="H27" s="1476">
        <v>5</v>
      </c>
      <c r="I27" s="1442">
        <v>15</v>
      </c>
      <c r="J27" s="1442">
        <v>3</v>
      </c>
      <c r="K27" s="5711">
        <v>6</v>
      </c>
      <c r="L27" s="5774">
        <f>4/10*12</f>
        <v>4.8000000000000007</v>
      </c>
      <c r="M27" s="5884">
        <f>년간!E44</f>
        <v>4</v>
      </c>
      <c r="N27" s="6001">
        <f t="shared" si="7"/>
        <v>0.33333333333333331</v>
      </c>
      <c r="O27" s="7292">
        <f>년간!F44</f>
        <v>0</v>
      </c>
      <c r="P27" s="7579">
        <f>년간!G44</f>
        <v>0</v>
      </c>
      <c r="Q27" s="7310">
        <f>년간!H44</f>
        <v>0</v>
      </c>
      <c r="R27" s="7295">
        <f>년간!I44</f>
        <v>0</v>
      </c>
      <c r="S27" s="4629">
        <f>년간!J44</f>
        <v>0</v>
      </c>
      <c r="T27" s="4629">
        <f>년간!K44</f>
        <v>0</v>
      </c>
      <c r="U27" s="4629">
        <f>년간!L44</f>
        <v>0</v>
      </c>
      <c r="V27" s="4629">
        <f>년간!M44</f>
        <v>0</v>
      </c>
      <c r="W27" s="4629">
        <f>년간!N44</f>
        <v>0</v>
      </c>
      <c r="X27" s="5985">
        <f>년간!O44</f>
        <v>0</v>
      </c>
      <c r="Y27" s="5515">
        <f>년간!P44</f>
        <v>0</v>
      </c>
      <c r="Z27" s="2660">
        <f>년간!Q44</f>
        <v>0</v>
      </c>
      <c r="AA27" s="4459">
        <f t="shared" si="2"/>
        <v>0</v>
      </c>
      <c r="AB27" s="4478"/>
      <c r="AC27" s="1500"/>
      <c r="AD27" s="1500"/>
      <c r="AE27" s="1500"/>
      <c r="AF27" s="1500"/>
      <c r="AG27" s="1500"/>
      <c r="AH27" s="1500"/>
      <c r="AI27" s="1500"/>
      <c r="AJ27" s="1500"/>
      <c r="AK27" s="1500"/>
      <c r="AL27" s="1500"/>
      <c r="AM27" s="1500"/>
      <c r="AN27" s="1527"/>
      <c r="AO27" s="1527"/>
      <c r="AP27" s="1501"/>
      <c r="AQ27" s="2997"/>
      <c r="AR27" s="353"/>
    </row>
    <row r="28" spans="1:48" ht="21" customHeight="1">
      <c r="A28" s="7799"/>
      <c r="B28" s="7824"/>
      <c r="C28" s="1465" t="s">
        <v>770</v>
      </c>
      <c r="D28" s="1474"/>
      <c r="E28" s="1475"/>
      <c r="F28" s="1475"/>
      <c r="G28" s="1475">
        <v>12</v>
      </c>
      <c r="H28" s="1475">
        <v>3.75</v>
      </c>
      <c r="I28" s="1443">
        <v>14</v>
      </c>
      <c r="J28" s="1443">
        <v>4.4833333333333343</v>
      </c>
      <c r="K28" s="5008">
        <v>9.5666666666666664</v>
      </c>
      <c r="L28" s="5669">
        <f>4.08333333333333/10*12</f>
        <v>4.8999999999999968</v>
      </c>
      <c r="M28" s="6000">
        <f>년간!E54/60</f>
        <v>4</v>
      </c>
      <c r="N28" s="6001">
        <f t="shared" si="7"/>
        <v>0.33333333333333331</v>
      </c>
      <c r="O28" s="4614">
        <f>년간!F54/60</f>
        <v>0</v>
      </c>
      <c r="P28" s="7576">
        <f>년간!G54/60</f>
        <v>0</v>
      </c>
      <c r="Q28" s="7307">
        <f>년간!H54/60</f>
        <v>0</v>
      </c>
      <c r="R28" s="4614">
        <f>년간!I54/60</f>
        <v>0</v>
      </c>
      <c r="S28" s="3255">
        <f>년간!J54/60</f>
        <v>0</v>
      </c>
      <c r="T28" s="3255">
        <f>년간!K54/60</f>
        <v>0</v>
      </c>
      <c r="U28" s="3255">
        <f>년간!L54/60</f>
        <v>0</v>
      </c>
      <c r="V28" s="3255">
        <f>년간!M54/60</f>
        <v>0</v>
      </c>
      <c r="W28" s="3255">
        <f>년간!N54/60</f>
        <v>0</v>
      </c>
      <c r="X28" s="3322">
        <f>년간!O54/60</f>
        <v>0</v>
      </c>
      <c r="Y28" s="4631">
        <f>년간!P54/60</f>
        <v>0</v>
      </c>
      <c r="Z28" s="2645">
        <f>년간!Q54/60</f>
        <v>0</v>
      </c>
      <c r="AA28" s="4460">
        <f t="shared" si="2"/>
        <v>0</v>
      </c>
      <c r="AB28" s="4476">
        <f>년간!F180/1000</f>
        <v>449.70880626625308</v>
      </c>
      <c r="AC28" s="1544">
        <f>년간!G180/1000</f>
        <v>409.69323616122165</v>
      </c>
      <c r="AD28" s="1544">
        <f>년간!H180/1000</f>
        <v>486.91921898572315</v>
      </c>
      <c r="AE28" s="1544" t="e">
        <f>년간!I180/1000</f>
        <v>#DIV/0!</v>
      </c>
      <c r="AF28" s="1544" t="e">
        <f>년간!J180/1000</f>
        <v>#DIV/0!</v>
      </c>
      <c r="AG28" s="1544" t="e">
        <f>년간!K180/1000</f>
        <v>#DIV/0!</v>
      </c>
      <c r="AH28" s="1544" t="e">
        <f>년간!L180/1000</f>
        <v>#DIV/0!</v>
      </c>
      <c r="AI28" s="1544" t="e">
        <f>년간!M180/1000</f>
        <v>#DIV/0!</v>
      </c>
      <c r="AJ28" s="1544" t="e">
        <f>년간!N180/1000</f>
        <v>#DIV/0!</v>
      </c>
      <c r="AK28" s="1544" t="e">
        <f>년간!O180/1000</f>
        <v>#DIV/0!</v>
      </c>
      <c r="AL28" s="1544" t="e">
        <f>년간!P180/1000</f>
        <v>#DIV/0!</v>
      </c>
      <c r="AM28" s="1544" t="e">
        <f>년간!Q180/1000</f>
        <v>#DIV/0!</v>
      </c>
      <c r="AN28" s="1582">
        <f>년간!E180/1000</f>
        <v>353.27274057593496</v>
      </c>
      <c r="AO28" s="1582">
        <f>AB28+AC28+AD28</f>
        <v>1346.3212614131978</v>
      </c>
      <c r="AP28" s="1692">
        <f>AO28/AN28</f>
        <v>3.8109967364544222</v>
      </c>
      <c r="AQ28" s="3153"/>
    </row>
    <row r="29" spans="1:48" ht="21" customHeight="1">
      <c r="A29" s="7799"/>
      <c r="B29" s="7825" t="s">
        <v>769</v>
      </c>
      <c r="C29" s="1465" t="s">
        <v>720</v>
      </c>
      <c r="D29" s="1474"/>
      <c r="E29" s="1475"/>
      <c r="F29" s="1475"/>
      <c r="G29" s="1476">
        <v>11</v>
      </c>
      <c r="H29" s="1476">
        <v>11</v>
      </c>
      <c r="I29" s="1442">
        <v>15</v>
      </c>
      <c r="J29" s="1442">
        <v>2</v>
      </c>
      <c r="K29" s="5711">
        <v>2</v>
      </c>
      <c r="L29" s="5774">
        <f>5/10*12</f>
        <v>6</v>
      </c>
      <c r="M29" s="5884">
        <f>년간!E49</f>
        <v>4</v>
      </c>
      <c r="N29" s="6001">
        <f t="shared" si="7"/>
        <v>0.33333333333333331</v>
      </c>
      <c r="O29" s="7292">
        <f>년간!F49</f>
        <v>0</v>
      </c>
      <c r="P29" s="7580">
        <v>0</v>
      </c>
      <c r="Q29" s="7310">
        <f>년간!H49</f>
        <v>2</v>
      </c>
      <c r="R29" s="7295">
        <f>년간!I49</f>
        <v>0</v>
      </c>
      <c r="S29" s="4629">
        <f>년간!J49</f>
        <v>0</v>
      </c>
      <c r="T29" s="4629">
        <f>년간!K49</f>
        <v>0</v>
      </c>
      <c r="U29" s="4629">
        <f>년간!L49</f>
        <v>0</v>
      </c>
      <c r="V29" s="4629">
        <f>년간!M49</f>
        <v>0</v>
      </c>
      <c r="W29" s="4629">
        <f>년간!N49</f>
        <v>0</v>
      </c>
      <c r="X29" s="5985">
        <f>년간!O49</f>
        <v>0</v>
      </c>
      <c r="Y29" s="5515">
        <f>년간!P49</f>
        <v>0</v>
      </c>
      <c r="Z29" s="2660">
        <f>년간!Q49</f>
        <v>0</v>
      </c>
      <c r="AA29" s="4459">
        <f t="shared" si="2"/>
        <v>2</v>
      </c>
      <c r="AB29" s="4478"/>
      <c r="AC29" s="1500"/>
      <c r="AD29" s="1500"/>
      <c r="AE29" s="1500"/>
      <c r="AF29" s="1500"/>
      <c r="AG29" s="1500"/>
      <c r="AH29" s="1500"/>
      <c r="AI29" s="1500"/>
      <c r="AJ29" s="1500"/>
      <c r="AK29" s="1500"/>
      <c r="AL29" s="1500"/>
      <c r="AM29" s="1500"/>
      <c r="AN29" s="1527"/>
      <c r="AO29" s="1527"/>
      <c r="AP29" s="1501"/>
      <c r="AQ29" s="2997"/>
    </row>
    <row r="30" spans="1:48" ht="21" customHeight="1" thickBot="1">
      <c r="A30" s="7799"/>
      <c r="B30" s="7828"/>
      <c r="C30" s="5005" t="s">
        <v>770</v>
      </c>
      <c r="D30" s="5006"/>
      <c r="E30" s="5007"/>
      <c r="F30" s="5007"/>
      <c r="G30" s="5007">
        <v>14.6</v>
      </c>
      <c r="H30" s="5007">
        <v>12.583333333333334</v>
      </c>
      <c r="I30" s="5008">
        <v>16</v>
      </c>
      <c r="J30" s="5008">
        <v>0.6333333333333333</v>
      </c>
      <c r="K30" s="5008">
        <v>1.1833333333333333</v>
      </c>
      <c r="L30" s="5669">
        <f>9.3/10*12</f>
        <v>11.16</v>
      </c>
      <c r="M30" s="5963">
        <f>년간!E59/60</f>
        <v>6</v>
      </c>
      <c r="N30" s="6001">
        <f t="shared" si="7"/>
        <v>0.5</v>
      </c>
      <c r="O30" s="3688">
        <f>년간!F59/60</f>
        <v>0</v>
      </c>
      <c r="P30" s="7543">
        <f>년간!G59/60</f>
        <v>0</v>
      </c>
      <c r="Q30" s="7311">
        <f>년간!H59/60</f>
        <v>2.3333333333333335</v>
      </c>
      <c r="R30" s="3688">
        <f>년간!I59/60</f>
        <v>0</v>
      </c>
      <c r="S30" s="3691">
        <f>년간!J59/60</f>
        <v>0</v>
      </c>
      <c r="T30" s="3691">
        <f>년간!K59/60</f>
        <v>0</v>
      </c>
      <c r="U30" s="3691">
        <f>년간!L59/60</f>
        <v>0</v>
      </c>
      <c r="V30" s="3691">
        <f>년간!M59/60</f>
        <v>0</v>
      </c>
      <c r="W30" s="3691">
        <f>년간!N59/60</f>
        <v>0</v>
      </c>
      <c r="X30" s="3844">
        <f>년간!O59/60</f>
        <v>0</v>
      </c>
      <c r="Y30" s="5478">
        <f>년간!P59/60</f>
        <v>0</v>
      </c>
      <c r="Z30" s="3844">
        <f>년간!Q59/60</f>
        <v>0</v>
      </c>
      <c r="AA30" s="4508">
        <f t="shared" si="2"/>
        <v>2.3333333333333335</v>
      </c>
      <c r="AB30" s="4476">
        <f>년간!F186/1000</f>
        <v>1024.2347505982416</v>
      </c>
      <c r="AC30" s="4180">
        <f>년간!G186/1000</f>
        <v>933.09724807331304</v>
      </c>
      <c r="AD30" s="4180">
        <f>년간!H186/1000</f>
        <v>-1869.6091140843564</v>
      </c>
      <c r="AE30" s="4180" t="e">
        <f>년간!I186/1000</f>
        <v>#DIV/0!</v>
      </c>
      <c r="AF30" s="4180" t="e">
        <f>년간!J186/1000</f>
        <v>#DIV/0!</v>
      </c>
      <c r="AG30" s="4180" t="e">
        <f>년간!K186/1000</f>
        <v>#DIV/0!</v>
      </c>
      <c r="AH30" s="4180" t="e">
        <f>년간!L186/1000</f>
        <v>#DIV/0!</v>
      </c>
      <c r="AI30" s="4180" t="e">
        <f>년간!M186/1000</f>
        <v>#DIV/0!</v>
      </c>
      <c r="AJ30" s="4180" t="e">
        <f>년간!N186/1000</f>
        <v>#DIV/0!</v>
      </c>
      <c r="AK30" s="4180" t="e">
        <f>년간!O186/1000</f>
        <v>#DIV/0!</v>
      </c>
      <c r="AL30" s="4180" t="e">
        <f>년간!P186/1000</f>
        <v>#DIV/0!</v>
      </c>
      <c r="AM30" s="4180" t="e">
        <f>년간!Q186/1000</f>
        <v>#DIV/0!</v>
      </c>
      <c r="AN30" s="3168">
        <f>년간!E186/1000</f>
        <v>4601.0199190668236</v>
      </c>
      <c r="AO30" s="3168">
        <f>AB30+AC30+AD30</f>
        <v>87.722884587198223</v>
      </c>
      <c r="AP30" s="3117">
        <f>AO30/AN30</f>
        <v>1.9065964966522062E-2</v>
      </c>
      <c r="AQ30" s="3153"/>
    </row>
    <row r="31" spans="1:48" ht="21" customHeight="1">
      <c r="A31" s="7798" t="s">
        <v>353</v>
      </c>
      <c r="B31" s="7823" t="s">
        <v>354</v>
      </c>
      <c r="C31" s="1723" t="s">
        <v>355</v>
      </c>
      <c r="D31" s="1724">
        <v>31.24</v>
      </c>
      <c r="E31" s="1725">
        <v>30.9</v>
      </c>
      <c r="F31" s="1725">
        <v>30.99</v>
      </c>
      <c r="G31" s="1725">
        <v>30.161592677579389</v>
      </c>
      <c r="H31" s="1725">
        <v>32.450000000000003</v>
      </c>
      <c r="I31" s="1726">
        <v>33.229999999999997</v>
      </c>
      <c r="J31" s="1726">
        <v>38.068566825581534</v>
      </c>
      <c r="K31" s="1726">
        <v>36.189847966144271</v>
      </c>
      <c r="L31" s="5771">
        <v>35.862266270897663</v>
      </c>
      <c r="M31" s="5911">
        <v>35.324332276834198</v>
      </c>
      <c r="N31" s="5912">
        <v>35.324332276834198</v>
      </c>
      <c r="O31" s="3778">
        <v>34.950507891984792</v>
      </c>
      <c r="P31" s="7581">
        <f>163350/P5</f>
        <v>33.766743839920622</v>
      </c>
      <c r="Q31" s="7619">
        <f>204915/Q5</f>
        <v>34.266665105911194</v>
      </c>
      <c r="R31" s="1728">
        <v>0</v>
      </c>
      <c r="S31" s="1727">
        <v>0</v>
      </c>
      <c r="T31" s="1727">
        <v>0</v>
      </c>
      <c r="U31" s="1727">
        <v>0</v>
      </c>
      <c r="V31" s="4947">
        <v>0</v>
      </c>
      <c r="W31" s="4947">
        <v>0</v>
      </c>
      <c r="X31" s="2662">
        <v>0</v>
      </c>
      <c r="Y31" s="5516"/>
      <c r="Z31" s="2662"/>
      <c r="AA31" s="1209">
        <f>AVERAGE(O31:Z31)</f>
        <v>10.298391683781659</v>
      </c>
      <c r="AB31" s="8046">
        <f t="shared" ref="AB31:AM31" si="8">($L$31-O31)*O5/1000*5475</f>
        <v>24630.520757774637</v>
      </c>
      <c r="AC31" s="8034">
        <f t="shared" si="8"/>
        <v>55501.713733717595</v>
      </c>
      <c r="AD31" s="8034">
        <f t="shared" si="8"/>
        <v>52240.867301403283</v>
      </c>
      <c r="AE31" s="8034">
        <f t="shared" si="8"/>
        <v>0</v>
      </c>
      <c r="AF31" s="8034">
        <f t="shared" si="8"/>
        <v>0</v>
      </c>
      <c r="AG31" s="8034">
        <f t="shared" si="8"/>
        <v>0</v>
      </c>
      <c r="AH31" s="8034">
        <f t="shared" si="8"/>
        <v>0</v>
      </c>
      <c r="AI31" s="8034">
        <f t="shared" si="8"/>
        <v>0</v>
      </c>
      <c r="AJ31" s="8034">
        <f t="shared" si="8"/>
        <v>0</v>
      </c>
      <c r="AK31" s="8034">
        <f t="shared" si="8"/>
        <v>0</v>
      </c>
      <c r="AL31" s="8034">
        <f t="shared" si="8"/>
        <v>0</v>
      </c>
      <c r="AM31" s="8034">
        <f t="shared" si="8"/>
        <v>0</v>
      </c>
      <c r="AN31" s="8115">
        <f>(L31-M31)*5475*M5/1000</f>
        <v>177851.71175367502</v>
      </c>
      <c r="AO31" s="8126">
        <f>AB31+AC31+AD31</f>
        <v>132373.10179289553</v>
      </c>
      <c r="AP31" s="8052">
        <f>AO31/AN31</f>
        <v>0.74428916363893394</v>
      </c>
      <c r="AQ31" s="1729" t="s">
        <v>2247</v>
      </c>
      <c r="AR31" s="1607" t="s">
        <v>2228</v>
      </c>
      <c r="AS31" s="1608" t="s">
        <v>2229</v>
      </c>
    </row>
    <row r="32" spans="1:48" ht="21" customHeight="1" thickBot="1">
      <c r="A32" s="7827"/>
      <c r="B32" s="7826"/>
      <c r="C32" s="1730" t="s">
        <v>357</v>
      </c>
      <c r="D32" s="1731">
        <v>185112.01969583478</v>
      </c>
      <c r="E32" s="1732">
        <v>177449.52651247222</v>
      </c>
      <c r="F32" s="1732">
        <v>194368.63878239974</v>
      </c>
      <c r="G32" s="1732">
        <v>173621.66434030529</v>
      </c>
      <c r="H32" s="1732">
        <v>154868.23472527691</v>
      </c>
      <c r="I32" s="1733">
        <v>165622</v>
      </c>
      <c r="J32" s="1733">
        <v>183257.3725413197</v>
      </c>
      <c r="K32" s="1733">
        <v>186461.59201844776</v>
      </c>
      <c r="L32" s="5793">
        <v>191417.91334675564</v>
      </c>
      <c r="M32" s="6002">
        <v>188546.64464655431</v>
      </c>
      <c r="N32" s="6003">
        <v>188546.64464655431</v>
      </c>
      <c r="O32" s="2044">
        <v>192108.46108323269</v>
      </c>
      <c r="P32" s="7557">
        <f>848714950/P5</f>
        <v>175441.32421035224</v>
      </c>
      <c r="Q32" s="7620">
        <f>1038443150/Q5</f>
        <v>173652.41028025036</v>
      </c>
      <c r="R32" s="2041">
        <v>0</v>
      </c>
      <c r="S32" s="2221">
        <v>0</v>
      </c>
      <c r="T32" s="2221">
        <v>0</v>
      </c>
      <c r="U32" s="2221">
        <v>0</v>
      </c>
      <c r="V32" s="2113">
        <v>0</v>
      </c>
      <c r="W32" s="2113">
        <v>0</v>
      </c>
      <c r="X32" s="2640">
        <v>0</v>
      </c>
      <c r="Y32" s="5467"/>
      <c r="Z32" s="2640"/>
      <c r="AA32" s="2114">
        <f>AVERAGE(O32:Z32)</f>
        <v>54120.219557383527</v>
      </c>
      <c r="AB32" s="8122"/>
      <c r="AC32" s="8033"/>
      <c r="AD32" s="8033"/>
      <c r="AE32" s="8033"/>
      <c r="AF32" s="8033"/>
      <c r="AG32" s="8033"/>
      <c r="AH32" s="8033"/>
      <c r="AI32" s="8033"/>
      <c r="AJ32" s="8033"/>
      <c r="AK32" s="8033"/>
      <c r="AL32" s="8033"/>
      <c r="AM32" s="8033"/>
      <c r="AN32" s="8116"/>
      <c r="AO32" s="8127">
        <f>AB32+AC32+AD32+AE32+AF32+AG32+AH32+AI32</f>
        <v>0</v>
      </c>
      <c r="AP32" s="8125"/>
      <c r="AQ32" s="1734" t="s">
        <v>362</v>
      </c>
      <c r="AR32" s="1610" t="s">
        <v>2231</v>
      </c>
      <c r="AS32" s="7090" t="s">
        <v>2232</v>
      </c>
    </row>
    <row r="33" spans="1:47" ht="21" customHeight="1">
      <c r="A33" s="7796" t="s">
        <v>999</v>
      </c>
      <c r="B33" s="1680" t="s">
        <v>1005</v>
      </c>
      <c r="C33" s="5009" t="s">
        <v>1006</v>
      </c>
      <c r="D33" s="1747"/>
      <c r="E33" s="763"/>
      <c r="F33" s="1458"/>
      <c r="G33" s="5010">
        <v>320.82721894441102</v>
      </c>
      <c r="H33" s="763"/>
      <c r="I33" s="1458"/>
      <c r="J33" s="1458">
        <v>34140</v>
      </c>
      <c r="K33" s="1458"/>
      <c r="L33" s="5772">
        <f>4800*12</f>
        <v>57600</v>
      </c>
      <c r="M33" s="5977"/>
      <c r="N33" s="5889">
        <v>4000</v>
      </c>
      <c r="O33" s="1577">
        <v>0</v>
      </c>
      <c r="P33" s="7556">
        <v>3610</v>
      </c>
      <c r="Q33" s="7621">
        <v>2200</v>
      </c>
      <c r="R33" s="1577">
        <v>0</v>
      </c>
      <c r="S33" s="1211">
        <v>0</v>
      </c>
      <c r="T33" s="1211">
        <v>0</v>
      </c>
      <c r="U33" s="1211">
        <v>0</v>
      </c>
      <c r="V33" s="1211">
        <v>0</v>
      </c>
      <c r="W33" s="1211">
        <v>0</v>
      </c>
      <c r="X33" s="1570">
        <v>0</v>
      </c>
      <c r="Y33" s="5501"/>
      <c r="Z33" s="1570"/>
      <c r="AA33" s="1211"/>
      <c r="AB33" s="4474"/>
      <c r="AC33" s="875"/>
      <c r="AD33" s="875"/>
      <c r="AE33" s="875"/>
      <c r="AF33" s="875"/>
      <c r="AG33" s="875"/>
      <c r="AH33" s="875"/>
      <c r="AI33" s="875"/>
      <c r="AJ33" s="875"/>
      <c r="AK33" s="875"/>
      <c r="AL33" s="875"/>
      <c r="AM33" s="875"/>
      <c r="AN33" s="1051"/>
      <c r="AO33" s="788"/>
      <c r="AP33" s="1721"/>
      <c r="AQ33" s="1722" t="s">
        <v>2314</v>
      </c>
      <c r="AS33" s="1623"/>
    </row>
    <row r="34" spans="1:47" ht="21" customHeight="1">
      <c r="A34" s="7799"/>
      <c r="B34" s="1715" t="s">
        <v>1000</v>
      </c>
      <c r="C34" s="1751" t="s">
        <v>779</v>
      </c>
      <c r="D34" s="1748"/>
      <c r="E34" s="1480"/>
      <c r="F34" s="1446"/>
      <c r="G34" s="1742">
        <v>6228750</v>
      </c>
      <c r="H34" s="1480"/>
      <c r="I34" s="1446"/>
      <c r="J34" s="2536">
        <v>390300</v>
      </c>
      <c r="K34" s="3277"/>
      <c r="L34" s="5670">
        <v>240000</v>
      </c>
      <c r="M34" s="6004"/>
      <c r="N34" s="6005">
        <v>200000</v>
      </c>
      <c r="O34" s="5700">
        <v>0</v>
      </c>
      <c r="P34" s="7467">
        <v>178000</v>
      </c>
      <c r="Q34" s="7622">
        <v>144260</v>
      </c>
      <c r="R34" s="5700">
        <v>0</v>
      </c>
      <c r="S34" s="3235">
        <v>0</v>
      </c>
      <c r="T34" s="3235">
        <v>0</v>
      </c>
      <c r="U34" s="3235">
        <v>0</v>
      </c>
      <c r="V34" s="3235">
        <v>0</v>
      </c>
      <c r="W34" s="3235">
        <v>0</v>
      </c>
      <c r="X34" s="5848">
        <v>0</v>
      </c>
      <c r="Y34" s="5468"/>
      <c r="Z34" s="2655"/>
      <c r="AA34" s="3235"/>
      <c r="AB34" s="4470"/>
      <c r="AC34" s="1603"/>
      <c r="AD34" s="1603"/>
      <c r="AE34" s="1603"/>
      <c r="AF34" s="1603"/>
      <c r="AG34" s="1603"/>
      <c r="AH34" s="1603"/>
      <c r="AI34" s="1603"/>
      <c r="AJ34" s="1603"/>
      <c r="AK34" s="1603"/>
      <c r="AL34" s="1603"/>
      <c r="AM34" s="1603"/>
      <c r="AN34" s="1745"/>
      <c r="AO34" s="1746"/>
      <c r="AP34" s="1536"/>
      <c r="AQ34" s="3334" t="s">
        <v>2315</v>
      </c>
      <c r="AS34" s="1623"/>
    </row>
    <row r="35" spans="1:47" ht="21" customHeight="1">
      <c r="A35" s="7799"/>
      <c r="B35" s="1682" t="s">
        <v>1001</v>
      </c>
      <c r="C35" s="1752" t="s">
        <v>1003</v>
      </c>
      <c r="D35" s="1749"/>
      <c r="E35" s="893"/>
      <c r="F35" s="894"/>
      <c r="G35" s="1743"/>
      <c r="H35" s="893"/>
      <c r="I35" s="894"/>
      <c r="J35" s="894">
        <v>360</v>
      </c>
      <c r="K35" s="894"/>
      <c r="L35" s="5668">
        <v>300</v>
      </c>
      <c r="M35" s="6004"/>
      <c r="N35" s="6005">
        <v>240</v>
      </c>
      <c r="O35" s="1427">
        <v>0</v>
      </c>
      <c r="P35" s="7562">
        <v>207</v>
      </c>
      <c r="Q35" s="7623">
        <v>127</v>
      </c>
      <c r="R35" s="1427">
        <v>0</v>
      </c>
      <c r="S35" s="1210">
        <v>0</v>
      </c>
      <c r="T35" s="1210">
        <v>0</v>
      </c>
      <c r="U35" s="1210">
        <v>0</v>
      </c>
      <c r="V35" s="1210">
        <v>0</v>
      </c>
      <c r="W35" s="1210">
        <v>0</v>
      </c>
      <c r="X35" s="1569">
        <v>0</v>
      </c>
      <c r="Y35" s="5502"/>
      <c r="Z35" s="1569"/>
      <c r="AA35" s="1210"/>
      <c r="AB35" s="4475"/>
      <c r="AC35" s="784"/>
      <c r="AD35" s="784"/>
      <c r="AE35" s="784"/>
      <c r="AF35" s="784"/>
      <c r="AG35" s="784"/>
      <c r="AH35" s="784"/>
      <c r="AI35" s="784"/>
      <c r="AJ35" s="784"/>
      <c r="AK35" s="784"/>
      <c r="AL35" s="784"/>
      <c r="AM35" s="784"/>
      <c r="AN35" s="785"/>
      <c r="AO35" s="786"/>
      <c r="AP35" s="787"/>
      <c r="AQ35" s="4464" t="s">
        <v>2316</v>
      </c>
      <c r="AS35" s="1623"/>
    </row>
    <row r="36" spans="1:47" ht="21" customHeight="1" thickBot="1">
      <c r="A36" s="7799"/>
      <c r="B36" s="1528" t="s">
        <v>1002</v>
      </c>
      <c r="C36" s="1753" t="s">
        <v>1004</v>
      </c>
      <c r="D36" s="1750"/>
      <c r="E36" s="1735"/>
      <c r="F36" s="1438"/>
      <c r="G36" s="1744"/>
      <c r="H36" s="1735"/>
      <c r="I36" s="1438"/>
      <c r="J36" s="1438">
        <v>170</v>
      </c>
      <c r="K36" s="5765"/>
      <c r="L36" s="5775">
        <v>120</v>
      </c>
      <c r="M36" s="6006"/>
      <c r="N36" s="5867">
        <v>80</v>
      </c>
      <c r="O36" s="7293">
        <v>0</v>
      </c>
      <c r="P36" s="7582">
        <v>45</v>
      </c>
      <c r="Q36" s="7624">
        <v>46</v>
      </c>
      <c r="R36" s="7293">
        <v>0</v>
      </c>
      <c r="S36" s="3151">
        <v>0</v>
      </c>
      <c r="T36" s="3151">
        <v>0</v>
      </c>
      <c r="U36" s="3151">
        <v>0</v>
      </c>
      <c r="V36" s="3151">
        <v>0</v>
      </c>
      <c r="W36" s="3151">
        <v>0</v>
      </c>
      <c r="X36" s="6106">
        <v>0</v>
      </c>
      <c r="Y36" s="5517"/>
      <c r="Z36" s="1571"/>
      <c r="AA36" s="3151"/>
      <c r="AB36" s="4478"/>
      <c r="AC36" s="1498"/>
      <c r="AD36" s="1498"/>
      <c r="AE36" s="1498"/>
      <c r="AF36" s="1498"/>
      <c r="AG36" s="1498"/>
      <c r="AH36" s="1498"/>
      <c r="AI36" s="1498"/>
      <c r="AJ36" s="1498"/>
      <c r="AK36" s="1498"/>
      <c r="AL36" s="1498"/>
      <c r="AM36" s="1498"/>
      <c r="AN36" s="1736"/>
      <c r="AO36" s="1737"/>
      <c r="AP36" s="1738"/>
      <c r="AQ36" s="3153" t="s">
        <v>2317</v>
      </c>
      <c r="AS36" s="1623"/>
    </row>
    <row r="37" spans="1:47" ht="21" customHeight="1">
      <c r="A37" s="7798" t="s">
        <v>363</v>
      </c>
      <c r="B37" s="7823" t="s">
        <v>312</v>
      </c>
      <c r="C37" s="1466" t="s">
        <v>365</v>
      </c>
      <c r="D37" s="1724">
        <v>51.694598180945746</v>
      </c>
      <c r="E37" s="1725">
        <v>46.817755609800976</v>
      </c>
      <c r="F37" s="1725">
        <v>48.587586323475612</v>
      </c>
      <c r="G37" s="1725">
        <v>42.61</v>
      </c>
      <c r="H37" s="1725">
        <v>42.62</v>
      </c>
      <c r="I37" s="1726">
        <v>48.67</v>
      </c>
      <c r="J37" s="1726">
        <v>52.269771847106512</v>
      </c>
      <c r="K37" s="1726">
        <v>61.248628266089717</v>
      </c>
      <c r="L37" s="5771">
        <v>61.837961468484707</v>
      </c>
      <c r="M37" s="5911">
        <v>59.298818010126638</v>
      </c>
      <c r="N37" s="5912">
        <v>59.298818010126638</v>
      </c>
      <c r="O37" s="1728">
        <v>61.085392846963899</v>
      </c>
      <c r="P37" s="7583">
        <v>69.439136382552405</v>
      </c>
      <c r="Q37" s="7619">
        <f>372285/Q5</f>
        <v>62.254912617202976</v>
      </c>
      <c r="R37" s="1728">
        <v>0</v>
      </c>
      <c r="S37" s="1727">
        <v>0</v>
      </c>
      <c r="T37" s="1727">
        <v>0</v>
      </c>
      <c r="U37" s="1727">
        <v>0</v>
      </c>
      <c r="V37" s="4947">
        <v>0</v>
      </c>
      <c r="W37" s="4947">
        <v>0</v>
      </c>
      <c r="X37" s="2662">
        <v>0</v>
      </c>
      <c r="Y37" s="5516"/>
      <c r="Z37" s="2662"/>
      <c r="AA37" s="1209">
        <f t="shared" ref="AA37:AA42" si="9">AVERAGE(O37:Z37)</f>
        <v>19.277944184671931</v>
      </c>
      <c r="AB37" s="8046">
        <f t="shared" ref="AB37:AM37" si="10">($L$37-O37)*504.3*O5/1000</f>
        <v>1872.5989781224437</v>
      </c>
      <c r="AC37" s="8034">
        <f t="shared" si="10"/>
        <v>-18543.839090333415</v>
      </c>
      <c r="AD37" s="8034">
        <f t="shared" si="10"/>
        <v>-1257.4075191904085</v>
      </c>
      <c r="AE37" s="8034">
        <f t="shared" si="10"/>
        <v>0</v>
      </c>
      <c r="AF37" s="8034">
        <f t="shared" si="10"/>
        <v>0</v>
      </c>
      <c r="AG37" s="8034">
        <f t="shared" si="10"/>
        <v>0</v>
      </c>
      <c r="AH37" s="8034">
        <f t="shared" si="10"/>
        <v>0</v>
      </c>
      <c r="AI37" s="8034">
        <f t="shared" si="10"/>
        <v>0</v>
      </c>
      <c r="AJ37" s="8034">
        <f t="shared" si="10"/>
        <v>0</v>
      </c>
      <c r="AK37" s="8034">
        <f t="shared" si="10"/>
        <v>0</v>
      </c>
      <c r="AL37" s="8034">
        <f t="shared" si="10"/>
        <v>0</v>
      </c>
      <c r="AM37" s="8034">
        <f t="shared" si="10"/>
        <v>0</v>
      </c>
      <c r="AN37" s="8120">
        <f>(L37-M37)*504.3*M5/1000</f>
        <v>77325.216191769272</v>
      </c>
      <c r="AO37" s="8034">
        <f>SUM(AB37:AM38)</f>
        <v>-17928.647631401378</v>
      </c>
      <c r="AP37" s="8052">
        <f>AO37/AN37</f>
        <v>-0.23186029751197459</v>
      </c>
      <c r="AQ37" s="1729" t="s">
        <v>2236</v>
      </c>
      <c r="AS37" s="1622"/>
    </row>
    <row r="38" spans="1:47" ht="21" customHeight="1">
      <c r="A38" s="7799"/>
      <c r="B38" s="7824"/>
      <c r="C38" s="1467" t="s">
        <v>357</v>
      </c>
      <c r="D38" s="776">
        <v>42863.387717400583</v>
      </c>
      <c r="E38" s="342">
        <v>40798.139328406724</v>
      </c>
      <c r="F38" s="342">
        <v>44975.29600802598</v>
      </c>
      <c r="G38" s="342">
        <v>31016</v>
      </c>
      <c r="H38" s="342">
        <v>24041.939334962179</v>
      </c>
      <c r="I38" s="480">
        <v>28585</v>
      </c>
      <c r="J38" s="480">
        <v>29923.237649555773</v>
      </c>
      <c r="K38" s="480">
        <v>36834.458899727215</v>
      </c>
      <c r="L38" s="2002">
        <v>34163.501334257024</v>
      </c>
      <c r="M38" s="6004">
        <v>33871.165922945904</v>
      </c>
      <c r="N38" s="6005">
        <v>33871.165922945904</v>
      </c>
      <c r="O38" s="5699">
        <v>32344.304890345651</v>
      </c>
      <c r="P38" s="7462">
        <v>39112.281184087638</v>
      </c>
      <c r="Q38" s="7622">
        <f>226414616/Q5</f>
        <v>37861.912605497317</v>
      </c>
      <c r="R38" s="5699">
        <v>0</v>
      </c>
      <c r="S38" s="3232">
        <v>0</v>
      </c>
      <c r="T38" s="3232">
        <v>0</v>
      </c>
      <c r="U38" s="3232">
        <v>0</v>
      </c>
      <c r="V38" s="3235">
        <v>0</v>
      </c>
      <c r="W38" s="3235">
        <v>0</v>
      </c>
      <c r="X38" s="3240">
        <v>0</v>
      </c>
      <c r="Y38" s="4606"/>
      <c r="Z38" s="2499"/>
      <c r="AA38" s="4459">
        <f t="shared" si="9"/>
        <v>10931.84986799306</v>
      </c>
      <c r="AB38" s="8047"/>
      <c r="AC38" s="8035"/>
      <c r="AD38" s="8035"/>
      <c r="AE38" s="8035"/>
      <c r="AF38" s="8035"/>
      <c r="AG38" s="8035"/>
      <c r="AH38" s="8035"/>
      <c r="AI38" s="8035"/>
      <c r="AJ38" s="8035"/>
      <c r="AK38" s="8035"/>
      <c r="AL38" s="8035"/>
      <c r="AM38" s="8035"/>
      <c r="AN38" s="8121"/>
      <c r="AO38" s="8035"/>
      <c r="AP38" s="8053"/>
      <c r="AQ38" s="335" t="s">
        <v>364</v>
      </c>
    </row>
    <row r="39" spans="1:47" ht="21" customHeight="1">
      <c r="A39" s="7799"/>
      <c r="B39" s="7825" t="s">
        <v>314</v>
      </c>
      <c r="C39" s="1466" t="s">
        <v>1109</v>
      </c>
      <c r="D39" s="1477">
        <v>102.68338550484059</v>
      </c>
      <c r="E39" s="1478">
        <v>100.61778904973957</v>
      </c>
      <c r="F39" s="1478">
        <v>127.9226131142583</v>
      </c>
      <c r="G39" s="1478">
        <v>127.69</v>
      </c>
      <c r="H39" s="1478">
        <v>114.7</v>
      </c>
      <c r="I39" s="1479">
        <v>144.24</v>
      </c>
      <c r="J39" s="1479">
        <v>126.50420240387075</v>
      </c>
      <c r="K39" s="1479">
        <v>130.19365474477331</v>
      </c>
      <c r="L39" s="5788">
        <v>123.24098635253669</v>
      </c>
      <c r="M39" s="5895">
        <v>123.22805842053852</v>
      </c>
      <c r="N39" s="6007">
        <v>123.22805842053852</v>
      </c>
      <c r="O39" s="5858">
        <v>108.12140766742601</v>
      </c>
      <c r="P39" s="7545">
        <v>102.11045468377807</v>
      </c>
      <c r="Q39" s="7625">
        <f>702680/Q5</f>
        <v>117.50482022605313</v>
      </c>
      <c r="R39" s="5858">
        <v>0</v>
      </c>
      <c r="S39" s="4482">
        <v>0</v>
      </c>
      <c r="T39" s="4482">
        <v>0</v>
      </c>
      <c r="U39" s="4482">
        <v>0</v>
      </c>
      <c r="V39" s="4948">
        <v>0</v>
      </c>
      <c r="W39" s="4948">
        <v>0</v>
      </c>
      <c r="X39" s="3288">
        <v>0</v>
      </c>
      <c r="Y39" s="3291"/>
      <c r="Z39" s="2653"/>
      <c r="AA39" s="4460">
        <f t="shared" si="9"/>
        <v>32.773668257725724</v>
      </c>
      <c r="AB39" s="8123">
        <f t="shared" ref="AB39:AM39" si="11">($L$39-O39)*110*O5/1000</f>
        <v>8206.1997139956147</v>
      </c>
      <c r="AC39" s="8032">
        <f t="shared" si="11"/>
        <v>11244.316600086539</v>
      </c>
      <c r="AD39" s="8032">
        <f t="shared" si="11"/>
        <v>3773.2563877836296</v>
      </c>
      <c r="AE39" s="8032">
        <f t="shared" si="11"/>
        <v>0</v>
      </c>
      <c r="AF39" s="8032">
        <f t="shared" si="11"/>
        <v>0</v>
      </c>
      <c r="AG39" s="8032">
        <f t="shared" si="11"/>
        <v>0</v>
      </c>
      <c r="AH39" s="8032">
        <f t="shared" si="11"/>
        <v>0</v>
      </c>
      <c r="AI39" s="8032">
        <f t="shared" si="11"/>
        <v>0</v>
      </c>
      <c r="AJ39" s="8032">
        <f t="shared" si="11"/>
        <v>0</v>
      </c>
      <c r="AK39" s="8032">
        <f t="shared" si="11"/>
        <v>0</v>
      </c>
      <c r="AL39" s="8032">
        <f t="shared" si="11"/>
        <v>0</v>
      </c>
      <c r="AM39" s="8032">
        <f t="shared" si="11"/>
        <v>0</v>
      </c>
      <c r="AN39" s="8118">
        <f>(L39-M39)*110*M5/1000</f>
        <v>85.874986200074019</v>
      </c>
      <c r="AO39" s="8032">
        <f>SUM(AB39:AM40)</f>
        <v>23223.772701865782</v>
      </c>
      <c r="AP39" s="8124">
        <f>AO39/AN39</f>
        <v>270.43698904077104</v>
      </c>
      <c r="AQ39" s="3332" t="s">
        <v>2233</v>
      </c>
      <c r="AR39" s="1453"/>
      <c r="AS39" s="1453"/>
      <c r="AT39" s="1453"/>
      <c r="AU39" s="1453"/>
    </row>
    <row r="40" spans="1:47" ht="21" customHeight="1" thickBot="1">
      <c r="A40" s="7827"/>
      <c r="B40" s="7826"/>
      <c r="C40" s="1730" t="s">
        <v>357</v>
      </c>
      <c r="D40" s="1731">
        <v>9544.6979968486376</v>
      </c>
      <c r="E40" s="1732">
        <v>10018.896778078888</v>
      </c>
      <c r="F40" s="1732">
        <v>13521.012391757335</v>
      </c>
      <c r="G40" s="1732">
        <v>13492</v>
      </c>
      <c r="H40" s="1732">
        <v>11769.210472813063</v>
      </c>
      <c r="I40" s="1733">
        <v>14902</v>
      </c>
      <c r="J40" s="1733">
        <v>12908.216260061105</v>
      </c>
      <c r="K40" s="1733">
        <v>12693.555344146525</v>
      </c>
      <c r="L40" s="5793">
        <v>13479.437772388193</v>
      </c>
      <c r="M40" s="5903">
        <v>12603.81169906642</v>
      </c>
      <c r="N40" s="5904">
        <v>12603.81169906642</v>
      </c>
      <c r="O40" s="2041">
        <v>15272.915240919774</v>
      </c>
      <c r="P40" s="7464">
        <v>15427.948475986464</v>
      </c>
      <c r="Q40" s="7620">
        <f>88387526/Q5</f>
        <v>14780.498025923032</v>
      </c>
      <c r="R40" s="2041">
        <v>0</v>
      </c>
      <c r="S40" s="2221">
        <v>0</v>
      </c>
      <c r="T40" s="2221">
        <v>0</v>
      </c>
      <c r="U40" s="2221">
        <v>0</v>
      </c>
      <c r="V40" s="2113">
        <v>0</v>
      </c>
      <c r="W40" s="2113">
        <v>0</v>
      </c>
      <c r="X40" s="2640">
        <v>0</v>
      </c>
      <c r="Y40" s="5467"/>
      <c r="Z40" s="2640"/>
      <c r="AA40" s="2114">
        <f t="shared" si="9"/>
        <v>4548.1361742829267</v>
      </c>
      <c r="AB40" s="8122"/>
      <c r="AC40" s="8033"/>
      <c r="AD40" s="8033"/>
      <c r="AE40" s="8033"/>
      <c r="AF40" s="8033"/>
      <c r="AG40" s="8033"/>
      <c r="AH40" s="8033"/>
      <c r="AI40" s="8033"/>
      <c r="AJ40" s="8033"/>
      <c r="AK40" s="8033"/>
      <c r="AL40" s="8033"/>
      <c r="AM40" s="8033"/>
      <c r="AN40" s="8119"/>
      <c r="AO40" s="8033"/>
      <c r="AP40" s="8125"/>
      <c r="AQ40" s="1734" t="s">
        <v>364</v>
      </c>
      <c r="AR40" s="1453"/>
      <c r="AS40" s="1453"/>
      <c r="AT40" s="1453"/>
      <c r="AU40" s="1453"/>
    </row>
    <row r="41" spans="1:47" ht="21" customHeight="1">
      <c r="A41" s="7798" t="s">
        <v>737</v>
      </c>
      <c r="B41" s="4995" t="s">
        <v>987</v>
      </c>
      <c r="C41" s="5013" t="s">
        <v>273</v>
      </c>
      <c r="D41" s="5014"/>
      <c r="E41" s="5015"/>
      <c r="F41" s="5015">
        <v>8192</v>
      </c>
      <c r="G41" s="5015">
        <v>7346</v>
      </c>
      <c r="H41" s="5015">
        <v>6657</v>
      </c>
      <c r="I41" s="5016">
        <v>7480</v>
      </c>
      <c r="J41" s="5016">
        <v>8363.5777780167318</v>
      </c>
      <c r="K41" s="5016">
        <v>5824.2439762880649</v>
      </c>
      <c r="L41" s="5789">
        <v>3951.9630048119179</v>
      </c>
      <c r="M41" s="5901">
        <v>3912.4433747637986</v>
      </c>
      <c r="N41" s="5988">
        <v>3912.4433747637986</v>
      </c>
      <c r="O41" s="4946">
        <v>6098.3518844292394</v>
      </c>
      <c r="P41" s="7584">
        <f>15105000/P5</f>
        <v>3122.4160740863235</v>
      </c>
      <c r="Q41" s="7626">
        <f>30210000/Q5</f>
        <v>5051.8310170049881</v>
      </c>
      <c r="R41" s="4946">
        <v>0</v>
      </c>
      <c r="S41" s="2553">
        <v>0</v>
      </c>
      <c r="T41" s="2553">
        <v>0</v>
      </c>
      <c r="U41" s="2553">
        <v>0</v>
      </c>
      <c r="V41" s="2553">
        <v>0</v>
      </c>
      <c r="W41" s="2553">
        <v>0</v>
      </c>
      <c r="X41" s="4633">
        <v>0</v>
      </c>
      <c r="Y41" s="5518"/>
      <c r="Z41" s="4633"/>
      <c r="AA41" s="884">
        <f t="shared" si="9"/>
        <v>1427.2598975520552</v>
      </c>
      <c r="AB41" s="4486"/>
      <c r="AC41" s="957"/>
      <c r="AD41" s="957"/>
      <c r="AE41" s="957"/>
      <c r="AF41" s="957"/>
      <c r="AG41" s="957"/>
      <c r="AH41" s="957"/>
      <c r="AI41" s="957"/>
      <c r="AJ41" s="957"/>
      <c r="AK41" s="957"/>
      <c r="AL41" s="957"/>
      <c r="AM41" s="957"/>
      <c r="AN41" s="5017"/>
      <c r="AO41" s="957"/>
      <c r="AP41" s="1047"/>
      <c r="AQ41" s="2934" t="s">
        <v>738</v>
      </c>
    </row>
    <row r="42" spans="1:47" ht="21" customHeight="1" thickBot="1">
      <c r="A42" s="7827"/>
      <c r="B42" s="2249" t="s">
        <v>760</v>
      </c>
      <c r="C42" s="2306" t="s">
        <v>276</v>
      </c>
      <c r="D42" s="1740">
        <v>2057</v>
      </c>
      <c r="E42" s="1741">
        <v>3249</v>
      </c>
      <c r="F42" s="1741">
        <v>4436</v>
      </c>
      <c r="G42" s="1741"/>
      <c r="H42" s="1741">
        <v>15121.883998696972</v>
      </c>
      <c r="I42" s="1447">
        <v>22325</v>
      </c>
      <c r="J42" s="1447">
        <v>16135.219800729554</v>
      </c>
      <c r="K42" s="1447">
        <v>18457.150704298372</v>
      </c>
      <c r="L42" s="5777">
        <v>17614.707529321437</v>
      </c>
      <c r="M42" s="6002">
        <v>17438.560454028222</v>
      </c>
      <c r="N42" s="6003">
        <v>17438.560454028222</v>
      </c>
      <c r="O42" s="2044">
        <v>20360.13412726079</v>
      </c>
      <c r="P42" s="7585">
        <f>82444680/P5</f>
        <v>17042.475607739372</v>
      </c>
      <c r="Q42" s="7620">
        <f>97712195/Q5</f>
        <v>16339.804615711344</v>
      </c>
      <c r="R42" s="2046">
        <v>0</v>
      </c>
      <c r="S42" s="2114">
        <v>0</v>
      </c>
      <c r="T42" s="2114">
        <v>0</v>
      </c>
      <c r="U42" s="2114">
        <v>0</v>
      </c>
      <c r="V42" s="2113">
        <v>0</v>
      </c>
      <c r="W42" s="2113">
        <v>0</v>
      </c>
      <c r="X42" s="2658">
        <v>0</v>
      </c>
      <c r="Y42" s="5508"/>
      <c r="Z42" s="2658"/>
      <c r="AA42" s="2114">
        <f t="shared" si="9"/>
        <v>5374.2414350711506</v>
      </c>
      <c r="AB42" s="6057">
        <f t="shared" ref="AB42:AM42" si="12">($L$42-O42)*O5/1000</f>
        <v>-13546.26428542452</v>
      </c>
      <c r="AC42" s="2999">
        <f t="shared" si="12"/>
        <v>2768.2291438453949</v>
      </c>
      <c r="AD42" s="2999">
        <f t="shared" si="12"/>
        <v>7623.9321724174897</v>
      </c>
      <c r="AE42" s="2999">
        <f t="shared" si="12"/>
        <v>0</v>
      </c>
      <c r="AF42" s="2999">
        <f t="shared" si="12"/>
        <v>0</v>
      </c>
      <c r="AG42" s="2999">
        <f t="shared" si="12"/>
        <v>0</v>
      </c>
      <c r="AH42" s="2999">
        <f t="shared" si="12"/>
        <v>0</v>
      </c>
      <c r="AI42" s="2999">
        <f t="shared" si="12"/>
        <v>0</v>
      </c>
      <c r="AJ42" s="2999">
        <f t="shared" si="12"/>
        <v>0</v>
      </c>
      <c r="AK42" s="2999">
        <f t="shared" si="12"/>
        <v>0</v>
      </c>
      <c r="AL42" s="2999">
        <f t="shared" si="12"/>
        <v>0</v>
      </c>
      <c r="AM42" s="2999">
        <f t="shared" si="12"/>
        <v>0</v>
      </c>
      <c r="AN42" s="2658">
        <f>(L42-M42)*M5/1000</f>
        <v>10637.029722028859</v>
      </c>
      <c r="AO42" s="5004">
        <f>SUM(AB42:AM42)</f>
        <v>-3154.1029691616368</v>
      </c>
      <c r="AP42" s="2990">
        <f>AO42/AN42</f>
        <v>-0.29652102622498239</v>
      </c>
      <c r="AQ42" s="2878" t="s">
        <v>777</v>
      </c>
      <c r="AR42" s="1453"/>
    </row>
    <row r="43" spans="1:47" ht="21" customHeight="1">
      <c r="A43" s="7799" t="s">
        <v>741</v>
      </c>
      <c r="B43" s="4996" t="s">
        <v>743</v>
      </c>
      <c r="C43" s="2307" t="s">
        <v>745</v>
      </c>
      <c r="D43" s="792"/>
      <c r="E43" s="747"/>
      <c r="F43" s="747"/>
      <c r="G43" s="747">
        <v>3</v>
      </c>
      <c r="H43" s="747">
        <v>18</v>
      </c>
      <c r="I43" s="1459">
        <v>14</v>
      </c>
      <c r="J43" s="1459">
        <v>10</v>
      </c>
      <c r="K43" s="1459">
        <v>14</v>
      </c>
      <c r="L43" s="5776">
        <v>11</v>
      </c>
      <c r="M43" s="5977">
        <v>12</v>
      </c>
      <c r="N43" s="6008">
        <f>M43/12</f>
        <v>1</v>
      </c>
      <c r="O43" s="4635">
        <v>1</v>
      </c>
      <c r="P43" s="7586">
        <v>1</v>
      </c>
      <c r="Q43" s="7284">
        <v>1</v>
      </c>
      <c r="R43" s="7296">
        <v>0</v>
      </c>
      <c r="S43" s="5012">
        <v>0</v>
      </c>
      <c r="T43" s="4462">
        <v>0</v>
      </c>
      <c r="U43" s="1215">
        <v>0</v>
      </c>
      <c r="V43" s="1210">
        <v>0</v>
      </c>
      <c r="W43" s="1215">
        <v>0</v>
      </c>
      <c r="X43" s="1574">
        <v>0</v>
      </c>
      <c r="Y43" s="5507"/>
      <c r="Z43" s="1574"/>
      <c r="AA43" s="1215">
        <f>SUM(O43:Z43)</f>
        <v>3</v>
      </c>
      <c r="AB43" s="4474"/>
      <c r="AC43" s="875"/>
      <c r="AD43" s="875"/>
      <c r="AE43" s="875"/>
      <c r="AF43" s="875"/>
      <c r="AG43" s="875"/>
      <c r="AH43" s="875"/>
      <c r="AI43" s="875"/>
      <c r="AJ43" s="875"/>
      <c r="AK43" s="875"/>
      <c r="AL43" s="875"/>
      <c r="AM43" s="875"/>
      <c r="AN43" s="5011"/>
      <c r="AO43" s="5011"/>
      <c r="AP43" s="1721"/>
      <c r="AQ43" s="1982"/>
    </row>
    <row r="44" spans="1:47" ht="21" customHeight="1" thickBot="1">
      <c r="A44" s="7827"/>
      <c r="B44" s="1696" t="s">
        <v>742</v>
      </c>
      <c r="C44" s="1697" t="s">
        <v>744</v>
      </c>
      <c r="D44" s="1740"/>
      <c r="E44" s="1741"/>
      <c r="F44" s="1741"/>
      <c r="G44" s="1741">
        <v>175289.47202950891</v>
      </c>
      <c r="H44" s="1741">
        <v>800077.21181289305</v>
      </c>
      <c r="I44" s="1447">
        <v>460819</v>
      </c>
      <c r="J44" s="2830">
        <v>459054</v>
      </c>
      <c r="K44" s="2856">
        <v>-690358.77657165157</v>
      </c>
      <c r="L44" s="5790">
        <v>652018.77393515292</v>
      </c>
      <c r="M44" s="5903">
        <v>360000</v>
      </c>
      <c r="N44" s="6014">
        <f>M44/12</f>
        <v>30000</v>
      </c>
      <c r="O44" s="2046"/>
      <c r="P44" s="7563"/>
      <c r="Q44" s="7313"/>
      <c r="R44" s="2046"/>
      <c r="S44" s="3115"/>
      <c r="T44" s="3115"/>
      <c r="U44" s="3115"/>
      <c r="V44" s="3115"/>
      <c r="W44" s="3115"/>
      <c r="X44" s="5018"/>
      <c r="Y44" s="5519"/>
      <c r="Z44" s="5018"/>
      <c r="AA44" s="3115"/>
      <c r="AB44" s="4478"/>
      <c r="AC44" s="3137"/>
      <c r="AD44" s="3137"/>
      <c r="AE44" s="3137"/>
      <c r="AF44" s="3137"/>
      <c r="AG44" s="3137"/>
      <c r="AH44" s="3137"/>
      <c r="AI44" s="3137"/>
      <c r="AJ44" s="3137"/>
      <c r="AK44" s="3137"/>
      <c r="AL44" s="3137"/>
      <c r="AM44" s="3137"/>
      <c r="AN44" s="5019"/>
      <c r="AO44" s="5019"/>
      <c r="AP44" s="4457"/>
      <c r="AQ44" s="3720"/>
    </row>
    <row r="45" spans="1:47" ht="21" customHeight="1" thickBot="1">
      <c r="A45" s="8107" t="s">
        <v>360</v>
      </c>
      <c r="B45" s="8108"/>
      <c r="C45" s="1469"/>
      <c r="D45" s="793"/>
      <c r="E45" s="362"/>
      <c r="F45" s="362"/>
      <c r="G45" s="362"/>
      <c r="H45" s="362"/>
      <c r="I45" s="1113"/>
      <c r="J45" s="1113"/>
      <c r="K45" s="1113"/>
      <c r="L45" s="5791"/>
      <c r="M45" s="6009"/>
      <c r="N45" s="6010"/>
      <c r="O45" s="1962">
        <f t="shared" ref="O45:U45" si="13">AB45</f>
        <v>3759.1547300704751</v>
      </c>
      <c r="P45" s="7587">
        <f t="shared" si="13"/>
        <v>76265.291707336495</v>
      </c>
      <c r="Q45" s="7314">
        <f t="shared" si="13"/>
        <v>177034.83471316702</v>
      </c>
      <c r="R45" s="1962" t="e">
        <f t="shared" si="13"/>
        <v>#DIV/0!</v>
      </c>
      <c r="S45" s="1259" t="e">
        <f t="shared" si="13"/>
        <v>#DIV/0!</v>
      </c>
      <c r="T45" s="1216" t="e">
        <f t="shared" si="13"/>
        <v>#DIV/0!</v>
      </c>
      <c r="U45" s="1216" t="e">
        <f t="shared" si="13"/>
        <v>#DIV/0!</v>
      </c>
      <c r="V45" s="1216" t="e">
        <f>AI45</f>
        <v>#DIV/0!</v>
      </c>
      <c r="W45" s="1216" t="e">
        <f>AJ45</f>
        <v>#DIV/0!</v>
      </c>
      <c r="X45" s="1338" t="e">
        <f>AK45</f>
        <v>#DIV/0!</v>
      </c>
      <c r="Y45" s="6103" t="e">
        <f>AL45</f>
        <v>#DIV/0!</v>
      </c>
      <c r="Z45" s="1216" t="e">
        <f>AM45</f>
        <v>#DIV/0!</v>
      </c>
      <c r="AA45" s="1216">
        <f>AO45</f>
        <v>257059.28115057401</v>
      </c>
      <c r="AB45" s="7116">
        <f>SUM(AB6:AB10)+AB31+SUM(AB37:AB42)</f>
        <v>3759.1547300704751</v>
      </c>
      <c r="AC45" s="1338">
        <f>SUM(AC6:AC10)+AC31+SUM(AC37:AC42)</f>
        <v>76265.291707336495</v>
      </c>
      <c r="AD45" s="1338">
        <f>SUM(AD6:AD10)+AD31+SUM(AD37:AD42)</f>
        <v>177034.83471316702</v>
      </c>
      <c r="AE45" s="1338" t="e">
        <f t="shared" ref="AE45:AM45" si="14">SUM(AE6:AE10)+AE31+SUM(AE37:AE42)</f>
        <v>#DIV/0!</v>
      </c>
      <c r="AF45" s="1338" t="e">
        <f t="shared" si="14"/>
        <v>#DIV/0!</v>
      </c>
      <c r="AG45" s="1338" t="e">
        <f t="shared" si="14"/>
        <v>#DIV/0!</v>
      </c>
      <c r="AH45" s="1338" t="e">
        <f t="shared" si="14"/>
        <v>#DIV/0!</v>
      </c>
      <c r="AI45" s="1338" t="e">
        <f t="shared" si="14"/>
        <v>#DIV/0!</v>
      </c>
      <c r="AJ45" s="1338" t="e">
        <f t="shared" si="14"/>
        <v>#DIV/0!</v>
      </c>
      <c r="AK45" s="1338" t="e">
        <f t="shared" si="14"/>
        <v>#DIV/0!</v>
      </c>
      <c r="AL45" s="1338" t="e">
        <f t="shared" si="14"/>
        <v>#DIV/0!</v>
      </c>
      <c r="AM45" s="1338" t="e">
        <f t="shared" si="14"/>
        <v>#DIV/0!</v>
      </c>
      <c r="AN45" s="6127">
        <f>SUM(AN6:AN10)+AN31+SUM(AN37:AN42)</f>
        <v>499659.55936402315</v>
      </c>
      <c r="AO45" s="1077">
        <f>SUM(AO6:AO10)+AO31+SUM(AO37:AO42)</f>
        <v>257059.28115057401</v>
      </c>
      <c r="AP45" s="357">
        <f>AO45/AN45</f>
        <v>0.51446885450918678</v>
      </c>
      <c r="AQ45" s="483"/>
    </row>
    <row r="46" spans="1:47" ht="16.5"/>
    <row r="47" spans="1:47" ht="24.95" customHeight="1">
      <c r="AO47" s="340" t="s">
        <v>2128</v>
      </c>
      <c r="AP47" s="1452" t="s">
        <v>2127</v>
      </c>
      <c r="AQ47" s="673">
        <v>69.23</v>
      </c>
    </row>
    <row r="48" spans="1:47" ht="24.95" customHeight="1">
      <c r="A48" s="1607"/>
      <c r="B48" s="1607"/>
      <c r="C48" s="1607"/>
      <c r="D48" s="1607"/>
      <c r="E48" s="1607"/>
      <c r="F48" s="1607"/>
      <c r="G48" s="1607"/>
      <c r="H48" s="1607"/>
      <c r="I48" s="1607"/>
      <c r="J48" s="1607"/>
      <c r="K48" s="1607"/>
      <c r="L48" s="1607"/>
      <c r="M48" s="1607"/>
      <c r="N48" s="1607"/>
      <c r="O48" s="1607"/>
      <c r="P48" s="1607"/>
      <c r="Q48" s="1607"/>
      <c r="R48" s="1607"/>
      <c r="S48" s="1607"/>
      <c r="T48" s="1607"/>
      <c r="U48" s="1607"/>
      <c r="V48" s="1607"/>
      <c r="W48" s="1607"/>
      <c r="X48" s="1607"/>
      <c r="Y48" s="1607"/>
      <c r="Z48" s="1607"/>
      <c r="AA48" s="1607"/>
      <c r="AB48" s="1607"/>
      <c r="AC48" s="1607"/>
      <c r="AD48" s="1607"/>
      <c r="AE48" s="1607"/>
      <c r="AF48" s="1607"/>
      <c r="AG48" s="1607"/>
      <c r="AH48" s="1607"/>
      <c r="AI48" s="1607"/>
      <c r="AJ48" s="1607"/>
      <c r="AK48" s="1607"/>
      <c r="AL48" s="1607"/>
      <c r="AM48" s="1607"/>
      <c r="AN48" s="1607"/>
      <c r="AO48" s="1607"/>
      <c r="AP48" s="1607"/>
      <c r="AQ48" s="1608">
        <f>AQ47*9310</f>
        <v>644531.30000000005</v>
      </c>
      <c r="AR48" s="1607"/>
      <c r="AS48" s="1607"/>
      <c r="AT48" s="1607"/>
      <c r="AU48" s="1607"/>
    </row>
    <row r="49" spans="1:47" ht="24.95" customHeight="1" thickBot="1">
      <c r="A49" s="1607"/>
      <c r="B49" s="1607"/>
      <c r="C49" s="1607"/>
      <c r="D49" s="1607"/>
      <c r="E49" s="1607"/>
      <c r="F49" s="1607"/>
      <c r="G49" s="1607"/>
      <c r="H49" s="1607"/>
      <c r="I49" s="1607"/>
      <c r="J49" s="1607"/>
      <c r="K49" s="1607"/>
      <c r="L49" s="1607"/>
      <c r="M49" s="1607"/>
      <c r="N49" s="1607"/>
      <c r="O49" s="1607"/>
      <c r="P49" s="1607"/>
      <c r="Q49" s="1607"/>
      <c r="R49" s="1607"/>
      <c r="S49" s="1607"/>
      <c r="T49" s="1607"/>
      <c r="U49" s="1607"/>
      <c r="V49" s="1607"/>
      <c r="W49" s="1607"/>
      <c r="X49" s="1607"/>
      <c r="Y49" s="1607"/>
      <c r="Z49" s="1607"/>
      <c r="AA49" s="1607"/>
      <c r="AB49" s="1607"/>
      <c r="AC49" s="1607"/>
      <c r="AD49" s="1607"/>
      <c r="AE49" s="1607"/>
      <c r="AF49" s="1607"/>
      <c r="AG49" s="1613"/>
      <c r="AH49" s="1607"/>
      <c r="AI49" s="1607"/>
      <c r="AJ49" s="1607"/>
      <c r="AK49" s="1607"/>
      <c r="AL49" s="1607"/>
      <c r="AM49" s="1607"/>
      <c r="AN49" s="1607"/>
      <c r="AO49" s="1607"/>
      <c r="AP49" s="1607"/>
      <c r="AQ49" s="1607"/>
      <c r="AR49" s="1607"/>
      <c r="AS49" s="1607"/>
      <c r="AT49" s="1607"/>
      <c r="AU49" s="1607"/>
    </row>
    <row r="50" spans="1:47" ht="24.95" customHeight="1" thickTop="1">
      <c r="A50" s="8109" t="s">
        <v>1</v>
      </c>
      <c r="B50" s="8110"/>
      <c r="C50" s="8110"/>
      <c r="D50" s="7139"/>
      <c r="E50" s="7139"/>
      <c r="F50" s="7139"/>
      <c r="G50" s="7139"/>
      <c r="H50" s="7139"/>
      <c r="I50" s="7139"/>
      <c r="J50" s="8113" t="s">
        <v>2272</v>
      </c>
      <c r="K50" s="8113" t="s">
        <v>2273</v>
      </c>
      <c r="L50" s="8113" t="s">
        <v>2274</v>
      </c>
      <c r="M50" s="8104" t="s">
        <v>2287</v>
      </c>
      <c r="N50" s="8130"/>
      <c r="O50" s="8104" t="s">
        <v>2147</v>
      </c>
      <c r="P50" s="8105"/>
      <c r="Q50" s="8105"/>
      <c r="R50" s="8105"/>
      <c r="S50" s="8105"/>
      <c r="T50" s="8105"/>
      <c r="U50" s="8105"/>
      <c r="V50" s="8105"/>
      <c r="W50" s="8105"/>
      <c r="X50" s="8105"/>
      <c r="Y50" s="8105"/>
      <c r="Z50" s="8105"/>
      <c r="AA50" s="8106"/>
      <c r="AB50" s="1607"/>
      <c r="AC50" s="1607"/>
      <c r="AD50" s="1607"/>
      <c r="AE50" s="1607"/>
      <c r="AF50" s="1624"/>
      <c r="AG50" s="1619"/>
      <c r="AH50" s="1607"/>
      <c r="AI50" s="1607"/>
      <c r="AJ50" s="1607"/>
      <c r="AK50" s="1607"/>
      <c r="AL50" s="1607"/>
      <c r="AM50" s="1607"/>
      <c r="AN50" s="1607"/>
      <c r="AO50" s="1607"/>
      <c r="AP50" s="1607"/>
      <c r="AQ50" s="1607"/>
      <c r="AR50" s="1607"/>
      <c r="AS50" s="1607"/>
      <c r="AT50" s="1607"/>
      <c r="AU50" s="1607"/>
    </row>
    <row r="51" spans="1:47" ht="24.95" customHeight="1">
      <c r="A51" s="8111"/>
      <c r="B51" s="8112"/>
      <c r="C51" s="8112"/>
      <c r="D51" s="7140"/>
      <c r="E51" s="7140"/>
      <c r="F51" s="7140"/>
      <c r="G51" s="7140"/>
      <c r="H51" s="7140"/>
      <c r="I51" s="7140"/>
      <c r="J51" s="8114"/>
      <c r="K51" s="8114"/>
      <c r="L51" s="8114"/>
      <c r="M51" s="7141" t="s">
        <v>2288</v>
      </c>
      <c r="N51" s="7141" t="s">
        <v>2289</v>
      </c>
      <c r="O51" s="7141" t="s">
        <v>108</v>
      </c>
      <c r="P51" s="7141" t="s">
        <v>5</v>
      </c>
      <c r="Q51" s="7141" t="s">
        <v>6</v>
      </c>
      <c r="R51" s="7141" t="s">
        <v>7</v>
      </c>
      <c r="S51" s="7141" t="s">
        <v>8</v>
      </c>
      <c r="T51" s="7141" t="s">
        <v>9</v>
      </c>
      <c r="U51" s="7141" t="s">
        <v>10</v>
      </c>
      <c r="V51" s="7141" t="s">
        <v>11</v>
      </c>
      <c r="W51" s="7141" t="s">
        <v>12</v>
      </c>
      <c r="X51" s="7141" t="s">
        <v>13</v>
      </c>
      <c r="Y51" s="7141" t="s">
        <v>14</v>
      </c>
      <c r="Z51" s="7141" t="s">
        <v>15</v>
      </c>
      <c r="AA51" s="7142" t="s">
        <v>2275</v>
      </c>
      <c r="AB51" s="1607"/>
      <c r="AC51" s="1607"/>
      <c r="AD51" s="1607"/>
      <c r="AE51" s="1607"/>
      <c r="AF51" s="1624"/>
      <c r="AG51" s="1619"/>
      <c r="AH51" s="1607"/>
      <c r="AI51" s="1607"/>
      <c r="AJ51" s="1607"/>
      <c r="AK51" s="1607"/>
      <c r="AL51" s="1607"/>
      <c r="AM51" s="1607"/>
      <c r="AN51" s="1607"/>
      <c r="AO51" s="1607"/>
      <c r="AP51" s="1607"/>
      <c r="AQ51" s="1607"/>
      <c r="AR51" s="1607"/>
      <c r="AS51" s="1607"/>
      <c r="AT51" s="1607"/>
      <c r="AU51" s="1607"/>
    </row>
    <row r="52" spans="1:47" ht="24.95" customHeight="1">
      <c r="A52" s="8111" t="s">
        <v>2276</v>
      </c>
      <c r="B52" s="8112" t="s">
        <v>2277</v>
      </c>
      <c r="C52" s="7140" t="s">
        <v>993</v>
      </c>
      <c r="D52" s="7140"/>
      <c r="E52" s="7140"/>
      <c r="F52" s="7140"/>
      <c r="G52" s="7140"/>
      <c r="H52" s="7140"/>
      <c r="I52" s="7140"/>
      <c r="J52" s="7143">
        <v>6961</v>
      </c>
      <c r="K52" s="7143">
        <v>8154.3339999999998</v>
      </c>
      <c r="L52" s="7143">
        <v>8282.8459999999995</v>
      </c>
      <c r="M52" s="7158"/>
      <c r="N52" s="7158"/>
      <c r="O52" s="7158">
        <v>1085.68</v>
      </c>
      <c r="P52" s="7158">
        <v>610.17999999999995</v>
      </c>
      <c r="Q52" s="7158"/>
      <c r="R52" s="7158"/>
      <c r="S52" s="7158"/>
      <c r="T52" s="7158"/>
      <c r="U52" s="7158"/>
      <c r="V52" s="7158"/>
      <c r="W52" s="7158"/>
      <c r="X52" s="7158"/>
      <c r="Y52" s="7158"/>
      <c r="Z52" s="7158"/>
      <c r="AA52" s="7165"/>
      <c r="AB52" s="1607"/>
      <c r="AC52" s="1607"/>
      <c r="AD52" s="1607"/>
      <c r="AE52" s="1607"/>
      <c r="AF52" s="1607"/>
      <c r="AG52" s="1607"/>
      <c r="AH52" s="1607"/>
      <c r="AI52" s="1607"/>
      <c r="AJ52" s="1607"/>
      <c r="AK52" s="1607"/>
      <c r="AL52" s="1607"/>
      <c r="AM52" s="1607"/>
      <c r="AN52" s="1607"/>
      <c r="AO52" s="1607"/>
      <c r="AP52" s="1607"/>
      <c r="AQ52" s="1608"/>
      <c r="AR52" s="1607"/>
      <c r="AS52" s="1609"/>
      <c r="AT52" s="1607"/>
      <c r="AU52" s="1607"/>
    </row>
    <row r="53" spans="1:47" ht="24.95" customHeight="1">
      <c r="A53" s="8111"/>
      <c r="B53" s="8112"/>
      <c r="C53" s="7140" t="s">
        <v>2278</v>
      </c>
      <c r="D53" s="7140"/>
      <c r="E53" s="7140"/>
      <c r="F53" s="7140"/>
      <c r="G53" s="7140"/>
      <c r="H53" s="7140"/>
      <c r="I53" s="7140"/>
      <c r="J53" s="7144">
        <v>0.12741848308201562</v>
      </c>
      <c r="K53" s="7144">
        <v>0.15317027118014287</v>
      </c>
      <c r="L53" s="7144">
        <v>0.1565154297264589</v>
      </c>
      <c r="M53" s="7159"/>
      <c r="N53" s="7159"/>
      <c r="O53" s="7159">
        <v>0.22003518357883475</v>
      </c>
      <c r="P53" s="7159">
        <v>0.12613279312055561</v>
      </c>
      <c r="Q53" s="7159"/>
      <c r="R53" s="7159"/>
      <c r="S53" s="7159"/>
      <c r="T53" s="7159"/>
      <c r="U53" s="7159"/>
      <c r="V53" s="7159"/>
      <c r="W53" s="7159"/>
      <c r="X53" s="7159"/>
      <c r="Y53" s="7159"/>
      <c r="Z53" s="7159"/>
      <c r="AA53" s="7166"/>
      <c r="AB53" s="1607"/>
      <c r="AC53" s="1607"/>
      <c r="AD53" s="1607"/>
      <c r="AE53" s="1607"/>
      <c r="AF53" s="1607"/>
      <c r="AG53" s="1607"/>
      <c r="AH53" s="1607"/>
      <c r="AI53" s="1607"/>
      <c r="AJ53" s="1607"/>
      <c r="AK53" s="1607"/>
      <c r="AL53" s="1607"/>
      <c r="AM53" s="1607"/>
      <c r="AN53" s="1607"/>
      <c r="AO53" s="1607"/>
      <c r="AP53" s="1607"/>
      <c r="AQ53" s="1607"/>
      <c r="AR53" s="1607"/>
      <c r="AS53" s="1611"/>
      <c r="AT53" s="1607"/>
      <c r="AU53" s="1607"/>
    </row>
    <row r="54" spans="1:47" ht="24.95" customHeight="1">
      <c r="A54" s="8111"/>
      <c r="B54" s="8112" t="s">
        <v>2279</v>
      </c>
      <c r="C54" s="7140" t="s">
        <v>993</v>
      </c>
      <c r="D54" s="7140"/>
      <c r="E54" s="7140"/>
      <c r="F54" s="7140"/>
      <c r="G54" s="7140"/>
      <c r="H54" s="7140"/>
      <c r="I54" s="7140"/>
      <c r="J54" s="7143">
        <v>14172.47</v>
      </c>
      <c r="K54" s="7143">
        <v>17485.946</v>
      </c>
      <c r="L54" s="7143">
        <v>18697.379999999997</v>
      </c>
      <c r="M54" s="7158"/>
      <c r="N54" s="7158"/>
      <c r="O54" s="7158">
        <v>1129.2</v>
      </c>
      <c r="P54" s="7158">
        <v>1621.75</v>
      </c>
      <c r="Q54" s="7158"/>
      <c r="R54" s="7158"/>
      <c r="S54" s="7158"/>
      <c r="T54" s="7158"/>
      <c r="U54" s="7158"/>
      <c r="V54" s="7158"/>
      <c r="W54" s="7158"/>
      <c r="X54" s="7158"/>
      <c r="Y54" s="7158"/>
      <c r="Z54" s="7158"/>
      <c r="AA54" s="7165"/>
      <c r="AB54" s="1607"/>
      <c r="AC54" s="1607"/>
      <c r="AD54" s="1607"/>
      <c r="AE54" s="1607"/>
      <c r="AF54" s="1607"/>
      <c r="AG54" s="1607"/>
      <c r="AH54" s="1607"/>
      <c r="AI54" s="1607"/>
      <c r="AJ54" s="1607"/>
      <c r="AK54" s="1607"/>
      <c r="AL54" s="1607"/>
      <c r="AM54" s="1607"/>
      <c r="AN54" s="1607"/>
      <c r="AO54" s="1607"/>
      <c r="AP54" s="1607"/>
      <c r="AQ54" s="1607"/>
      <c r="AR54" s="1607"/>
      <c r="AS54" s="1607"/>
      <c r="AT54" s="1607"/>
      <c r="AU54" s="1607"/>
    </row>
    <row r="55" spans="1:47" ht="24.95" customHeight="1">
      <c r="A55" s="8111"/>
      <c r="B55" s="8112"/>
      <c r="C55" s="7140" t="s">
        <v>2278</v>
      </c>
      <c r="D55" s="7140"/>
      <c r="E55" s="7140"/>
      <c r="F55" s="7140"/>
      <c r="G55" s="7140"/>
      <c r="H55" s="7140"/>
      <c r="I55" s="7140"/>
      <c r="J55" s="7144">
        <v>0.25942172517244272</v>
      </c>
      <c r="K55" s="7144">
        <v>0.32845442566631861</v>
      </c>
      <c r="L55" s="7144">
        <v>0.35331194923325848</v>
      </c>
      <c r="M55" s="7159"/>
      <c r="N55" s="7159"/>
      <c r="O55" s="7159">
        <v>0.22885539873371544</v>
      </c>
      <c r="P55" s="7159">
        <v>0.33523854804035058</v>
      </c>
      <c r="Q55" s="7159"/>
      <c r="R55" s="7159"/>
      <c r="S55" s="7159"/>
      <c r="T55" s="7159"/>
      <c r="U55" s="7159"/>
      <c r="V55" s="7159"/>
      <c r="W55" s="7159"/>
      <c r="X55" s="7159"/>
      <c r="Y55" s="7159"/>
      <c r="Z55" s="7159"/>
      <c r="AA55" s="7166"/>
      <c r="AB55" s="1607"/>
      <c r="AC55" s="1607"/>
      <c r="AD55" s="1607"/>
      <c r="AE55" s="1607"/>
      <c r="AF55" s="1607"/>
      <c r="AG55" s="1607"/>
      <c r="AH55" s="1607"/>
      <c r="AI55" s="1607"/>
      <c r="AJ55" s="1607"/>
      <c r="AK55" s="1607"/>
      <c r="AL55" s="1607"/>
      <c r="AM55" s="1607"/>
      <c r="AN55" s="1607"/>
      <c r="AO55" s="1607"/>
      <c r="AP55" s="1607"/>
      <c r="AQ55" s="1608"/>
      <c r="AR55" s="1607"/>
      <c r="AS55" s="1609"/>
      <c r="AT55" s="1607"/>
      <c r="AU55" s="1607"/>
    </row>
    <row r="56" spans="1:47" ht="24.95" customHeight="1">
      <c r="A56" s="8111"/>
      <c r="B56" s="8112" t="s">
        <v>2280</v>
      </c>
      <c r="C56" s="7140" t="s">
        <v>993</v>
      </c>
      <c r="D56" s="7140"/>
      <c r="E56" s="7140"/>
      <c r="F56" s="7140"/>
      <c r="G56" s="7140"/>
      <c r="H56" s="7140"/>
      <c r="I56" s="7140"/>
      <c r="J56" s="7143">
        <v>33497.536676789619</v>
      </c>
      <c r="K56" s="7143">
        <v>27596.774012979608</v>
      </c>
      <c r="L56" s="7143">
        <v>25940.089999999997</v>
      </c>
      <c r="M56" s="7158"/>
      <c r="N56" s="7158"/>
      <c r="O56" s="7158">
        <v>2719.24</v>
      </c>
      <c r="P56" s="7158">
        <v>2605.67</v>
      </c>
      <c r="Q56" s="7158"/>
      <c r="R56" s="7158"/>
      <c r="S56" s="7158"/>
      <c r="T56" s="7158"/>
      <c r="U56" s="7158"/>
      <c r="V56" s="7158"/>
      <c r="W56" s="7158"/>
      <c r="X56" s="7158"/>
      <c r="Y56" s="7158"/>
      <c r="Z56" s="7158"/>
      <c r="AA56" s="7165"/>
      <c r="AB56" s="1607"/>
      <c r="AC56" s="1607"/>
      <c r="AD56" s="1607"/>
      <c r="AE56" s="1607"/>
      <c r="AF56" s="1607"/>
      <c r="AG56" s="1607"/>
      <c r="AH56" s="1607"/>
      <c r="AI56" s="1607"/>
      <c r="AJ56" s="1607"/>
      <c r="AK56" s="1607"/>
      <c r="AL56" s="1607"/>
      <c r="AM56" s="1607"/>
      <c r="AN56" s="1607"/>
      <c r="AO56" s="1607"/>
      <c r="AP56" s="1607"/>
      <c r="AQ56" s="1607"/>
      <c r="AR56" s="1607"/>
      <c r="AS56" s="1611"/>
      <c r="AT56" s="1607"/>
      <c r="AU56" s="1607"/>
    </row>
    <row r="57" spans="1:47" ht="24.95" customHeight="1">
      <c r="A57" s="8111"/>
      <c r="B57" s="8112"/>
      <c r="C57" s="7140" t="s">
        <v>2278</v>
      </c>
      <c r="D57" s="7140"/>
      <c r="E57" s="7140"/>
      <c r="F57" s="7140"/>
      <c r="G57" s="7140"/>
      <c r="H57" s="7140"/>
      <c r="I57" s="7140"/>
      <c r="J57" s="7144">
        <v>0.61315979174554169</v>
      </c>
      <c r="K57" s="7144">
        <v>0.51837530315353852</v>
      </c>
      <c r="L57" s="7144">
        <v>0.49017262104028242</v>
      </c>
      <c r="M57" s="7159"/>
      <c r="N57" s="7159"/>
      <c r="O57" s="7159">
        <v>0.55110941768744981</v>
      </c>
      <c r="P57" s="7159">
        <v>0.53862865883909372</v>
      </c>
      <c r="Q57" s="7159"/>
      <c r="R57" s="7159"/>
      <c r="S57" s="7159"/>
      <c r="T57" s="7159"/>
      <c r="U57" s="7159"/>
      <c r="V57" s="7159"/>
      <c r="W57" s="7159"/>
      <c r="X57" s="7159"/>
      <c r="Y57" s="7159"/>
      <c r="Z57" s="7159"/>
      <c r="AA57" s="7166"/>
      <c r="AB57" s="1607"/>
      <c r="AC57" s="1607"/>
      <c r="AD57" s="1607"/>
      <c r="AE57" s="1607"/>
      <c r="AF57" s="1607"/>
      <c r="AG57" s="1607"/>
      <c r="AH57" s="1607"/>
      <c r="AI57" s="1607"/>
      <c r="AJ57" s="1607"/>
      <c r="AK57" s="1607"/>
      <c r="AL57" s="1607"/>
      <c r="AM57" s="1607"/>
      <c r="AN57" s="1607"/>
      <c r="AO57" s="1607"/>
      <c r="AP57" s="1607"/>
      <c r="AQ57" s="1607"/>
      <c r="AR57" s="1607"/>
      <c r="AS57" s="1607"/>
      <c r="AT57" s="1607"/>
      <c r="AU57" s="1607"/>
    </row>
    <row r="58" spans="1:47" ht="24.95" customHeight="1" thickBot="1">
      <c r="A58" s="8131"/>
      <c r="B58" s="7145" t="s">
        <v>2281</v>
      </c>
      <c r="C58" s="7146" t="s">
        <v>993</v>
      </c>
      <c r="D58" s="7146"/>
      <c r="E58" s="7146"/>
      <c r="F58" s="7146"/>
      <c r="G58" s="7146"/>
      <c r="H58" s="7146"/>
      <c r="I58" s="7146"/>
      <c r="J58" s="7147">
        <v>54631.006676789621</v>
      </c>
      <c r="K58" s="7147">
        <v>53237.054012979606</v>
      </c>
      <c r="L58" s="7147">
        <v>52920.316000000006</v>
      </c>
      <c r="M58" s="7160"/>
      <c r="N58" s="7160"/>
      <c r="O58" s="7160">
        <v>4934.12</v>
      </c>
      <c r="P58" s="7160">
        <v>4837.6000000000004</v>
      </c>
      <c r="Q58" s="7160"/>
      <c r="R58" s="7160"/>
      <c r="S58" s="7160"/>
      <c r="T58" s="7160"/>
      <c r="U58" s="7160"/>
      <c r="V58" s="7160"/>
      <c r="W58" s="7160"/>
      <c r="X58" s="7160"/>
      <c r="Y58" s="7160"/>
      <c r="Z58" s="7160"/>
      <c r="AA58" s="7167"/>
      <c r="AB58" s="1607"/>
      <c r="AC58" s="1607"/>
      <c r="AD58" s="1607"/>
      <c r="AE58" s="1607"/>
      <c r="AF58" s="1607"/>
      <c r="AG58" s="1607"/>
      <c r="AH58" s="1607"/>
      <c r="AI58" s="1607"/>
      <c r="AJ58" s="1607"/>
      <c r="AK58" s="1607"/>
      <c r="AL58" s="1607"/>
      <c r="AM58" s="1607"/>
      <c r="AN58" s="1607"/>
      <c r="AO58" s="1607"/>
      <c r="AP58" s="1607"/>
      <c r="AQ58" s="1608"/>
      <c r="AR58" s="1607"/>
      <c r="AS58" s="1609"/>
      <c r="AT58" s="1607"/>
      <c r="AU58" s="1607"/>
    </row>
    <row r="59" spans="1:47" ht="24.95" customHeight="1" thickTop="1" thickBot="1">
      <c r="A59" s="1607"/>
      <c r="B59" s="1607"/>
      <c r="C59" s="1607"/>
      <c r="D59" s="1607"/>
      <c r="E59" s="1607"/>
      <c r="F59" s="1607"/>
      <c r="G59" s="1607"/>
      <c r="H59" s="1607"/>
      <c r="I59" s="1607"/>
      <c r="K59" s="1453"/>
      <c r="M59" s="1453"/>
      <c r="N59" s="1453"/>
      <c r="O59" s="1452"/>
      <c r="P59" s="1452"/>
      <c r="Q59" s="1452"/>
      <c r="R59" s="1452"/>
      <c r="S59" s="1452"/>
      <c r="T59" s="1452"/>
      <c r="U59" s="1452"/>
      <c r="V59" s="1452"/>
      <c r="W59" s="1452"/>
      <c r="X59" s="1452"/>
      <c r="Y59" s="1452"/>
      <c r="Z59" s="1452"/>
      <c r="AA59" s="1452"/>
      <c r="AB59" s="1607"/>
      <c r="AC59" s="1607"/>
      <c r="AD59" s="1607"/>
      <c r="AE59" s="1607"/>
      <c r="AF59" s="1607"/>
      <c r="AG59" s="1607"/>
      <c r="AH59" s="1607"/>
      <c r="AI59" s="1607"/>
      <c r="AJ59" s="1607"/>
      <c r="AK59" s="1607"/>
      <c r="AL59" s="1607"/>
      <c r="AM59" s="1607"/>
      <c r="AN59" s="1607"/>
      <c r="AO59" s="1607"/>
      <c r="AP59" s="1607"/>
      <c r="AQ59" s="1607"/>
      <c r="AR59" s="1607"/>
      <c r="AS59" s="1611"/>
      <c r="AT59" s="1607"/>
      <c r="AU59" s="1607"/>
    </row>
    <row r="60" spans="1:47" ht="24.95" customHeight="1" thickTop="1">
      <c r="A60" s="8132" t="s">
        <v>2282</v>
      </c>
      <c r="B60" s="7148" t="s">
        <v>2283</v>
      </c>
      <c r="C60" s="7149">
        <v>3</v>
      </c>
      <c r="D60" s="1607"/>
      <c r="E60" s="1607"/>
      <c r="F60" s="1607"/>
      <c r="G60" s="1607"/>
      <c r="H60" s="1607"/>
      <c r="I60" s="1607"/>
      <c r="J60" s="7150">
        <v>20883</v>
      </c>
      <c r="K60" s="7151">
        <v>24463.002</v>
      </c>
      <c r="L60" s="7151">
        <v>24848.538</v>
      </c>
      <c r="M60" s="7161"/>
      <c r="N60" s="7161"/>
      <c r="O60" s="7168">
        <v>3257.04</v>
      </c>
      <c r="P60" s="7281">
        <v>1830.54</v>
      </c>
      <c r="Q60" s="7161"/>
      <c r="R60" s="7161"/>
      <c r="S60" s="7161"/>
      <c r="T60" s="7161"/>
      <c r="U60" s="7161"/>
      <c r="V60" s="7161"/>
      <c r="W60" s="7161"/>
      <c r="X60" s="7161"/>
      <c r="Y60" s="7161"/>
      <c r="Z60" s="7161"/>
      <c r="AA60" s="7169"/>
      <c r="AB60" s="1607"/>
      <c r="AC60" s="1607"/>
      <c r="AD60" s="1607"/>
      <c r="AE60" s="1607"/>
      <c r="AF60" s="1607"/>
      <c r="AG60" s="1607"/>
      <c r="AH60" s="1607"/>
      <c r="AI60" s="1607"/>
      <c r="AJ60" s="1607"/>
      <c r="AK60" s="1607"/>
      <c r="AL60" s="1607"/>
      <c r="AM60" s="1607"/>
      <c r="AN60" s="1607"/>
      <c r="AO60" s="1607"/>
      <c r="AP60" s="1607"/>
      <c r="AQ60" s="1607"/>
      <c r="AR60" s="1607"/>
      <c r="AS60" s="1607"/>
      <c r="AT60" s="1607"/>
      <c r="AU60" s="1607"/>
    </row>
    <row r="61" spans="1:47" ht="24.95" customHeight="1">
      <c r="A61" s="8133"/>
      <c r="B61" s="7152" t="s">
        <v>2284</v>
      </c>
      <c r="C61" s="7153">
        <v>1.3</v>
      </c>
      <c r="D61" s="1607"/>
      <c r="E61" s="1607"/>
      <c r="F61" s="1607"/>
      <c r="G61" s="1607"/>
      <c r="H61" s="1607"/>
      <c r="I61" s="1607"/>
      <c r="J61" s="7154">
        <v>18424.210999999999</v>
      </c>
      <c r="K61" s="7143">
        <v>22731.729800000001</v>
      </c>
      <c r="L61" s="7143">
        <v>24306.593999999997</v>
      </c>
      <c r="M61" s="7162"/>
      <c r="N61" s="7162"/>
      <c r="O61" s="7158">
        <v>1467.96</v>
      </c>
      <c r="P61" s="7282">
        <v>2108.2750000000001</v>
      </c>
      <c r="Q61" s="7162"/>
      <c r="R61" s="7162"/>
      <c r="S61" s="7162"/>
      <c r="T61" s="7162"/>
      <c r="U61" s="7162"/>
      <c r="V61" s="7162"/>
      <c r="W61" s="7162"/>
      <c r="X61" s="7162"/>
      <c r="Y61" s="7162"/>
      <c r="Z61" s="7162"/>
      <c r="AA61" s="7170"/>
      <c r="AB61" s="1607"/>
      <c r="AC61" s="1607"/>
      <c r="AD61" s="1607"/>
      <c r="AE61" s="1607"/>
      <c r="AF61" s="1607"/>
      <c r="AG61" s="1607"/>
      <c r="AH61" s="1607"/>
      <c r="AI61" s="1607"/>
      <c r="AJ61" s="1607"/>
      <c r="AK61" s="1607"/>
      <c r="AL61" s="1607"/>
      <c r="AM61" s="1607"/>
      <c r="AN61" s="1607"/>
      <c r="AO61" s="1607"/>
      <c r="AP61" s="1607"/>
      <c r="AQ61" s="1607"/>
      <c r="AR61" s="1607"/>
      <c r="AS61" s="1607"/>
      <c r="AT61" s="1607"/>
      <c r="AU61" s="1607"/>
    </row>
    <row r="62" spans="1:47" ht="24.95" customHeight="1">
      <c r="A62" s="8133"/>
      <c r="B62" s="7152" t="s">
        <v>2285</v>
      </c>
      <c r="C62" s="7153">
        <v>1</v>
      </c>
      <c r="D62" s="1607"/>
      <c r="E62" s="1607"/>
      <c r="F62" s="1607"/>
      <c r="G62" s="1607"/>
      <c r="H62" s="1607"/>
      <c r="I62" s="1607"/>
      <c r="J62" s="7154">
        <v>33497.536676789619</v>
      </c>
      <c r="K62" s="7143">
        <v>27596.774012979608</v>
      </c>
      <c r="L62" s="7143">
        <v>25940.089999999997</v>
      </c>
      <c r="M62" s="7162"/>
      <c r="N62" s="7162"/>
      <c r="O62" s="7158">
        <v>2719.24</v>
      </c>
      <c r="P62" s="7282">
        <v>2605.67</v>
      </c>
      <c r="Q62" s="7162"/>
      <c r="R62" s="7162"/>
      <c r="S62" s="7162"/>
      <c r="T62" s="7162"/>
      <c r="U62" s="7162"/>
      <c r="V62" s="7162"/>
      <c r="W62" s="7162"/>
      <c r="X62" s="7162"/>
      <c r="Y62" s="7162"/>
      <c r="Z62" s="7162"/>
      <c r="AA62" s="7170"/>
      <c r="AB62" s="1607"/>
      <c r="AC62" s="1607"/>
      <c r="AD62" s="1607"/>
      <c r="AE62" s="1607"/>
      <c r="AF62" s="1607"/>
      <c r="AG62" s="1607"/>
      <c r="AH62" s="1607"/>
      <c r="AI62" s="1607"/>
      <c r="AJ62" s="1607"/>
      <c r="AK62" s="1607"/>
      <c r="AL62" s="1607"/>
      <c r="AM62" s="1607"/>
      <c r="AN62" s="1607"/>
      <c r="AO62" s="1607"/>
      <c r="AP62" s="1607"/>
      <c r="AQ62" s="1608"/>
      <c r="AR62" s="1608"/>
      <c r="AS62" s="1608"/>
      <c r="AT62" s="1607"/>
      <c r="AU62" s="1607"/>
    </row>
    <row r="63" spans="1:47" ht="24.95" customHeight="1" thickBot="1">
      <c r="A63" s="8134"/>
      <c r="B63" s="8135" t="s">
        <v>304</v>
      </c>
      <c r="C63" s="8136"/>
      <c r="D63" s="1607"/>
      <c r="E63" s="1607"/>
      <c r="F63" s="1607"/>
      <c r="G63" s="1607"/>
      <c r="H63" s="1607"/>
      <c r="I63" s="1607"/>
      <c r="J63" s="7155">
        <v>72804.747676789615</v>
      </c>
      <c r="K63" s="7147">
        <v>74791.505812979609</v>
      </c>
      <c r="L63" s="7147">
        <v>75095.221999999994</v>
      </c>
      <c r="M63" s="7163"/>
      <c r="N63" s="7163"/>
      <c r="O63" s="7160">
        <v>7444.24</v>
      </c>
      <c r="P63" s="7283">
        <v>6544.4850000000006</v>
      </c>
      <c r="Q63" s="7163"/>
      <c r="R63" s="7163"/>
      <c r="S63" s="7163"/>
      <c r="T63" s="7163"/>
      <c r="U63" s="7163"/>
      <c r="V63" s="7163"/>
      <c r="W63" s="7163"/>
      <c r="X63" s="7163"/>
      <c r="Y63" s="7163"/>
      <c r="Z63" s="7163"/>
      <c r="AA63" s="7171"/>
      <c r="AB63" s="1607"/>
      <c r="AC63" s="1607"/>
      <c r="AD63" s="1607"/>
      <c r="AE63" s="1607"/>
      <c r="AF63" s="1607"/>
      <c r="AG63" s="1607"/>
      <c r="AH63" s="1607"/>
      <c r="AI63" s="1607"/>
      <c r="AJ63" s="1607"/>
      <c r="AK63" s="1607"/>
      <c r="AL63" s="1607"/>
      <c r="AM63" s="1607"/>
      <c r="AN63" s="1607"/>
      <c r="AO63" s="1607"/>
      <c r="AP63" s="1607"/>
      <c r="AQ63" s="1607"/>
      <c r="AR63" s="1607"/>
      <c r="AS63" s="1611"/>
      <c r="AT63" s="1607"/>
      <c r="AU63" s="1607"/>
    </row>
    <row r="64" spans="1:47" ht="24.95" customHeight="1" thickTop="1" thickBot="1">
      <c r="A64" s="1607"/>
      <c r="B64" s="1607"/>
      <c r="C64" s="1607"/>
      <c r="D64" s="1607"/>
      <c r="E64" s="1607"/>
      <c r="F64" s="1607"/>
      <c r="G64" s="1607"/>
      <c r="H64" s="1607"/>
      <c r="I64" s="1607"/>
      <c r="J64" s="1607"/>
      <c r="K64" s="1607"/>
      <c r="L64" s="1607"/>
      <c r="M64" s="758"/>
      <c r="N64" s="758"/>
      <c r="O64" s="7172"/>
      <c r="P64" s="758"/>
      <c r="Q64" s="758"/>
      <c r="R64" s="758"/>
      <c r="S64" s="758"/>
      <c r="T64" s="758"/>
      <c r="U64" s="758"/>
      <c r="V64" s="758"/>
      <c r="W64" s="758"/>
      <c r="X64" s="758"/>
      <c r="Y64" s="758"/>
      <c r="Z64" s="758"/>
      <c r="AA64" s="758"/>
      <c r="AB64" s="1607"/>
      <c r="AC64" s="1607"/>
      <c r="AD64" s="1607"/>
      <c r="AE64" s="1607"/>
      <c r="AF64" s="1607"/>
      <c r="AG64" s="1607"/>
      <c r="AH64" s="1607"/>
      <c r="AI64" s="1607"/>
      <c r="AJ64" s="1607"/>
      <c r="AK64" s="1607"/>
      <c r="AL64" s="1607"/>
      <c r="AM64" s="1607"/>
      <c r="AN64" s="1607"/>
      <c r="AO64" s="1607"/>
      <c r="AP64" s="1607"/>
      <c r="AQ64" s="1607"/>
      <c r="AR64" s="1607"/>
      <c r="AS64" s="1607"/>
      <c r="AT64" s="1607"/>
      <c r="AU64" s="1607"/>
    </row>
    <row r="65" spans="1:47" ht="24.95" customHeight="1" thickTop="1" thickBot="1">
      <c r="A65" s="8128" t="s">
        <v>2286</v>
      </c>
      <c r="B65" s="8129"/>
      <c r="C65" s="8129"/>
      <c r="D65" s="1607"/>
      <c r="E65" s="1607"/>
      <c r="F65" s="1607"/>
      <c r="G65" s="1607"/>
      <c r="H65" s="1607"/>
      <c r="I65" s="1607"/>
      <c r="J65" s="7156">
        <v>13.309177068172719</v>
      </c>
      <c r="K65" s="7157">
        <v>13.261532308793489</v>
      </c>
      <c r="L65" s="7157">
        <v>14.0050768370011</v>
      </c>
      <c r="M65" s="7164">
        <v>14.3</v>
      </c>
      <c r="N65" s="7164"/>
      <c r="O65" s="7173">
        <v>13.930524280323114</v>
      </c>
      <c r="P65" s="7164">
        <v>13.44</v>
      </c>
      <c r="Q65" s="7164"/>
      <c r="R65" s="7164"/>
      <c r="S65" s="7164"/>
      <c r="T65" s="7164"/>
      <c r="U65" s="7164"/>
      <c r="V65" s="7164"/>
      <c r="W65" s="7164"/>
      <c r="X65" s="7164"/>
      <c r="Y65" s="7164"/>
      <c r="Z65" s="7164"/>
      <c r="AA65" s="7174"/>
      <c r="AB65" s="1607"/>
      <c r="AC65" s="1607"/>
      <c r="AD65" s="1607"/>
      <c r="AE65" s="1607"/>
      <c r="AF65" s="1607"/>
      <c r="AG65" s="1607"/>
      <c r="AH65" s="1607"/>
      <c r="AI65" s="1607"/>
      <c r="AJ65" s="1607"/>
      <c r="AK65" s="1607"/>
      <c r="AL65" s="1607"/>
      <c r="AM65" s="1607"/>
      <c r="AN65" s="1607"/>
      <c r="AO65" s="1607"/>
      <c r="AP65" s="1607"/>
      <c r="AQ65" s="1607"/>
      <c r="AR65" s="1607"/>
      <c r="AS65" s="1607"/>
      <c r="AT65" s="1607"/>
      <c r="AU65" s="1607"/>
    </row>
    <row r="66" spans="1:47" ht="24.95" customHeight="1" thickTop="1">
      <c r="A66" s="1607"/>
      <c r="B66" s="1607"/>
      <c r="C66" s="1607"/>
      <c r="D66" s="1607"/>
      <c r="E66" s="1607"/>
      <c r="F66" s="1607"/>
      <c r="G66" s="1607"/>
      <c r="H66" s="1607"/>
      <c r="I66" s="1607"/>
      <c r="J66" s="1607"/>
      <c r="K66" s="1607"/>
      <c r="L66" s="1607"/>
      <c r="M66" s="1607"/>
      <c r="N66" s="1607"/>
      <c r="O66" s="1607"/>
      <c r="P66" s="1607"/>
      <c r="Q66" s="1607"/>
      <c r="R66" s="1607"/>
      <c r="S66" s="1607"/>
      <c r="T66" s="1607"/>
      <c r="U66" s="1607"/>
      <c r="V66" s="1607"/>
      <c r="W66" s="1607"/>
      <c r="X66" s="1607"/>
      <c r="Y66" s="1607"/>
      <c r="Z66" s="1607"/>
      <c r="AA66" s="1607"/>
      <c r="AB66" s="1607"/>
      <c r="AC66" s="1607"/>
      <c r="AD66" s="1607"/>
      <c r="AE66" s="1607"/>
      <c r="AF66" s="1607"/>
      <c r="AG66" s="1607"/>
      <c r="AH66" s="1607"/>
      <c r="AI66" s="1607"/>
      <c r="AJ66" s="1607"/>
      <c r="AK66" s="1607"/>
      <c r="AL66" s="1607"/>
      <c r="AM66" s="1607"/>
      <c r="AN66" s="1607"/>
      <c r="AO66" s="1607"/>
      <c r="AP66" s="1607"/>
      <c r="AQ66" s="1607"/>
      <c r="AR66" s="1607"/>
      <c r="AS66" s="1607"/>
      <c r="AT66" s="1607"/>
      <c r="AU66" s="1607"/>
    </row>
    <row r="67" spans="1:47" ht="24.95" customHeight="1">
      <c r="A67" s="1607"/>
      <c r="B67" s="1607"/>
      <c r="C67" s="1607"/>
      <c r="D67" s="1607"/>
      <c r="E67" s="1607"/>
      <c r="F67" s="1607"/>
      <c r="G67" s="1607"/>
      <c r="H67" s="1607"/>
      <c r="I67" s="1607"/>
      <c r="J67" s="1607"/>
      <c r="K67" s="1607"/>
      <c r="L67" s="1607"/>
      <c r="M67" s="1607"/>
      <c r="N67" s="1607"/>
      <c r="O67" s="1607"/>
      <c r="P67" s="1607"/>
      <c r="Q67" s="1607"/>
      <c r="R67" s="1607"/>
      <c r="S67" s="1607"/>
      <c r="T67" s="1607"/>
      <c r="U67" s="1607"/>
      <c r="V67" s="1607"/>
      <c r="W67" s="1607"/>
      <c r="X67" s="1607"/>
      <c r="Y67" s="1607"/>
      <c r="Z67" s="1607"/>
      <c r="AA67" s="1607"/>
      <c r="AB67" s="1607"/>
      <c r="AC67" s="1607"/>
      <c r="AD67" s="1607"/>
      <c r="AE67" s="1607"/>
      <c r="AF67" s="1607"/>
      <c r="AG67" s="1607"/>
      <c r="AH67" s="1607"/>
      <c r="AI67" s="1607"/>
      <c r="AJ67" s="1607"/>
      <c r="AK67" s="1607"/>
      <c r="AL67" s="1607"/>
      <c r="AM67" s="1607"/>
      <c r="AN67" s="1607"/>
      <c r="AO67" s="1607"/>
      <c r="AP67" s="1607"/>
      <c r="AQ67" s="1607"/>
      <c r="AR67" s="1607"/>
      <c r="AS67" s="1607"/>
      <c r="AT67" s="1607"/>
      <c r="AU67" s="1607"/>
    </row>
  </sheetData>
  <mergeCells count="86">
    <mergeCell ref="A65:C65"/>
    <mergeCell ref="M50:N50"/>
    <mergeCell ref="A52:A58"/>
    <mergeCell ref="B52:B53"/>
    <mergeCell ref="B54:B55"/>
    <mergeCell ref="B56:B57"/>
    <mergeCell ref="A60:A63"/>
    <mergeCell ref="B63:C63"/>
    <mergeCell ref="A1:AQ1"/>
    <mergeCell ref="A10:A11"/>
    <mergeCell ref="AP39:AP40"/>
    <mergeCell ref="AP37:AP38"/>
    <mergeCell ref="AM39:AM40"/>
    <mergeCell ref="AH39:AH40"/>
    <mergeCell ref="AI39:AI40"/>
    <mergeCell ref="AJ39:AJ40"/>
    <mergeCell ref="AK39:AK40"/>
    <mergeCell ref="AL39:AL40"/>
    <mergeCell ref="AO39:AO40"/>
    <mergeCell ref="AC39:AC40"/>
    <mergeCell ref="AP31:AP32"/>
    <mergeCell ref="AO31:AO32"/>
    <mergeCell ref="AO37:AO38"/>
    <mergeCell ref="AM31:AM32"/>
    <mergeCell ref="AD39:AD40"/>
    <mergeCell ref="AI31:AI32"/>
    <mergeCell ref="AE39:AE40"/>
    <mergeCell ref="AB31:AB32"/>
    <mergeCell ref="AC31:AC32"/>
    <mergeCell ref="AD31:AD32"/>
    <mergeCell ref="AE31:AE32"/>
    <mergeCell ref="AF31:AF32"/>
    <mergeCell ref="AB37:AB38"/>
    <mergeCell ref="AB39:AB40"/>
    <mergeCell ref="AC37:AC38"/>
    <mergeCell ref="AD37:AD38"/>
    <mergeCell ref="AE37:AE38"/>
    <mergeCell ref="AF37:AF38"/>
    <mergeCell ref="AG31:AG32"/>
    <mergeCell ref="AH37:AH38"/>
    <mergeCell ref="AN39:AN40"/>
    <mergeCell ref="AF39:AF40"/>
    <mergeCell ref="AG39:AG40"/>
    <mergeCell ref="AJ31:AJ32"/>
    <mergeCell ref="AK31:AK32"/>
    <mergeCell ref="AH31:AH32"/>
    <mergeCell ref="AM37:AM38"/>
    <mergeCell ref="AN37:AN38"/>
    <mergeCell ref="AI37:AI38"/>
    <mergeCell ref="AJ37:AJ38"/>
    <mergeCell ref="AK37:AK38"/>
    <mergeCell ref="AL37:AL38"/>
    <mergeCell ref="AG37:AG38"/>
    <mergeCell ref="M2:AQ2"/>
    <mergeCell ref="A3:A4"/>
    <mergeCell ref="B3:B4"/>
    <mergeCell ref="C3:C4"/>
    <mergeCell ref="AN3:AN4"/>
    <mergeCell ref="AO3:AO4"/>
    <mergeCell ref="AP3:AP4"/>
    <mergeCell ref="AQ3:AQ4"/>
    <mergeCell ref="O3:AM3"/>
    <mergeCell ref="M3:N3"/>
    <mergeCell ref="D3:L3"/>
    <mergeCell ref="A25:A30"/>
    <mergeCell ref="B25:B26"/>
    <mergeCell ref="AL31:AL32"/>
    <mergeCell ref="A5:A9"/>
    <mergeCell ref="AN31:AN32"/>
    <mergeCell ref="B27:B28"/>
    <mergeCell ref="B29:B30"/>
    <mergeCell ref="A12:A24"/>
    <mergeCell ref="O50:AA50"/>
    <mergeCell ref="A45:B45"/>
    <mergeCell ref="B31:B32"/>
    <mergeCell ref="A37:A40"/>
    <mergeCell ref="B37:B38"/>
    <mergeCell ref="B39:B40"/>
    <mergeCell ref="A31:A32"/>
    <mergeCell ref="A43:A44"/>
    <mergeCell ref="A33:A36"/>
    <mergeCell ref="A41:A42"/>
    <mergeCell ref="A50:C51"/>
    <mergeCell ref="J50:J51"/>
    <mergeCell ref="K50:K51"/>
    <mergeCell ref="L50:L51"/>
  </mergeCells>
  <phoneticPr fontId="23" type="noConversion"/>
  <pageMargins left="0" right="0" top="0.74803149606299213" bottom="0" header="0.31496062992125984" footer="0.31496062992125984"/>
  <pageSetup paperSize="9" scale="65" orientation="landscape"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3"/>
  <sheetViews>
    <sheetView zoomScale="80" zoomScaleNormal="80" workbookViewId="0">
      <pane xSplit="8" ySplit="3" topLeftCell="I10" activePane="bottomRight" state="frozen"/>
      <selection pane="topRight" activeCell="I1" sqref="I1"/>
      <selection pane="bottomLeft" activeCell="A4" sqref="A4"/>
      <selection pane="bottomRight" activeCell="AC38" sqref="AC38"/>
    </sheetView>
  </sheetViews>
  <sheetFormatPr defaultRowHeight="13.5"/>
  <cols>
    <col min="1" max="3" width="8.88671875" style="286"/>
    <col min="4" max="6" width="8.77734375" style="286" hidden="1" customWidth="1"/>
    <col min="7" max="7" width="11.5546875" style="286" hidden="1" customWidth="1"/>
    <col min="8" max="8" width="9.5546875" style="286" hidden="1" customWidth="1"/>
    <col min="9" max="11" width="9.5546875" style="286" bestFit="1" customWidth="1"/>
    <col min="12" max="12" width="9.5546875" style="286" customWidth="1"/>
    <col min="13" max="15" width="8.88671875" style="286"/>
    <col min="16" max="16" width="8.77734375" style="286" customWidth="1"/>
    <col min="17" max="25" width="8.77734375" style="286" hidden="1" customWidth="1"/>
    <col min="26" max="26" width="8.77734375" style="286" customWidth="1"/>
    <col min="29" max="29" width="10.44140625" bestFit="1" customWidth="1"/>
  </cols>
  <sheetData>
    <row r="1" spans="1:29" ht="14.25" thickBot="1"/>
    <row r="2" spans="1:29" ht="17.25" thickBot="1">
      <c r="A2" s="7750" t="s">
        <v>932</v>
      </c>
      <c r="B2" s="7838" t="s">
        <v>336</v>
      </c>
      <c r="C2" s="7840" t="s">
        <v>250</v>
      </c>
      <c r="D2" s="8010" t="s">
        <v>251</v>
      </c>
      <c r="E2" s="8004"/>
      <c r="F2" s="8004"/>
      <c r="G2" s="8004"/>
      <c r="H2" s="8004"/>
      <c r="I2" s="8004"/>
      <c r="J2" s="8004"/>
      <c r="K2" s="8004"/>
      <c r="L2" s="8057"/>
      <c r="M2" s="7750" t="s">
        <v>933</v>
      </c>
      <c r="N2" s="7838"/>
      <c r="O2"/>
      <c r="P2"/>
      <c r="Q2"/>
      <c r="R2"/>
      <c r="S2"/>
      <c r="T2"/>
      <c r="U2"/>
      <c r="V2"/>
      <c r="W2"/>
      <c r="X2"/>
      <c r="Y2"/>
      <c r="Z2"/>
    </row>
    <row r="3" spans="1:29" ht="17.25" thickBot="1">
      <c r="A3" s="8138"/>
      <c r="B3" s="8139"/>
      <c r="C3" s="8137"/>
      <c r="D3" s="1346" t="s">
        <v>252</v>
      </c>
      <c r="E3" s="1347" t="s">
        <v>253</v>
      </c>
      <c r="F3" s="1347" t="s">
        <v>191</v>
      </c>
      <c r="G3" s="1348" t="s">
        <v>254</v>
      </c>
      <c r="H3" s="1339" t="s">
        <v>934</v>
      </c>
      <c r="I3" s="1349" t="s">
        <v>697</v>
      </c>
      <c r="J3" s="1765" t="s">
        <v>1029</v>
      </c>
      <c r="K3" s="2527" t="s">
        <v>1246</v>
      </c>
      <c r="L3" s="1765" t="s">
        <v>1883</v>
      </c>
      <c r="M3" s="1766" t="s">
        <v>1887</v>
      </c>
      <c r="N3" s="1767" t="s">
        <v>935</v>
      </c>
      <c r="O3" s="1361" t="s">
        <v>936</v>
      </c>
      <c r="P3" s="1350" t="s">
        <v>368</v>
      </c>
      <c r="Q3" s="1350" t="s">
        <v>369</v>
      </c>
      <c r="R3" s="1350" t="s">
        <v>370</v>
      </c>
      <c r="S3" s="1350" t="s">
        <v>371</v>
      </c>
      <c r="T3" s="1350" t="s">
        <v>372</v>
      </c>
      <c r="U3" s="1350" t="s">
        <v>373</v>
      </c>
      <c r="V3" s="1350" t="s">
        <v>374</v>
      </c>
      <c r="W3" s="1350" t="s">
        <v>375</v>
      </c>
      <c r="X3" s="1350" t="s">
        <v>376</v>
      </c>
      <c r="Y3" s="1350" t="s">
        <v>377</v>
      </c>
      <c r="Z3" s="1378" t="s">
        <v>378</v>
      </c>
      <c r="AA3" s="1340" t="s">
        <v>964</v>
      </c>
    </row>
    <row r="4" spans="1:29" ht="17.45" customHeight="1">
      <c r="A4" s="7795" t="s">
        <v>937</v>
      </c>
      <c r="B4" s="7823" t="s">
        <v>938</v>
      </c>
      <c r="C4" s="954" t="s">
        <v>720</v>
      </c>
      <c r="D4" s="1353"/>
      <c r="E4" s="1354"/>
      <c r="F4" s="955"/>
      <c r="G4" s="1355">
        <v>69</v>
      </c>
      <c r="H4" s="1355">
        <v>35</v>
      </c>
      <c r="I4" s="1355">
        <v>17</v>
      </c>
      <c r="J4" s="2553">
        <v>14</v>
      </c>
      <c r="K4" s="2553">
        <v>24</v>
      </c>
      <c r="L4" s="2557">
        <v>10</v>
      </c>
      <c r="M4" s="1791">
        <f>CPL!M20</f>
        <v>8</v>
      </c>
      <c r="N4" s="2287">
        <f>CPL!N20</f>
        <v>0.8</v>
      </c>
      <c r="O4" s="1362">
        <f>CPL!O20</f>
        <v>0</v>
      </c>
      <c r="P4" s="1351">
        <f>CPL!P20</f>
        <v>0</v>
      </c>
      <c r="Q4" s="1351">
        <f>CPL!Q20</f>
        <v>0</v>
      </c>
      <c r="R4" s="1351">
        <f>CPL!R20</f>
        <v>0</v>
      </c>
      <c r="S4" s="1351">
        <f>CPL!S20</f>
        <v>0</v>
      </c>
      <c r="T4" s="1351">
        <f>CPL!T20</f>
        <v>0</v>
      </c>
      <c r="U4" s="1351">
        <f>CPL!U20</f>
        <v>0</v>
      </c>
      <c r="V4" s="1351">
        <f>CPL!V20</f>
        <v>0</v>
      </c>
      <c r="W4" s="1351">
        <f>CPL!W20</f>
        <v>0</v>
      </c>
      <c r="X4" s="1351">
        <f>CPL!X20</f>
        <v>0</v>
      </c>
      <c r="Y4" s="1351">
        <f>CPL!Y20</f>
        <v>0</v>
      </c>
      <c r="Z4" s="1379">
        <f>CPL!Z20</f>
        <v>0</v>
      </c>
      <c r="AA4" s="4687">
        <f>SUM(O4:Z4)</f>
        <v>0</v>
      </c>
    </row>
    <row r="5" spans="1:29" ht="16.5">
      <c r="A5" s="7796"/>
      <c r="B5" s="7824"/>
      <c r="C5" s="1114" t="s">
        <v>770</v>
      </c>
      <c r="D5" s="1302"/>
      <c r="E5" s="1303"/>
      <c r="F5" s="1304"/>
      <c r="G5" s="1443">
        <v>63.916666666666664</v>
      </c>
      <c r="H5" s="1443">
        <v>55.75</v>
      </c>
      <c r="I5" s="1443">
        <v>20.350000000000001</v>
      </c>
      <c r="J5" s="1514">
        <v>19.183333333333334</v>
      </c>
      <c r="K5" s="3856">
        <v>24.533333333333335</v>
      </c>
      <c r="L5" s="3167">
        <v>10.416666666666666</v>
      </c>
      <c r="M5" s="1792">
        <f>CPL!M21</f>
        <v>6.5</v>
      </c>
      <c r="N5" s="1793">
        <f>CPL!N21</f>
        <v>0.65</v>
      </c>
      <c r="O5" s="1777">
        <f>CPL!O21</f>
        <v>0</v>
      </c>
      <c r="P5" s="1342">
        <f>CPL!P21</f>
        <v>0</v>
      </c>
      <c r="Q5" s="1342">
        <f>CPL!Q21</f>
        <v>0</v>
      </c>
      <c r="R5" s="1342">
        <f>CPL!R21</f>
        <v>0</v>
      </c>
      <c r="S5" s="1342">
        <f>CPL!S21</f>
        <v>0</v>
      </c>
      <c r="T5" s="1342">
        <f>CPL!T21</f>
        <v>0</v>
      </c>
      <c r="U5" s="1342">
        <f>CPL!U21</f>
        <v>0</v>
      </c>
      <c r="V5" s="1342">
        <f>CPL!V21</f>
        <v>0</v>
      </c>
      <c r="W5" s="1342">
        <f>CPL!W21</f>
        <v>0</v>
      </c>
      <c r="X5" s="1342">
        <f>CPL!X21</f>
        <v>0</v>
      </c>
      <c r="Y5" s="1342">
        <f>CPL!Y21</f>
        <v>0</v>
      </c>
      <c r="Z5" s="1380">
        <f>CPL!Z21</f>
        <v>0</v>
      </c>
      <c r="AA5" s="1393">
        <f t="shared" ref="AA5:AA41" si="0">SUM(O5:Z5)</f>
        <v>0</v>
      </c>
    </row>
    <row r="6" spans="1:29" ht="16.5">
      <c r="A6" s="7796"/>
      <c r="B6" s="7825" t="s">
        <v>939</v>
      </c>
      <c r="C6" s="1114" t="s">
        <v>720</v>
      </c>
      <c r="D6" s="1302"/>
      <c r="E6" s="1303"/>
      <c r="F6" s="1304"/>
      <c r="G6" s="1438">
        <v>61</v>
      </c>
      <c r="H6" s="1438">
        <v>51</v>
      </c>
      <c r="I6" s="1438">
        <v>23</v>
      </c>
      <c r="J6" s="1565">
        <v>10</v>
      </c>
      <c r="K6" s="3151">
        <v>3</v>
      </c>
      <c r="L6" s="4293">
        <v>7</v>
      </c>
      <c r="M6" s="1794">
        <f>CPL!M22</f>
        <v>5</v>
      </c>
      <c r="N6" s="2288">
        <f>CPL!N22</f>
        <v>0.5</v>
      </c>
      <c r="O6" s="1778">
        <f>CPL!O22</f>
        <v>0</v>
      </c>
      <c r="P6" s="1341">
        <f>CPL!P22</f>
        <v>0</v>
      </c>
      <c r="Q6" s="1341">
        <f>CPL!Q22</f>
        <v>1</v>
      </c>
      <c r="R6" s="1341">
        <f>CPL!R22</f>
        <v>0</v>
      </c>
      <c r="S6" s="1341">
        <f>CPL!S22</f>
        <v>0</v>
      </c>
      <c r="T6" s="1341">
        <f>CPL!T22</f>
        <v>0</v>
      </c>
      <c r="U6" s="1341">
        <f>CPL!U22</f>
        <v>0</v>
      </c>
      <c r="V6" s="1341">
        <f>CPL!V22</f>
        <v>0</v>
      </c>
      <c r="W6" s="1341">
        <f>CPL!W22</f>
        <v>0</v>
      </c>
      <c r="X6" s="1341">
        <f>CPL!X22</f>
        <v>0</v>
      </c>
      <c r="Y6" s="1341">
        <f>CPL!Y22</f>
        <v>0</v>
      </c>
      <c r="Z6" s="1381">
        <f>CPL!Z22</f>
        <v>0</v>
      </c>
      <c r="AA6" s="1390">
        <f t="shared" si="0"/>
        <v>1</v>
      </c>
    </row>
    <row r="7" spans="1:29" ht="16.5">
      <c r="A7" s="7796"/>
      <c r="B7" s="7824"/>
      <c r="C7" s="1114" t="s">
        <v>770</v>
      </c>
      <c r="D7" s="1302"/>
      <c r="E7" s="1303"/>
      <c r="F7" s="1304"/>
      <c r="G7" s="1443">
        <v>107.4</v>
      </c>
      <c r="H7" s="1443">
        <v>93</v>
      </c>
      <c r="I7" s="1443">
        <v>28</v>
      </c>
      <c r="J7" s="1514">
        <v>17.75</v>
      </c>
      <c r="K7" s="3856">
        <v>8.1666666666666679</v>
      </c>
      <c r="L7" s="3167">
        <v>12.299999999999999</v>
      </c>
      <c r="M7" s="1792">
        <f>CPL!M23</f>
        <v>10</v>
      </c>
      <c r="N7" s="1793">
        <f>CPL!N23</f>
        <v>1</v>
      </c>
      <c r="O7" s="1777">
        <f>CPL!O23</f>
        <v>0</v>
      </c>
      <c r="P7" s="1342">
        <f>CPL!P23</f>
        <v>0</v>
      </c>
      <c r="Q7" s="1342">
        <f>CPL!Q23</f>
        <v>0.66666666666666663</v>
      </c>
      <c r="R7" s="1342">
        <f>CPL!R23</f>
        <v>0</v>
      </c>
      <c r="S7" s="1342">
        <f>CPL!S23</f>
        <v>0</v>
      </c>
      <c r="T7" s="1342">
        <f>CPL!T23</f>
        <v>0</v>
      </c>
      <c r="U7" s="1342">
        <f>CPL!U23</f>
        <v>0</v>
      </c>
      <c r="V7" s="1342">
        <f>CPL!V23</f>
        <v>0</v>
      </c>
      <c r="W7" s="1342">
        <f>CPL!W23</f>
        <v>0</v>
      </c>
      <c r="X7" s="1342">
        <f>CPL!X23</f>
        <v>0</v>
      </c>
      <c r="Y7" s="1342">
        <f>CPL!Y23</f>
        <v>0</v>
      </c>
      <c r="Z7" s="1380">
        <f>CPL!Z23</f>
        <v>0</v>
      </c>
      <c r="AA7" s="1393">
        <f t="shared" si="0"/>
        <v>0.66666666666666663</v>
      </c>
      <c r="AC7" s="3413"/>
    </row>
    <row r="8" spans="1:29" ht="16.5">
      <c r="A8" s="7796"/>
      <c r="B8" s="7825" t="s">
        <v>940</v>
      </c>
      <c r="C8" s="1114" t="s">
        <v>720</v>
      </c>
      <c r="D8" s="1302"/>
      <c r="E8" s="1303"/>
      <c r="F8" s="1304"/>
      <c r="G8" s="1438">
        <v>51.616666666666667</v>
      </c>
      <c r="H8" s="1438">
        <v>19</v>
      </c>
      <c r="I8" s="1438">
        <v>6</v>
      </c>
      <c r="J8" s="1565">
        <v>4</v>
      </c>
      <c r="K8" s="3151">
        <v>3</v>
      </c>
      <c r="L8" s="4293">
        <v>3</v>
      </c>
      <c r="M8" s="1794">
        <f>CPL!M24</f>
        <v>3</v>
      </c>
      <c r="N8" s="2288">
        <f>CPL!N24</f>
        <v>0.3</v>
      </c>
      <c r="O8" s="1778">
        <f>CPL!O24</f>
        <v>0</v>
      </c>
      <c r="P8" s="1341">
        <f>CPL!P24</f>
        <v>0</v>
      </c>
      <c r="Q8" s="1341">
        <f>CPL!Q24</f>
        <v>0</v>
      </c>
      <c r="R8" s="1341">
        <f>CPL!R24</f>
        <v>0</v>
      </c>
      <c r="S8" s="1341">
        <f>CPL!S24</f>
        <v>0</v>
      </c>
      <c r="T8" s="1341">
        <f>CPL!T24</f>
        <v>0</v>
      </c>
      <c r="U8" s="1341">
        <f>CPL!U24</f>
        <v>0</v>
      </c>
      <c r="V8" s="1341">
        <f>CPL!V24</f>
        <v>0</v>
      </c>
      <c r="W8" s="1341">
        <f>CPL!W24</f>
        <v>0</v>
      </c>
      <c r="X8" s="1341">
        <f>CPL!X24</f>
        <v>0</v>
      </c>
      <c r="Y8" s="1341">
        <f>CPL!Y24</f>
        <v>0</v>
      </c>
      <c r="Z8" s="1381">
        <f>CPL!Z24</f>
        <v>0</v>
      </c>
      <c r="AA8" s="1390">
        <f t="shared" si="0"/>
        <v>0</v>
      </c>
    </row>
    <row r="9" spans="1:29" ht="17.25" thickBot="1">
      <c r="A9" s="7822"/>
      <c r="B9" s="7826"/>
      <c r="C9" s="1356" t="s">
        <v>770</v>
      </c>
      <c r="D9" s="1357"/>
      <c r="E9" s="1358"/>
      <c r="F9" s="1308"/>
      <c r="G9" s="1439">
        <v>31</v>
      </c>
      <c r="H9" s="1439">
        <v>18</v>
      </c>
      <c r="I9" s="1439">
        <v>10</v>
      </c>
      <c r="J9" s="2556">
        <v>2.333333333333333</v>
      </c>
      <c r="K9" s="2556">
        <v>0.91666666666666663</v>
      </c>
      <c r="L9" s="3167">
        <v>8.6666666666666661</v>
      </c>
      <c r="M9" s="1795">
        <f>CPL!M25</f>
        <v>7</v>
      </c>
      <c r="N9" s="1796">
        <f>CPL!N25</f>
        <v>0.7</v>
      </c>
      <c r="O9" s="773">
        <f>CPL!O25</f>
        <v>0</v>
      </c>
      <c r="P9" s="1359">
        <f>CPL!P25</f>
        <v>0</v>
      </c>
      <c r="Q9" s="1359">
        <f>CPL!Q25</f>
        <v>0</v>
      </c>
      <c r="R9" s="1359">
        <f>CPL!R25</f>
        <v>0</v>
      </c>
      <c r="S9" s="1359">
        <f>CPL!S25</f>
        <v>0</v>
      </c>
      <c r="T9" s="1359">
        <f>CPL!T25</f>
        <v>0</v>
      </c>
      <c r="U9" s="1359">
        <f>CPL!U25</f>
        <v>0</v>
      </c>
      <c r="V9" s="1359">
        <f>CPL!V25</f>
        <v>0</v>
      </c>
      <c r="W9" s="1359">
        <f>CPL!W25</f>
        <v>0</v>
      </c>
      <c r="X9" s="1359">
        <f>CPL!X25</f>
        <v>0</v>
      </c>
      <c r="Y9" s="1359">
        <f>CPL!Y25</f>
        <v>0</v>
      </c>
      <c r="Z9" s="1200">
        <f>CPL!Z25</f>
        <v>0</v>
      </c>
      <c r="AA9" s="1394">
        <f t="shared" si="0"/>
        <v>0</v>
      </c>
    </row>
    <row r="10" spans="1:29" ht="17.45" customHeight="1">
      <c r="A10" s="7795" t="s">
        <v>941</v>
      </c>
      <c r="B10" s="7823" t="s">
        <v>763</v>
      </c>
      <c r="C10" s="867" t="s">
        <v>720</v>
      </c>
      <c r="D10" s="1343"/>
      <c r="E10" s="892"/>
      <c r="F10" s="892"/>
      <c r="G10" s="1344">
        <v>302</v>
      </c>
      <c r="H10" s="1464">
        <v>250</v>
      </c>
      <c r="I10" s="1464">
        <v>193</v>
      </c>
      <c r="J10" s="1199">
        <v>128</v>
      </c>
      <c r="K10" s="5470">
        <v>64</v>
      </c>
      <c r="L10" s="5807">
        <v>34</v>
      </c>
      <c r="M10" s="1800">
        <f>CRM!M21</f>
        <v>14</v>
      </c>
      <c r="N10" s="2289">
        <f>CRM!N21</f>
        <v>1.4</v>
      </c>
      <c r="O10" s="1363">
        <f>CRM!O21</f>
        <v>0</v>
      </c>
      <c r="P10" s="1363">
        <f>CRM!P21</f>
        <v>1</v>
      </c>
      <c r="Q10" s="1363">
        <f>CRM!Q21</f>
        <v>3</v>
      </c>
      <c r="R10" s="1363">
        <f>CRM!R21</f>
        <v>0</v>
      </c>
      <c r="S10" s="1363">
        <f>CRM!S21</f>
        <v>0</v>
      </c>
      <c r="T10" s="1363">
        <f>CRM!T21</f>
        <v>0</v>
      </c>
      <c r="U10" s="1363">
        <f>CRM!U21</f>
        <v>0</v>
      </c>
      <c r="V10" s="1363">
        <f>CRM!V21</f>
        <v>0</v>
      </c>
      <c r="W10" s="1363">
        <f>CRM!W21</f>
        <v>0</v>
      </c>
      <c r="X10" s="1363">
        <f>CRM!X21</f>
        <v>0</v>
      </c>
      <c r="Y10" s="1363">
        <f>CRM!Y21</f>
        <v>0</v>
      </c>
      <c r="Z10" s="1363">
        <f>CRM!Z21</f>
        <v>0</v>
      </c>
      <c r="AA10" s="4688">
        <f t="shared" si="0"/>
        <v>4</v>
      </c>
    </row>
    <row r="11" spans="1:29" ht="16.5">
      <c r="A11" s="7796"/>
      <c r="B11" s="7824"/>
      <c r="C11" s="1114" t="s">
        <v>770</v>
      </c>
      <c r="D11" s="1305"/>
      <c r="E11" s="1304"/>
      <c r="F11" s="1304"/>
      <c r="G11" s="1605">
        <v>203.66666666666666</v>
      </c>
      <c r="H11" s="1605">
        <v>159.26666666666668</v>
      </c>
      <c r="I11" s="1605">
        <v>96.083333333333329</v>
      </c>
      <c r="J11" s="1551">
        <v>70.733333333333334</v>
      </c>
      <c r="K11" s="3148">
        <v>35.166666666666671</v>
      </c>
      <c r="L11" s="5799">
        <v>23.833333333333332</v>
      </c>
      <c r="M11" s="1801">
        <f>CRM!M22</f>
        <v>7</v>
      </c>
      <c r="N11" s="1817">
        <f>CRM!N22</f>
        <v>0.7</v>
      </c>
      <c r="O11" s="1779">
        <f>CRM!O22</f>
        <v>0</v>
      </c>
      <c r="P11" s="1205">
        <f>CRM!P22</f>
        <v>0.25</v>
      </c>
      <c r="Q11" s="1205">
        <f>CRM!Q22</f>
        <v>1.3333333333333333</v>
      </c>
      <c r="R11" s="1205">
        <f>CRM!R22</f>
        <v>0</v>
      </c>
      <c r="S11" s="1205">
        <f>CRM!S22</f>
        <v>0</v>
      </c>
      <c r="T11" s="1205">
        <f>CRM!T22</f>
        <v>0</v>
      </c>
      <c r="U11" s="1205">
        <f>CRM!U22</f>
        <v>0</v>
      </c>
      <c r="V11" s="1205">
        <f>CRM!V22</f>
        <v>0</v>
      </c>
      <c r="W11" s="1205">
        <f>CRM!W22</f>
        <v>0</v>
      </c>
      <c r="X11" s="1205">
        <f>CRM!X22</f>
        <v>0</v>
      </c>
      <c r="Y11" s="1205">
        <f>CRM!Y22</f>
        <v>0</v>
      </c>
      <c r="Z11" s="1241">
        <f>CRM!Z22</f>
        <v>0</v>
      </c>
      <c r="AA11" s="1393">
        <f t="shared" si="0"/>
        <v>1.5833333333333333</v>
      </c>
    </row>
    <row r="12" spans="1:29" ht="16.5">
      <c r="A12" s="7796"/>
      <c r="B12" s="7825" t="s">
        <v>64</v>
      </c>
      <c r="C12" s="1114" t="s">
        <v>720</v>
      </c>
      <c r="D12" s="1305"/>
      <c r="E12" s="1304"/>
      <c r="F12" s="1304"/>
      <c r="G12" s="1442">
        <v>67</v>
      </c>
      <c r="H12" s="1442">
        <v>73</v>
      </c>
      <c r="I12" s="1442">
        <v>30</v>
      </c>
      <c r="J12" s="2554">
        <v>22</v>
      </c>
      <c r="K12" s="5794">
        <v>7</v>
      </c>
      <c r="L12" s="5800">
        <v>7</v>
      </c>
      <c r="M12" s="1802">
        <f>CRM!M23</f>
        <v>6</v>
      </c>
      <c r="N12" s="2290">
        <f>CRM!N23</f>
        <v>0.6</v>
      </c>
      <c r="O12" s="1780">
        <f>CRM!O23</f>
        <v>0</v>
      </c>
      <c r="P12" s="1124">
        <f>CRM!P23</f>
        <v>0</v>
      </c>
      <c r="Q12" s="1124">
        <f>CRM!Q23</f>
        <v>0</v>
      </c>
      <c r="R12" s="1124">
        <f>CRM!R23</f>
        <v>0</v>
      </c>
      <c r="S12" s="1124">
        <f>CRM!S23</f>
        <v>0</v>
      </c>
      <c r="T12" s="1124">
        <f>CRM!T23</f>
        <v>0</v>
      </c>
      <c r="U12" s="1124">
        <f>CRM!U23</f>
        <v>0</v>
      </c>
      <c r="V12" s="1124">
        <f>CRM!V23</f>
        <v>0</v>
      </c>
      <c r="W12" s="1124">
        <f>CRM!W23</f>
        <v>0</v>
      </c>
      <c r="X12" s="1124">
        <f>CRM!X23</f>
        <v>0</v>
      </c>
      <c r="Y12" s="1124">
        <f>CRM!Y23</f>
        <v>0</v>
      </c>
      <c r="Z12" s="1218">
        <f>CRM!Z23</f>
        <v>0</v>
      </c>
      <c r="AA12" s="1390">
        <f t="shared" si="0"/>
        <v>0</v>
      </c>
    </row>
    <row r="13" spans="1:29" ht="16.5">
      <c r="A13" s="7796"/>
      <c r="B13" s="7824"/>
      <c r="C13" s="1114" t="s">
        <v>770</v>
      </c>
      <c r="D13" s="1305"/>
      <c r="E13" s="1304"/>
      <c r="F13" s="1304"/>
      <c r="G13" s="1605">
        <v>111.16666666666667</v>
      </c>
      <c r="H13" s="1605">
        <v>161</v>
      </c>
      <c r="I13" s="1605">
        <v>59</v>
      </c>
      <c r="J13" s="1551">
        <v>41.25</v>
      </c>
      <c r="K13" s="3148">
        <v>17.333333333333332</v>
      </c>
      <c r="L13" s="5799">
        <v>18.249999999999996</v>
      </c>
      <c r="M13" s="1801">
        <f>CRM!M24</f>
        <v>18.25</v>
      </c>
      <c r="N13" s="1817">
        <f>CRM!N24</f>
        <v>1.825</v>
      </c>
      <c r="O13" s="1779">
        <f>CRM!O24</f>
        <v>0</v>
      </c>
      <c r="P13" s="1205">
        <f>CRM!P24</f>
        <v>0</v>
      </c>
      <c r="Q13" s="1205">
        <f>CRM!Q24</f>
        <v>0</v>
      </c>
      <c r="R13" s="1205">
        <f>CRM!R24</f>
        <v>0</v>
      </c>
      <c r="S13" s="1205">
        <f>CRM!S24</f>
        <v>0</v>
      </c>
      <c r="T13" s="1205">
        <f>CRM!T24</f>
        <v>0</v>
      </c>
      <c r="U13" s="1205">
        <f>CRM!U24</f>
        <v>0</v>
      </c>
      <c r="V13" s="1205">
        <f>CRM!V24</f>
        <v>0</v>
      </c>
      <c r="W13" s="1205">
        <f>CRM!W24</f>
        <v>0</v>
      </c>
      <c r="X13" s="1205">
        <f>CRM!X24</f>
        <v>0</v>
      </c>
      <c r="Y13" s="1205">
        <f>CRM!Y24</f>
        <v>0</v>
      </c>
      <c r="Z13" s="1241">
        <f>CRM!Z24</f>
        <v>0</v>
      </c>
      <c r="AA13" s="1393">
        <f t="shared" si="0"/>
        <v>0</v>
      </c>
    </row>
    <row r="14" spans="1:29" ht="16.5">
      <c r="A14" s="7796"/>
      <c r="B14" s="7825" t="s">
        <v>940</v>
      </c>
      <c r="C14" s="1114" t="s">
        <v>720</v>
      </c>
      <c r="D14" s="1305"/>
      <c r="E14" s="1304"/>
      <c r="F14" s="1304"/>
      <c r="G14" s="1442">
        <v>41</v>
      </c>
      <c r="H14" s="1442">
        <v>24</v>
      </c>
      <c r="I14" s="1442">
        <v>19</v>
      </c>
      <c r="J14" s="2554">
        <v>25</v>
      </c>
      <c r="K14" s="5794">
        <v>6</v>
      </c>
      <c r="L14" s="5800">
        <v>25</v>
      </c>
      <c r="M14" s="1802">
        <f>CRM!M25</f>
        <v>10</v>
      </c>
      <c r="N14" s="2290">
        <f>CRM!N25</f>
        <v>1</v>
      </c>
      <c r="O14" s="1780">
        <f>CRM!O25</f>
        <v>0</v>
      </c>
      <c r="P14" s="1124">
        <f>CRM!P25</f>
        <v>0</v>
      </c>
      <c r="Q14" s="1124">
        <f>CRM!Q25</f>
        <v>3</v>
      </c>
      <c r="R14" s="1124">
        <f>CRM!R25</f>
        <v>0</v>
      </c>
      <c r="S14" s="1124">
        <f>CRM!S25</f>
        <v>0</v>
      </c>
      <c r="T14" s="1124">
        <f>CRM!T25</f>
        <v>0</v>
      </c>
      <c r="U14" s="1124">
        <f>CRM!U25</f>
        <v>0</v>
      </c>
      <c r="V14" s="1124">
        <f>CRM!V25</f>
        <v>0</v>
      </c>
      <c r="W14" s="1124">
        <f>CRM!W25</f>
        <v>0</v>
      </c>
      <c r="X14" s="1124">
        <f>CRM!X25</f>
        <v>0</v>
      </c>
      <c r="Y14" s="1124">
        <f>CRM!Y25</f>
        <v>0</v>
      </c>
      <c r="Z14" s="1218">
        <f>CRM!Z25</f>
        <v>0</v>
      </c>
      <c r="AA14" s="1390">
        <f t="shared" si="0"/>
        <v>3</v>
      </c>
    </row>
    <row r="15" spans="1:29" ht="17.25" thickBot="1">
      <c r="A15" s="7822"/>
      <c r="B15" s="7826"/>
      <c r="C15" s="1306" t="s">
        <v>770</v>
      </c>
      <c r="D15" s="1307"/>
      <c r="E15" s="1308"/>
      <c r="F15" s="1308"/>
      <c r="G15" s="1770">
        <v>79.083333333333329</v>
      </c>
      <c r="H15" s="1770">
        <v>45</v>
      </c>
      <c r="I15" s="1770">
        <v>56</v>
      </c>
      <c r="J15" s="2555">
        <v>42.666666666666664</v>
      </c>
      <c r="K15" s="3148">
        <v>13.583333333333332</v>
      </c>
      <c r="L15" s="5799">
        <v>57.083333333333343</v>
      </c>
      <c r="M15" s="1803">
        <f>CRM!M26</f>
        <v>15</v>
      </c>
      <c r="N15" s="1818">
        <f>CRM!N26</f>
        <v>1.5</v>
      </c>
      <c r="O15" s="1364">
        <f>CRM!O26</f>
        <v>0</v>
      </c>
      <c r="P15" s="1364">
        <f>CRM!P26</f>
        <v>0</v>
      </c>
      <c r="Q15" s="1364">
        <f>CRM!Q26</f>
        <v>2.9166666666666665</v>
      </c>
      <c r="R15" s="1364">
        <f>CRM!R26</f>
        <v>0</v>
      </c>
      <c r="S15" s="1364">
        <f>CRM!S26</f>
        <v>0</v>
      </c>
      <c r="T15" s="1364">
        <f>CRM!T26</f>
        <v>0</v>
      </c>
      <c r="U15" s="1364">
        <f>CRM!U26</f>
        <v>0</v>
      </c>
      <c r="V15" s="1364">
        <f>CRM!V26</f>
        <v>0</v>
      </c>
      <c r="W15" s="1364">
        <f>CRM!W26</f>
        <v>0</v>
      </c>
      <c r="X15" s="1364">
        <f>CRM!X26</f>
        <v>0</v>
      </c>
      <c r="Y15" s="1364">
        <f>CRM!Y26</f>
        <v>0</v>
      </c>
      <c r="Z15" s="1382">
        <f>CRM!Z26</f>
        <v>0</v>
      </c>
      <c r="AA15" s="1395">
        <f t="shared" si="0"/>
        <v>2.9166666666666665</v>
      </c>
    </row>
    <row r="16" spans="1:29" ht="18" customHeight="1">
      <c r="A16" s="7795" t="s">
        <v>942</v>
      </c>
      <c r="B16" s="7823" t="s">
        <v>763</v>
      </c>
      <c r="C16" s="954" t="s">
        <v>720</v>
      </c>
      <c r="D16" s="1017"/>
      <c r="E16" s="1018"/>
      <c r="F16" s="1018"/>
      <c r="G16" s="1019">
        <v>97</v>
      </c>
      <c r="H16" s="1771">
        <v>53</v>
      </c>
      <c r="I16" s="1771">
        <v>22</v>
      </c>
      <c r="J16" s="1019">
        <v>15</v>
      </c>
      <c r="K16" s="1019">
        <v>18</v>
      </c>
      <c r="L16" s="1460">
        <v>4</v>
      </c>
      <c r="M16" s="1804">
        <f>CGL!M19</f>
        <v>3</v>
      </c>
      <c r="N16" s="2289">
        <f>CGL!N19</f>
        <v>0.3</v>
      </c>
      <c r="O16" s="1781">
        <f>CGL!O19</f>
        <v>0</v>
      </c>
      <c r="P16" s="1018">
        <f>CGL!P19</f>
        <v>0</v>
      </c>
      <c r="Q16" s="1018">
        <f>CGL!Q19</f>
        <v>5</v>
      </c>
      <c r="R16" s="1018">
        <f>CGL!R19</f>
        <v>0</v>
      </c>
      <c r="S16" s="1018">
        <f>CGL!S19</f>
        <v>0</v>
      </c>
      <c r="T16" s="1018">
        <f>CGL!T19</f>
        <v>0</v>
      </c>
      <c r="U16" s="1018">
        <f>CGL!U19</f>
        <v>0</v>
      </c>
      <c r="V16" s="1018">
        <f>CGL!V19</f>
        <v>0</v>
      </c>
      <c r="W16" s="1018">
        <f>CGL!W19</f>
        <v>0</v>
      </c>
      <c r="X16" s="1018">
        <f>CGL!X19</f>
        <v>0</v>
      </c>
      <c r="Y16" s="1018">
        <f>CGL!Y19</f>
        <v>0</v>
      </c>
      <c r="Z16" s="1019">
        <f>CGL!Z19</f>
        <v>0</v>
      </c>
      <c r="AA16" s="4689">
        <f t="shared" si="0"/>
        <v>5</v>
      </c>
    </row>
    <row r="17" spans="1:27" ht="16.5">
      <c r="A17" s="7796"/>
      <c r="B17" s="7824"/>
      <c r="C17" s="1114" t="s">
        <v>770</v>
      </c>
      <c r="D17" s="1242"/>
      <c r="E17" s="1204"/>
      <c r="F17" s="1204"/>
      <c r="G17" s="2716">
        <v>108.11666666666666</v>
      </c>
      <c r="H17" s="2717">
        <v>77.849999999999994</v>
      </c>
      <c r="I17" s="2717">
        <v>28.483333333333334</v>
      </c>
      <c r="J17" s="2718">
        <v>21.349999999999998</v>
      </c>
      <c r="K17" s="5795">
        <v>50.95</v>
      </c>
      <c r="L17" s="5801">
        <v>12.133333333333333</v>
      </c>
      <c r="M17" s="1801">
        <f>CGL!M20</f>
        <v>6</v>
      </c>
      <c r="N17" s="1817">
        <f>CGL!N20</f>
        <v>0.6</v>
      </c>
      <c r="O17" s="1779">
        <f>CGL!O20</f>
        <v>0</v>
      </c>
      <c r="P17" s="1360">
        <f>CGL!P20</f>
        <v>0</v>
      </c>
      <c r="Q17" s="1360">
        <f>CGL!Q20</f>
        <v>6.95</v>
      </c>
      <c r="R17" s="1360">
        <f>CGL!R20</f>
        <v>0</v>
      </c>
      <c r="S17" s="1360">
        <f>CGL!S20</f>
        <v>0</v>
      </c>
      <c r="T17" s="1360">
        <f>CGL!T20</f>
        <v>0</v>
      </c>
      <c r="U17" s="1360">
        <f>CGL!U20</f>
        <v>0</v>
      </c>
      <c r="V17" s="1360">
        <f>CGL!V20</f>
        <v>0</v>
      </c>
      <c r="W17" s="1360">
        <f>CGL!W20</f>
        <v>0</v>
      </c>
      <c r="X17" s="1360">
        <f>CGL!X20</f>
        <v>0</v>
      </c>
      <c r="Y17" s="1360">
        <f>CGL!Y20</f>
        <v>0</v>
      </c>
      <c r="Z17" s="1207">
        <f>CGL!Z20</f>
        <v>0</v>
      </c>
      <c r="AA17" s="1393">
        <f t="shared" si="0"/>
        <v>6.95</v>
      </c>
    </row>
    <row r="18" spans="1:27" ht="16.5">
      <c r="A18" s="7796"/>
      <c r="B18" s="7825" t="s">
        <v>64</v>
      </c>
      <c r="C18" s="1114" t="s">
        <v>720</v>
      </c>
      <c r="D18" s="1242"/>
      <c r="E18" s="1204"/>
      <c r="F18" s="1204"/>
      <c r="G18" s="1559">
        <v>35</v>
      </c>
      <c r="H18" s="1772">
        <v>27</v>
      </c>
      <c r="I18" s="1772">
        <v>18</v>
      </c>
      <c r="J18" s="2014">
        <v>13</v>
      </c>
      <c r="K18" s="3256">
        <v>18</v>
      </c>
      <c r="L18" s="5802">
        <v>3</v>
      </c>
      <c r="M18" s="1805">
        <f>CGL!M21</f>
        <v>6</v>
      </c>
      <c r="N18" s="2290">
        <f>CGL!N21</f>
        <v>0.6</v>
      </c>
      <c r="O18" s="1782">
        <f>CGL!O21</f>
        <v>0</v>
      </c>
      <c r="P18" s="1204">
        <f>CGL!P21</f>
        <v>0</v>
      </c>
      <c r="Q18" s="1204">
        <f>CGL!Q21</f>
        <v>1</v>
      </c>
      <c r="R18" s="1204">
        <f>CGL!R21</f>
        <v>0</v>
      </c>
      <c r="S18" s="1204">
        <f>CGL!S21</f>
        <v>0</v>
      </c>
      <c r="T18" s="1204">
        <f>CGL!T21</f>
        <v>0</v>
      </c>
      <c r="U18" s="1204">
        <f>CGL!U21</f>
        <v>0</v>
      </c>
      <c r="V18" s="1204">
        <f>CGL!V21</f>
        <v>0</v>
      </c>
      <c r="W18" s="1204">
        <f>CGL!W21</f>
        <v>0</v>
      </c>
      <c r="X18" s="1204">
        <f>CGL!X21</f>
        <v>0</v>
      </c>
      <c r="Y18" s="1204">
        <f>CGL!Y21</f>
        <v>0</v>
      </c>
      <c r="Z18" s="1206">
        <f>CGL!Z21</f>
        <v>0</v>
      </c>
      <c r="AA18" s="1390">
        <f t="shared" si="0"/>
        <v>1</v>
      </c>
    </row>
    <row r="19" spans="1:27" ht="16.5">
      <c r="A19" s="7796"/>
      <c r="B19" s="7824"/>
      <c r="C19" s="1114" t="s">
        <v>770</v>
      </c>
      <c r="D19" s="1242"/>
      <c r="E19" s="1204"/>
      <c r="F19" s="1204"/>
      <c r="G19" s="2716">
        <v>73.766666666666666</v>
      </c>
      <c r="H19" s="2717">
        <v>45</v>
      </c>
      <c r="I19" s="2717">
        <v>32</v>
      </c>
      <c r="J19" s="2718">
        <v>40.183333333333337</v>
      </c>
      <c r="K19" s="5795">
        <v>48.783333333333339</v>
      </c>
      <c r="L19" s="5801">
        <v>9</v>
      </c>
      <c r="M19" s="1801">
        <f>CGL!M22</f>
        <v>10</v>
      </c>
      <c r="N19" s="1817">
        <f>CGL!N22</f>
        <v>1</v>
      </c>
      <c r="O19" s="1779">
        <f>CGL!O22</f>
        <v>0</v>
      </c>
      <c r="P19" s="1360">
        <f>CGL!P22</f>
        <v>0</v>
      </c>
      <c r="Q19" s="1360">
        <f>CGL!Q22</f>
        <v>0.25</v>
      </c>
      <c r="R19" s="1360">
        <f>CGL!R22</f>
        <v>0</v>
      </c>
      <c r="S19" s="1360">
        <f>CGL!S22</f>
        <v>0</v>
      </c>
      <c r="T19" s="1360">
        <f>CGL!T22</f>
        <v>0</v>
      </c>
      <c r="U19" s="1360">
        <f>CGL!U22</f>
        <v>0</v>
      </c>
      <c r="V19" s="1360">
        <f>CGL!V22</f>
        <v>0</v>
      </c>
      <c r="W19" s="1360">
        <f>CGL!W22</f>
        <v>0</v>
      </c>
      <c r="X19" s="1360">
        <f>CGL!X22</f>
        <v>0</v>
      </c>
      <c r="Y19" s="1360">
        <f>CGL!Y22</f>
        <v>0</v>
      </c>
      <c r="Z19" s="1207">
        <f>CGL!Z22</f>
        <v>0</v>
      </c>
      <c r="AA19" s="1393">
        <f t="shared" si="0"/>
        <v>0.25</v>
      </c>
    </row>
    <row r="20" spans="1:27" ht="16.5">
      <c r="A20" s="7796"/>
      <c r="B20" s="7825" t="s">
        <v>940</v>
      </c>
      <c r="C20" s="1114" t="s">
        <v>720</v>
      </c>
      <c r="D20" s="1242"/>
      <c r="E20" s="1204"/>
      <c r="F20" s="1204"/>
      <c r="G20" s="1559">
        <v>20</v>
      </c>
      <c r="H20" s="1772">
        <v>21</v>
      </c>
      <c r="I20" s="1772">
        <v>16</v>
      </c>
      <c r="J20" s="2014">
        <v>21</v>
      </c>
      <c r="K20" s="3256">
        <v>14</v>
      </c>
      <c r="L20" s="5802">
        <v>7</v>
      </c>
      <c r="M20" s="1805">
        <f>CGL!M23</f>
        <v>6</v>
      </c>
      <c r="N20" s="2290">
        <f>CGL!N23</f>
        <v>0.6</v>
      </c>
      <c r="O20" s="1782">
        <f>CGL!O23</f>
        <v>0</v>
      </c>
      <c r="P20" s="1204">
        <f>CGL!P23</f>
        <v>0</v>
      </c>
      <c r="Q20" s="1204">
        <f>CGL!Q23</f>
        <v>2</v>
      </c>
      <c r="R20" s="1204">
        <f>CGL!R23</f>
        <v>0</v>
      </c>
      <c r="S20" s="1204">
        <f>CGL!S23</f>
        <v>0</v>
      </c>
      <c r="T20" s="1204">
        <f>CGL!T23</f>
        <v>0</v>
      </c>
      <c r="U20" s="1204">
        <f>CGL!U23</f>
        <v>0</v>
      </c>
      <c r="V20" s="1204">
        <f>CGL!V23</f>
        <v>0</v>
      </c>
      <c r="W20" s="1204">
        <f>CGL!W23</f>
        <v>0</v>
      </c>
      <c r="X20" s="1204">
        <f>CGL!X23</f>
        <v>0</v>
      </c>
      <c r="Y20" s="1204">
        <f>CGL!Y23</f>
        <v>0</v>
      </c>
      <c r="Z20" s="1206">
        <f>CGL!Z23</f>
        <v>0</v>
      </c>
      <c r="AA20" s="1390">
        <f t="shared" si="0"/>
        <v>2</v>
      </c>
    </row>
    <row r="21" spans="1:27" ht="17.25" thickBot="1">
      <c r="A21" s="7822"/>
      <c r="B21" s="7826"/>
      <c r="C21" s="1306" t="s">
        <v>770</v>
      </c>
      <c r="D21" s="1309"/>
      <c r="E21" s="1310"/>
      <c r="F21" s="1310"/>
      <c r="G21" s="2719">
        <v>7.5666666666666664</v>
      </c>
      <c r="H21" s="2720">
        <v>19</v>
      </c>
      <c r="I21" s="2720">
        <v>35</v>
      </c>
      <c r="J21" s="2721">
        <v>19.516666666666666</v>
      </c>
      <c r="K21" s="2721">
        <v>27.916666666666668</v>
      </c>
      <c r="L21" s="5803">
        <v>3.05</v>
      </c>
      <c r="M21" s="1803">
        <f>CGL!M24</f>
        <v>8</v>
      </c>
      <c r="N21" s="1818">
        <f>CGL!N24</f>
        <v>0.8</v>
      </c>
      <c r="O21" s="1364">
        <f>CGL!O24</f>
        <v>0</v>
      </c>
      <c r="P21" s="1365">
        <f>CGL!P24</f>
        <v>0</v>
      </c>
      <c r="Q21" s="1365">
        <f>CGL!Q24</f>
        <v>0.73333333333333328</v>
      </c>
      <c r="R21" s="1365">
        <f>CGL!R24</f>
        <v>0</v>
      </c>
      <c r="S21" s="1365">
        <f>CGL!S24</f>
        <v>0</v>
      </c>
      <c r="T21" s="1365">
        <f>CGL!T24</f>
        <v>0</v>
      </c>
      <c r="U21" s="1365">
        <f>CGL!U24</f>
        <v>0</v>
      </c>
      <c r="V21" s="1365">
        <f>CGL!V24</f>
        <v>0</v>
      </c>
      <c r="W21" s="1365">
        <f>CGL!W24</f>
        <v>0</v>
      </c>
      <c r="X21" s="1365">
        <f>CGL!X24</f>
        <v>0</v>
      </c>
      <c r="Y21" s="1365">
        <f>CGL!Y24</f>
        <v>0</v>
      </c>
      <c r="Z21" s="1383">
        <f>CGL!Z24</f>
        <v>0</v>
      </c>
      <c r="AA21" s="1394">
        <f t="shared" si="0"/>
        <v>0.73333333333333328</v>
      </c>
    </row>
    <row r="22" spans="1:27" ht="17.45" customHeight="1">
      <c r="A22" s="7795" t="s">
        <v>943</v>
      </c>
      <c r="B22" s="7823" t="s">
        <v>763</v>
      </c>
      <c r="C22" s="954" t="s">
        <v>720</v>
      </c>
      <c r="D22" s="1115"/>
      <c r="E22" s="1116"/>
      <c r="F22" s="1116"/>
      <c r="G22" s="1464">
        <v>185</v>
      </c>
      <c r="H22" s="1464">
        <v>139</v>
      </c>
      <c r="I22" s="1464">
        <v>112</v>
      </c>
      <c r="J22" s="1199">
        <v>46</v>
      </c>
      <c r="K22" s="1199">
        <v>49</v>
      </c>
      <c r="L22" s="5807">
        <v>29</v>
      </c>
      <c r="M22" s="1806">
        <f>'#1CCL'!M25</f>
        <v>24</v>
      </c>
      <c r="N22" s="2289">
        <f>'#1CCL'!N25</f>
        <v>2</v>
      </c>
      <c r="O22" s="1783">
        <f>'#1CCL'!O25</f>
        <v>12</v>
      </c>
      <c r="P22" s="1367">
        <f>'#1CCL'!P25</f>
        <v>8</v>
      </c>
      <c r="Q22" s="1367">
        <f>'#1CCL'!Q25</f>
        <v>11</v>
      </c>
      <c r="R22" s="1367">
        <f>'#1CCL'!R25</f>
        <v>0</v>
      </c>
      <c r="S22" s="1367">
        <f>'#1CCL'!S25</f>
        <v>0</v>
      </c>
      <c r="T22" s="1367">
        <f>'#1CCL'!T25</f>
        <v>0</v>
      </c>
      <c r="U22" s="1367">
        <f>'#1CCL'!U25</f>
        <v>0</v>
      </c>
      <c r="V22" s="1367">
        <f>'#1CCL'!V25</f>
        <v>0</v>
      </c>
      <c r="W22" s="1367">
        <f>'#1CCL'!W25</f>
        <v>0</v>
      </c>
      <c r="X22" s="1367">
        <f>'#1CCL'!X25</f>
        <v>0</v>
      </c>
      <c r="Y22" s="1367">
        <f>'#1CCL'!Y25</f>
        <v>0</v>
      </c>
      <c r="Z22" s="1384">
        <f>'#1CCL'!Z25</f>
        <v>0</v>
      </c>
      <c r="AA22" s="4688">
        <f t="shared" si="0"/>
        <v>31</v>
      </c>
    </row>
    <row r="23" spans="1:27" ht="16.5">
      <c r="A23" s="7796"/>
      <c r="B23" s="7824"/>
      <c r="C23" s="1114" t="s">
        <v>770</v>
      </c>
      <c r="D23" s="1123"/>
      <c r="E23" s="1119"/>
      <c r="F23" s="1119"/>
      <c r="G23" s="1443">
        <v>105.25</v>
      </c>
      <c r="H23" s="1443">
        <v>83.816666666666663</v>
      </c>
      <c r="I23" s="1443">
        <v>69.066666666666663</v>
      </c>
      <c r="J23" s="1514">
        <v>21.93333333333333</v>
      </c>
      <c r="K23" s="3856">
        <v>23.533333333333335</v>
      </c>
      <c r="L23" s="3167">
        <v>19.649999999999999</v>
      </c>
      <c r="M23" s="1807">
        <f>'#1CCL'!M26</f>
        <v>12</v>
      </c>
      <c r="N23" s="1819">
        <f>'#1CCL'!N26</f>
        <v>1</v>
      </c>
      <c r="O23" s="1784">
        <f>'#1CCL'!O26</f>
        <v>10.199999999999999</v>
      </c>
      <c r="P23" s="1345">
        <f>'#1CCL'!P26</f>
        <v>5.45</v>
      </c>
      <c r="Q23" s="1345">
        <f>'#1CCL'!Q26</f>
        <v>5.833333333333333</v>
      </c>
      <c r="R23" s="1345">
        <f>'#1CCL'!R26</f>
        <v>0</v>
      </c>
      <c r="S23" s="1345">
        <f>'#1CCL'!S26</f>
        <v>0</v>
      </c>
      <c r="T23" s="1345">
        <f>'#1CCL'!T26</f>
        <v>0</v>
      </c>
      <c r="U23" s="1345">
        <f>'#1CCL'!U26</f>
        <v>0</v>
      </c>
      <c r="V23" s="1345">
        <f>'#1CCL'!V26</f>
        <v>0</v>
      </c>
      <c r="W23" s="1345">
        <f>'#1CCL'!W26</f>
        <v>0</v>
      </c>
      <c r="X23" s="1345">
        <f>'#1CCL'!X26</f>
        <v>0</v>
      </c>
      <c r="Y23" s="1345">
        <f>'#1CCL'!Y26</f>
        <v>0</v>
      </c>
      <c r="Z23" s="1385">
        <f>'#1CCL'!Z26</f>
        <v>0</v>
      </c>
      <c r="AA23" s="1393">
        <f t="shared" si="0"/>
        <v>21.483333333333331</v>
      </c>
    </row>
    <row r="24" spans="1:27" ht="16.5">
      <c r="A24" s="7796"/>
      <c r="B24" s="7825" t="s">
        <v>64</v>
      </c>
      <c r="C24" s="1114" t="s">
        <v>720</v>
      </c>
      <c r="D24" s="1123"/>
      <c r="E24" s="1119"/>
      <c r="F24" s="1119"/>
      <c r="G24" s="1442">
        <v>19</v>
      </c>
      <c r="H24" s="1442">
        <v>30</v>
      </c>
      <c r="I24" s="1442">
        <v>15</v>
      </c>
      <c r="J24" s="2554">
        <v>4</v>
      </c>
      <c r="K24" s="5794">
        <v>6</v>
      </c>
      <c r="L24" s="5800">
        <v>5</v>
      </c>
      <c r="M24" s="1808">
        <f>'#1CCL'!M27</f>
        <v>6</v>
      </c>
      <c r="N24" s="2290">
        <f>'#1CCL'!N27</f>
        <v>0.5</v>
      </c>
      <c r="O24" s="1785">
        <f>'#1CCL'!O27</f>
        <v>0</v>
      </c>
      <c r="P24" s="1366">
        <f>'#1CCL'!P27</f>
        <v>1</v>
      </c>
      <c r="Q24" s="1366">
        <f>'#1CCL'!Q27</f>
        <v>1</v>
      </c>
      <c r="R24" s="1366">
        <f>'#1CCL'!R27</f>
        <v>0</v>
      </c>
      <c r="S24" s="1366">
        <f>'#1CCL'!S27</f>
        <v>0</v>
      </c>
      <c r="T24" s="1366">
        <f>'#1CCL'!T27</f>
        <v>0</v>
      </c>
      <c r="U24" s="1366">
        <f>'#1CCL'!U27</f>
        <v>0</v>
      </c>
      <c r="V24" s="1366">
        <f>'#1CCL'!V27</f>
        <v>0</v>
      </c>
      <c r="W24" s="1366">
        <f>'#1CCL'!W27</f>
        <v>0</v>
      </c>
      <c r="X24" s="1366">
        <f>'#1CCL'!X27</f>
        <v>0</v>
      </c>
      <c r="Y24" s="1366">
        <f>'#1CCL'!Y27</f>
        <v>0</v>
      </c>
      <c r="Z24" s="1386">
        <f>'#1CCL'!Z27</f>
        <v>0</v>
      </c>
      <c r="AA24" s="1390">
        <f t="shared" si="0"/>
        <v>2</v>
      </c>
    </row>
    <row r="25" spans="1:27" ht="16.5">
      <c r="A25" s="7796"/>
      <c r="B25" s="7824"/>
      <c r="C25" s="1114" t="s">
        <v>770</v>
      </c>
      <c r="D25" s="1123"/>
      <c r="E25" s="1119"/>
      <c r="F25" s="1119"/>
      <c r="G25" s="1443">
        <v>22.1</v>
      </c>
      <c r="H25" s="1443">
        <v>50</v>
      </c>
      <c r="I25" s="1443">
        <v>32</v>
      </c>
      <c r="J25" s="1514">
        <v>3.9333333333333331</v>
      </c>
      <c r="K25" s="3856">
        <v>15.983333333333334</v>
      </c>
      <c r="L25" s="3167">
        <v>6.2666666666666666</v>
      </c>
      <c r="M25" s="1807">
        <f>'#1CCL'!M28</f>
        <v>7</v>
      </c>
      <c r="N25" s="1819">
        <f>'#1CCL'!N28</f>
        <v>0.58333333333333337</v>
      </c>
      <c r="O25" s="1784">
        <f>'#1CCL'!O28</f>
        <v>0</v>
      </c>
      <c r="P25" s="1345">
        <f>'#1CCL'!P28</f>
        <v>0.58333333333333337</v>
      </c>
      <c r="Q25" s="1345">
        <f>'#1CCL'!Q28</f>
        <v>1.9333333333333333</v>
      </c>
      <c r="R25" s="1345">
        <f>'#1CCL'!R28</f>
        <v>0</v>
      </c>
      <c r="S25" s="1345">
        <f>'#1CCL'!S28</f>
        <v>0</v>
      </c>
      <c r="T25" s="1345">
        <f>'#1CCL'!T28</f>
        <v>0</v>
      </c>
      <c r="U25" s="1345">
        <f>'#1CCL'!U28</f>
        <v>0</v>
      </c>
      <c r="V25" s="1345">
        <f>'#1CCL'!V28</f>
        <v>0</v>
      </c>
      <c r="W25" s="1345">
        <f>'#1CCL'!W28</f>
        <v>0</v>
      </c>
      <c r="X25" s="1345">
        <f>'#1CCL'!X28</f>
        <v>0</v>
      </c>
      <c r="Y25" s="1345">
        <f>'#1CCL'!Y28</f>
        <v>0</v>
      </c>
      <c r="Z25" s="1385">
        <f>'#1CCL'!Z28</f>
        <v>0</v>
      </c>
      <c r="AA25" s="1393">
        <f t="shared" si="0"/>
        <v>2.5166666666666666</v>
      </c>
    </row>
    <row r="26" spans="1:27" ht="16.5">
      <c r="A26" s="7796"/>
      <c r="B26" s="7825" t="s">
        <v>940</v>
      </c>
      <c r="C26" s="1114" t="s">
        <v>720</v>
      </c>
      <c r="D26" s="1123"/>
      <c r="E26" s="1119"/>
      <c r="F26" s="1119"/>
      <c r="G26" s="1442">
        <v>13</v>
      </c>
      <c r="H26" s="1442">
        <v>14</v>
      </c>
      <c r="I26" s="1442">
        <v>18</v>
      </c>
      <c r="J26" s="2554">
        <v>6</v>
      </c>
      <c r="K26" s="5794">
        <v>6</v>
      </c>
      <c r="L26" s="5800">
        <v>1</v>
      </c>
      <c r="M26" s="1808">
        <f>'#1CCL'!M29</f>
        <v>3</v>
      </c>
      <c r="N26" s="2290">
        <f>'#1CCL'!N29</f>
        <v>0.25</v>
      </c>
      <c r="O26" s="1785">
        <f>'#1CCL'!O29</f>
        <v>1</v>
      </c>
      <c r="P26" s="1366">
        <f>'#1CCL'!P29</f>
        <v>0</v>
      </c>
      <c r="Q26" s="1366">
        <f>'#1CCL'!Q29</f>
        <v>1</v>
      </c>
      <c r="R26" s="1366">
        <f>'#1CCL'!R29</f>
        <v>0</v>
      </c>
      <c r="S26" s="1366">
        <f>'#1CCL'!S29</f>
        <v>0</v>
      </c>
      <c r="T26" s="1366">
        <f>'#1CCL'!T29</f>
        <v>0</v>
      </c>
      <c r="U26" s="1366">
        <f>'#1CCL'!U29</f>
        <v>0</v>
      </c>
      <c r="V26" s="1366">
        <f>'#1CCL'!V29</f>
        <v>0</v>
      </c>
      <c r="W26" s="1366">
        <f>'#1CCL'!W29</f>
        <v>0</v>
      </c>
      <c r="X26" s="1366">
        <f>'#1CCL'!X29</f>
        <v>0</v>
      </c>
      <c r="Y26" s="1366">
        <f>'#1CCL'!Y29</f>
        <v>0</v>
      </c>
      <c r="Z26" s="1386">
        <f>'#1CCL'!Z29</f>
        <v>0</v>
      </c>
      <c r="AA26" s="1390">
        <f t="shared" si="0"/>
        <v>2</v>
      </c>
    </row>
    <row r="27" spans="1:27" ht="17.25" thickBot="1">
      <c r="A27" s="7822"/>
      <c r="B27" s="7826"/>
      <c r="C27" s="1306" t="s">
        <v>770</v>
      </c>
      <c r="D27" s="1311"/>
      <c r="E27" s="1312"/>
      <c r="F27" s="1312"/>
      <c r="G27" s="1439">
        <v>16.516666666666666</v>
      </c>
      <c r="H27" s="1439">
        <v>16</v>
      </c>
      <c r="I27" s="1439">
        <v>37</v>
      </c>
      <c r="J27" s="2556">
        <v>4.9333333333333336</v>
      </c>
      <c r="K27" s="2556">
        <v>7.7833333333333341</v>
      </c>
      <c r="L27" s="3167">
        <v>2.3333333333333335</v>
      </c>
      <c r="M27" s="1809">
        <f>'#1CCL'!M30</f>
        <v>2.5</v>
      </c>
      <c r="N27" s="1651">
        <f>'#1CCL'!N30</f>
        <v>0.20833333333333334</v>
      </c>
      <c r="O27" s="1786">
        <f>'#1CCL'!O30</f>
        <v>1.1666666666666667</v>
      </c>
      <c r="P27" s="1368">
        <f>'#1CCL'!P30</f>
        <v>0</v>
      </c>
      <c r="Q27" s="1368">
        <f>'#1CCL'!Q30</f>
        <v>2.5666666666666669</v>
      </c>
      <c r="R27" s="1368">
        <f>'#1CCL'!R30</f>
        <v>0</v>
      </c>
      <c r="S27" s="1368">
        <f>'#1CCL'!S30</f>
        <v>0</v>
      </c>
      <c r="T27" s="1368">
        <f>'#1CCL'!T30</f>
        <v>0</v>
      </c>
      <c r="U27" s="1368">
        <f>'#1CCL'!U30</f>
        <v>0</v>
      </c>
      <c r="V27" s="1368">
        <f>'#1CCL'!V30</f>
        <v>0</v>
      </c>
      <c r="W27" s="1368">
        <f>'#1CCL'!W30</f>
        <v>0</v>
      </c>
      <c r="X27" s="1368">
        <f>'#1CCL'!X30</f>
        <v>0</v>
      </c>
      <c r="Y27" s="1368">
        <f>'#1CCL'!Y30</f>
        <v>0</v>
      </c>
      <c r="Z27" s="1387">
        <f>'#1CCL'!Z30</f>
        <v>0</v>
      </c>
      <c r="AA27" s="1395">
        <f t="shared" si="0"/>
        <v>3.7333333333333334</v>
      </c>
    </row>
    <row r="28" spans="1:27" ht="17.45" customHeight="1">
      <c r="A28" s="7795" t="s">
        <v>944</v>
      </c>
      <c r="B28" s="7823" t="s">
        <v>763</v>
      </c>
      <c r="C28" s="1114" t="s">
        <v>720</v>
      </c>
      <c r="D28" s="1123"/>
      <c r="E28" s="1119"/>
      <c r="F28" s="1119"/>
      <c r="G28" s="1442">
        <v>239</v>
      </c>
      <c r="H28" s="1442">
        <v>259</v>
      </c>
      <c r="I28" s="1442">
        <v>183</v>
      </c>
      <c r="J28" s="2554">
        <v>199</v>
      </c>
      <c r="K28" s="1199">
        <v>116</v>
      </c>
      <c r="L28" s="5807">
        <v>52</v>
      </c>
      <c r="M28" s="1806">
        <f>'#2CCL'!M25</f>
        <v>36</v>
      </c>
      <c r="N28" s="2289">
        <f>'#2CCL'!N25</f>
        <v>3</v>
      </c>
      <c r="O28" s="1783">
        <f>'#2CCL'!O25</f>
        <v>6</v>
      </c>
      <c r="P28" s="1367">
        <f>'#2CCL'!P25</f>
        <v>5</v>
      </c>
      <c r="Q28" s="1367">
        <f>'#2CCL'!Q25</f>
        <v>6</v>
      </c>
      <c r="R28" s="1367">
        <f>'#2CCL'!R25</f>
        <v>0</v>
      </c>
      <c r="S28" s="1367">
        <f>'#2CCL'!S25</f>
        <v>0</v>
      </c>
      <c r="T28" s="1367">
        <f>'#2CCL'!T25</f>
        <v>0</v>
      </c>
      <c r="U28" s="1367">
        <f>'#2CCL'!U25</f>
        <v>0</v>
      </c>
      <c r="V28" s="1367">
        <f>'#2CCL'!V25</f>
        <v>0</v>
      </c>
      <c r="W28" s="1367">
        <f>'#2CCL'!W25</f>
        <v>0</v>
      </c>
      <c r="X28" s="1367">
        <f>'#2CCL'!X25</f>
        <v>0</v>
      </c>
      <c r="Y28" s="1367">
        <f>'#2CCL'!Y25</f>
        <v>0</v>
      </c>
      <c r="Z28" s="1384">
        <f>'#2CCL'!Z25</f>
        <v>0</v>
      </c>
      <c r="AA28" s="4689">
        <f t="shared" si="0"/>
        <v>17</v>
      </c>
    </row>
    <row r="29" spans="1:27" ht="16.5">
      <c r="A29" s="7796"/>
      <c r="B29" s="7824"/>
      <c r="C29" s="1114" t="s">
        <v>770</v>
      </c>
      <c r="D29" s="1123"/>
      <c r="E29" s="1119"/>
      <c r="F29" s="1119"/>
      <c r="G29" s="1443">
        <v>113.46666666666667</v>
      </c>
      <c r="H29" s="1443">
        <v>120.05</v>
      </c>
      <c r="I29" s="1443">
        <v>107.2</v>
      </c>
      <c r="J29" s="1514">
        <v>78.86333333333333</v>
      </c>
      <c r="K29" s="3856">
        <v>64</v>
      </c>
      <c r="L29" s="3167">
        <v>33.016666666666666</v>
      </c>
      <c r="M29" s="1807">
        <f>'#2CCL'!M26</f>
        <v>24</v>
      </c>
      <c r="N29" s="1819">
        <f>'#2CCL'!N26</f>
        <v>2</v>
      </c>
      <c r="O29" s="1784">
        <f>'#2CCL'!O26</f>
        <v>2.95</v>
      </c>
      <c r="P29" s="1345">
        <f>'#2CCL'!P26</f>
        <v>3.0833333333333335</v>
      </c>
      <c r="Q29" s="1345">
        <f>'#2CCL'!Q26</f>
        <v>3.1666666666666665</v>
      </c>
      <c r="R29" s="1345">
        <f>'#2CCL'!R26</f>
        <v>0</v>
      </c>
      <c r="S29" s="1345">
        <f>'#2CCL'!S26</f>
        <v>0</v>
      </c>
      <c r="T29" s="1345">
        <f>'#2CCL'!T26</f>
        <v>0</v>
      </c>
      <c r="U29" s="1345">
        <f>'#2CCL'!U26</f>
        <v>0</v>
      </c>
      <c r="V29" s="1345">
        <f>'#2CCL'!V26</f>
        <v>0</v>
      </c>
      <c r="W29" s="1345">
        <f>'#2CCL'!W26</f>
        <v>0</v>
      </c>
      <c r="X29" s="1345">
        <f>'#2CCL'!X26</f>
        <v>0</v>
      </c>
      <c r="Y29" s="1345">
        <f>'#2CCL'!Y26</f>
        <v>0</v>
      </c>
      <c r="Z29" s="1385">
        <f>'#2CCL'!Z26</f>
        <v>0</v>
      </c>
      <c r="AA29" s="1393">
        <f t="shared" si="0"/>
        <v>9.1999999999999993</v>
      </c>
    </row>
    <row r="30" spans="1:27" ht="16.5">
      <c r="A30" s="7796"/>
      <c r="B30" s="7825" t="s">
        <v>64</v>
      </c>
      <c r="C30" s="1114" t="s">
        <v>720</v>
      </c>
      <c r="D30" s="1123"/>
      <c r="E30" s="1119"/>
      <c r="F30" s="1119"/>
      <c r="G30" s="1442">
        <v>13</v>
      </c>
      <c r="H30" s="1442">
        <v>5</v>
      </c>
      <c r="I30" s="1442">
        <v>15</v>
      </c>
      <c r="J30" s="2554">
        <v>3</v>
      </c>
      <c r="K30" s="5794">
        <v>6</v>
      </c>
      <c r="L30" s="5800">
        <v>4</v>
      </c>
      <c r="M30" s="1808">
        <f>'#2CCL'!M27</f>
        <v>4</v>
      </c>
      <c r="N30" s="2290">
        <f>'#2CCL'!N27</f>
        <v>0.33333333333333331</v>
      </c>
      <c r="O30" s="1785">
        <f>'#2CCL'!O27</f>
        <v>0</v>
      </c>
      <c r="P30" s="1366">
        <f>'#2CCL'!P27</f>
        <v>0</v>
      </c>
      <c r="Q30" s="1366">
        <f>'#2CCL'!Q27</f>
        <v>0</v>
      </c>
      <c r="R30" s="1366">
        <f>'#2CCL'!R27</f>
        <v>0</v>
      </c>
      <c r="S30" s="1366">
        <f>'#2CCL'!S27</f>
        <v>0</v>
      </c>
      <c r="T30" s="1366">
        <f>'#2CCL'!T27</f>
        <v>0</v>
      </c>
      <c r="U30" s="1366">
        <f>'#2CCL'!U27</f>
        <v>0</v>
      </c>
      <c r="V30" s="1366">
        <f>'#2CCL'!V27</f>
        <v>0</v>
      </c>
      <c r="W30" s="1366">
        <f>'#2CCL'!W27</f>
        <v>0</v>
      </c>
      <c r="X30" s="1366">
        <f>'#2CCL'!X27</f>
        <v>0</v>
      </c>
      <c r="Y30" s="1366">
        <f>'#2CCL'!Y27</f>
        <v>0</v>
      </c>
      <c r="Z30" s="1386">
        <f>'#2CCL'!Z27</f>
        <v>0</v>
      </c>
      <c r="AA30" s="1390">
        <f t="shared" si="0"/>
        <v>0</v>
      </c>
    </row>
    <row r="31" spans="1:27" ht="16.5">
      <c r="A31" s="7796"/>
      <c r="B31" s="7824"/>
      <c r="C31" s="1114" t="s">
        <v>770</v>
      </c>
      <c r="D31" s="1123"/>
      <c r="E31" s="1119"/>
      <c r="F31" s="1119"/>
      <c r="G31" s="1443">
        <v>12</v>
      </c>
      <c r="H31" s="1443">
        <v>3.75</v>
      </c>
      <c r="I31" s="1443">
        <v>14</v>
      </c>
      <c r="J31" s="1514">
        <v>4.4833333333333343</v>
      </c>
      <c r="K31" s="3856">
        <v>9.5666666666666664</v>
      </c>
      <c r="L31" s="3167">
        <v>4.083333333333333</v>
      </c>
      <c r="M31" s="1807">
        <f>'#2CCL'!M28</f>
        <v>4</v>
      </c>
      <c r="N31" s="1819">
        <f>'#2CCL'!N28</f>
        <v>0.33333333333333331</v>
      </c>
      <c r="O31" s="1784">
        <f>'#2CCL'!O28</f>
        <v>0</v>
      </c>
      <c r="P31" s="1345">
        <f>'#2CCL'!P28</f>
        <v>0</v>
      </c>
      <c r="Q31" s="1345">
        <f>'#2CCL'!Q28</f>
        <v>0</v>
      </c>
      <c r="R31" s="1345">
        <f>'#2CCL'!R28</f>
        <v>0</v>
      </c>
      <c r="S31" s="1345">
        <f>'#2CCL'!S28</f>
        <v>0</v>
      </c>
      <c r="T31" s="1345">
        <f>'#2CCL'!T28</f>
        <v>0</v>
      </c>
      <c r="U31" s="1345">
        <f>'#2CCL'!U28</f>
        <v>0</v>
      </c>
      <c r="V31" s="1345">
        <f>'#2CCL'!V28</f>
        <v>0</v>
      </c>
      <c r="W31" s="1345">
        <f>'#2CCL'!W28</f>
        <v>0</v>
      </c>
      <c r="X31" s="1345">
        <f>'#2CCL'!X28</f>
        <v>0</v>
      </c>
      <c r="Y31" s="1345">
        <f>'#2CCL'!Y28</f>
        <v>0</v>
      </c>
      <c r="Z31" s="1385">
        <f>'#2CCL'!Z28</f>
        <v>0</v>
      </c>
      <c r="AA31" s="1393">
        <f t="shared" si="0"/>
        <v>0</v>
      </c>
    </row>
    <row r="32" spans="1:27" ht="16.5">
      <c r="A32" s="7796"/>
      <c r="B32" s="7825" t="s">
        <v>940</v>
      </c>
      <c r="C32" s="1114" t="s">
        <v>720</v>
      </c>
      <c r="D32" s="1123"/>
      <c r="E32" s="1119"/>
      <c r="F32" s="1119"/>
      <c r="G32" s="1442">
        <v>11</v>
      </c>
      <c r="H32" s="1442">
        <v>11</v>
      </c>
      <c r="I32" s="1442">
        <v>15</v>
      </c>
      <c r="J32" s="2554">
        <v>2</v>
      </c>
      <c r="K32" s="5794">
        <v>3</v>
      </c>
      <c r="L32" s="5800">
        <v>5</v>
      </c>
      <c r="M32" s="1808">
        <f>'#2CCL'!M29</f>
        <v>4</v>
      </c>
      <c r="N32" s="2290">
        <f>'#2CCL'!N29</f>
        <v>0.33333333333333331</v>
      </c>
      <c r="O32" s="1785">
        <f>'#2CCL'!O29</f>
        <v>0</v>
      </c>
      <c r="P32" s="1366">
        <f>'#2CCL'!P29</f>
        <v>0</v>
      </c>
      <c r="Q32" s="1366">
        <f>'#2CCL'!Q29</f>
        <v>2</v>
      </c>
      <c r="R32" s="1366">
        <f>'#2CCL'!R29</f>
        <v>0</v>
      </c>
      <c r="S32" s="1366">
        <f>'#2CCL'!S29</f>
        <v>0</v>
      </c>
      <c r="T32" s="1366">
        <f>'#2CCL'!T29</f>
        <v>0</v>
      </c>
      <c r="U32" s="1366">
        <f>'#2CCL'!U29</f>
        <v>0</v>
      </c>
      <c r="V32" s="1366">
        <f>'#2CCL'!V29</f>
        <v>0</v>
      </c>
      <c r="W32" s="1366">
        <f>'#2CCL'!W29</f>
        <v>0</v>
      </c>
      <c r="X32" s="1366">
        <f>'#2CCL'!X29</f>
        <v>0</v>
      </c>
      <c r="Y32" s="1366">
        <f>'#2CCL'!Y29</f>
        <v>0</v>
      </c>
      <c r="Z32" s="1386">
        <f>'#2CCL'!Z29</f>
        <v>0</v>
      </c>
      <c r="AA32" s="1390">
        <f t="shared" si="0"/>
        <v>2</v>
      </c>
    </row>
    <row r="33" spans="1:29" ht="17.25" thickBot="1">
      <c r="A33" s="7822"/>
      <c r="B33" s="7826"/>
      <c r="C33" s="1114" t="s">
        <v>770</v>
      </c>
      <c r="D33" s="1123"/>
      <c r="E33" s="1119"/>
      <c r="F33" s="1119"/>
      <c r="G33" s="1443">
        <v>14.6</v>
      </c>
      <c r="H33" s="1443">
        <v>12.583333333333334</v>
      </c>
      <c r="I33" s="1443">
        <v>16</v>
      </c>
      <c r="J33" s="1514">
        <v>0.6333333333333333</v>
      </c>
      <c r="K33" s="3856">
        <v>1.1833333333333333</v>
      </c>
      <c r="L33" s="3167">
        <v>9.3000000000000007</v>
      </c>
      <c r="M33" s="1810">
        <f>'#2CCL'!M30</f>
        <v>6</v>
      </c>
      <c r="N33" s="1820">
        <f>'#2CCL'!N30</f>
        <v>0.5</v>
      </c>
      <c r="O33" s="1787">
        <f>'#2CCL'!O30</f>
        <v>0</v>
      </c>
      <c r="P33" s="1352">
        <f>'#2CCL'!P30</f>
        <v>0</v>
      </c>
      <c r="Q33" s="1352">
        <f>'#2CCL'!Q30</f>
        <v>2.3333333333333335</v>
      </c>
      <c r="R33" s="1352">
        <f>'#2CCL'!R30</f>
        <v>0</v>
      </c>
      <c r="S33" s="1352">
        <f>'#2CCL'!S30</f>
        <v>0</v>
      </c>
      <c r="T33" s="1352">
        <f>'#2CCL'!T30</f>
        <v>0</v>
      </c>
      <c r="U33" s="1352">
        <f>'#2CCL'!U30</f>
        <v>0</v>
      </c>
      <c r="V33" s="1352">
        <f>'#2CCL'!V30</f>
        <v>0</v>
      </c>
      <c r="W33" s="1352">
        <f>'#2CCL'!W30</f>
        <v>0</v>
      </c>
      <c r="X33" s="1352">
        <f>'#2CCL'!X30</f>
        <v>0</v>
      </c>
      <c r="Y33" s="1352">
        <f>'#2CCL'!Y30</f>
        <v>0</v>
      </c>
      <c r="Z33" s="1388">
        <f>'#2CCL'!Z30</f>
        <v>0</v>
      </c>
      <c r="AA33" s="1394">
        <f t="shared" si="0"/>
        <v>2.3333333333333335</v>
      </c>
    </row>
    <row r="34" spans="1:29" ht="16.5">
      <c r="A34" s="7671" t="s">
        <v>945</v>
      </c>
      <c r="B34" s="7823" t="s">
        <v>763</v>
      </c>
      <c r="C34" s="1313" t="s">
        <v>720</v>
      </c>
      <c r="D34" s="1314"/>
      <c r="E34" s="1315"/>
      <c r="F34" s="1315"/>
      <c r="G34" s="1369">
        <f t="shared" ref="G34:G39" si="1">G4+G10+G16+G22+G28</f>
        <v>892</v>
      </c>
      <c r="H34" s="1773">
        <f t="shared" ref="H34:Z39" si="2">H4+H10+H16+H22+H28</f>
        <v>736</v>
      </c>
      <c r="I34" s="1773">
        <f t="shared" si="2"/>
        <v>527</v>
      </c>
      <c r="J34" s="1369">
        <v>402</v>
      </c>
      <c r="K34" s="1369">
        <v>271</v>
      </c>
      <c r="L34" s="2558">
        <v>129</v>
      </c>
      <c r="M34" s="1811">
        <f t="shared" si="2"/>
        <v>85</v>
      </c>
      <c r="N34" s="2291">
        <f t="shared" si="2"/>
        <v>7.5</v>
      </c>
      <c r="O34" s="1370">
        <f t="shared" si="2"/>
        <v>18</v>
      </c>
      <c r="P34" s="1371">
        <f t="shared" si="2"/>
        <v>14</v>
      </c>
      <c r="Q34" s="1371">
        <f t="shared" si="2"/>
        <v>25</v>
      </c>
      <c r="R34" s="1371">
        <f t="shared" si="2"/>
        <v>0</v>
      </c>
      <c r="S34" s="1371">
        <f t="shared" si="2"/>
        <v>0</v>
      </c>
      <c r="T34" s="1371">
        <f t="shared" si="2"/>
        <v>0</v>
      </c>
      <c r="U34" s="1371">
        <f t="shared" si="2"/>
        <v>0</v>
      </c>
      <c r="V34" s="1371">
        <f t="shared" si="2"/>
        <v>0</v>
      </c>
      <c r="W34" s="1371">
        <f t="shared" si="2"/>
        <v>0</v>
      </c>
      <c r="X34" s="1371">
        <f t="shared" si="2"/>
        <v>0</v>
      </c>
      <c r="Y34" s="1371">
        <f t="shared" si="2"/>
        <v>0</v>
      </c>
      <c r="Z34" s="1389">
        <f t="shared" si="2"/>
        <v>0</v>
      </c>
      <c r="AA34" s="1391">
        <f t="shared" si="0"/>
        <v>57</v>
      </c>
      <c r="AB34" s="4145"/>
      <c r="AC34" s="1609"/>
    </row>
    <row r="35" spans="1:29" ht="16.5">
      <c r="A35" s="7672"/>
      <c r="B35" s="7824"/>
      <c r="C35" s="1316" t="s">
        <v>770</v>
      </c>
      <c r="D35" s="1317"/>
      <c r="E35" s="1318"/>
      <c r="F35" s="1318"/>
      <c r="G35" s="2722">
        <f t="shared" si="1"/>
        <v>594.41666666666663</v>
      </c>
      <c r="H35" s="2723">
        <f t="shared" ref="H35:Y35" si="3">H5+H11+H17+H23+H29</f>
        <v>496.73333333333335</v>
      </c>
      <c r="I35" s="2723">
        <f t="shared" si="3"/>
        <v>321.18333333333334</v>
      </c>
      <c r="J35" s="2724">
        <v>212.06333333333333</v>
      </c>
      <c r="K35" s="5796">
        <v>198.18333333333334</v>
      </c>
      <c r="L35" s="5804">
        <v>99.049999999999983</v>
      </c>
      <c r="M35" s="1812">
        <f t="shared" si="3"/>
        <v>55.5</v>
      </c>
      <c r="N35" s="1797">
        <f t="shared" si="3"/>
        <v>4.95</v>
      </c>
      <c r="O35" s="1788">
        <f t="shared" si="3"/>
        <v>13.149999999999999</v>
      </c>
      <c r="P35" s="1396">
        <f t="shared" si="3"/>
        <v>8.7833333333333332</v>
      </c>
      <c r="Q35" s="1396">
        <f t="shared" si="3"/>
        <v>17.283333333333335</v>
      </c>
      <c r="R35" s="1396">
        <f t="shared" si="3"/>
        <v>0</v>
      </c>
      <c r="S35" s="1396">
        <f t="shared" si="3"/>
        <v>0</v>
      </c>
      <c r="T35" s="1396">
        <f t="shared" si="3"/>
        <v>0</v>
      </c>
      <c r="U35" s="1396">
        <f t="shared" si="3"/>
        <v>0</v>
      </c>
      <c r="V35" s="1396">
        <f t="shared" si="3"/>
        <v>0</v>
      </c>
      <c r="W35" s="1396">
        <f t="shared" si="3"/>
        <v>0</v>
      </c>
      <c r="X35" s="1396">
        <f t="shared" si="3"/>
        <v>0</v>
      </c>
      <c r="Y35" s="1396">
        <f t="shared" si="3"/>
        <v>0</v>
      </c>
      <c r="Z35" s="1397">
        <f t="shared" si="2"/>
        <v>0</v>
      </c>
      <c r="AA35" s="1393">
        <f t="shared" si="0"/>
        <v>39.216666666666669</v>
      </c>
      <c r="AB35" s="4145"/>
      <c r="AC35" s="1609"/>
    </row>
    <row r="36" spans="1:29" ht="16.899999999999999" customHeight="1">
      <c r="A36" s="7672"/>
      <c r="B36" s="7825" t="s">
        <v>64</v>
      </c>
      <c r="C36" s="1316" t="s">
        <v>720</v>
      </c>
      <c r="D36" s="1317"/>
      <c r="E36" s="1318"/>
      <c r="F36" s="1318"/>
      <c r="G36" s="1769">
        <f t="shared" si="1"/>
        <v>195</v>
      </c>
      <c r="H36" s="1774">
        <f t="shared" si="2"/>
        <v>186</v>
      </c>
      <c r="I36" s="1774">
        <f t="shared" si="2"/>
        <v>101</v>
      </c>
      <c r="J36" s="2248">
        <v>52</v>
      </c>
      <c r="K36" s="5797">
        <v>40</v>
      </c>
      <c r="L36" s="5805">
        <v>26</v>
      </c>
      <c r="M36" s="1813">
        <f t="shared" si="2"/>
        <v>27</v>
      </c>
      <c r="N36" s="2292">
        <f t="shared" si="2"/>
        <v>2.5333333333333337</v>
      </c>
      <c r="O36" s="1789">
        <f t="shared" si="2"/>
        <v>0</v>
      </c>
      <c r="P36" s="1372">
        <f t="shared" si="2"/>
        <v>1</v>
      </c>
      <c r="Q36" s="1372">
        <f t="shared" si="2"/>
        <v>3</v>
      </c>
      <c r="R36" s="1372">
        <f t="shared" si="2"/>
        <v>0</v>
      </c>
      <c r="S36" s="1372">
        <f t="shared" si="2"/>
        <v>0</v>
      </c>
      <c r="T36" s="1372">
        <f t="shared" si="2"/>
        <v>0</v>
      </c>
      <c r="U36" s="1372">
        <f t="shared" si="2"/>
        <v>0</v>
      </c>
      <c r="V36" s="1372">
        <f t="shared" si="2"/>
        <v>0</v>
      </c>
      <c r="W36" s="1372">
        <f t="shared" si="2"/>
        <v>0</v>
      </c>
      <c r="X36" s="1372">
        <f t="shared" si="2"/>
        <v>0</v>
      </c>
      <c r="Y36" s="1372">
        <f t="shared" si="2"/>
        <v>0</v>
      </c>
      <c r="Z36" s="1373">
        <f t="shared" si="2"/>
        <v>0</v>
      </c>
      <c r="AA36" s="1390">
        <f t="shared" si="0"/>
        <v>4</v>
      </c>
      <c r="AB36" s="4145"/>
      <c r="AC36" s="1609"/>
    </row>
    <row r="37" spans="1:29" ht="16.5">
      <c r="A37" s="7672"/>
      <c r="B37" s="7824"/>
      <c r="C37" s="1316" t="s">
        <v>770</v>
      </c>
      <c r="D37" s="1317"/>
      <c r="E37" s="1318"/>
      <c r="F37" s="1318"/>
      <c r="G37" s="2722">
        <f t="shared" si="1"/>
        <v>326.43333333333334</v>
      </c>
      <c r="H37" s="2723">
        <f t="shared" si="2"/>
        <v>352.75</v>
      </c>
      <c r="I37" s="2723">
        <f t="shared" si="2"/>
        <v>165</v>
      </c>
      <c r="J37" s="2724">
        <v>107.6</v>
      </c>
      <c r="K37" s="5796">
        <v>99.833333333333343</v>
      </c>
      <c r="L37" s="5804">
        <v>49.9</v>
      </c>
      <c r="M37" s="1812">
        <f t="shared" si="2"/>
        <v>49.25</v>
      </c>
      <c r="N37" s="1797">
        <f t="shared" si="2"/>
        <v>4.7416666666666663</v>
      </c>
      <c r="O37" s="1788">
        <f t="shared" si="2"/>
        <v>0</v>
      </c>
      <c r="P37" s="1396">
        <f t="shared" si="2"/>
        <v>0.58333333333333337</v>
      </c>
      <c r="Q37" s="1396">
        <f t="shared" si="2"/>
        <v>2.85</v>
      </c>
      <c r="R37" s="1396">
        <f t="shared" si="2"/>
        <v>0</v>
      </c>
      <c r="S37" s="1396">
        <f t="shared" si="2"/>
        <v>0</v>
      </c>
      <c r="T37" s="1396">
        <f t="shared" si="2"/>
        <v>0</v>
      </c>
      <c r="U37" s="1396">
        <f t="shared" si="2"/>
        <v>0</v>
      </c>
      <c r="V37" s="1396">
        <f t="shared" si="2"/>
        <v>0</v>
      </c>
      <c r="W37" s="1396">
        <f t="shared" si="2"/>
        <v>0</v>
      </c>
      <c r="X37" s="1396">
        <f t="shared" si="2"/>
        <v>0</v>
      </c>
      <c r="Y37" s="1396">
        <f t="shared" si="2"/>
        <v>0</v>
      </c>
      <c r="Z37" s="1397">
        <f t="shared" si="2"/>
        <v>0</v>
      </c>
      <c r="AA37" s="1393">
        <f t="shared" si="0"/>
        <v>3.4333333333333336</v>
      </c>
      <c r="AB37" s="4145"/>
      <c r="AC37" s="1609"/>
    </row>
    <row r="38" spans="1:29" ht="16.5">
      <c r="A38" s="7672"/>
      <c r="B38" s="7825" t="s">
        <v>940</v>
      </c>
      <c r="C38" s="1316" t="s">
        <v>720</v>
      </c>
      <c r="D38" s="1317"/>
      <c r="E38" s="1318"/>
      <c r="F38" s="1318"/>
      <c r="G38" s="1769">
        <f t="shared" si="1"/>
        <v>136.61666666666667</v>
      </c>
      <c r="H38" s="1774">
        <f t="shared" si="2"/>
        <v>89</v>
      </c>
      <c r="I38" s="1774">
        <f t="shared" si="2"/>
        <v>74</v>
      </c>
      <c r="J38" s="2248">
        <v>58</v>
      </c>
      <c r="K38" s="5797">
        <v>32</v>
      </c>
      <c r="L38" s="5805">
        <v>41</v>
      </c>
      <c r="M38" s="1813">
        <f t="shared" si="2"/>
        <v>26</v>
      </c>
      <c r="N38" s="2292">
        <f t="shared" si="2"/>
        <v>2.4833333333333334</v>
      </c>
      <c r="O38" s="1789">
        <f t="shared" si="2"/>
        <v>1</v>
      </c>
      <c r="P38" s="1372">
        <f t="shared" si="2"/>
        <v>0</v>
      </c>
      <c r="Q38" s="1372">
        <f t="shared" si="2"/>
        <v>8</v>
      </c>
      <c r="R38" s="1372">
        <f t="shared" si="2"/>
        <v>0</v>
      </c>
      <c r="S38" s="1372">
        <f t="shared" si="2"/>
        <v>0</v>
      </c>
      <c r="T38" s="1372">
        <f t="shared" si="2"/>
        <v>0</v>
      </c>
      <c r="U38" s="1372">
        <f t="shared" si="2"/>
        <v>0</v>
      </c>
      <c r="V38" s="1372">
        <f t="shared" si="2"/>
        <v>0</v>
      </c>
      <c r="W38" s="1372">
        <f t="shared" si="2"/>
        <v>0</v>
      </c>
      <c r="X38" s="1372">
        <f t="shared" si="2"/>
        <v>0</v>
      </c>
      <c r="Y38" s="1372">
        <f t="shared" si="2"/>
        <v>0</v>
      </c>
      <c r="Z38" s="1373">
        <f t="shared" si="2"/>
        <v>0</v>
      </c>
      <c r="AA38" s="1390">
        <f t="shared" si="0"/>
        <v>9</v>
      </c>
      <c r="AB38" s="4145"/>
      <c r="AC38" s="1609"/>
    </row>
    <row r="39" spans="1:29" ht="17.25" thickBot="1">
      <c r="A39" s="7672"/>
      <c r="B39" s="7826"/>
      <c r="C39" s="1319" t="s">
        <v>770</v>
      </c>
      <c r="D39" s="1320"/>
      <c r="E39" s="1321"/>
      <c r="F39" s="1321"/>
      <c r="G39" s="2725">
        <f t="shared" si="1"/>
        <v>148.76666666666665</v>
      </c>
      <c r="H39" s="2726">
        <f t="shared" si="2"/>
        <v>110.58333333333333</v>
      </c>
      <c r="I39" s="2726">
        <f t="shared" si="2"/>
        <v>154</v>
      </c>
      <c r="J39" s="2725">
        <v>70.083333333333329</v>
      </c>
      <c r="K39" s="5798">
        <v>51.383333333333333</v>
      </c>
      <c r="L39" s="5806">
        <v>80.433333333333323</v>
      </c>
      <c r="M39" s="1814">
        <f t="shared" si="2"/>
        <v>38.5</v>
      </c>
      <c r="N39" s="1798">
        <f t="shared" si="2"/>
        <v>3.7083333333333335</v>
      </c>
      <c r="O39" s="1398">
        <f t="shared" si="2"/>
        <v>1.1666666666666667</v>
      </c>
      <c r="P39" s="1399">
        <f t="shared" si="2"/>
        <v>0</v>
      </c>
      <c r="Q39" s="1399">
        <f t="shared" si="2"/>
        <v>8.5500000000000007</v>
      </c>
      <c r="R39" s="1399">
        <f t="shared" si="2"/>
        <v>0</v>
      </c>
      <c r="S39" s="1399">
        <f t="shared" si="2"/>
        <v>0</v>
      </c>
      <c r="T39" s="1399">
        <f t="shared" si="2"/>
        <v>0</v>
      </c>
      <c r="U39" s="1399">
        <f t="shared" si="2"/>
        <v>0</v>
      </c>
      <c r="V39" s="1399">
        <f t="shared" si="2"/>
        <v>0</v>
      </c>
      <c r="W39" s="1399">
        <f t="shared" si="2"/>
        <v>0</v>
      </c>
      <c r="X39" s="1399">
        <f t="shared" si="2"/>
        <v>0</v>
      </c>
      <c r="Y39" s="1399">
        <f t="shared" si="2"/>
        <v>0</v>
      </c>
      <c r="Z39" s="1400">
        <f t="shared" si="2"/>
        <v>0</v>
      </c>
      <c r="AA39" s="1395">
        <f t="shared" si="0"/>
        <v>9.7166666666666668</v>
      </c>
      <c r="AB39" s="4145"/>
      <c r="AC39" s="1609"/>
    </row>
    <row r="40" spans="1:29" ht="16.5">
      <c r="A40" s="7672"/>
      <c r="B40" s="7798" t="s">
        <v>946</v>
      </c>
      <c r="C40" s="1313" t="s">
        <v>720</v>
      </c>
      <c r="D40" s="1314"/>
      <c r="E40" s="1315"/>
      <c r="F40" s="1315"/>
      <c r="G40" s="1375">
        <f>G34+G36+G38</f>
        <v>1223.6166666666668</v>
      </c>
      <c r="H40" s="1775">
        <f t="shared" ref="H40:Z41" si="4">H34+H36+H38</f>
        <v>1011</v>
      </c>
      <c r="I40" s="1775">
        <f t="shared" si="4"/>
        <v>702</v>
      </c>
      <c r="J40" s="1375">
        <v>512</v>
      </c>
      <c r="K40" s="1375">
        <v>343</v>
      </c>
      <c r="L40" s="1376">
        <v>196</v>
      </c>
      <c r="M40" s="1815">
        <f t="shared" si="4"/>
        <v>138</v>
      </c>
      <c r="N40" s="1376">
        <f t="shared" si="4"/>
        <v>12.516666666666666</v>
      </c>
      <c r="O40" s="1377">
        <f t="shared" si="4"/>
        <v>19</v>
      </c>
      <c r="P40" s="1374">
        <f t="shared" si="4"/>
        <v>15</v>
      </c>
      <c r="Q40" s="1374">
        <f t="shared" si="4"/>
        <v>36</v>
      </c>
      <c r="R40" s="1374">
        <f t="shared" si="4"/>
        <v>0</v>
      </c>
      <c r="S40" s="1374">
        <f t="shared" si="4"/>
        <v>0</v>
      </c>
      <c r="T40" s="1374">
        <f t="shared" si="4"/>
        <v>0</v>
      </c>
      <c r="U40" s="1374">
        <f t="shared" si="4"/>
        <v>0</v>
      </c>
      <c r="V40" s="1374">
        <f t="shared" si="4"/>
        <v>0</v>
      </c>
      <c r="W40" s="1374">
        <f t="shared" si="4"/>
        <v>0</v>
      </c>
      <c r="X40" s="1374">
        <f t="shared" si="4"/>
        <v>0</v>
      </c>
      <c r="Y40" s="1374">
        <f t="shared" si="4"/>
        <v>0</v>
      </c>
      <c r="Z40" s="1375">
        <f t="shared" si="4"/>
        <v>0</v>
      </c>
      <c r="AA40" s="1392">
        <f t="shared" si="0"/>
        <v>70</v>
      </c>
      <c r="AB40" s="4145"/>
      <c r="AC40" s="1609"/>
    </row>
    <row r="41" spans="1:29" ht="17.25" thickBot="1">
      <c r="A41" s="7797"/>
      <c r="B41" s="7827"/>
      <c r="C41" s="1322" t="s">
        <v>770</v>
      </c>
      <c r="D41" s="1323"/>
      <c r="E41" s="1324"/>
      <c r="F41" s="1324"/>
      <c r="G41" s="2727">
        <f>G35+G37+G39</f>
        <v>1069.6166666666666</v>
      </c>
      <c r="H41" s="2728">
        <f t="shared" si="4"/>
        <v>960.06666666666672</v>
      </c>
      <c r="I41" s="2728">
        <f t="shared" si="4"/>
        <v>640.18333333333339</v>
      </c>
      <c r="J41" s="2729">
        <v>389.74666666666661</v>
      </c>
      <c r="K41" s="2729">
        <v>349.4</v>
      </c>
      <c r="L41" s="2730">
        <v>229.38333333333333</v>
      </c>
      <c r="M41" s="1816">
        <f t="shared" si="4"/>
        <v>143.25</v>
      </c>
      <c r="N41" s="1799">
        <f t="shared" si="4"/>
        <v>13.4</v>
      </c>
      <c r="O41" s="1790">
        <f t="shared" si="4"/>
        <v>14.316666666666665</v>
      </c>
      <c r="P41" s="1401">
        <f t="shared" si="4"/>
        <v>9.3666666666666671</v>
      </c>
      <c r="Q41" s="1401">
        <f t="shared" si="4"/>
        <v>28.683333333333337</v>
      </c>
      <c r="R41" s="1401">
        <f t="shared" si="4"/>
        <v>0</v>
      </c>
      <c r="S41" s="1401">
        <f t="shared" si="4"/>
        <v>0</v>
      </c>
      <c r="T41" s="1401">
        <f t="shared" si="4"/>
        <v>0</v>
      </c>
      <c r="U41" s="1401">
        <f t="shared" si="4"/>
        <v>0</v>
      </c>
      <c r="V41" s="1401">
        <f t="shared" si="4"/>
        <v>0</v>
      </c>
      <c r="W41" s="1401">
        <f t="shared" si="4"/>
        <v>0</v>
      </c>
      <c r="X41" s="1401">
        <f t="shared" si="4"/>
        <v>0</v>
      </c>
      <c r="Y41" s="1401">
        <f t="shared" si="4"/>
        <v>0</v>
      </c>
      <c r="Z41" s="1402">
        <f t="shared" si="4"/>
        <v>0</v>
      </c>
      <c r="AA41" s="1403">
        <f t="shared" si="0"/>
        <v>52.366666666666667</v>
      </c>
    </row>
    <row r="42" spans="1:29" ht="16.5">
      <c r="C42" s="1776" t="s">
        <v>1030</v>
      </c>
      <c r="G42" s="820">
        <f t="shared" ref="G42:M43" si="5">G40/12</f>
        <v>101.96805555555557</v>
      </c>
      <c r="H42" s="820">
        <f t="shared" si="5"/>
        <v>84.25</v>
      </c>
      <c r="I42" s="820">
        <f t="shared" si="5"/>
        <v>58.5</v>
      </c>
      <c r="J42" s="820">
        <f t="shared" si="5"/>
        <v>42.666666666666664</v>
      </c>
      <c r="K42" s="820">
        <f>K40/12</f>
        <v>28.583333333333332</v>
      </c>
      <c r="L42" s="820"/>
      <c r="M42" s="820">
        <f t="shared" si="5"/>
        <v>11.5</v>
      </c>
      <c r="O42" s="820">
        <f>(1-O40/$K$42)*100</f>
        <v>33.527696793002917</v>
      </c>
      <c r="P42" s="820">
        <f>(1-P40/$K$42)*100</f>
        <v>47.521865889212819</v>
      </c>
      <c r="Q42" s="820">
        <f>(1-Q40/$K$42)*100</f>
        <v>-25.947521865889222</v>
      </c>
    </row>
    <row r="43" spans="1:29">
      <c r="G43" s="2267">
        <f t="shared" si="5"/>
        <v>89.134722222222209</v>
      </c>
      <c r="H43" s="2267">
        <f t="shared" si="5"/>
        <v>80.00555555555556</v>
      </c>
      <c r="I43" s="2267">
        <f t="shared" si="5"/>
        <v>53.348611111111119</v>
      </c>
      <c r="J43" s="2267">
        <f t="shared" si="5"/>
        <v>32.478888888888882</v>
      </c>
      <c r="K43" s="2267">
        <f>K41/12</f>
        <v>29.116666666666664</v>
      </c>
      <c r="L43" s="2267"/>
      <c r="M43" s="2267">
        <f t="shared" si="5"/>
        <v>11.9375</v>
      </c>
      <c r="O43" s="820">
        <f>(1-O41/$K$43)*100</f>
        <v>50.829994275901548</v>
      </c>
      <c r="P43" s="820">
        <f>(1-P41/$K$43)*100</f>
        <v>67.830566685746987</v>
      </c>
      <c r="Q43" s="820">
        <f>(1-Q41/$K$43)*100</f>
        <v>1.4882655981682702</v>
      </c>
    </row>
  </sheetData>
  <mergeCells count="30">
    <mergeCell ref="C2:C3"/>
    <mergeCell ref="M2:N2"/>
    <mergeCell ref="A2:A3"/>
    <mergeCell ref="B2:B3"/>
    <mergeCell ref="D2:L2"/>
    <mergeCell ref="B4:B5"/>
    <mergeCell ref="B6:B7"/>
    <mergeCell ref="B8:B9"/>
    <mergeCell ref="A4:A9"/>
    <mergeCell ref="A34:A41"/>
    <mergeCell ref="A28:A33"/>
    <mergeCell ref="A22:A27"/>
    <mergeCell ref="A16:A21"/>
    <mergeCell ref="A10:A15"/>
    <mergeCell ref="B10:B11"/>
    <mergeCell ref="B12:B13"/>
    <mergeCell ref="B14:B15"/>
    <mergeCell ref="B16:B17"/>
    <mergeCell ref="B18:B19"/>
    <mergeCell ref="B20:B21"/>
    <mergeCell ref="B22:B23"/>
    <mergeCell ref="B34:B35"/>
    <mergeCell ref="B36:B37"/>
    <mergeCell ref="B38:B39"/>
    <mergeCell ref="B40:B41"/>
    <mergeCell ref="B24:B25"/>
    <mergeCell ref="B26:B27"/>
    <mergeCell ref="B28:B29"/>
    <mergeCell ref="B30:B31"/>
    <mergeCell ref="B32:B33"/>
  </mergeCells>
  <phoneticPr fontId="23" type="noConversion"/>
  <pageMargins left="0.7" right="0.7" top="0.75" bottom="0.75" header="0.3" footer="0.3"/>
  <pageSetup paperSize="9" scale="7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57"/>
  <sheetViews>
    <sheetView zoomScale="70" zoomScaleNormal="70" workbookViewId="0">
      <pane xSplit="8" ySplit="5" topLeftCell="J123" activePane="bottomRight" state="frozen"/>
      <selection pane="topRight" activeCell="I1" sqref="I1"/>
      <selection pane="bottomLeft" activeCell="A6" sqref="A6"/>
      <selection pane="bottomRight" activeCell="AE58" sqref="AE58"/>
    </sheetView>
  </sheetViews>
  <sheetFormatPr defaultColWidth="8.88671875" defaultRowHeight="16.5"/>
  <cols>
    <col min="1" max="1" width="8.88671875" style="298"/>
    <col min="2" max="2" width="8.88671875" style="298" customWidth="1"/>
    <col min="3" max="3" width="8.6640625" style="297" hidden="1" customWidth="1"/>
    <col min="4" max="5" width="8" style="297" hidden="1" customWidth="1"/>
    <col min="6" max="6" width="7.44140625" style="297" hidden="1" customWidth="1"/>
    <col min="7" max="7" width="8.77734375" style="297" hidden="1" customWidth="1"/>
    <col min="8" max="9" width="8" style="298" hidden="1" customWidth="1"/>
    <col min="10" max="10" width="8" style="298" customWidth="1"/>
    <col min="11" max="12" width="8" style="1451" customWidth="1"/>
    <col min="13" max="13" width="8" style="298" customWidth="1"/>
    <col min="14" max="15" width="8.77734375" style="298" customWidth="1"/>
    <col min="16" max="16" width="8.88671875" style="298" customWidth="1"/>
    <col min="17" max="17" width="8.77734375" style="297" customWidth="1"/>
    <col min="18" max="23" width="8.77734375" style="297" hidden="1" customWidth="1"/>
    <col min="24" max="24" width="9.77734375" style="297" hidden="1" customWidth="1"/>
    <col min="25" max="25" width="10" style="297" hidden="1" customWidth="1"/>
    <col min="26" max="26" width="10" style="297" customWidth="1"/>
    <col min="27" max="27" width="8.77734375" style="2524" customWidth="1"/>
    <col min="28" max="28" width="9.44140625" style="297" customWidth="1"/>
    <col min="29" max="31" width="8.77734375" style="297" customWidth="1"/>
    <col min="32" max="37" width="8.77734375" style="297" hidden="1" customWidth="1"/>
    <col min="38" max="39" width="9.77734375" style="297" hidden="1" customWidth="1"/>
    <col min="40" max="40" width="9.77734375" style="297" customWidth="1"/>
    <col min="41" max="41" width="8.77734375" style="297" customWidth="1"/>
    <col min="42" max="42" width="9.77734375" style="330" customWidth="1"/>
    <col min="43" max="43" width="8.77734375" style="340" customWidth="1"/>
    <col min="44" max="16384" width="8.88671875" style="298"/>
  </cols>
  <sheetData>
    <row r="1" spans="1:65">
      <c r="A1" s="291" t="s">
        <v>456</v>
      </c>
      <c r="AS1" s="1451"/>
      <c r="AT1" s="1451"/>
      <c r="AU1" s="1451"/>
      <c r="AV1" s="1451"/>
      <c r="AW1" s="1451"/>
      <c r="AX1" s="1451"/>
      <c r="AY1" s="1451"/>
      <c r="AZ1" s="1451"/>
      <c r="BA1" s="1451"/>
      <c r="BB1" s="1451"/>
      <c r="BC1" s="1451"/>
      <c r="BD1" s="1451"/>
      <c r="BE1" s="1451"/>
      <c r="BF1" s="1451"/>
      <c r="BG1" s="1451"/>
      <c r="BH1" s="1451"/>
      <c r="BI1" s="1451"/>
      <c r="BJ1" s="1451"/>
      <c r="BK1" s="1451"/>
      <c r="BL1" s="1451"/>
      <c r="BM1" s="1451"/>
    </row>
    <row r="2" spans="1:65">
      <c r="AP2" s="297"/>
      <c r="AQ2" s="298"/>
      <c r="AS2" s="1451" t="s">
        <v>489</v>
      </c>
      <c r="AT2" s="1451"/>
      <c r="AU2" s="1451"/>
      <c r="AV2" s="1451"/>
      <c r="AW2" s="1451"/>
      <c r="AX2" s="1451"/>
      <c r="AY2" s="1451"/>
      <c r="AZ2" s="1451"/>
      <c r="BA2" s="1451"/>
      <c r="BB2" s="1451"/>
      <c r="BC2" s="1451"/>
      <c r="BD2" s="1451"/>
      <c r="BE2" s="1451"/>
      <c r="BF2" s="1451"/>
      <c r="BG2" s="1451"/>
      <c r="BH2" s="1451"/>
      <c r="BI2" s="1451"/>
      <c r="BJ2" s="1451"/>
      <c r="BK2" s="1451"/>
      <c r="BL2" s="1451"/>
      <c r="BM2" s="1451"/>
    </row>
    <row r="3" spans="1:65" ht="15" customHeight="1" thickBot="1">
      <c r="A3" s="291" t="s">
        <v>615</v>
      </c>
      <c r="AP3" s="297"/>
      <c r="AQ3" s="298"/>
      <c r="AS3" s="4566" t="s">
        <v>657</v>
      </c>
      <c r="AT3" s="4568">
        <f t="shared" ref="AT3:AX4" si="0">AT6/12</f>
        <v>25.916666666666668</v>
      </c>
      <c r="AU3" s="4568">
        <f>AU6/12</f>
        <v>22.833333333333332</v>
      </c>
      <c r="AV3" s="4568">
        <f t="shared" si="0"/>
        <v>13.166666666666666</v>
      </c>
      <c r="AW3" s="4568">
        <f t="shared" si="0"/>
        <v>9.25</v>
      </c>
      <c r="AX3" s="4568">
        <f t="shared" si="0"/>
        <v>5.916666666666667</v>
      </c>
      <c r="AY3" s="4568">
        <f>AY6/12</f>
        <v>6</v>
      </c>
      <c r="AZ3" s="1451"/>
      <c r="BA3" s="1451"/>
      <c r="BB3" s="1451"/>
      <c r="BC3" s="1451"/>
      <c r="BD3" s="1451"/>
      <c r="BE3" s="1451"/>
      <c r="BF3" s="1451"/>
      <c r="BG3" s="1451"/>
      <c r="BH3" s="1451"/>
      <c r="BI3" s="1451"/>
      <c r="BJ3" s="1451"/>
      <c r="BK3" s="1451"/>
      <c r="BL3" s="1451"/>
      <c r="BM3" s="1451"/>
    </row>
    <row r="4" spans="1:65" ht="21" customHeight="1" thickBot="1">
      <c r="A4" s="7750" t="s">
        <v>0</v>
      </c>
      <c r="B4" s="7835"/>
      <c r="C4" s="7844" t="s">
        <v>404</v>
      </c>
      <c r="D4" s="7844" t="s">
        <v>405</v>
      </c>
      <c r="E4" s="7844" t="s">
        <v>406</v>
      </c>
      <c r="F4" s="7844" t="s">
        <v>407</v>
      </c>
      <c r="G4" s="7844" t="s">
        <v>403</v>
      </c>
      <c r="H4" s="7844" t="s">
        <v>1140</v>
      </c>
      <c r="I4" s="7844" t="s">
        <v>1141</v>
      </c>
      <c r="J4" s="8208" t="s">
        <v>1142</v>
      </c>
      <c r="K4" s="7950" t="s">
        <v>1250</v>
      </c>
      <c r="L4" s="7845" t="s">
        <v>1889</v>
      </c>
      <c r="M4" s="8142" t="s">
        <v>1921</v>
      </c>
      <c r="N4" s="7968" t="s">
        <v>893</v>
      </c>
      <c r="O4" s="8191" t="s">
        <v>1923</v>
      </c>
      <c r="P4" s="7975"/>
      <c r="Q4" s="7975"/>
      <c r="R4" s="7975"/>
      <c r="S4" s="7975"/>
      <c r="T4" s="7975"/>
      <c r="U4" s="7975"/>
      <c r="V4" s="7975"/>
      <c r="W4" s="7975"/>
      <c r="X4" s="7975"/>
      <c r="Y4" s="7975"/>
      <c r="Z4" s="7975"/>
      <c r="AA4" s="7975"/>
      <c r="AB4" s="7835"/>
      <c r="AC4" s="7835"/>
      <c r="AD4" s="7835"/>
      <c r="AE4" s="7835"/>
      <c r="AF4" s="7835"/>
      <c r="AG4" s="7835"/>
      <c r="AH4" s="7835"/>
      <c r="AI4" s="7835"/>
      <c r="AJ4" s="7835"/>
      <c r="AK4" s="7835"/>
      <c r="AL4" s="7835"/>
      <c r="AM4" s="7835"/>
      <c r="AN4" s="7835"/>
      <c r="AO4" s="7844" t="s">
        <v>457</v>
      </c>
      <c r="AP4" s="7844" t="s">
        <v>361</v>
      </c>
      <c r="AQ4" s="7838" t="s">
        <v>340</v>
      </c>
      <c r="AS4" s="4566" t="s">
        <v>658</v>
      </c>
      <c r="AT4" s="4568">
        <f t="shared" si="0"/>
        <v>41.318055555555553</v>
      </c>
      <c r="AU4" s="4568">
        <f>AU7/12</f>
        <v>38.694444444444443</v>
      </c>
      <c r="AV4" s="4568">
        <f t="shared" si="0"/>
        <v>25.379166666666666</v>
      </c>
      <c r="AW4" s="4568">
        <f t="shared" si="0"/>
        <v>14.806944444444445</v>
      </c>
      <c r="AX4" s="4568">
        <f t="shared" si="0"/>
        <v>12.60138888888889</v>
      </c>
      <c r="AY4" s="4568">
        <f>AY7/12</f>
        <v>12.109722222222222</v>
      </c>
      <c r="AZ4" s="1451"/>
      <c r="BA4" s="1451"/>
      <c r="BB4" s="1451"/>
      <c r="BC4" s="1451"/>
      <c r="BD4" s="1451"/>
      <c r="BE4" s="1451"/>
      <c r="BF4" s="1451"/>
      <c r="BG4" s="1451"/>
      <c r="BH4" s="1451"/>
      <c r="BI4" s="1451"/>
      <c r="BJ4" s="1451"/>
      <c r="BK4" s="1451"/>
      <c r="BL4" s="1451"/>
      <c r="BM4" s="1451"/>
    </row>
    <row r="5" spans="1:65" ht="21" customHeight="1" thickTop="1">
      <c r="A5" s="8203"/>
      <c r="B5" s="8064"/>
      <c r="C5" s="8192"/>
      <c r="D5" s="8192"/>
      <c r="E5" s="8192"/>
      <c r="F5" s="8192"/>
      <c r="G5" s="8192"/>
      <c r="H5" s="8192"/>
      <c r="I5" s="8192"/>
      <c r="J5" s="8209"/>
      <c r="K5" s="8228"/>
      <c r="L5" s="8247"/>
      <c r="M5" s="8193"/>
      <c r="N5" s="8227"/>
      <c r="O5" s="4098" t="s">
        <v>409</v>
      </c>
      <c r="P5" s="4528" t="s">
        <v>368</v>
      </c>
      <c r="Q5" s="7594" t="s">
        <v>369</v>
      </c>
      <c r="R5" s="4098" t="s">
        <v>370</v>
      </c>
      <c r="S5" s="4791" t="s">
        <v>371</v>
      </c>
      <c r="T5" s="4936" t="s">
        <v>372</v>
      </c>
      <c r="U5" s="5079" t="s">
        <v>373</v>
      </c>
      <c r="V5" s="5442" t="s">
        <v>374</v>
      </c>
      <c r="W5" s="7427" t="s">
        <v>375</v>
      </c>
      <c r="X5" s="6427" t="s">
        <v>376</v>
      </c>
      <c r="Y5" s="4086" t="s">
        <v>377</v>
      </c>
      <c r="Z5" s="4086" t="s">
        <v>378</v>
      </c>
      <c r="AA5" s="4156" t="s">
        <v>1243</v>
      </c>
      <c r="AB5" s="4086" t="s">
        <v>192</v>
      </c>
      <c r="AC5" s="4156" t="s">
        <v>410</v>
      </c>
      <c r="AD5" s="4156" t="s">
        <v>379</v>
      </c>
      <c r="AE5" s="4156" t="s">
        <v>380</v>
      </c>
      <c r="AF5" s="4156" t="s">
        <v>381</v>
      </c>
      <c r="AG5" s="4156" t="s">
        <v>382</v>
      </c>
      <c r="AH5" s="4156" t="s">
        <v>383</v>
      </c>
      <c r="AI5" s="4156" t="s">
        <v>384</v>
      </c>
      <c r="AJ5" s="4156" t="s">
        <v>385</v>
      </c>
      <c r="AK5" s="4156" t="s">
        <v>386</v>
      </c>
      <c r="AL5" s="6427" t="s">
        <v>892</v>
      </c>
      <c r="AM5" s="6427" t="s">
        <v>891</v>
      </c>
      <c r="AN5" s="6427" t="s">
        <v>890</v>
      </c>
      <c r="AO5" s="8192"/>
      <c r="AP5" s="8192"/>
      <c r="AQ5" s="8065"/>
      <c r="AS5" s="4566" t="s">
        <v>201</v>
      </c>
      <c r="AT5" s="4566" t="s">
        <v>254</v>
      </c>
      <c r="AU5" s="4566" t="s">
        <v>255</v>
      </c>
      <c r="AV5" s="4566" t="s">
        <v>697</v>
      </c>
      <c r="AW5" s="4566" t="s">
        <v>699</v>
      </c>
      <c r="AX5" s="4566" t="s">
        <v>978</v>
      </c>
      <c r="AY5" s="7115" t="s">
        <v>1883</v>
      </c>
      <c r="AZ5" s="4566" t="s">
        <v>108</v>
      </c>
      <c r="BA5" s="4566" t="s">
        <v>875</v>
      </c>
      <c r="BB5" s="4566" t="s">
        <v>587</v>
      </c>
      <c r="BC5" s="4566" t="s">
        <v>7</v>
      </c>
      <c r="BD5" s="4566" t="s">
        <v>8</v>
      </c>
      <c r="BE5" s="4566" t="s">
        <v>9</v>
      </c>
      <c r="BF5" s="4566" t="s">
        <v>10</v>
      </c>
      <c r="BG5" s="4566" t="s">
        <v>11</v>
      </c>
      <c r="BH5" s="4566" t="s">
        <v>12</v>
      </c>
      <c r="BI5" s="4566" t="s">
        <v>13</v>
      </c>
      <c r="BJ5" s="4566" t="s">
        <v>14</v>
      </c>
      <c r="BK5" s="4566" t="s">
        <v>15</v>
      </c>
      <c r="BL5" s="1451"/>
      <c r="BM5" s="1451"/>
    </row>
    <row r="6" spans="1:65" ht="21" customHeight="1">
      <c r="A6" s="8194" t="s">
        <v>2</v>
      </c>
      <c r="B6" s="4582" t="s">
        <v>65</v>
      </c>
      <c r="C6" s="4336"/>
      <c r="D6" s="4336">
        <v>2.5999999999999999E-3</v>
      </c>
      <c r="E6" s="4336">
        <v>2.0999999999999999E-3</v>
      </c>
      <c r="F6" s="4336">
        <f>F33+F71</f>
        <v>4.3E-3</v>
      </c>
      <c r="G6" s="4336">
        <f t="shared" ref="G6:R6" si="1">G33+G71</f>
        <v>2.5127997134549745E-2</v>
      </c>
      <c r="H6" s="4336">
        <f t="shared" si="1"/>
        <v>1.7584856089410621E-2</v>
      </c>
      <c r="I6" s="4336">
        <v>5.6060477387182422E-3</v>
      </c>
      <c r="J6" s="4529">
        <v>3.5120687061206365E-3</v>
      </c>
      <c r="K6" s="5809">
        <f>K33+K71</f>
        <v>1.7515949155538415E-3</v>
      </c>
      <c r="L6" s="5809">
        <f>L33+L71</f>
        <v>4.447995926795463E-3</v>
      </c>
      <c r="M6" s="4577">
        <f>M33+M71</f>
        <v>3.7135016465422608E-3</v>
      </c>
      <c r="N6" s="4578">
        <f>M6</f>
        <v>3.7135016465422608E-3</v>
      </c>
      <c r="O6" s="4099" t="e">
        <f t="shared" si="1"/>
        <v>#DIV/0!</v>
      </c>
      <c r="P6" s="4529" t="e">
        <f t="shared" si="1"/>
        <v>#DIV/0!</v>
      </c>
      <c r="Q6" s="7595">
        <f t="shared" si="1"/>
        <v>1.4405589368675046E-3</v>
      </c>
      <c r="R6" s="4099" t="e">
        <f t="shared" si="1"/>
        <v>#DIV/0!</v>
      </c>
      <c r="S6" s="4529" t="e">
        <f t="shared" ref="S6:AF6" si="2">S33+S71</f>
        <v>#DIV/0!</v>
      </c>
      <c r="T6" s="4529" t="e">
        <f t="shared" si="2"/>
        <v>#DIV/0!</v>
      </c>
      <c r="U6" s="4529" t="e">
        <f t="shared" si="2"/>
        <v>#DIV/0!</v>
      </c>
      <c r="V6" s="4529" t="e">
        <f t="shared" si="2"/>
        <v>#DIV/0!</v>
      </c>
      <c r="W6" s="4529" t="e">
        <f t="shared" si="2"/>
        <v>#DIV/0!</v>
      </c>
      <c r="X6" s="4336" t="e">
        <f t="shared" si="2"/>
        <v>#DIV/0!</v>
      </c>
      <c r="Y6" s="5520" t="e">
        <f t="shared" si="2"/>
        <v>#DIV/0!</v>
      </c>
      <c r="Z6" s="4336" t="e">
        <f t="shared" si="2"/>
        <v>#DIV/0!</v>
      </c>
      <c r="AA6" s="4336">
        <f t="shared" si="2"/>
        <v>1.4405589368675046E-3</v>
      </c>
      <c r="AB6" s="8195">
        <f t="shared" si="2"/>
        <v>3740.1806206097117</v>
      </c>
      <c r="AC6" s="8196"/>
      <c r="AD6" s="8196"/>
      <c r="AE6" s="8195">
        <f t="shared" si="2"/>
        <v>1553.6884786082969</v>
      </c>
      <c r="AF6" s="8195" t="e">
        <f t="shared" si="2"/>
        <v>#DIV/0!</v>
      </c>
      <c r="AG6" s="8195" t="e">
        <f t="shared" ref="AG6:AN6" si="3">AG33+AG71</f>
        <v>#DIV/0!</v>
      </c>
      <c r="AH6" s="8195" t="e">
        <f t="shared" si="3"/>
        <v>#DIV/0!</v>
      </c>
      <c r="AI6" s="8195" t="e">
        <f t="shared" si="3"/>
        <v>#DIV/0!</v>
      </c>
      <c r="AJ6" s="8195" t="e">
        <f t="shared" si="3"/>
        <v>#DIV/0!</v>
      </c>
      <c r="AK6" s="8195" t="e">
        <f t="shared" si="3"/>
        <v>#DIV/0!</v>
      </c>
      <c r="AL6" s="8195" t="e">
        <f t="shared" si="3"/>
        <v>#DIV/0!</v>
      </c>
      <c r="AM6" s="8195" t="e">
        <f t="shared" si="3"/>
        <v>#DIV/0!</v>
      </c>
      <c r="AN6" s="8195" t="e">
        <f t="shared" si="3"/>
        <v>#DIV/0!</v>
      </c>
      <c r="AO6" s="8198">
        <f>AC6+AD6</f>
        <v>0</v>
      </c>
      <c r="AP6" s="8199">
        <f>AO6/AB6</f>
        <v>0</v>
      </c>
      <c r="AQ6" s="8201"/>
      <c r="AS6" s="4566" t="s">
        <v>657</v>
      </c>
      <c r="AT6" s="329">
        <v>311</v>
      </c>
      <c r="AU6" s="329">
        <v>274</v>
      </c>
      <c r="AV6" s="329">
        <v>158</v>
      </c>
      <c r="AW6" s="329">
        <v>111</v>
      </c>
      <c r="AX6" s="329">
        <v>71</v>
      </c>
      <c r="AY6" s="7115">
        <v>72</v>
      </c>
      <c r="AZ6" s="4566">
        <f t="shared" ref="AZ6:BK6" si="4">O26</f>
        <v>1</v>
      </c>
      <c r="BA6" s="4566">
        <f t="shared" si="4"/>
        <v>1</v>
      </c>
      <c r="BB6" s="4566">
        <f t="shared" si="4"/>
        <v>11</v>
      </c>
      <c r="BC6" s="4566">
        <f t="shared" si="4"/>
        <v>0</v>
      </c>
      <c r="BD6" s="4566">
        <f t="shared" si="4"/>
        <v>0</v>
      </c>
      <c r="BE6" s="4566">
        <f t="shared" si="4"/>
        <v>0</v>
      </c>
      <c r="BF6" s="4566">
        <f t="shared" si="4"/>
        <v>0</v>
      </c>
      <c r="BG6" s="4566">
        <f t="shared" si="4"/>
        <v>0</v>
      </c>
      <c r="BH6" s="4566">
        <f t="shared" si="4"/>
        <v>0</v>
      </c>
      <c r="BI6" s="4566">
        <f t="shared" si="4"/>
        <v>0</v>
      </c>
      <c r="BJ6" s="4566">
        <f t="shared" si="4"/>
        <v>0</v>
      </c>
      <c r="BK6" s="4566">
        <f t="shared" si="4"/>
        <v>0</v>
      </c>
      <c r="BL6" s="1451"/>
      <c r="BM6" s="1451"/>
    </row>
    <row r="7" spans="1:65" ht="21" customHeight="1">
      <c r="A7" s="8194"/>
      <c r="B7" s="4582" t="s">
        <v>408</v>
      </c>
      <c r="C7" s="4159"/>
      <c r="D7" s="4159">
        <f>799/60</f>
        <v>13.316666666666666</v>
      </c>
      <c r="E7" s="4159">
        <f>679/60</f>
        <v>11.316666666666666</v>
      </c>
      <c r="F7" s="4159">
        <f t="shared" ref="F7:R7" si="5">F34+F72</f>
        <v>25.1</v>
      </c>
      <c r="G7" s="4159">
        <f t="shared" si="5"/>
        <v>159.01666666666668</v>
      </c>
      <c r="H7" s="4159">
        <f t="shared" si="5"/>
        <v>112</v>
      </c>
      <c r="I7" s="4159">
        <v>32.983333333333327</v>
      </c>
      <c r="J7" s="4530">
        <v>20.083333333333332</v>
      </c>
      <c r="K7" s="5810">
        <f t="shared" ref="K7:L15" si="6">K34+K72</f>
        <v>9.0833333333333321</v>
      </c>
      <c r="L7" s="5810">
        <f t="shared" si="6"/>
        <v>20.966666666666669</v>
      </c>
      <c r="M7" s="4579">
        <f t="shared" si="5"/>
        <v>17</v>
      </c>
      <c r="N7" s="4580">
        <f>M7/10</f>
        <v>1.7</v>
      </c>
      <c r="O7" s="4100">
        <f t="shared" si="5"/>
        <v>0</v>
      </c>
      <c r="P7" s="4530">
        <f t="shared" si="5"/>
        <v>0</v>
      </c>
      <c r="Q7" s="7596">
        <f t="shared" si="5"/>
        <v>0.66666666666666663</v>
      </c>
      <c r="R7" s="4100">
        <f t="shared" si="5"/>
        <v>0</v>
      </c>
      <c r="S7" s="4530">
        <f t="shared" ref="S7:Z7" si="7">S34+S72</f>
        <v>0</v>
      </c>
      <c r="T7" s="4530">
        <f t="shared" si="7"/>
        <v>0</v>
      </c>
      <c r="U7" s="4530">
        <f t="shared" si="7"/>
        <v>0</v>
      </c>
      <c r="V7" s="4530">
        <f t="shared" si="7"/>
        <v>0</v>
      </c>
      <c r="W7" s="4530">
        <f t="shared" si="7"/>
        <v>0</v>
      </c>
      <c r="X7" s="4159">
        <f t="shared" si="7"/>
        <v>0</v>
      </c>
      <c r="Y7" s="5521">
        <f t="shared" si="7"/>
        <v>0</v>
      </c>
      <c r="Z7" s="4159">
        <f t="shared" si="7"/>
        <v>0</v>
      </c>
      <c r="AA7" s="4159">
        <f t="shared" ref="AA7:AA15" si="8">AA34+AA72</f>
        <v>0.66666666666666663</v>
      </c>
      <c r="AB7" s="8172"/>
      <c r="AC7" s="8197"/>
      <c r="AD7" s="8197"/>
      <c r="AE7" s="8172"/>
      <c r="AF7" s="8172"/>
      <c r="AG7" s="8172"/>
      <c r="AH7" s="8172"/>
      <c r="AI7" s="8172"/>
      <c r="AJ7" s="8172"/>
      <c r="AK7" s="8172"/>
      <c r="AL7" s="8172"/>
      <c r="AM7" s="8172"/>
      <c r="AN7" s="8172"/>
      <c r="AO7" s="8155"/>
      <c r="AP7" s="8200"/>
      <c r="AQ7" s="8202"/>
      <c r="AS7" s="4566" t="s">
        <v>658</v>
      </c>
      <c r="AT7" s="329">
        <v>495.81666666666666</v>
      </c>
      <c r="AU7" s="329">
        <v>464.33333333333331</v>
      </c>
      <c r="AV7" s="329">
        <v>304.55</v>
      </c>
      <c r="AW7" s="329">
        <v>177.68333333333334</v>
      </c>
      <c r="AX7" s="329">
        <v>151.21666666666667</v>
      </c>
      <c r="AY7" s="7135">
        <v>145.31666666666666</v>
      </c>
      <c r="AZ7" s="4569">
        <f t="shared" ref="AZ7:BK7" si="9">O16</f>
        <v>1.1666666666666667</v>
      </c>
      <c r="BA7" s="4569">
        <f t="shared" si="9"/>
        <v>0.58333333333333337</v>
      </c>
      <c r="BB7" s="4569">
        <f t="shared" si="9"/>
        <v>11.4</v>
      </c>
      <c r="BC7" s="4569">
        <f t="shared" si="9"/>
        <v>0</v>
      </c>
      <c r="BD7" s="4569">
        <f t="shared" si="9"/>
        <v>0</v>
      </c>
      <c r="BE7" s="4569">
        <f t="shared" si="9"/>
        <v>0</v>
      </c>
      <c r="BF7" s="4569">
        <f t="shared" si="9"/>
        <v>0</v>
      </c>
      <c r="BG7" s="4569">
        <f t="shared" si="9"/>
        <v>0</v>
      </c>
      <c r="BH7" s="4569">
        <f t="shared" si="9"/>
        <v>0</v>
      </c>
      <c r="BI7" s="4569">
        <f t="shared" si="9"/>
        <v>0</v>
      </c>
      <c r="BJ7" s="4569">
        <f t="shared" si="9"/>
        <v>0</v>
      </c>
      <c r="BK7" s="4569">
        <f t="shared" si="9"/>
        <v>0</v>
      </c>
      <c r="BL7" s="1451"/>
      <c r="BM7" s="1451"/>
    </row>
    <row r="8" spans="1:65" ht="23.25" customHeight="1">
      <c r="A8" s="8194" t="s">
        <v>3</v>
      </c>
      <c r="B8" s="4582" t="s">
        <v>65</v>
      </c>
      <c r="C8" s="4336"/>
      <c r="D8" s="4336"/>
      <c r="E8" s="4336">
        <v>2.8E-3</v>
      </c>
      <c r="F8" s="4336">
        <f t="shared" ref="F8:R8" si="10">F35+F73</f>
        <v>5.4000000000000003E-3</v>
      </c>
      <c r="G8" s="4336">
        <f t="shared" si="10"/>
        <v>2.6604732682451598E-2</v>
      </c>
      <c r="H8" s="4336">
        <f t="shared" si="10"/>
        <v>2.6078370144064007E-2</v>
      </c>
      <c r="I8" s="4336">
        <v>1.4308612980957347E-2</v>
      </c>
      <c r="J8" s="4529">
        <v>1.1616389886659478E-2</v>
      </c>
      <c r="K8" s="5809">
        <f t="shared" si="6"/>
        <v>4.7326740756615544E-3</v>
      </c>
      <c r="L8" s="5809">
        <f t="shared" si="6"/>
        <v>1.3241191824442888E-2</v>
      </c>
      <c r="M8" s="4577">
        <f t="shared" si="10"/>
        <v>5.530594162218655E-3</v>
      </c>
      <c r="N8" s="4578">
        <f>M8</f>
        <v>5.530594162218655E-3</v>
      </c>
      <c r="O8" s="4099" t="e">
        <f t="shared" si="10"/>
        <v>#DIV/0!</v>
      </c>
      <c r="P8" s="4529" t="e">
        <f t="shared" si="10"/>
        <v>#DIV/0!</v>
      </c>
      <c r="Q8" s="7595">
        <f t="shared" si="10"/>
        <v>5.7975815802550935E-3</v>
      </c>
      <c r="R8" s="4099" t="e">
        <f t="shared" si="10"/>
        <v>#DIV/0!</v>
      </c>
      <c r="S8" s="4529" t="e">
        <f t="shared" ref="S8:AN8" si="11">S35+S73</f>
        <v>#DIV/0!</v>
      </c>
      <c r="T8" s="4529" t="e">
        <f t="shared" si="11"/>
        <v>#DIV/0!</v>
      </c>
      <c r="U8" s="4529" t="e">
        <f t="shared" si="11"/>
        <v>#DIV/0!</v>
      </c>
      <c r="V8" s="4529" t="e">
        <f t="shared" si="11"/>
        <v>#DIV/0!</v>
      </c>
      <c r="W8" s="4529" t="e">
        <f t="shared" si="11"/>
        <v>#DIV/0!</v>
      </c>
      <c r="X8" s="4336" t="e">
        <f t="shared" si="11"/>
        <v>#DIV/0!</v>
      </c>
      <c r="Y8" s="5520" t="e">
        <f t="shared" si="11"/>
        <v>#DIV/0!</v>
      </c>
      <c r="Z8" s="4336" t="e">
        <f t="shared" si="11"/>
        <v>#DIV/0!</v>
      </c>
      <c r="AA8" s="4336">
        <f t="shared" si="8"/>
        <v>5.7975815802550935E-3</v>
      </c>
      <c r="AB8" s="8195">
        <f t="shared" si="11"/>
        <v>50964.975138380811</v>
      </c>
      <c r="AC8" s="8196"/>
      <c r="AD8" s="8196"/>
      <c r="AE8" s="8195">
        <f t="shared" si="11"/>
        <v>4394.4875915158445</v>
      </c>
      <c r="AF8" s="8195" t="e">
        <f t="shared" si="11"/>
        <v>#DIV/0!</v>
      </c>
      <c r="AG8" s="8195" t="e">
        <f t="shared" si="11"/>
        <v>#DIV/0!</v>
      </c>
      <c r="AH8" s="8195" t="e">
        <f t="shared" si="11"/>
        <v>#DIV/0!</v>
      </c>
      <c r="AI8" s="8195" t="e">
        <f t="shared" si="11"/>
        <v>#DIV/0!</v>
      </c>
      <c r="AJ8" s="8195" t="e">
        <f t="shared" si="11"/>
        <v>#DIV/0!</v>
      </c>
      <c r="AK8" s="8195" t="e">
        <f t="shared" si="11"/>
        <v>#DIV/0!</v>
      </c>
      <c r="AL8" s="8195" t="e">
        <f t="shared" si="11"/>
        <v>#DIV/0!</v>
      </c>
      <c r="AM8" s="8195" t="e">
        <f t="shared" si="11"/>
        <v>#DIV/0!</v>
      </c>
      <c r="AN8" s="8195" t="e">
        <f t="shared" si="11"/>
        <v>#DIV/0!</v>
      </c>
      <c r="AO8" s="8198">
        <f>AC8+AD8</f>
        <v>0</v>
      </c>
      <c r="AP8" s="8199">
        <f>AO8/AB8</f>
        <v>0</v>
      </c>
      <c r="AQ8" s="8204"/>
      <c r="AS8" s="1451"/>
      <c r="AT8" s="1451"/>
      <c r="AU8" s="1451"/>
      <c r="AV8" s="1451"/>
      <c r="AW8" s="1451"/>
      <c r="AX8" s="1451"/>
      <c r="AY8" s="1451"/>
      <c r="AZ8" s="1451"/>
      <c r="BA8" s="1451"/>
      <c r="BB8" s="1451"/>
      <c r="BC8" s="1451"/>
      <c r="BD8" s="1451"/>
      <c r="BE8" s="1451"/>
      <c r="BF8" s="1451"/>
      <c r="BG8" s="1451"/>
      <c r="BH8" s="1451"/>
      <c r="BI8" s="1451"/>
      <c r="BJ8" s="1451"/>
      <c r="BK8" s="1451"/>
      <c r="BL8" s="1451"/>
      <c r="BM8" s="1451"/>
    </row>
    <row r="9" spans="1:65" ht="23.25" customHeight="1">
      <c r="A9" s="8194"/>
      <c r="B9" s="4582" t="s">
        <v>408</v>
      </c>
      <c r="C9" s="4159"/>
      <c r="D9" s="4159"/>
      <c r="E9" s="4159">
        <f>1280/60</f>
        <v>21.333333333333332</v>
      </c>
      <c r="F9" s="4159">
        <f t="shared" ref="F9:R9" si="12">F36+F74</f>
        <v>36.75</v>
      </c>
      <c r="G9" s="4159">
        <f t="shared" si="12"/>
        <v>190.25</v>
      </c>
      <c r="H9" s="4159">
        <f t="shared" si="12"/>
        <v>206</v>
      </c>
      <c r="I9" s="4159">
        <v>108.33333333333334</v>
      </c>
      <c r="J9" s="4530">
        <v>83.916666666666671</v>
      </c>
      <c r="K9" s="5810">
        <f t="shared" si="6"/>
        <v>30.916666666666664</v>
      </c>
      <c r="L9" s="5810">
        <f t="shared" si="6"/>
        <v>75.333333333333343</v>
      </c>
      <c r="M9" s="4579">
        <f t="shared" si="12"/>
        <v>31</v>
      </c>
      <c r="N9" s="4580">
        <f>M9/10</f>
        <v>3.1</v>
      </c>
      <c r="O9" s="4100">
        <f t="shared" si="12"/>
        <v>0</v>
      </c>
      <c r="P9" s="4530">
        <f t="shared" si="12"/>
        <v>0</v>
      </c>
      <c r="Q9" s="7596">
        <f t="shared" si="12"/>
        <v>2.9166666666666665</v>
      </c>
      <c r="R9" s="4100">
        <f t="shared" si="12"/>
        <v>0</v>
      </c>
      <c r="S9" s="4530">
        <f t="shared" ref="S9:Z9" si="13">S36+S74</f>
        <v>0</v>
      </c>
      <c r="T9" s="4530">
        <f t="shared" si="13"/>
        <v>0</v>
      </c>
      <c r="U9" s="4530">
        <f t="shared" si="13"/>
        <v>0</v>
      </c>
      <c r="V9" s="4530">
        <f t="shared" si="13"/>
        <v>0</v>
      </c>
      <c r="W9" s="4530">
        <f t="shared" si="13"/>
        <v>0</v>
      </c>
      <c r="X9" s="4159">
        <f t="shared" si="13"/>
        <v>0</v>
      </c>
      <c r="Y9" s="5521">
        <f t="shared" si="13"/>
        <v>0</v>
      </c>
      <c r="Z9" s="4159">
        <f t="shared" si="13"/>
        <v>0</v>
      </c>
      <c r="AA9" s="4159">
        <f t="shared" si="8"/>
        <v>2.9166666666666665</v>
      </c>
      <c r="AB9" s="8172"/>
      <c r="AC9" s="8197"/>
      <c r="AD9" s="8197"/>
      <c r="AE9" s="8172"/>
      <c r="AF9" s="8172"/>
      <c r="AG9" s="8172"/>
      <c r="AH9" s="8172"/>
      <c r="AI9" s="8172"/>
      <c r="AJ9" s="8172"/>
      <c r="AK9" s="8172"/>
      <c r="AL9" s="8172"/>
      <c r="AM9" s="8172"/>
      <c r="AN9" s="8172"/>
      <c r="AO9" s="8155"/>
      <c r="AP9" s="8200"/>
      <c r="AQ9" s="8202"/>
      <c r="AS9" s="1451"/>
      <c r="AT9" s="1451"/>
      <c r="AU9" s="1451"/>
      <c r="AV9" s="1451"/>
      <c r="AW9" s="1451"/>
      <c r="AX9" s="1451"/>
      <c r="AY9" s="1451"/>
      <c r="AZ9" s="1451"/>
      <c r="BA9" s="1451"/>
      <c r="BB9" s="1451"/>
      <c r="BC9" s="1451"/>
      <c r="BD9" s="1451"/>
      <c r="BE9" s="1451"/>
      <c r="BF9" s="1451"/>
      <c r="BG9" s="1451"/>
      <c r="BH9" s="1451"/>
      <c r="BI9" s="1451"/>
      <c r="BJ9" s="1451"/>
      <c r="BK9" s="1451"/>
      <c r="BL9" s="1451"/>
      <c r="BM9" s="1451"/>
    </row>
    <row r="10" spans="1:65" ht="23.25" customHeight="1">
      <c r="A10" s="8194" t="s">
        <v>4</v>
      </c>
      <c r="B10" s="4582" t="s">
        <v>65</v>
      </c>
      <c r="C10" s="4336"/>
      <c r="D10" s="4336"/>
      <c r="E10" s="4336">
        <v>1E-3</v>
      </c>
      <c r="F10" s="4336">
        <f t="shared" ref="F10:R10" si="14">F37+F75</f>
        <v>9.4000000000000004E-3</v>
      </c>
      <c r="G10" s="4336">
        <f t="shared" si="14"/>
        <v>1.0842275989246595E-2</v>
      </c>
      <c r="H10" s="4336">
        <f t="shared" si="14"/>
        <v>7.8816763340352949E-3</v>
      </c>
      <c r="I10" s="4336">
        <v>8.0087495312707434E-3</v>
      </c>
      <c r="J10" s="4529">
        <v>7.7214521880525563E-3</v>
      </c>
      <c r="K10" s="5809">
        <f t="shared" si="6"/>
        <v>1.0093167701863354E-2</v>
      </c>
      <c r="L10" s="5809">
        <f t="shared" si="6"/>
        <v>1.788085857798948E-3</v>
      </c>
      <c r="M10" s="4577">
        <f t="shared" si="14"/>
        <v>2.6814111082079806E-3</v>
      </c>
      <c r="N10" s="4578">
        <f>M10</f>
        <v>2.6814111082079806E-3</v>
      </c>
      <c r="O10" s="4099" t="e">
        <f t="shared" si="14"/>
        <v>#DIV/0!</v>
      </c>
      <c r="P10" s="4090" t="e">
        <f t="shared" si="14"/>
        <v>#DIV/0!</v>
      </c>
      <c r="Q10" s="7595">
        <f t="shared" si="14"/>
        <v>1.578299716441068E-3</v>
      </c>
      <c r="R10" s="4099" t="e">
        <f t="shared" si="14"/>
        <v>#DIV/0!</v>
      </c>
      <c r="S10" s="4529" t="e">
        <f t="shared" ref="S10:AN10" si="15">S37+S75</f>
        <v>#DIV/0!</v>
      </c>
      <c r="T10" s="4529" t="e">
        <f t="shared" si="15"/>
        <v>#DIV/0!</v>
      </c>
      <c r="U10" s="4529" t="e">
        <f t="shared" si="15"/>
        <v>#DIV/0!</v>
      </c>
      <c r="V10" s="4529" t="e">
        <f t="shared" si="15"/>
        <v>#DIV/0!</v>
      </c>
      <c r="W10" s="4529" t="e">
        <f t="shared" si="15"/>
        <v>#DIV/0!</v>
      </c>
      <c r="X10" s="4336" t="e">
        <f t="shared" si="15"/>
        <v>#DIV/0!</v>
      </c>
      <c r="Y10" s="5520" t="e">
        <f t="shared" si="15"/>
        <v>#DIV/0!</v>
      </c>
      <c r="Z10" s="4336" t="e">
        <f t="shared" si="15"/>
        <v>#DIV/0!</v>
      </c>
      <c r="AA10" s="4336">
        <f t="shared" si="8"/>
        <v>1.578299716441068E-3</v>
      </c>
      <c r="AB10" s="8195">
        <f t="shared" si="15"/>
        <v>-13539.093919429724</v>
      </c>
      <c r="AC10" s="8196"/>
      <c r="AD10" s="8196"/>
      <c r="AE10" s="8195">
        <f t="shared" si="15"/>
        <v>292.35875862293972</v>
      </c>
      <c r="AF10" s="8195" t="e">
        <f t="shared" si="15"/>
        <v>#DIV/0!</v>
      </c>
      <c r="AG10" s="8195" t="e">
        <f t="shared" si="15"/>
        <v>#DIV/0!</v>
      </c>
      <c r="AH10" s="8195" t="e">
        <f t="shared" si="15"/>
        <v>#DIV/0!</v>
      </c>
      <c r="AI10" s="8195" t="e">
        <f t="shared" si="15"/>
        <v>#DIV/0!</v>
      </c>
      <c r="AJ10" s="8195" t="e">
        <f t="shared" si="15"/>
        <v>#DIV/0!</v>
      </c>
      <c r="AK10" s="8195" t="e">
        <f t="shared" si="15"/>
        <v>#DIV/0!</v>
      </c>
      <c r="AL10" s="8195" t="e">
        <f t="shared" si="15"/>
        <v>#DIV/0!</v>
      </c>
      <c r="AM10" s="8195" t="e">
        <f t="shared" si="15"/>
        <v>#DIV/0!</v>
      </c>
      <c r="AN10" s="8195" t="e">
        <f t="shared" si="15"/>
        <v>#DIV/0!</v>
      </c>
      <c r="AO10" s="8198">
        <f>AC10+AD10</f>
        <v>0</v>
      </c>
      <c r="AP10" s="8205">
        <f>AO10/AB10</f>
        <v>0</v>
      </c>
      <c r="AQ10" s="8204"/>
      <c r="AS10" s="1451"/>
      <c r="AT10" s="1451"/>
      <c r="AU10" s="1451"/>
      <c r="AV10" s="1451"/>
      <c r="AW10" s="1451"/>
      <c r="AX10" s="1451"/>
      <c r="AY10" s="1451"/>
      <c r="AZ10" s="1451"/>
      <c r="BA10" s="1451"/>
      <c r="BB10" s="1451"/>
      <c r="BC10" s="1451"/>
      <c r="BD10" s="1451"/>
      <c r="BE10" s="1451"/>
      <c r="BF10" s="1451"/>
      <c r="BG10" s="1451"/>
      <c r="BH10" s="1451"/>
      <c r="BI10" s="1451"/>
      <c r="BJ10" s="1451"/>
      <c r="BK10" s="1451"/>
      <c r="BL10" s="1451"/>
      <c r="BM10" s="1451"/>
    </row>
    <row r="11" spans="1:65" ht="23.25" customHeight="1">
      <c r="A11" s="8194"/>
      <c r="B11" s="4582" t="s">
        <v>408</v>
      </c>
      <c r="C11" s="4159"/>
      <c r="D11" s="4159"/>
      <c r="E11" s="4159">
        <f>457/60</f>
        <v>7.6166666666666663</v>
      </c>
      <c r="F11" s="4159">
        <f t="shared" ref="F11:R11" si="16">F38+F76</f>
        <v>68.55</v>
      </c>
      <c r="G11" s="4159">
        <f t="shared" si="16"/>
        <v>81.333333333333329</v>
      </c>
      <c r="H11" s="4159">
        <f t="shared" si="16"/>
        <v>64</v>
      </c>
      <c r="I11" s="4159">
        <v>67.2</v>
      </c>
      <c r="J11" s="4530">
        <v>59.699999999999989</v>
      </c>
      <c r="K11" s="5810">
        <f t="shared" si="6"/>
        <v>76.7</v>
      </c>
      <c r="L11" s="5810">
        <f t="shared" si="6"/>
        <v>12.05</v>
      </c>
      <c r="M11" s="4579">
        <f t="shared" si="16"/>
        <v>18</v>
      </c>
      <c r="N11" s="4580">
        <f>M11/10</f>
        <v>1.8</v>
      </c>
      <c r="O11" s="4100">
        <f t="shared" si="16"/>
        <v>0</v>
      </c>
      <c r="P11" s="4091">
        <f t="shared" si="16"/>
        <v>0</v>
      </c>
      <c r="Q11" s="7596">
        <f t="shared" si="16"/>
        <v>0.98333333333333328</v>
      </c>
      <c r="R11" s="4100">
        <f t="shared" si="16"/>
        <v>0</v>
      </c>
      <c r="S11" s="4530">
        <f t="shared" ref="S11:Z11" si="17">S38+S76</f>
        <v>0</v>
      </c>
      <c r="T11" s="4530">
        <f t="shared" si="17"/>
        <v>0</v>
      </c>
      <c r="U11" s="4530">
        <f t="shared" si="17"/>
        <v>0</v>
      </c>
      <c r="V11" s="4530">
        <f t="shared" si="17"/>
        <v>0</v>
      </c>
      <c r="W11" s="4530">
        <f t="shared" si="17"/>
        <v>0</v>
      </c>
      <c r="X11" s="4159">
        <f t="shared" si="17"/>
        <v>0</v>
      </c>
      <c r="Y11" s="5521">
        <f t="shared" si="17"/>
        <v>0</v>
      </c>
      <c r="Z11" s="4159">
        <f t="shared" si="17"/>
        <v>0</v>
      </c>
      <c r="AA11" s="4159">
        <f t="shared" si="8"/>
        <v>0.98333333333333328</v>
      </c>
      <c r="AB11" s="8172"/>
      <c r="AC11" s="8197"/>
      <c r="AD11" s="8197"/>
      <c r="AE11" s="8172"/>
      <c r="AF11" s="8172"/>
      <c r="AG11" s="8172"/>
      <c r="AH11" s="8172"/>
      <c r="AI11" s="8172"/>
      <c r="AJ11" s="8172"/>
      <c r="AK11" s="8172"/>
      <c r="AL11" s="8172"/>
      <c r="AM11" s="8172"/>
      <c r="AN11" s="8172"/>
      <c r="AO11" s="8155"/>
      <c r="AP11" s="8096"/>
      <c r="AQ11" s="8202"/>
      <c r="AS11" s="1451"/>
      <c r="AT11" s="1451"/>
      <c r="AU11" s="1451"/>
      <c r="AV11" s="1451"/>
      <c r="AW11" s="1451"/>
      <c r="AX11" s="1451"/>
      <c r="AY11" s="1451"/>
      <c r="AZ11" s="1451"/>
      <c r="BA11" s="1451"/>
      <c r="BB11" s="1451"/>
      <c r="BC11" s="1451"/>
      <c r="BD11" s="1451"/>
      <c r="BE11" s="1451"/>
      <c r="BF11" s="1451"/>
      <c r="BG11" s="1451"/>
      <c r="BH11" s="1451"/>
      <c r="BI11" s="1451"/>
      <c r="BJ11" s="1451"/>
      <c r="BK11" s="1451"/>
      <c r="BL11" s="1451"/>
      <c r="BM11" s="1451"/>
    </row>
    <row r="12" spans="1:65" ht="23.25" customHeight="1">
      <c r="A12" s="8194" t="s">
        <v>190</v>
      </c>
      <c r="B12" s="4582" t="s">
        <v>65</v>
      </c>
      <c r="C12" s="4336"/>
      <c r="D12" s="4336"/>
      <c r="E12" s="4336">
        <v>1.2999999999999999E-3</v>
      </c>
      <c r="F12" s="4336">
        <f t="shared" ref="F12:R12" si="18">F39+F77</f>
        <v>5.5999999999999999E-3</v>
      </c>
      <c r="G12" s="4336">
        <f t="shared" si="18"/>
        <v>5.9082274042813613E-3</v>
      </c>
      <c r="H12" s="4336">
        <f t="shared" si="18"/>
        <v>8.7417411517464721E-3</v>
      </c>
      <c r="I12" s="4336">
        <v>9.9811195604215201E-3</v>
      </c>
      <c r="J12" s="4529">
        <v>1.2348670407432022E-3</v>
      </c>
      <c r="K12" s="5809">
        <f t="shared" si="6"/>
        <v>3.1177849296858602E-3</v>
      </c>
      <c r="L12" s="5809">
        <f t="shared" si="6"/>
        <v>2.9275458269541112E-3</v>
      </c>
      <c r="M12" s="4577">
        <f t="shared" si="18"/>
        <v>1.2525152768347633E-3</v>
      </c>
      <c r="N12" s="4578">
        <f>M12</f>
        <v>1.2525152768347633E-3</v>
      </c>
      <c r="O12" s="4099">
        <f t="shared" si="18"/>
        <v>1.6650808753568031E-3</v>
      </c>
      <c r="P12" s="4090">
        <f t="shared" si="18"/>
        <v>8.9194699286442405E-4</v>
      </c>
      <c r="Q12" s="7595">
        <f t="shared" si="18"/>
        <v>6.1728395061728392E-3</v>
      </c>
      <c r="R12" s="4099" t="e">
        <f t="shared" si="18"/>
        <v>#DIV/0!</v>
      </c>
      <c r="S12" s="4529" t="e">
        <f t="shared" ref="S12:AN12" si="19">S39+S77</f>
        <v>#DIV/0!</v>
      </c>
      <c r="T12" s="4529" t="e">
        <f t="shared" si="19"/>
        <v>#DIV/0!</v>
      </c>
      <c r="U12" s="4529" t="e">
        <f t="shared" si="19"/>
        <v>#DIV/0!</v>
      </c>
      <c r="V12" s="4529" t="e">
        <f t="shared" si="19"/>
        <v>#DIV/0!</v>
      </c>
      <c r="W12" s="4529" t="e">
        <f t="shared" si="19"/>
        <v>#DIV/0!</v>
      </c>
      <c r="X12" s="4336" t="e">
        <f t="shared" si="19"/>
        <v>#DIV/0!</v>
      </c>
      <c r="Y12" s="5520" t="e">
        <f t="shared" si="19"/>
        <v>#DIV/0!</v>
      </c>
      <c r="Z12" s="4336" t="e">
        <f t="shared" si="19"/>
        <v>#DIV/0!</v>
      </c>
      <c r="AA12" s="4336">
        <f t="shared" si="8"/>
        <v>2.9995200767877141E-3</v>
      </c>
      <c r="AB12" s="8195">
        <f t="shared" si="19"/>
        <v>16382.95825166846</v>
      </c>
      <c r="AC12" s="8195">
        <f t="shared" si="19"/>
        <v>1076.2942152572743</v>
      </c>
      <c r="AD12" s="8195">
        <f t="shared" si="19"/>
        <v>1657.8483090357322</v>
      </c>
      <c r="AE12" s="8195">
        <f t="shared" si="19"/>
        <v>-2844.3862212479276</v>
      </c>
      <c r="AF12" s="8195" t="e">
        <f t="shared" si="19"/>
        <v>#DIV/0!</v>
      </c>
      <c r="AG12" s="8195" t="e">
        <f t="shared" si="19"/>
        <v>#DIV/0!</v>
      </c>
      <c r="AH12" s="8195" t="e">
        <f t="shared" si="19"/>
        <v>#DIV/0!</v>
      </c>
      <c r="AI12" s="8195" t="e">
        <f t="shared" si="19"/>
        <v>#DIV/0!</v>
      </c>
      <c r="AJ12" s="8195" t="e">
        <f t="shared" si="19"/>
        <v>#DIV/0!</v>
      </c>
      <c r="AK12" s="8195" t="e">
        <f t="shared" si="19"/>
        <v>#DIV/0!</v>
      </c>
      <c r="AL12" s="8195" t="e">
        <f t="shared" si="19"/>
        <v>#DIV/0!</v>
      </c>
      <c r="AM12" s="8195" t="e">
        <f t="shared" si="19"/>
        <v>#DIV/0!</v>
      </c>
      <c r="AN12" s="8195" t="e">
        <f t="shared" si="19"/>
        <v>#DIV/0!</v>
      </c>
      <c r="AO12" s="8198">
        <f>AC12+AD12</f>
        <v>2734.1425242930063</v>
      </c>
      <c r="AP12" s="8205">
        <f>AO12/AB12</f>
        <v>0.16688942755589076</v>
      </c>
      <c r="AQ12" s="8204"/>
      <c r="AS12" s="1451"/>
      <c r="AT12" s="1451"/>
      <c r="AU12" s="1451"/>
      <c r="AV12" s="1451"/>
      <c r="AW12" s="1451"/>
      <c r="AX12" s="1451"/>
      <c r="AY12" s="1451"/>
      <c r="AZ12" s="1451"/>
      <c r="BA12" s="1451"/>
      <c r="BB12" s="1451"/>
      <c r="BC12" s="1451"/>
      <c r="BD12" s="1451"/>
      <c r="BE12" s="1451"/>
      <c r="BF12" s="1451"/>
      <c r="BG12" s="1451"/>
      <c r="BH12" s="1451"/>
      <c r="BI12" s="1451"/>
      <c r="BJ12" s="1451"/>
      <c r="BK12" s="1451"/>
      <c r="BL12" s="1451"/>
      <c r="BM12" s="1451"/>
    </row>
    <row r="13" spans="1:65" ht="23.25" customHeight="1">
      <c r="A13" s="8194"/>
      <c r="B13" s="4582" t="s">
        <v>408</v>
      </c>
      <c r="C13" s="4159"/>
      <c r="D13" s="4159"/>
      <c r="E13" s="4159">
        <f>525/60</f>
        <v>8.75</v>
      </c>
      <c r="F13" s="4159">
        <f t="shared" ref="F13:R13" si="20">F40+F78</f>
        <v>38.683333333333337</v>
      </c>
      <c r="G13" s="4159">
        <f t="shared" si="20"/>
        <v>38.616666666666667</v>
      </c>
      <c r="H13" s="4159">
        <f t="shared" si="20"/>
        <v>66</v>
      </c>
      <c r="I13" s="4159">
        <v>69.033333333333346</v>
      </c>
      <c r="J13" s="4530">
        <v>8.8666666666666671</v>
      </c>
      <c r="K13" s="5810">
        <f t="shared" si="6"/>
        <v>23.766666666666666</v>
      </c>
      <c r="L13" s="5810">
        <f t="shared" si="6"/>
        <v>23.583333333333336</v>
      </c>
      <c r="M13" s="4579">
        <f t="shared" si="20"/>
        <v>9.5</v>
      </c>
      <c r="N13" s="4580">
        <f>M13/12</f>
        <v>0.79166666666666663</v>
      </c>
      <c r="O13" s="4100">
        <f t="shared" si="20"/>
        <v>1.1666666666666667</v>
      </c>
      <c r="P13" s="4091">
        <f t="shared" si="20"/>
        <v>0.58333333333333337</v>
      </c>
      <c r="Q13" s="7596">
        <f t="shared" si="20"/>
        <v>4.5</v>
      </c>
      <c r="R13" s="4100">
        <f t="shared" si="20"/>
        <v>0</v>
      </c>
      <c r="S13" s="4530">
        <f t="shared" ref="S13:Z13" si="21">S40+S78</f>
        <v>0</v>
      </c>
      <c r="T13" s="4530">
        <f t="shared" si="21"/>
        <v>0</v>
      </c>
      <c r="U13" s="4530">
        <f t="shared" si="21"/>
        <v>0</v>
      </c>
      <c r="V13" s="4530">
        <f t="shared" si="21"/>
        <v>0</v>
      </c>
      <c r="W13" s="4530">
        <f t="shared" si="21"/>
        <v>0</v>
      </c>
      <c r="X13" s="4159">
        <f t="shared" si="21"/>
        <v>0</v>
      </c>
      <c r="Y13" s="5521">
        <f t="shared" si="21"/>
        <v>0</v>
      </c>
      <c r="Z13" s="4159">
        <f t="shared" si="21"/>
        <v>0</v>
      </c>
      <c r="AA13" s="4159">
        <f t="shared" si="8"/>
        <v>6.25</v>
      </c>
      <c r="AB13" s="8172"/>
      <c r="AC13" s="8172"/>
      <c r="AD13" s="8172"/>
      <c r="AE13" s="8172"/>
      <c r="AF13" s="8172"/>
      <c r="AG13" s="8172"/>
      <c r="AH13" s="8172"/>
      <c r="AI13" s="8172"/>
      <c r="AJ13" s="8172"/>
      <c r="AK13" s="8172"/>
      <c r="AL13" s="8172"/>
      <c r="AM13" s="8172"/>
      <c r="AN13" s="8172"/>
      <c r="AO13" s="8155"/>
      <c r="AP13" s="8096"/>
      <c r="AQ13" s="8202"/>
      <c r="AS13" s="1451"/>
      <c r="AT13" s="1451"/>
      <c r="AU13" s="1451"/>
      <c r="AV13" s="1451"/>
      <c r="AW13" s="1451"/>
      <c r="AX13" s="1451"/>
      <c r="AY13" s="1451"/>
      <c r="AZ13" s="1451"/>
      <c r="BA13" s="1451"/>
      <c r="BB13" s="1451"/>
      <c r="BC13" s="1451"/>
      <c r="BD13" s="1451"/>
      <c r="BE13" s="1451"/>
      <c r="BF13" s="1451"/>
      <c r="BG13" s="1451"/>
      <c r="BH13" s="1451"/>
      <c r="BI13" s="1451"/>
      <c r="BJ13" s="1451"/>
      <c r="BK13" s="1451"/>
      <c r="BL13" s="1451"/>
      <c r="BM13" s="1451"/>
    </row>
    <row r="14" spans="1:65" ht="23.25" customHeight="1">
      <c r="A14" s="8194" t="s">
        <v>17</v>
      </c>
      <c r="B14" s="4582" t="s">
        <v>65</v>
      </c>
      <c r="C14" s="4336"/>
      <c r="D14" s="4336"/>
      <c r="E14" s="4336">
        <v>1.4E-3</v>
      </c>
      <c r="F14" s="4336">
        <f t="shared" ref="F14:R14" si="22">F41+F79</f>
        <v>1E-3</v>
      </c>
      <c r="G14" s="4336">
        <f t="shared" si="22"/>
        <v>6.5262736976547785E-3</v>
      </c>
      <c r="H14" s="4336">
        <f t="shared" si="22"/>
        <v>6.5437597238266303E-3</v>
      </c>
      <c r="I14" s="4336">
        <v>3.7032150107262803E-3</v>
      </c>
      <c r="J14" s="4529">
        <v>6.9415897550918889E-4</v>
      </c>
      <c r="K14" s="5809">
        <f t="shared" si="6"/>
        <v>1.4152154308947015E-3</v>
      </c>
      <c r="L14" s="5809">
        <f t="shared" si="6"/>
        <v>1.7286363792925292E-3</v>
      </c>
      <c r="M14" s="4577">
        <f t="shared" si="22"/>
        <v>1.2295774647887324E-3</v>
      </c>
      <c r="N14" s="4578">
        <f>M14</f>
        <v>1.2295774647887324E-3</v>
      </c>
      <c r="O14" s="4576">
        <f t="shared" si="22"/>
        <v>0</v>
      </c>
      <c r="P14" s="4090">
        <f t="shared" si="22"/>
        <v>0</v>
      </c>
      <c r="Q14" s="7595">
        <f t="shared" si="22"/>
        <v>3.2263268269075657E-3</v>
      </c>
      <c r="R14" s="4099" t="e">
        <f t="shared" si="22"/>
        <v>#DIV/0!</v>
      </c>
      <c r="S14" s="4529" t="e">
        <f t="shared" ref="S14:AN14" si="23">S41+S79</f>
        <v>#DIV/0!</v>
      </c>
      <c r="T14" s="4529" t="e">
        <f t="shared" si="23"/>
        <v>#DIV/0!</v>
      </c>
      <c r="U14" s="4529" t="e">
        <f t="shared" si="23"/>
        <v>#DIV/0!</v>
      </c>
      <c r="V14" s="4529" t="e">
        <f t="shared" si="23"/>
        <v>#DIV/0!</v>
      </c>
      <c r="W14" s="4529" t="e">
        <f t="shared" si="23"/>
        <v>#DIV/0!</v>
      </c>
      <c r="X14" s="4336" t="e">
        <f t="shared" si="23"/>
        <v>#DIV/0!</v>
      </c>
      <c r="Y14" s="5520" t="e">
        <f t="shared" si="23"/>
        <v>#DIV/0!</v>
      </c>
      <c r="Z14" s="4336" t="e">
        <f t="shared" si="23"/>
        <v>#DIV/0!</v>
      </c>
      <c r="AA14" s="4336">
        <f t="shared" si="8"/>
        <v>1.1431837667905116E-3</v>
      </c>
      <c r="AB14" s="8195">
        <f t="shared" si="23"/>
        <v>4954.2926596427587</v>
      </c>
      <c r="AC14" s="8195">
        <f t="shared" si="23"/>
        <v>1473.9435568644947</v>
      </c>
      <c r="AD14" s="8195">
        <f t="shared" si="23"/>
        <v>1342.7904842345347</v>
      </c>
      <c r="AE14" s="8195">
        <f t="shared" si="23"/>
        <v>-1382.6898950986333</v>
      </c>
      <c r="AF14" s="8195" t="e">
        <f t="shared" si="23"/>
        <v>#DIV/0!</v>
      </c>
      <c r="AG14" s="8195" t="e">
        <f t="shared" si="23"/>
        <v>#DIV/0!</v>
      </c>
      <c r="AH14" s="8195" t="e">
        <f t="shared" si="23"/>
        <v>#DIV/0!</v>
      </c>
      <c r="AI14" s="8195" t="e">
        <f t="shared" si="23"/>
        <v>#DIV/0!</v>
      </c>
      <c r="AJ14" s="8195" t="e">
        <f t="shared" si="23"/>
        <v>#DIV/0!</v>
      </c>
      <c r="AK14" s="8195" t="e">
        <f t="shared" si="23"/>
        <v>#DIV/0!</v>
      </c>
      <c r="AL14" s="8195" t="e">
        <f t="shared" si="23"/>
        <v>#DIV/0!</v>
      </c>
      <c r="AM14" s="8195" t="e">
        <f t="shared" si="23"/>
        <v>#DIV/0!</v>
      </c>
      <c r="AN14" s="8195" t="e">
        <f t="shared" si="23"/>
        <v>#DIV/0!</v>
      </c>
      <c r="AO14" s="8198">
        <f>AC14+AD14</f>
        <v>2816.7340410990291</v>
      </c>
      <c r="AP14" s="8205">
        <f>AO14/AB14</f>
        <v>0.56854413628889988</v>
      </c>
      <c r="AQ14" s="8204"/>
      <c r="AS14" s="1451"/>
      <c r="AT14" s="1451"/>
      <c r="AU14" s="1451"/>
      <c r="AV14" s="1451"/>
      <c r="AW14" s="1451"/>
      <c r="AX14" s="1451"/>
      <c r="AY14" s="1451"/>
      <c r="AZ14" s="1451"/>
      <c r="BA14" s="1451"/>
      <c r="BB14" s="1451"/>
      <c r="BC14" s="1451"/>
      <c r="BD14" s="1451"/>
      <c r="BE14" s="1451"/>
      <c r="BF14" s="1451"/>
      <c r="BG14" s="1451"/>
      <c r="BH14" s="1451"/>
      <c r="BI14" s="1451"/>
      <c r="BJ14" s="1451"/>
      <c r="BK14" s="1451"/>
      <c r="BL14" s="1451"/>
      <c r="BM14" s="1451"/>
    </row>
    <row r="15" spans="1:65" ht="23.25" customHeight="1">
      <c r="A15" s="8194"/>
      <c r="B15" s="4582" t="s">
        <v>408</v>
      </c>
      <c r="C15" s="4583"/>
      <c r="D15" s="4583"/>
      <c r="E15" s="4583">
        <f>575/60</f>
        <v>9.5833333333333339</v>
      </c>
      <c r="F15" s="4159">
        <f t="shared" ref="F15:R15" si="24">F42+F80</f>
        <v>5.95</v>
      </c>
      <c r="G15" s="4159">
        <f t="shared" si="24"/>
        <v>26.6</v>
      </c>
      <c r="H15" s="4159">
        <f t="shared" si="24"/>
        <v>16.333333333333336</v>
      </c>
      <c r="I15" s="4159">
        <v>27</v>
      </c>
      <c r="J15" s="4530">
        <v>5.1166666666666671</v>
      </c>
      <c r="K15" s="5810">
        <f t="shared" si="6"/>
        <v>10.75</v>
      </c>
      <c r="L15" s="5810">
        <f t="shared" si="6"/>
        <v>13.383333333333333</v>
      </c>
      <c r="M15" s="4579">
        <f t="shared" si="24"/>
        <v>10</v>
      </c>
      <c r="N15" s="4580">
        <f>M15/12</f>
        <v>0.83333333333333337</v>
      </c>
      <c r="O15" s="4100">
        <f t="shared" si="24"/>
        <v>0</v>
      </c>
      <c r="P15" s="4091">
        <f t="shared" si="24"/>
        <v>0</v>
      </c>
      <c r="Q15" s="7596">
        <f t="shared" si="24"/>
        <v>2.3333333333333335</v>
      </c>
      <c r="R15" s="4100">
        <f t="shared" si="24"/>
        <v>0</v>
      </c>
      <c r="S15" s="4530">
        <f t="shared" ref="S15:Z15" si="25">S42+S80</f>
        <v>0</v>
      </c>
      <c r="T15" s="4530">
        <f t="shared" si="25"/>
        <v>0</v>
      </c>
      <c r="U15" s="4530">
        <f t="shared" si="25"/>
        <v>0</v>
      </c>
      <c r="V15" s="4530">
        <f t="shared" si="25"/>
        <v>0</v>
      </c>
      <c r="W15" s="4530">
        <f t="shared" si="25"/>
        <v>0</v>
      </c>
      <c r="X15" s="4159">
        <f t="shared" si="25"/>
        <v>0</v>
      </c>
      <c r="Y15" s="5521">
        <f t="shared" si="25"/>
        <v>0</v>
      </c>
      <c r="Z15" s="4159">
        <f t="shared" si="25"/>
        <v>0</v>
      </c>
      <c r="AA15" s="4159">
        <f t="shared" si="8"/>
        <v>2.3333333333333335</v>
      </c>
      <c r="AB15" s="8172"/>
      <c r="AC15" s="8172"/>
      <c r="AD15" s="8172"/>
      <c r="AE15" s="8172"/>
      <c r="AF15" s="8172"/>
      <c r="AG15" s="8172"/>
      <c r="AH15" s="8172"/>
      <c r="AI15" s="8172"/>
      <c r="AJ15" s="8172"/>
      <c r="AK15" s="8172"/>
      <c r="AL15" s="8172"/>
      <c r="AM15" s="8172"/>
      <c r="AN15" s="8172"/>
      <c r="AO15" s="8155"/>
      <c r="AP15" s="8096"/>
      <c r="AQ15" s="8202"/>
      <c r="AS15" s="1451"/>
      <c r="AT15" s="1451"/>
      <c r="AU15" s="1451"/>
      <c r="AV15" s="1451"/>
      <c r="AW15" s="1451"/>
      <c r="AX15" s="1451"/>
      <c r="AY15" s="1451"/>
      <c r="AZ15" s="1451"/>
      <c r="BA15" s="1451"/>
      <c r="BB15" s="1451"/>
      <c r="BC15" s="1451"/>
      <c r="BD15" s="1451"/>
      <c r="BE15" s="1451"/>
      <c r="BF15" s="1451"/>
      <c r="BG15" s="1451"/>
      <c r="BH15" s="1451"/>
      <c r="BI15" s="1451"/>
      <c r="BJ15" s="1451"/>
      <c r="BK15" s="1451"/>
      <c r="BL15" s="1451"/>
      <c r="BM15" s="1451"/>
    </row>
    <row r="16" spans="1:65" ht="21" customHeight="1" thickBot="1">
      <c r="A16" s="8180" t="s">
        <v>31</v>
      </c>
      <c r="B16" s="8153"/>
      <c r="C16" s="4572"/>
      <c r="D16" s="4572"/>
      <c r="E16" s="4572"/>
      <c r="F16" s="4584">
        <f t="shared" ref="F16:AA16" si="26">F7+F9+F11+F13+F15</f>
        <v>175.03333333333333</v>
      </c>
      <c r="G16" s="4584">
        <f t="shared" si="26"/>
        <v>495.81666666666666</v>
      </c>
      <c r="H16" s="4584">
        <f t="shared" si="26"/>
        <v>464.33333333333331</v>
      </c>
      <c r="I16" s="4584">
        <f t="shared" ref="I16:N16" si="27">I7+I9+I11+I13+I15</f>
        <v>304.55</v>
      </c>
      <c r="J16" s="4585">
        <f t="shared" si="27"/>
        <v>177.68333333333334</v>
      </c>
      <c r="K16" s="4585">
        <f t="shared" si="27"/>
        <v>151.21666666666667</v>
      </c>
      <c r="L16" s="4585">
        <f t="shared" si="27"/>
        <v>145.31666666666666</v>
      </c>
      <c r="M16" s="2781">
        <f t="shared" si="27"/>
        <v>85.5</v>
      </c>
      <c r="N16" s="4581">
        <f t="shared" si="27"/>
        <v>8.2249999999999996</v>
      </c>
      <c r="O16" s="4586">
        <f t="shared" si="26"/>
        <v>1.1666666666666667</v>
      </c>
      <c r="P16" s="4585">
        <f t="shared" si="26"/>
        <v>0.58333333333333337</v>
      </c>
      <c r="Q16" s="7597">
        <f t="shared" si="26"/>
        <v>11.4</v>
      </c>
      <c r="R16" s="7590">
        <f t="shared" si="26"/>
        <v>0</v>
      </c>
      <c r="S16" s="4663">
        <f t="shared" si="26"/>
        <v>0</v>
      </c>
      <c r="T16" s="4585">
        <f t="shared" si="26"/>
        <v>0</v>
      </c>
      <c r="U16" s="4663">
        <f>U7+U9+U11+U13+U15</f>
        <v>0</v>
      </c>
      <c r="V16" s="4663">
        <f t="shared" si="26"/>
        <v>0</v>
      </c>
      <c r="W16" s="4663">
        <f t="shared" si="26"/>
        <v>0</v>
      </c>
      <c r="X16" s="7589">
        <f t="shared" si="26"/>
        <v>0</v>
      </c>
      <c r="Y16" s="5522">
        <f>Y7+Y9+Y11+Y13+Y15</f>
        <v>0</v>
      </c>
      <c r="Z16" s="4584">
        <f t="shared" si="26"/>
        <v>0</v>
      </c>
      <c r="AA16" s="4584">
        <f t="shared" si="26"/>
        <v>13.15</v>
      </c>
      <c r="AB16" s="4587">
        <f>AB14+AB12+AB10+AB8+AB6</f>
        <v>62503.312750872014</v>
      </c>
      <c r="AC16" s="4588">
        <f>SUM(AC6:AC15)</f>
        <v>2550.237772121769</v>
      </c>
      <c r="AD16" s="4588">
        <f t="shared" ref="AD16:AN16" si="28">SUM(AD6:AD15)</f>
        <v>3000.6387932702669</v>
      </c>
      <c r="AE16" s="4588">
        <f t="shared" si="28"/>
        <v>2013.4587124005207</v>
      </c>
      <c r="AF16" s="4588" t="e">
        <f t="shared" si="28"/>
        <v>#DIV/0!</v>
      </c>
      <c r="AG16" s="4588" t="e">
        <f t="shared" si="28"/>
        <v>#DIV/0!</v>
      </c>
      <c r="AH16" s="4588" t="e">
        <f t="shared" si="28"/>
        <v>#DIV/0!</v>
      </c>
      <c r="AI16" s="4588" t="e">
        <f t="shared" si="28"/>
        <v>#DIV/0!</v>
      </c>
      <c r="AJ16" s="4588" t="e">
        <f t="shared" si="28"/>
        <v>#DIV/0!</v>
      </c>
      <c r="AK16" s="4588" t="e">
        <f t="shared" si="28"/>
        <v>#DIV/0!</v>
      </c>
      <c r="AL16" s="4588" t="e">
        <f t="shared" si="28"/>
        <v>#DIV/0!</v>
      </c>
      <c r="AM16" s="4588" t="e">
        <f t="shared" si="28"/>
        <v>#DIV/0!</v>
      </c>
      <c r="AN16" s="4588" t="e">
        <f t="shared" si="28"/>
        <v>#DIV/0!</v>
      </c>
      <c r="AO16" s="4588">
        <f>SUM(AO6:AO15)</f>
        <v>5550.8765653920354</v>
      </c>
      <c r="AP16" s="2931">
        <f>AO16/AB16</f>
        <v>8.8809317795953024E-2</v>
      </c>
      <c r="AQ16" s="4571"/>
      <c r="AS16" s="1451"/>
      <c r="AT16" s="1451"/>
      <c r="AU16" s="1451"/>
      <c r="AV16" s="1451"/>
      <c r="AW16" s="1451"/>
      <c r="AX16" s="1451"/>
      <c r="AY16" s="1451"/>
      <c r="AZ16" s="1451"/>
      <c r="BA16" s="1451"/>
      <c r="BB16" s="1451"/>
      <c r="BC16" s="1451"/>
      <c r="BD16" s="1451"/>
      <c r="BE16" s="1451"/>
      <c r="BF16" s="1451"/>
      <c r="BG16" s="1451"/>
      <c r="BH16" s="1451"/>
      <c r="BI16" s="1451"/>
      <c r="BJ16" s="1451"/>
      <c r="BK16" s="1451"/>
      <c r="BL16" s="1451"/>
      <c r="BM16" s="1451"/>
    </row>
    <row r="17" spans="1:65" ht="15" customHeight="1">
      <c r="A17" s="405"/>
      <c r="B17" s="405"/>
      <c r="C17" s="406"/>
      <c r="D17" s="406"/>
      <c r="E17" s="406"/>
      <c r="F17" s="429"/>
      <c r="G17" s="501"/>
      <c r="H17" s="429"/>
      <c r="I17" s="429"/>
      <c r="J17" s="429"/>
      <c r="K17" s="429"/>
      <c r="L17" s="429"/>
      <c r="M17" s="429"/>
      <c r="N17" s="429"/>
      <c r="O17" s="429" t="e">
        <f>AVERAGE(O12,O10,O8,O6)</f>
        <v>#DIV/0!</v>
      </c>
      <c r="P17" s="429" t="e">
        <f>AVERAGE(P14,P12,P10,P8,P6)</f>
        <v>#DIV/0!</v>
      </c>
      <c r="Q17" s="429">
        <f>AVERAGE(Q14,Q12,Q10,Q8,Q6)</f>
        <v>3.6431213133288143E-3</v>
      </c>
      <c r="R17" s="429" t="e">
        <f t="shared" ref="R17:W17" si="29">AVERAGE(R14,R12,R10,R8,R6)</f>
        <v>#DIV/0!</v>
      </c>
      <c r="S17" s="429" t="e">
        <f t="shared" si="29"/>
        <v>#DIV/0!</v>
      </c>
      <c r="T17" s="429" t="e">
        <f t="shared" si="29"/>
        <v>#DIV/0!</v>
      </c>
      <c r="U17" s="429" t="e">
        <f t="shared" si="29"/>
        <v>#DIV/0!</v>
      </c>
      <c r="V17" s="429" t="e">
        <f t="shared" si="29"/>
        <v>#DIV/0!</v>
      </c>
      <c r="W17" s="429" t="e">
        <f t="shared" si="29"/>
        <v>#DIV/0!</v>
      </c>
      <c r="X17" s="429" t="e">
        <f>AVERAGE(X14,X12,X10,X8,X6)</f>
        <v>#DIV/0!</v>
      </c>
      <c r="Y17" s="406"/>
      <c r="Z17" s="406"/>
      <c r="AA17" s="406"/>
      <c r="AB17" s="407"/>
      <c r="AS17" s="1451"/>
      <c r="AT17" s="1451"/>
      <c r="AU17" s="1451"/>
      <c r="AV17" s="1451"/>
      <c r="AW17" s="1451"/>
      <c r="AX17" s="1451"/>
      <c r="AY17" s="1451"/>
      <c r="AZ17" s="1451"/>
      <c r="BA17" s="1451"/>
      <c r="BB17" s="1451"/>
      <c r="BC17" s="1451"/>
      <c r="BD17" s="1451"/>
      <c r="BE17" s="1451"/>
      <c r="BF17" s="1451"/>
      <c r="BG17" s="1451"/>
      <c r="BH17" s="1451"/>
      <c r="BI17" s="1451"/>
      <c r="BJ17" s="1451"/>
      <c r="BK17" s="1451"/>
      <c r="BL17" s="1451"/>
      <c r="BM17" s="1451"/>
    </row>
    <row r="18" spans="1:65" ht="15" customHeight="1" thickBot="1">
      <c r="A18" s="291" t="s">
        <v>616</v>
      </c>
      <c r="AS18" s="1451"/>
      <c r="AT18" s="1451"/>
      <c r="AU18" s="1451"/>
      <c r="AV18" s="1451"/>
      <c r="AW18" s="1451"/>
      <c r="AX18" s="1451"/>
      <c r="AY18" s="1451"/>
      <c r="AZ18" s="1451"/>
      <c r="BA18" s="1451"/>
      <c r="BB18" s="1451"/>
      <c r="BC18" s="1451"/>
      <c r="BD18" s="1451"/>
      <c r="BE18" s="1451"/>
      <c r="BF18" s="1451"/>
      <c r="BG18" s="1451"/>
      <c r="BH18" s="1451"/>
      <c r="BI18" s="1451"/>
      <c r="BJ18" s="1451"/>
      <c r="BK18" s="1451"/>
      <c r="BL18" s="1451"/>
      <c r="BM18" s="1451"/>
    </row>
    <row r="19" spans="1:65" ht="21" customHeight="1" thickBot="1">
      <c r="A19" s="7750" t="s">
        <v>0</v>
      </c>
      <c r="B19" s="7835"/>
      <c r="C19" s="7844" t="s">
        <v>404</v>
      </c>
      <c r="D19" s="7844" t="s">
        <v>405</v>
      </c>
      <c r="E19" s="7844" t="s">
        <v>406</v>
      </c>
      <c r="F19" s="7844" t="s">
        <v>407</v>
      </c>
      <c r="G19" s="7844" t="s">
        <v>403</v>
      </c>
      <c r="H19" s="7844" t="s">
        <v>1140</v>
      </c>
      <c r="I19" s="7844" t="s">
        <v>1141</v>
      </c>
      <c r="J19" s="8208" t="s">
        <v>1142</v>
      </c>
      <c r="K19" s="8208" t="s">
        <v>1156</v>
      </c>
      <c r="L19" s="7845" t="s">
        <v>1889</v>
      </c>
      <c r="M19" s="8142" t="s">
        <v>1899</v>
      </c>
      <c r="N19" s="7968" t="s">
        <v>893</v>
      </c>
      <c r="O19" s="8191" t="s">
        <v>1923</v>
      </c>
      <c r="P19" s="7975"/>
      <c r="Q19" s="7975"/>
      <c r="R19" s="7975"/>
      <c r="S19" s="7975"/>
      <c r="T19" s="7975"/>
      <c r="U19" s="7975"/>
      <c r="V19" s="7975"/>
      <c r="W19" s="7975"/>
      <c r="X19" s="7975"/>
      <c r="Y19" s="7975"/>
      <c r="Z19" s="7975"/>
      <c r="AA19" s="7975"/>
      <c r="AB19" s="7835"/>
      <c r="AC19" s="7835"/>
      <c r="AD19" s="7835"/>
      <c r="AE19" s="7835"/>
      <c r="AF19" s="7835"/>
      <c r="AG19" s="7835"/>
      <c r="AH19" s="7835"/>
      <c r="AI19" s="7835"/>
      <c r="AJ19" s="7835"/>
      <c r="AK19" s="7835"/>
      <c r="AL19" s="7835"/>
      <c r="AM19" s="7835"/>
      <c r="AN19" s="7835"/>
      <c r="AO19" s="7844" t="s">
        <v>457</v>
      </c>
      <c r="AP19" s="7844" t="s">
        <v>361</v>
      </c>
      <c r="AQ19" s="7838" t="s">
        <v>340</v>
      </c>
      <c r="AS19" s="1451"/>
      <c r="AT19" s="1451"/>
      <c r="AU19" s="1451"/>
      <c r="AV19" s="1451"/>
      <c r="AW19" s="1451"/>
      <c r="AX19" s="1451"/>
      <c r="AY19" s="1451"/>
      <c r="AZ19" s="1451"/>
      <c r="BA19" s="1451"/>
      <c r="BB19" s="1451"/>
      <c r="BC19" s="1451"/>
      <c r="BD19" s="1451"/>
      <c r="BE19" s="1451"/>
      <c r="BF19" s="1451"/>
      <c r="BG19" s="1451"/>
      <c r="BH19" s="1451"/>
      <c r="BI19" s="1451"/>
      <c r="BJ19" s="1451"/>
      <c r="BK19" s="1451"/>
      <c r="BL19" s="1451"/>
      <c r="BM19" s="1451"/>
    </row>
    <row r="20" spans="1:65" ht="21" customHeight="1" thickTop="1">
      <c r="A20" s="8203"/>
      <c r="B20" s="8064"/>
      <c r="C20" s="8192"/>
      <c r="D20" s="8192"/>
      <c r="E20" s="8192"/>
      <c r="F20" s="8192"/>
      <c r="G20" s="8192"/>
      <c r="H20" s="8192"/>
      <c r="I20" s="8192"/>
      <c r="J20" s="8209"/>
      <c r="K20" s="8209"/>
      <c r="L20" s="8247"/>
      <c r="M20" s="8193"/>
      <c r="N20" s="8227"/>
      <c r="O20" s="4098" t="s">
        <v>409</v>
      </c>
      <c r="P20" s="4528" t="s">
        <v>368</v>
      </c>
      <c r="Q20" s="7594" t="s">
        <v>369</v>
      </c>
      <c r="R20" s="4098" t="s">
        <v>370</v>
      </c>
      <c r="S20" s="4791" t="s">
        <v>371</v>
      </c>
      <c r="T20" s="4936" t="s">
        <v>372</v>
      </c>
      <c r="U20" s="5079" t="s">
        <v>373</v>
      </c>
      <c r="V20" s="5442" t="s">
        <v>374</v>
      </c>
      <c r="W20" s="7427" t="s">
        <v>375</v>
      </c>
      <c r="X20" s="6427" t="s">
        <v>376</v>
      </c>
      <c r="Y20" s="4086" t="s">
        <v>377</v>
      </c>
      <c r="Z20" s="4156" t="s">
        <v>378</v>
      </c>
      <c r="AA20" s="4156" t="s">
        <v>1243</v>
      </c>
      <c r="AB20" s="4086" t="s">
        <v>192</v>
      </c>
      <c r="AC20" s="4156" t="s">
        <v>410</v>
      </c>
      <c r="AD20" s="4156" t="s">
        <v>379</v>
      </c>
      <c r="AE20" s="4156" t="s">
        <v>380</v>
      </c>
      <c r="AF20" s="4156" t="s">
        <v>381</v>
      </c>
      <c r="AG20" s="4156" t="s">
        <v>382</v>
      </c>
      <c r="AH20" s="4156" t="s">
        <v>383</v>
      </c>
      <c r="AI20" s="4156" t="s">
        <v>384</v>
      </c>
      <c r="AJ20" s="4156" t="s">
        <v>385</v>
      </c>
      <c r="AK20" s="4156" t="s">
        <v>386</v>
      </c>
      <c r="AL20" s="6427" t="s">
        <v>387</v>
      </c>
      <c r="AM20" s="6427" t="s">
        <v>388</v>
      </c>
      <c r="AN20" s="6427" t="s">
        <v>389</v>
      </c>
      <c r="AO20" s="8192"/>
      <c r="AP20" s="8192"/>
      <c r="AQ20" s="8065"/>
      <c r="AS20" s="4570" t="s">
        <v>201</v>
      </c>
      <c r="AT20" s="4570" t="s">
        <v>1686</v>
      </c>
      <c r="AU20" s="4570" t="s">
        <v>626</v>
      </c>
      <c r="AV20" s="4570" t="s">
        <v>16</v>
      </c>
      <c r="AW20" s="4570" t="s">
        <v>1687</v>
      </c>
      <c r="AX20" s="4570" t="s">
        <v>1688</v>
      </c>
      <c r="AY20" s="1451"/>
      <c r="AZ20" s="1451"/>
      <c r="BA20" s="1451"/>
      <c r="BB20" s="1451"/>
      <c r="BC20" s="1451"/>
      <c r="BD20" s="1451"/>
      <c r="BE20" s="1451"/>
      <c r="BF20" s="1451"/>
      <c r="BG20" s="1451"/>
      <c r="BH20" s="1451"/>
      <c r="BI20" s="1451"/>
      <c r="BJ20" s="1451"/>
      <c r="BK20" s="1451"/>
      <c r="BL20" s="1451"/>
      <c r="BM20" s="1451"/>
    </row>
    <row r="21" spans="1:65" ht="21" customHeight="1">
      <c r="A21" s="8206" t="s">
        <v>2</v>
      </c>
      <c r="B21" s="8207"/>
      <c r="C21" s="4157"/>
      <c r="D21" s="4157">
        <v>23</v>
      </c>
      <c r="E21" s="4157">
        <f t="shared" ref="E21:F25" si="30">E48+E86</f>
        <v>32</v>
      </c>
      <c r="F21" s="4157">
        <f t="shared" si="30"/>
        <v>33</v>
      </c>
      <c r="G21" s="4157">
        <f t="shared" ref="G21:R25" si="31">G48+G86</f>
        <v>92</v>
      </c>
      <c r="H21" s="4157">
        <f t="shared" si="31"/>
        <v>69</v>
      </c>
      <c r="I21" s="4157">
        <f t="shared" ref="I21:J25" si="32">I48+I86</f>
        <v>27</v>
      </c>
      <c r="J21" s="4157">
        <f t="shared" si="32"/>
        <v>14</v>
      </c>
      <c r="K21" s="4531">
        <f t="shared" ref="K21:L25" si="33">K48+K86</f>
        <v>6</v>
      </c>
      <c r="L21" s="4531">
        <f t="shared" si="33"/>
        <v>10</v>
      </c>
      <c r="M21" s="4589">
        <f t="shared" si="31"/>
        <v>8</v>
      </c>
      <c r="N21" s="4596">
        <f>M21/10</f>
        <v>0.8</v>
      </c>
      <c r="O21" s="4101">
        <f t="shared" si="31"/>
        <v>0</v>
      </c>
      <c r="P21" s="4535">
        <f t="shared" si="31"/>
        <v>0</v>
      </c>
      <c r="Q21" s="7602">
        <f t="shared" si="31"/>
        <v>1</v>
      </c>
      <c r="R21" s="4101">
        <f t="shared" si="31"/>
        <v>0</v>
      </c>
      <c r="S21" s="4531">
        <f t="shared" ref="S21:AN21" si="34">S48+S86</f>
        <v>0</v>
      </c>
      <c r="T21" s="4531">
        <f t="shared" si="34"/>
        <v>0</v>
      </c>
      <c r="U21" s="4531">
        <f t="shared" si="34"/>
        <v>0</v>
      </c>
      <c r="V21" s="4531">
        <f t="shared" si="34"/>
        <v>0</v>
      </c>
      <c r="W21" s="7425">
        <f t="shared" si="34"/>
        <v>0</v>
      </c>
      <c r="X21" s="4157">
        <f t="shared" si="34"/>
        <v>0</v>
      </c>
      <c r="Y21" s="4087">
        <f t="shared" si="34"/>
        <v>0</v>
      </c>
      <c r="Z21" s="4157">
        <f t="shared" si="34"/>
        <v>0</v>
      </c>
      <c r="AA21" s="4157">
        <f t="shared" si="34"/>
        <v>1</v>
      </c>
      <c r="AB21" s="4590">
        <f t="shared" si="34"/>
        <v>0</v>
      </c>
      <c r="AC21" s="7396"/>
      <c r="AD21" s="7396"/>
      <c r="AE21" s="4591">
        <f t="shared" si="34"/>
        <v>0</v>
      </c>
      <c r="AF21" s="4591">
        <f t="shared" si="34"/>
        <v>0</v>
      </c>
      <c r="AG21" s="4591">
        <f t="shared" si="34"/>
        <v>0</v>
      </c>
      <c r="AH21" s="4591">
        <f t="shared" si="34"/>
        <v>0</v>
      </c>
      <c r="AI21" s="4591">
        <f t="shared" si="34"/>
        <v>0</v>
      </c>
      <c r="AJ21" s="4591">
        <f t="shared" si="34"/>
        <v>0</v>
      </c>
      <c r="AK21" s="4591">
        <f t="shared" si="34"/>
        <v>0</v>
      </c>
      <c r="AL21" s="4591">
        <f t="shared" si="34"/>
        <v>0</v>
      </c>
      <c r="AM21" s="4591">
        <f t="shared" si="34"/>
        <v>0</v>
      </c>
      <c r="AN21" s="4591">
        <f t="shared" si="34"/>
        <v>0</v>
      </c>
      <c r="AO21" s="4591">
        <v>0</v>
      </c>
      <c r="AP21" s="3702"/>
      <c r="AQ21" s="4592"/>
      <c r="AS21" s="4570" t="s">
        <v>2</v>
      </c>
      <c r="AT21" s="4570">
        <v>16</v>
      </c>
      <c r="AU21" s="4570">
        <v>3</v>
      </c>
      <c r="AV21" s="4570">
        <f>SUM(AT21:AU21)</f>
        <v>19</v>
      </c>
      <c r="AW21" s="4570">
        <f>AV21/5</f>
        <v>3.8</v>
      </c>
      <c r="AX21" s="4570">
        <v>2</v>
      </c>
      <c r="AY21" s="1451"/>
      <c r="AZ21" s="6422"/>
      <c r="BA21" s="6422"/>
      <c r="BB21" s="1451"/>
      <c r="BC21" s="1451"/>
      <c r="BD21" s="1451"/>
      <c r="BE21" s="1451"/>
      <c r="BF21" s="1451"/>
      <c r="BG21" s="1451"/>
      <c r="BH21" s="1451"/>
      <c r="BI21" s="1451"/>
      <c r="BJ21" s="1451"/>
      <c r="BK21" s="1451"/>
      <c r="BL21" s="1451"/>
      <c r="BM21" s="1451"/>
    </row>
    <row r="22" spans="1:65" ht="21" customHeight="1">
      <c r="A22" s="8206" t="s">
        <v>3</v>
      </c>
      <c r="B22" s="8207"/>
      <c r="C22" s="4157"/>
      <c r="D22" s="4157"/>
      <c r="E22" s="4157">
        <f t="shared" si="30"/>
        <v>35</v>
      </c>
      <c r="F22" s="4157">
        <f t="shared" si="30"/>
        <v>47</v>
      </c>
      <c r="G22" s="4157">
        <f t="shared" si="31"/>
        <v>108</v>
      </c>
      <c r="H22" s="4157">
        <f t="shared" si="31"/>
        <v>97</v>
      </c>
      <c r="I22" s="4157">
        <f t="shared" si="32"/>
        <v>40</v>
      </c>
      <c r="J22" s="4157">
        <f t="shared" si="32"/>
        <v>47</v>
      </c>
      <c r="K22" s="4531">
        <f t="shared" si="33"/>
        <v>13</v>
      </c>
      <c r="L22" s="4531">
        <f t="shared" si="33"/>
        <v>32</v>
      </c>
      <c r="M22" s="4589">
        <f t="shared" si="31"/>
        <v>16</v>
      </c>
      <c r="N22" s="4596">
        <f>M22/10</f>
        <v>1.6</v>
      </c>
      <c r="O22" s="4101">
        <f t="shared" si="31"/>
        <v>0</v>
      </c>
      <c r="P22" s="4535">
        <f t="shared" si="31"/>
        <v>0</v>
      </c>
      <c r="Q22" s="7602">
        <f t="shared" si="31"/>
        <v>3</v>
      </c>
      <c r="R22" s="4101">
        <f t="shared" si="31"/>
        <v>0</v>
      </c>
      <c r="S22" s="4531">
        <f t="shared" ref="S22:AN22" si="35">S49+S87</f>
        <v>0</v>
      </c>
      <c r="T22" s="4531">
        <f t="shared" si="35"/>
        <v>0</v>
      </c>
      <c r="U22" s="4531">
        <f t="shared" si="35"/>
        <v>0</v>
      </c>
      <c r="V22" s="4531">
        <f t="shared" si="35"/>
        <v>0</v>
      </c>
      <c r="W22" s="7425">
        <f t="shared" si="35"/>
        <v>0</v>
      </c>
      <c r="X22" s="4157">
        <f t="shared" si="35"/>
        <v>0</v>
      </c>
      <c r="Y22" s="4087">
        <f t="shared" si="35"/>
        <v>0</v>
      </c>
      <c r="Z22" s="4157">
        <f t="shared" si="35"/>
        <v>0</v>
      </c>
      <c r="AA22" s="4157">
        <f>AA49+AA87</f>
        <v>3</v>
      </c>
      <c r="AB22" s="4590">
        <f t="shared" si="35"/>
        <v>0</v>
      </c>
      <c r="AC22" s="7396"/>
      <c r="AD22" s="7396"/>
      <c r="AE22" s="4591">
        <f t="shared" si="35"/>
        <v>0</v>
      </c>
      <c r="AF22" s="4591">
        <f t="shared" si="35"/>
        <v>0</v>
      </c>
      <c r="AG22" s="4591">
        <f t="shared" si="35"/>
        <v>0</v>
      </c>
      <c r="AH22" s="4591">
        <f t="shared" si="35"/>
        <v>0</v>
      </c>
      <c r="AI22" s="4591">
        <f t="shared" si="35"/>
        <v>0</v>
      </c>
      <c r="AJ22" s="4591">
        <f t="shared" si="35"/>
        <v>0</v>
      </c>
      <c r="AK22" s="4591">
        <f t="shared" si="35"/>
        <v>0</v>
      </c>
      <c r="AL22" s="4591">
        <f t="shared" si="35"/>
        <v>0</v>
      </c>
      <c r="AM22" s="4591">
        <f t="shared" si="35"/>
        <v>0</v>
      </c>
      <c r="AN22" s="4591">
        <f t="shared" si="35"/>
        <v>0</v>
      </c>
      <c r="AO22" s="4591">
        <v>0</v>
      </c>
      <c r="AP22" s="3702"/>
      <c r="AQ22" s="4592"/>
      <c r="AS22" s="4570" t="s">
        <v>3</v>
      </c>
      <c r="AT22" s="4570">
        <v>30</v>
      </c>
      <c r="AU22" s="4570">
        <v>8</v>
      </c>
      <c r="AV22" s="4570">
        <f>SUM(AT22:AU22)</f>
        <v>38</v>
      </c>
      <c r="AW22" s="4570">
        <f>AV22/5</f>
        <v>7.6</v>
      </c>
      <c r="AX22" s="4570">
        <v>4</v>
      </c>
      <c r="AY22" s="1451"/>
      <c r="AZ22" s="6422"/>
      <c r="BA22" s="6422"/>
      <c r="BB22" s="1451"/>
      <c r="BC22" s="1451"/>
      <c r="BD22" s="1451"/>
      <c r="BE22" s="1451"/>
      <c r="BF22" s="1451"/>
      <c r="BG22" s="1451"/>
      <c r="BH22" s="1451"/>
      <c r="BI22" s="1451"/>
      <c r="BJ22" s="1451"/>
      <c r="BK22" s="1451"/>
      <c r="BL22" s="1451"/>
      <c r="BM22" s="1451"/>
    </row>
    <row r="23" spans="1:65" ht="21" customHeight="1">
      <c r="A23" s="8206" t="s">
        <v>4</v>
      </c>
      <c r="B23" s="8207"/>
      <c r="C23" s="4157"/>
      <c r="D23" s="4157"/>
      <c r="E23" s="4157">
        <f t="shared" si="30"/>
        <v>30</v>
      </c>
      <c r="F23" s="4157">
        <f t="shared" si="30"/>
        <v>62</v>
      </c>
      <c r="G23" s="4157">
        <f t="shared" si="31"/>
        <v>55</v>
      </c>
      <c r="H23" s="4157">
        <f t="shared" si="31"/>
        <v>48</v>
      </c>
      <c r="I23" s="4157">
        <f t="shared" si="32"/>
        <v>32</v>
      </c>
      <c r="J23" s="4157">
        <f t="shared" si="32"/>
        <v>35</v>
      </c>
      <c r="K23" s="4531">
        <f t="shared" si="33"/>
        <v>32</v>
      </c>
      <c r="L23" s="4531">
        <f t="shared" si="33"/>
        <v>10</v>
      </c>
      <c r="M23" s="4589">
        <f t="shared" si="31"/>
        <v>12</v>
      </c>
      <c r="N23" s="4596">
        <f>M23/10</f>
        <v>1.2</v>
      </c>
      <c r="O23" s="4101">
        <f t="shared" si="31"/>
        <v>0</v>
      </c>
      <c r="P23" s="4535">
        <f t="shared" si="31"/>
        <v>0</v>
      </c>
      <c r="Q23" s="7602">
        <f t="shared" si="31"/>
        <v>3</v>
      </c>
      <c r="R23" s="4101">
        <f t="shared" si="31"/>
        <v>0</v>
      </c>
      <c r="S23" s="4531">
        <f t="shared" ref="S23:AN23" si="36">S50+S88</f>
        <v>0</v>
      </c>
      <c r="T23" s="4531">
        <f t="shared" si="36"/>
        <v>0</v>
      </c>
      <c r="U23" s="4531">
        <f t="shared" si="36"/>
        <v>0</v>
      </c>
      <c r="V23" s="4531">
        <f t="shared" si="36"/>
        <v>0</v>
      </c>
      <c r="W23" s="7425">
        <f t="shared" si="36"/>
        <v>0</v>
      </c>
      <c r="X23" s="4157">
        <f t="shared" si="36"/>
        <v>0</v>
      </c>
      <c r="Y23" s="4087">
        <f t="shared" si="36"/>
        <v>0</v>
      </c>
      <c r="Z23" s="4157">
        <f t="shared" si="36"/>
        <v>0</v>
      </c>
      <c r="AA23" s="4157">
        <f>AA50+AA88</f>
        <v>3</v>
      </c>
      <c r="AB23" s="4590">
        <f t="shared" si="36"/>
        <v>-5986.5629998956192</v>
      </c>
      <c r="AC23" s="7396"/>
      <c r="AD23" s="7396"/>
      <c r="AE23" s="4591">
        <f t="shared" si="36"/>
        <v>-6485.443249886921</v>
      </c>
      <c r="AF23" s="4591">
        <f t="shared" si="36"/>
        <v>2494.4012499565083</v>
      </c>
      <c r="AG23" s="4591">
        <f t="shared" si="36"/>
        <v>2494.4012499565083</v>
      </c>
      <c r="AH23" s="4591">
        <f t="shared" si="36"/>
        <v>2494.4012499565083</v>
      </c>
      <c r="AI23" s="4591">
        <f t="shared" si="36"/>
        <v>2494.4012499565083</v>
      </c>
      <c r="AJ23" s="4591">
        <f t="shared" si="36"/>
        <v>2494.4012499565083</v>
      </c>
      <c r="AK23" s="4591">
        <f t="shared" si="36"/>
        <v>2494.4012499565083</v>
      </c>
      <c r="AL23" s="4591">
        <f t="shared" si="36"/>
        <v>2494.4012499565083</v>
      </c>
      <c r="AM23" s="4591">
        <f t="shared" si="36"/>
        <v>2494.4012499565083</v>
      </c>
      <c r="AN23" s="4591">
        <f t="shared" si="36"/>
        <v>2494.4012499565083</v>
      </c>
      <c r="AO23" s="4591">
        <f>AC23+AD23</f>
        <v>0</v>
      </c>
      <c r="AP23" s="3702">
        <f>AO23/AB23</f>
        <v>0</v>
      </c>
      <c r="AQ23" s="4592"/>
      <c r="AS23" s="4570" t="s">
        <v>4</v>
      </c>
      <c r="AT23" s="4570">
        <v>7</v>
      </c>
      <c r="AU23" s="4570">
        <v>10</v>
      </c>
      <c r="AV23" s="4570">
        <f>SUM(AT23:AU23)</f>
        <v>17</v>
      </c>
      <c r="AW23" s="4570">
        <f>AV23/5</f>
        <v>3.4</v>
      </c>
      <c r="AX23" s="4570">
        <v>2</v>
      </c>
      <c r="AY23" s="1451"/>
      <c r="AZ23" s="6422"/>
      <c r="BA23" s="6422"/>
      <c r="BB23" s="1451"/>
      <c r="BC23" s="1451"/>
      <c r="BD23" s="1451"/>
      <c r="BE23" s="1451"/>
      <c r="BF23" s="1451"/>
      <c r="BG23" s="1451"/>
      <c r="BH23" s="1451"/>
      <c r="BI23" s="1451"/>
      <c r="BJ23" s="1451"/>
      <c r="BK23" s="1451"/>
      <c r="BL23" s="1451"/>
      <c r="BM23" s="1451"/>
    </row>
    <row r="24" spans="1:65" ht="21" customHeight="1">
      <c r="A24" s="8206" t="s">
        <v>190</v>
      </c>
      <c r="B24" s="8207"/>
      <c r="C24" s="4157"/>
      <c r="D24" s="4157"/>
      <c r="E24" s="4157">
        <f t="shared" si="30"/>
        <v>33</v>
      </c>
      <c r="F24" s="4157">
        <f t="shared" si="30"/>
        <v>35</v>
      </c>
      <c r="G24" s="4157">
        <f t="shared" si="31"/>
        <v>32</v>
      </c>
      <c r="H24" s="4157">
        <f t="shared" si="31"/>
        <v>44</v>
      </c>
      <c r="I24" s="4157">
        <f t="shared" si="32"/>
        <v>31</v>
      </c>
      <c r="J24" s="4157">
        <f t="shared" si="32"/>
        <v>10</v>
      </c>
      <c r="K24" s="4531">
        <f t="shared" si="33"/>
        <v>12</v>
      </c>
      <c r="L24" s="4531">
        <f t="shared" si="33"/>
        <v>11</v>
      </c>
      <c r="M24" s="4589">
        <f t="shared" si="31"/>
        <v>9</v>
      </c>
      <c r="N24" s="4596">
        <f>M24/12</f>
        <v>0.75</v>
      </c>
      <c r="O24" s="4101">
        <f t="shared" si="31"/>
        <v>1</v>
      </c>
      <c r="P24" s="4535">
        <f t="shared" si="31"/>
        <v>1</v>
      </c>
      <c r="Q24" s="7602">
        <f t="shared" si="31"/>
        <v>2</v>
      </c>
      <c r="R24" s="4101">
        <f t="shared" si="31"/>
        <v>0</v>
      </c>
      <c r="S24" s="4531">
        <f t="shared" ref="S24:Z24" si="37">S51+S89</f>
        <v>0</v>
      </c>
      <c r="T24" s="4531">
        <f t="shared" si="37"/>
        <v>0</v>
      </c>
      <c r="U24" s="4531">
        <f t="shared" si="37"/>
        <v>0</v>
      </c>
      <c r="V24" s="4531">
        <f t="shared" si="37"/>
        <v>0</v>
      </c>
      <c r="W24" s="7425">
        <f t="shared" si="37"/>
        <v>0</v>
      </c>
      <c r="X24" s="4157">
        <f t="shared" si="37"/>
        <v>0</v>
      </c>
      <c r="Y24" s="4087">
        <f t="shared" si="37"/>
        <v>0</v>
      </c>
      <c r="Z24" s="4157">
        <f t="shared" si="37"/>
        <v>0</v>
      </c>
      <c r="AA24" s="4157">
        <f>AA51+AA89</f>
        <v>4</v>
      </c>
      <c r="AB24" s="4590">
        <v>1</v>
      </c>
      <c r="AC24" s="4591">
        <f>AC51+AC89</f>
        <v>-102.66595817002997</v>
      </c>
      <c r="AD24" s="4591">
        <f t="shared" ref="AD24:AN24" si="38">AD51+AD89</f>
        <v>-102.66595817002997</v>
      </c>
      <c r="AE24" s="4591">
        <f t="shared" si="38"/>
        <v>-1334.6574562103899</v>
      </c>
      <c r="AF24" s="4591">
        <f t="shared" si="38"/>
        <v>1129.32553987033</v>
      </c>
      <c r="AG24" s="4591">
        <f t="shared" si="38"/>
        <v>1129.32553987033</v>
      </c>
      <c r="AH24" s="4591">
        <f t="shared" si="38"/>
        <v>1129.32553987033</v>
      </c>
      <c r="AI24" s="4591">
        <f t="shared" si="38"/>
        <v>1129.32553987033</v>
      </c>
      <c r="AJ24" s="4591">
        <f t="shared" si="38"/>
        <v>1129.32553987033</v>
      </c>
      <c r="AK24" s="4591">
        <f t="shared" si="38"/>
        <v>1129.32553987033</v>
      </c>
      <c r="AL24" s="4591">
        <f t="shared" si="38"/>
        <v>1129.32553987033</v>
      </c>
      <c r="AM24" s="4591">
        <f t="shared" si="38"/>
        <v>1129.32553987033</v>
      </c>
      <c r="AN24" s="4591">
        <f t="shared" si="38"/>
        <v>1129.32553987033</v>
      </c>
      <c r="AO24" s="4591">
        <f>AC24+AD24</f>
        <v>-205.33191634005993</v>
      </c>
      <c r="AP24" s="5052">
        <f>AO24/AB24</f>
        <v>-205.33191634005993</v>
      </c>
      <c r="AQ24" s="4592"/>
      <c r="AS24" s="4570" t="s">
        <v>190</v>
      </c>
      <c r="AT24" s="4570">
        <v>18</v>
      </c>
      <c r="AU24" s="4570">
        <v>4</v>
      </c>
      <c r="AV24" s="4570">
        <f>SUM(AT24:AU24)</f>
        <v>22</v>
      </c>
      <c r="AW24" s="4570">
        <f>AV24/5</f>
        <v>4.4000000000000004</v>
      </c>
      <c r="AX24" s="4570">
        <v>2</v>
      </c>
      <c r="AY24" s="1451"/>
      <c r="AZ24" s="6422"/>
      <c r="BA24" s="6422"/>
      <c r="BB24" s="1451"/>
      <c r="BC24" s="1451"/>
      <c r="BD24" s="1451"/>
      <c r="BE24" s="1451"/>
      <c r="BF24" s="1451"/>
      <c r="BG24" s="1451"/>
      <c r="BH24" s="1451"/>
      <c r="BI24" s="1451"/>
      <c r="BJ24" s="1451"/>
      <c r="BK24" s="1451"/>
      <c r="BL24" s="1451"/>
      <c r="BM24" s="1451"/>
    </row>
    <row r="25" spans="1:65" ht="21" customHeight="1">
      <c r="A25" s="8206" t="s">
        <v>17</v>
      </c>
      <c r="B25" s="8207"/>
      <c r="C25" s="4157"/>
      <c r="D25" s="4157"/>
      <c r="E25" s="4157">
        <f t="shared" si="30"/>
        <v>16</v>
      </c>
      <c r="F25" s="4157">
        <f t="shared" si="30"/>
        <v>10</v>
      </c>
      <c r="G25" s="4157">
        <f t="shared" si="31"/>
        <v>24</v>
      </c>
      <c r="H25" s="4157">
        <f t="shared" si="31"/>
        <v>16</v>
      </c>
      <c r="I25" s="4157">
        <f t="shared" si="32"/>
        <v>28</v>
      </c>
      <c r="J25" s="4157">
        <f t="shared" si="32"/>
        <v>5</v>
      </c>
      <c r="K25" s="4531">
        <f t="shared" si="33"/>
        <v>8</v>
      </c>
      <c r="L25" s="4531">
        <f t="shared" si="33"/>
        <v>9</v>
      </c>
      <c r="M25" s="4589">
        <f t="shared" si="31"/>
        <v>8</v>
      </c>
      <c r="N25" s="4596">
        <f>M25/12</f>
        <v>0.66666666666666663</v>
      </c>
      <c r="O25" s="4101">
        <f t="shared" si="31"/>
        <v>0</v>
      </c>
      <c r="P25" s="4535">
        <f t="shared" si="31"/>
        <v>0</v>
      </c>
      <c r="Q25" s="7602">
        <f t="shared" si="31"/>
        <v>2</v>
      </c>
      <c r="R25" s="4101">
        <f t="shared" si="31"/>
        <v>0</v>
      </c>
      <c r="S25" s="4531">
        <f t="shared" ref="S25:AN25" si="39">S52+S90</f>
        <v>0</v>
      </c>
      <c r="T25" s="4531">
        <f t="shared" si="39"/>
        <v>0</v>
      </c>
      <c r="U25" s="4531">
        <f t="shared" si="39"/>
        <v>0</v>
      </c>
      <c r="V25" s="4531">
        <f t="shared" si="39"/>
        <v>0</v>
      </c>
      <c r="W25" s="7425">
        <f t="shared" si="39"/>
        <v>0</v>
      </c>
      <c r="X25" s="4157">
        <f t="shared" si="39"/>
        <v>0</v>
      </c>
      <c r="Y25" s="4087">
        <f t="shared" si="39"/>
        <v>0</v>
      </c>
      <c r="Z25" s="4157">
        <f t="shared" si="39"/>
        <v>0</v>
      </c>
      <c r="AA25" s="4157">
        <f>AA52+AA90</f>
        <v>2</v>
      </c>
      <c r="AB25" s="4590">
        <f t="shared" si="39"/>
        <v>732.56022913971992</v>
      </c>
      <c r="AC25" s="4591">
        <f t="shared" si="39"/>
        <v>549.42017185478994</v>
      </c>
      <c r="AD25" s="4591">
        <f t="shared" si="39"/>
        <v>549.42017185478994</v>
      </c>
      <c r="AE25" s="4591">
        <f t="shared" si="39"/>
        <v>-915.70028642465002</v>
      </c>
      <c r="AF25" s="4591">
        <f t="shared" si="39"/>
        <v>549.42017185478994</v>
      </c>
      <c r="AG25" s="4591">
        <f t="shared" si="39"/>
        <v>549.42017185478994</v>
      </c>
      <c r="AH25" s="4591">
        <f>AH52+AH90</f>
        <v>549.42017185478994</v>
      </c>
      <c r="AI25" s="4591">
        <f t="shared" si="39"/>
        <v>549.42017185478994</v>
      </c>
      <c r="AJ25" s="4591">
        <f t="shared" si="39"/>
        <v>549.42017185478994</v>
      </c>
      <c r="AK25" s="4591">
        <f t="shared" si="39"/>
        <v>549.42017185478994</v>
      </c>
      <c r="AL25" s="4591">
        <f t="shared" si="39"/>
        <v>549.42017185478994</v>
      </c>
      <c r="AM25" s="4591">
        <f t="shared" si="39"/>
        <v>549.42017185478994</v>
      </c>
      <c r="AN25" s="4591">
        <f t="shared" si="39"/>
        <v>549.42017185478994</v>
      </c>
      <c r="AO25" s="4591">
        <f>AC25+AD25</f>
        <v>1098.8403437095799</v>
      </c>
      <c r="AP25" s="3702">
        <f>AO25/AB25</f>
        <v>1.5</v>
      </c>
      <c r="AQ25" s="4592"/>
      <c r="AS25" s="4570" t="s">
        <v>17</v>
      </c>
      <c r="AT25" s="4570">
        <v>11</v>
      </c>
      <c r="AU25" s="4570">
        <v>1</v>
      </c>
      <c r="AV25" s="4570">
        <f>SUM(AT25:AU25)</f>
        <v>12</v>
      </c>
      <c r="AW25" s="4570">
        <f>AV25/5</f>
        <v>2.4</v>
      </c>
      <c r="AX25" s="4570">
        <v>2</v>
      </c>
      <c r="AY25" s="1451"/>
      <c r="AZ25" s="6422"/>
      <c r="BA25" s="6422"/>
      <c r="BB25" s="1451"/>
      <c r="BC25" s="1451"/>
      <c r="BD25" s="1451"/>
      <c r="BE25" s="1451"/>
      <c r="BF25" s="1451"/>
      <c r="BG25" s="1451"/>
      <c r="BH25" s="1451"/>
      <c r="BI25" s="1451"/>
      <c r="BJ25" s="1451"/>
      <c r="BK25" s="1451"/>
      <c r="BL25" s="1451"/>
      <c r="BM25" s="1451"/>
    </row>
    <row r="26" spans="1:65" ht="21" customHeight="1" thickBot="1">
      <c r="A26" s="8180" t="s">
        <v>31</v>
      </c>
      <c r="B26" s="8153"/>
      <c r="C26" s="4572"/>
      <c r="D26" s="4572"/>
      <c r="E26" s="4677">
        <f>SUM(E21:E25)</f>
        <v>146</v>
      </c>
      <c r="F26" s="4677">
        <f>SUM(F21:F25)</f>
        <v>187</v>
      </c>
      <c r="G26" s="4572">
        <f t="shared" ref="G26:O26" si="40">SUM(G21:G25)</f>
        <v>311</v>
      </c>
      <c r="H26" s="4572">
        <f t="shared" si="40"/>
        <v>274</v>
      </c>
      <c r="I26" s="4572">
        <f t="shared" si="40"/>
        <v>158</v>
      </c>
      <c r="J26" s="4593">
        <f t="shared" si="40"/>
        <v>111</v>
      </c>
      <c r="K26" s="4593">
        <f t="shared" si="40"/>
        <v>71</v>
      </c>
      <c r="L26" s="4593">
        <f>SUM(L21:L25)</f>
        <v>72</v>
      </c>
      <c r="M26" s="2587">
        <f t="shared" si="40"/>
        <v>53</v>
      </c>
      <c r="N26" s="4597">
        <f t="shared" si="40"/>
        <v>5.0166666666666675</v>
      </c>
      <c r="O26" s="4594">
        <f t="shared" si="40"/>
        <v>1</v>
      </c>
      <c r="P26" s="4593">
        <f>SUM(P21:P25)</f>
        <v>1</v>
      </c>
      <c r="Q26" s="7599">
        <f>SUM(Q21:Q25)</f>
        <v>11</v>
      </c>
      <c r="R26" s="7588">
        <f>SUM(R21:R25)</f>
        <v>0</v>
      </c>
      <c r="S26" s="4532">
        <f t="shared" ref="S26:AN26" si="41">SUM(S21:S25)</f>
        <v>0</v>
      </c>
      <c r="T26" s="4593">
        <f t="shared" si="41"/>
        <v>0</v>
      </c>
      <c r="U26" s="4532">
        <f t="shared" si="41"/>
        <v>0</v>
      </c>
      <c r="V26" s="4532">
        <f t="shared" si="41"/>
        <v>0</v>
      </c>
      <c r="W26" s="4532">
        <f t="shared" si="41"/>
        <v>0</v>
      </c>
      <c r="X26" s="7424">
        <f t="shared" si="41"/>
        <v>0</v>
      </c>
      <c r="Y26" s="5523">
        <f t="shared" si="41"/>
        <v>0</v>
      </c>
      <c r="Z26" s="4572">
        <f t="shared" si="41"/>
        <v>0</v>
      </c>
      <c r="AA26" s="4572">
        <f t="shared" si="41"/>
        <v>13</v>
      </c>
      <c r="AB26" s="4595">
        <f t="shared" si="41"/>
        <v>-5253.0027707558993</v>
      </c>
      <c r="AC26" s="4241">
        <f>SUM(AC21:AC25)</f>
        <v>446.75421368475997</v>
      </c>
      <c r="AD26" s="4241">
        <f t="shared" si="41"/>
        <v>446.75421368475997</v>
      </c>
      <c r="AE26" s="4241">
        <f t="shared" si="41"/>
        <v>-8735.8009925219612</v>
      </c>
      <c r="AF26" s="4241">
        <f t="shared" si="41"/>
        <v>4173.1469616816285</v>
      </c>
      <c r="AG26" s="4241">
        <f t="shared" si="41"/>
        <v>4173.1469616816285</v>
      </c>
      <c r="AH26" s="4241">
        <f t="shared" si="41"/>
        <v>4173.1469616816285</v>
      </c>
      <c r="AI26" s="4241">
        <f t="shared" si="41"/>
        <v>4173.1469616816285</v>
      </c>
      <c r="AJ26" s="4241">
        <f t="shared" si="41"/>
        <v>4173.1469616816285</v>
      </c>
      <c r="AK26" s="4241">
        <f t="shared" si="41"/>
        <v>4173.1469616816285</v>
      </c>
      <c r="AL26" s="4241">
        <f t="shared" si="41"/>
        <v>4173.1469616816285</v>
      </c>
      <c r="AM26" s="4241">
        <f t="shared" si="41"/>
        <v>4173.1469616816285</v>
      </c>
      <c r="AN26" s="4241">
        <f t="shared" si="41"/>
        <v>4173.1469616816285</v>
      </c>
      <c r="AO26" s="4241">
        <f>SUM(AO21:AO25)</f>
        <v>893.50842736951995</v>
      </c>
      <c r="AP26" s="2931">
        <f>AO26/AB26</f>
        <v>-0.17009479460848359</v>
      </c>
      <c r="AQ26" s="4571"/>
      <c r="AS26" s="1451"/>
      <c r="AT26" s="1451"/>
      <c r="AU26" s="1451"/>
      <c r="AV26" s="1451"/>
      <c r="AW26" s="1451"/>
      <c r="AX26" s="1451"/>
      <c r="AY26" s="1451"/>
      <c r="AZ26" s="1451"/>
      <c r="BA26" s="1451"/>
      <c r="BB26" s="1451"/>
      <c r="BC26" s="1451"/>
      <c r="BD26" s="1451"/>
      <c r="BE26" s="1451"/>
      <c r="BF26" s="1451"/>
      <c r="BG26" s="1451"/>
      <c r="BH26" s="1451"/>
      <c r="BI26" s="1451"/>
      <c r="BJ26" s="1451"/>
      <c r="BK26" s="1451"/>
      <c r="BL26" s="1451"/>
      <c r="BM26" s="1451"/>
    </row>
    <row r="27" spans="1:65" s="318" customFormat="1" ht="15" customHeight="1">
      <c r="A27" s="756"/>
      <c r="B27" s="756"/>
      <c r="C27" s="101"/>
      <c r="D27" s="101"/>
      <c r="E27" s="101"/>
      <c r="F27" s="101">
        <v>1.18</v>
      </c>
      <c r="G27" s="101" t="s">
        <v>656</v>
      </c>
      <c r="H27" s="101" t="s">
        <v>486</v>
      </c>
      <c r="I27" s="101"/>
      <c r="J27" s="101"/>
      <c r="K27" s="101"/>
      <c r="L27" s="101"/>
      <c r="M27" s="101"/>
      <c r="N27" s="101"/>
      <c r="O27" s="101"/>
      <c r="P27" s="101"/>
      <c r="Q27" s="101"/>
      <c r="R27" s="101"/>
      <c r="S27" s="101"/>
      <c r="T27" s="101"/>
      <c r="U27" s="101"/>
      <c r="V27" s="101"/>
      <c r="W27" s="101"/>
      <c r="X27" s="101"/>
      <c r="Y27" s="101"/>
      <c r="Z27" s="101"/>
      <c r="AA27" s="101"/>
      <c r="AB27" s="412"/>
      <c r="AC27" s="413"/>
      <c r="AD27" s="413"/>
      <c r="AE27" s="413"/>
      <c r="AF27" s="413"/>
      <c r="AG27" s="413"/>
      <c r="AH27" s="413"/>
      <c r="AI27" s="413"/>
      <c r="AJ27" s="413"/>
      <c r="AK27" s="413"/>
      <c r="AL27" s="413"/>
      <c r="AM27" s="413"/>
      <c r="AN27" s="413"/>
      <c r="AO27" s="413"/>
      <c r="AP27" s="507"/>
      <c r="AQ27" s="312"/>
    </row>
    <row r="28" spans="1:65" s="318" customFormat="1" ht="15" customHeight="1">
      <c r="A28" s="756"/>
      <c r="B28" s="756"/>
      <c r="C28" s="101"/>
      <c r="D28" s="101"/>
      <c r="E28" s="101"/>
      <c r="F28" s="101">
        <v>0.83</v>
      </c>
      <c r="G28" s="101" t="s">
        <v>657</v>
      </c>
      <c r="H28" s="487">
        <f>G26/12</f>
        <v>25.916666666666668</v>
      </c>
      <c r="I28" s="487"/>
      <c r="J28" s="487"/>
      <c r="K28" s="487"/>
      <c r="L28" s="487"/>
      <c r="M28" s="682"/>
      <c r="N28" s="682"/>
      <c r="O28" s="101"/>
      <c r="P28" s="101"/>
      <c r="Q28" s="682"/>
      <c r="R28" s="101"/>
      <c r="S28" s="101"/>
      <c r="T28" s="101"/>
      <c r="U28" s="101"/>
      <c r="V28" s="101"/>
      <c r="W28" s="101"/>
      <c r="X28" s="101"/>
      <c r="Y28" s="101"/>
      <c r="Z28" s="101"/>
      <c r="AA28" s="101"/>
      <c r="AB28" s="1327"/>
      <c r="AC28" s="413"/>
      <c r="AD28" s="413"/>
      <c r="AE28" s="413"/>
      <c r="AF28" s="413"/>
      <c r="AG28" s="413"/>
      <c r="AH28" s="413">
        <v>15</v>
      </c>
      <c r="AI28" s="413">
        <v>10</v>
      </c>
      <c r="AJ28" s="1328">
        <f>AH28/AI28</f>
        <v>1.5</v>
      </c>
      <c r="AK28" s="413"/>
      <c r="AL28" s="413"/>
      <c r="AM28" s="413"/>
      <c r="AN28" s="413"/>
      <c r="AO28" s="413"/>
      <c r="AP28" s="507"/>
      <c r="AQ28" s="312"/>
    </row>
    <row r="29" spans="1:65" s="318" customFormat="1" ht="15" customHeight="1">
      <c r="A29" s="756"/>
      <c r="B29" s="756"/>
      <c r="C29" s="101"/>
      <c r="D29" s="101"/>
      <c r="E29" s="101"/>
      <c r="F29" s="101">
        <v>0.88</v>
      </c>
      <c r="G29" s="101" t="s">
        <v>658</v>
      </c>
      <c r="H29" s="682">
        <f>G16/12</f>
        <v>41.318055555555553</v>
      </c>
      <c r="I29" s="682"/>
      <c r="J29" s="682"/>
      <c r="K29" s="682"/>
      <c r="L29" s="682"/>
      <c r="M29" s="682"/>
      <c r="N29" s="682"/>
      <c r="O29" s="101"/>
      <c r="P29" s="101"/>
      <c r="Q29" s="682"/>
      <c r="R29" s="101"/>
      <c r="S29" s="101"/>
      <c r="T29" s="101"/>
      <c r="U29" s="101"/>
      <c r="V29" s="101"/>
      <c r="W29" s="101"/>
      <c r="X29" s="101"/>
      <c r="Y29" s="101"/>
      <c r="Z29" s="101"/>
      <c r="AA29" s="101"/>
      <c r="AB29" s="412"/>
      <c r="AC29" s="413"/>
      <c r="AD29" s="413"/>
      <c r="AE29" s="413"/>
      <c r="AF29" s="413"/>
      <c r="AG29" s="413"/>
      <c r="AH29" s="413"/>
      <c r="AI29" s="413"/>
      <c r="AJ29" s="413"/>
      <c r="AK29" s="413"/>
      <c r="AL29" s="413"/>
      <c r="AM29" s="413"/>
      <c r="AN29" s="413"/>
      <c r="AO29" s="413"/>
      <c r="AP29" s="507"/>
      <c r="AQ29" s="312"/>
    </row>
    <row r="30" spans="1:65" ht="15" customHeight="1" thickBot="1">
      <c r="A30" s="291" t="s">
        <v>617</v>
      </c>
      <c r="AP30" s="297"/>
      <c r="AQ30" s="298"/>
      <c r="AU30" s="298">
        <v>10.3</v>
      </c>
      <c r="AV30" s="298">
        <v>9.75</v>
      </c>
    </row>
    <row r="31" spans="1:65" ht="15" customHeight="1" thickBot="1">
      <c r="A31" s="8159" t="s">
        <v>0</v>
      </c>
      <c r="B31" s="8159"/>
      <c r="C31" s="8148" t="s">
        <v>404</v>
      </c>
      <c r="D31" s="8148" t="s">
        <v>405</v>
      </c>
      <c r="E31" s="8148" t="s">
        <v>406</v>
      </c>
      <c r="F31" s="8148" t="s">
        <v>407</v>
      </c>
      <c r="G31" s="8148" t="s">
        <v>403</v>
      </c>
      <c r="H31" s="8148" t="s">
        <v>1140</v>
      </c>
      <c r="I31" s="8148" t="s">
        <v>1141</v>
      </c>
      <c r="J31" s="8229" t="s">
        <v>1142</v>
      </c>
      <c r="K31" s="8209" t="s">
        <v>1156</v>
      </c>
      <c r="L31" s="8247" t="s">
        <v>1889</v>
      </c>
      <c r="M31" s="8142" t="s">
        <v>1899</v>
      </c>
      <c r="N31" s="7968" t="s">
        <v>893</v>
      </c>
      <c r="O31" s="8160" t="s">
        <v>1923</v>
      </c>
      <c r="P31" s="8161"/>
      <c r="Q31" s="8161"/>
      <c r="R31" s="8161"/>
      <c r="S31" s="8161"/>
      <c r="T31" s="8161"/>
      <c r="U31" s="8161"/>
      <c r="V31" s="8161"/>
      <c r="W31" s="8161"/>
      <c r="X31" s="8161"/>
      <c r="Y31" s="8162"/>
      <c r="Z31" s="8162"/>
      <c r="AA31" s="7958"/>
      <c r="AB31" s="8159"/>
      <c r="AC31" s="8159"/>
      <c r="AD31" s="8159"/>
      <c r="AE31" s="8159"/>
      <c r="AF31" s="8159"/>
      <c r="AG31" s="8159"/>
      <c r="AH31" s="8159"/>
      <c r="AI31" s="8159"/>
      <c r="AJ31" s="8159"/>
      <c r="AK31" s="8159"/>
      <c r="AL31" s="8159"/>
      <c r="AM31" s="8159"/>
      <c r="AN31" s="8159"/>
      <c r="AO31" s="8148" t="s">
        <v>457</v>
      </c>
      <c r="AP31" s="8148" t="s">
        <v>361</v>
      </c>
      <c r="AQ31" s="8159" t="s">
        <v>340</v>
      </c>
    </row>
    <row r="32" spans="1:65" ht="15" customHeight="1" thickTop="1">
      <c r="A32" s="8159"/>
      <c r="B32" s="8159"/>
      <c r="C32" s="8148"/>
      <c r="D32" s="8148"/>
      <c r="E32" s="8148"/>
      <c r="F32" s="8148"/>
      <c r="G32" s="8148"/>
      <c r="H32" s="8148"/>
      <c r="I32" s="8148"/>
      <c r="J32" s="8229"/>
      <c r="K32" s="8209"/>
      <c r="L32" s="8247"/>
      <c r="M32" s="8143"/>
      <c r="N32" s="8228"/>
      <c r="O32" s="4528" t="s">
        <v>409</v>
      </c>
      <c r="P32" s="4528" t="s">
        <v>368</v>
      </c>
      <c r="Q32" s="7594" t="s">
        <v>369</v>
      </c>
      <c r="R32" s="4098" t="s">
        <v>370</v>
      </c>
      <c r="S32" s="4791" t="s">
        <v>371</v>
      </c>
      <c r="T32" s="4936" t="s">
        <v>372</v>
      </c>
      <c r="U32" s="5079" t="s">
        <v>373</v>
      </c>
      <c r="V32" s="5442" t="s">
        <v>374</v>
      </c>
      <c r="W32" s="7427" t="s">
        <v>375</v>
      </c>
      <c r="X32" s="6427" t="s">
        <v>376</v>
      </c>
      <c r="Y32" s="4086" t="s">
        <v>377</v>
      </c>
      <c r="Z32" s="2663" t="s">
        <v>378</v>
      </c>
      <c r="AA32" s="4156" t="s">
        <v>1243</v>
      </c>
      <c r="AB32" s="1234" t="s">
        <v>192</v>
      </c>
      <c r="AC32" s="1181" t="s">
        <v>410</v>
      </c>
      <c r="AD32" s="1181" t="s">
        <v>379</v>
      </c>
      <c r="AE32" s="1181" t="s">
        <v>380</v>
      </c>
      <c r="AF32" s="1181" t="s">
        <v>381</v>
      </c>
      <c r="AG32" s="1181" t="s">
        <v>382</v>
      </c>
      <c r="AH32" s="1181" t="s">
        <v>383</v>
      </c>
      <c r="AI32" s="1181" t="s">
        <v>384</v>
      </c>
      <c r="AJ32" s="1181" t="s">
        <v>385</v>
      </c>
      <c r="AK32" s="1181" t="s">
        <v>386</v>
      </c>
      <c r="AL32" s="6425" t="s">
        <v>387</v>
      </c>
      <c r="AM32" s="6425" t="s">
        <v>388</v>
      </c>
      <c r="AN32" s="6425" t="s">
        <v>389</v>
      </c>
      <c r="AO32" s="8148"/>
      <c r="AP32" s="8148"/>
      <c r="AQ32" s="8159"/>
    </row>
    <row r="33" spans="1:43" ht="15" customHeight="1">
      <c r="A33" s="8175" t="s">
        <v>2</v>
      </c>
      <c r="B33" s="1184" t="s">
        <v>69</v>
      </c>
      <c r="C33" s="398"/>
      <c r="D33" s="398">
        <v>2.5999999999999999E-3</v>
      </c>
      <c r="E33" s="398">
        <v>2.0999999999999999E-3</v>
      </c>
      <c r="F33" s="496">
        <v>3.0000000000000001E-3</v>
      </c>
      <c r="G33" s="496">
        <v>1.6971471914373603E-2</v>
      </c>
      <c r="H33" s="496">
        <v>1.4601710859957033E-2</v>
      </c>
      <c r="I33" s="496">
        <v>4.8044165958440405E-3</v>
      </c>
      <c r="J33" s="2860">
        <v>3.2027089203713337E-3</v>
      </c>
      <c r="K33" s="4090">
        <f>년간!C76</f>
        <v>1.5748284561860227E-3</v>
      </c>
      <c r="L33" s="4090">
        <f>년간!D76</f>
        <v>2.6093966565779426E-3</v>
      </c>
      <c r="M33" s="2782">
        <f>년간!E76</f>
        <v>2.1844127332601533E-3</v>
      </c>
      <c r="N33" s="4090">
        <v>3.0188340807174884E-3</v>
      </c>
      <c r="O33" s="4529" t="e">
        <f>년간!F76</f>
        <v>#DIV/0!</v>
      </c>
      <c r="P33" s="4090" t="e">
        <f>년간!G76</f>
        <v>#DIV/0!</v>
      </c>
      <c r="Q33" s="7595">
        <f>년간!H76</f>
        <v>1.4405589368675046E-3</v>
      </c>
      <c r="R33" s="4099" t="e">
        <f>년간!I76</f>
        <v>#DIV/0!</v>
      </c>
      <c r="S33" s="4529" t="e">
        <f>년간!J76</f>
        <v>#DIV/0!</v>
      </c>
      <c r="T33" s="4529" t="e">
        <f>년간!K76</f>
        <v>#DIV/0!</v>
      </c>
      <c r="U33" s="4529" t="e">
        <f>년간!L76</f>
        <v>#DIV/0!</v>
      </c>
      <c r="V33" s="4529" t="e">
        <f>년간!M76</f>
        <v>#DIV/0!</v>
      </c>
      <c r="W33" s="4529" t="e">
        <f>년간!N76</f>
        <v>#DIV/0!</v>
      </c>
      <c r="X33" s="4336" t="e">
        <f>년간!O76</f>
        <v>#DIV/0!</v>
      </c>
      <c r="Y33" s="5520" t="e">
        <f>년간!P76</f>
        <v>#DIV/0!</v>
      </c>
      <c r="Z33" s="2664" t="e">
        <f>년간!Q76</f>
        <v>#DIV/0!</v>
      </c>
      <c r="AA33" s="4158">
        <f>년간!V76</f>
        <v>1.4405589368675046E-3</v>
      </c>
      <c r="AB33" s="8171">
        <f>년간!E176/1000</f>
        <v>2164.0966809379711</v>
      </c>
      <c r="AC33" s="8140"/>
      <c r="AD33" s="8140"/>
      <c r="AE33" s="8156">
        <f>년간!H176/1000</f>
        <v>603.83964969467331</v>
      </c>
      <c r="AF33" s="8156" t="e">
        <f>년간!I176/1000</f>
        <v>#DIV/0!</v>
      </c>
      <c r="AG33" s="8156" t="e">
        <f>년간!J176/1000</f>
        <v>#DIV/0!</v>
      </c>
      <c r="AH33" s="8156" t="e">
        <f>년간!K176/1000</f>
        <v>#DIV/0!</v>
      </c>
      <c r="AI33" s="8156" t="e">
        <f>년간!L176/1000</f>
        <v>#DIV/0!</v>
      </c>
      <c r="AJ33" s="8156" t="e">
        <f>년간!M176/1000</f>
        <v>#DIV/0!</v>
      </c>
      <c r="AK33" s="8156" t="e">
        <f>년간!N176/1000</f>
        <v>#DIV/0!</v>
      </c>
      <c r="AL33" s="8154" t="e">
        <f>년간!O176/1000</f>
        <v>#DIV/0!</v>
      </c>
      <c r="AM33" s="8154" t="e">
        <f>년간!P176/1000</f>
        <v>#DIV/0!</v>
      </c>
      <c r="AN33" s="8154" t="e">
        <f>년간!Q176/1000</f>
        <v>#DIV/0!</v>
      </c>
      <c r="AO33" s="8154">
        <f>AC33+AD33</f>
        <v>0</v>
      </c>
      <c r="AP33" s="8165">
        <f>AO33/AB33</f>
        <v>0</v>
      </c>
      <c r="AQ33" s="8151"/>
    </row>
    <row r="34" spans="1:43" ht="15" customHeight="1">
      <c r="A34" s="8175"/>
      <c r="B34" s="1184" t="s">
        <v>408</v>
      </c>
      <c r="C34" s="399"/>
      <c r="D34" s="399">
        <f>799/60</f>
        <v>13.316666666666666</v>
      </c>
      <c r="E34" s="399">
        <f>679/60</f>
        <v>11.316666666666666</v>
      </c>
      <c r="F34" s="497">
        <f>1067/60</f>
        <v>17.783333333333335</v>
      </c>
      <c r="G34" s="401">
        <f>[2]년간!C56/60</f>
        <v>107.4</v>
      </c>
      <c r="H34" s="498">
        <v>93</v>
      </c>
      <c r="I34" s="498">
        <v>27.933333333333334</v>
      </c>
      <c r="J34" s="2107">
        <v>17.75</v>
      </c>
      <c r="K34" s="4533">
        <f>년간!C50/60</f>
        <v>8.1666666666666661</v>
      </c>
      <c r="L34" s="4533">
        <f>년간!D50/60</f>
        <v>12.3</v>
      </c>
      <c r="M34" s="2783">
        <f>년간!E50/60</f>
        <v>10</v>
      </c>
      <c r="N34" s="4091">
        <f>M34/10</f>
        <v>1</v>
      </c>
      <c r="O34" s="4530">
        <f>년간!F50/60</f>
        <v>0</v>
      </c>
      <c r="P34" s="4091">
        <f>년간!G50/60</f>
        <v>0</v>
      </c>
      <c r="Q34" s="7596">
        <f>년간!H50/60</f>
        <v>0.66666666666666663</v>
      </c>
      <c r="R34" s="4100">
        <f>년간!I50/60</f>
        <v>0</v>
      </c>
      <c r="S34" s="4530">
        <f>년간!J50/60</f>
        <v>0</v>
      </c>
      <c r="T34" s="4530">
        <f>년간!K50/60</f>
        <v>0</v>
      </c>
      <c r="U34" s="4530">
        <f>년간!L50/60</f>
        <v>0</v>
      </c>
      <c r="V34" s="4530">
        <f>년간!M50/60</f>
        <v>0</v>
      </c>
      <c r="W34" s="4530">
        <f>년간!N50/60</f>
        <v>0</v>
      </c>
      <c r="X34" s="4159">
        <f>년간!O50/60</f>
        <v>0</v>
      </c>
      <c r="Y34" s="5521">
        <f>년간!P50/60</f>
        <v>0</v>
      </c>
      <c r="Z34" s="2559">
        <f>년간!Q50/60</f>
        <v>0</v>
      </c>
      <c r="AA34" s="4159">
        <f>년간!V50/60</f>
        <v>0.66666666666666663</v>
      </c>
      <c r="AB34" s="8172"/>
      <c r="AC34" s="8141"/>
      <c r="AD34" s="8141"/>
      <c r="AE34" s="8155"/>
      <c r="AF34" s="8155"/>
      <c r="AG34" s="8155"/>
      <c r="AH34" s="8155"/>
      <c r="AI34" s="8155"/>
      <c r="AJ34" s="8155"/>
      <c r="AK34" s="8155"/>
      <c r="AL34" s="8155"/>
      <c r="AM34" s="8155"/>
      <c r="AN34" s="8155"/>
      <c r="AO34" s="8155"/>
      <c r="AP34" s="8096"/>
      <c r="AQ34" s="8152"/>
    </row>
    <row r="35" spans="1:43" ht="15" customHeight="1">
      <c r="A35" s="8175" t="s">
        <v>3</v>
      </c>
      <c r="B35" s="1184" t="s">
        <v>69</v>
      </c>
      <c r="C35" s="398"/>
      <c r="D35" s="398"/>
      <c r="E35" s="398">
        <v>2.8E-3</v>
      </c>
      <c r="F35" s="496">
        <v>2.8999999999999998E-3</v>
      </c>
      <c r="G35" s="496">
        <v>1.5545647568283151E-2</v>
      </c>
      <c r="H35" s="496">
        <v>2.0381638801914102E-2</v>
      </c>
      <c r="I35" s="496">
        <v>8.01684430060365E-3</v>
      </c>
      <c r="J35" s="2860">
        <v>5.7002957244327345E-3</v>
      </c>
      <c r="K35" s="4090">
        <f>년간!C77</f>
        <v>2.6533590505056692E-3</v>
      </c>
      <c r="L35" s="4090">
        <f>년간!D77</f>
        <v>3.2077666034878239E-3</v>
      </c>
      <c r="M35" s="2782">
        <f>년간!E77</f>
        <v>2.8545002127580155E-3</v>
      </c>
      <c r="N35" s="4090">
        <f>M35</f>
        <v>2.8545002127580155E-3</v>
      </c>
      <c r="O35" s="4529" t="e">
        <f>년간!F77</f>
        <v>#DIV/0!</v>
      </c>
      <c r="P35" s="4090" t="e">
        <f>년간!G77</f>
        <v>#DIV/0!</v>
      </c>
      <c r="Q35" s="7595">
        <f>년간!H77</f>
        <v>0</v>
      </c>
      <c r="R35" s="4099" t="e">
        <f>년간!I77</f>
        <v>#DIV/0!</v>
      </c>
      <c r="S35" s="4529" t="e">
        <f>년간!J77</f>
        <v>#DIV/0!</v>
      </c>
      <c r="T35" s="4529" t="e">
        <f>년간!K77</f>
        <v>#DIV/0!</v>
      </c>
      <c r="U35" s="4529" t="e">
        <f>년간!L77</f>
        <v>#DIV/0!</v>
      </c>
      <c r="V35" s="4529" t="e">
        <f>년간!M77</f>
        <v>#DIV/0!</v>
      </c>
      <c r="W35" s="4529" t="e">
        <f>년간!N77</f>
        <v>#DIV/0!</v>
      </c>
      <c r="X35" s="4336" t="e">
        <f>년간!O77</f>
        <v>#DIV/0!</v>
      </c>
      <c r="Y35" s="5520" t="e">
        <f>년간!P77</f>
        <v>#DIV/0!</v>
      </c>
      <c r="Z35" s="2664" t="e">
        <f>년간!Q77</f>
        <v>#DIV/0!</v>
      </c>
      <c r="AA35" s="4158">
        <f>년간!V77</f>
        <v>0</v>
      </c>
      <c r="AB35" s="8171">
        <f>년간!E177/1000</f>
        <v>2334.9957564218989</v>
      </c>
      <c r="AC35" s="8140"/>
      <c r="AD35" s="8140"/>
      <c r="AE35" s="8156">
        <f>년간!H177/1000</f>
        <v>1893.7706399274664</v>
      </c>
      <c r="AF35" s="8156" t="e">
        <f>년간!I177/1000</f>
        <v>#DIV/0!</v>
      </c>
      <c r="AG35" s="8156" t="e">
        <f>년간!J177/1000</f>
        <v>#DIV/0!</v>
      </c>
      <c r="AH35" s="8156" t="e">
        <f>년간!K177/1000</f>
        <v>#DIV/0!</v>
      </c>
      <c r="AI35" s="8156" t="e">
        <f>년간!L177/1000</f>
        <v>#DIV/0!</v>
      </c>
      <c r="AJ35" s="8156" t="e">
        <f>년간!M177/1000</f>
        <v>#DIV/0!</v>
      </c>
      <c r="AK35" s="8156" t="e">
        <f>년간!N177/1000</f>
        <v>#DIV/0!</v>
      </c>
      <c r="AL35" s="8154" t="e">
        <f>년간!O177/1000</f>
        <v>#DIV/0!</v>
      </c>
      <c r="AM35" s="8154" t="e">
        <f>년간!P177/1000</f>
        <v>#DIV/0!</v>
      </c>
      <c r="AN35" s="8154" t="e">
        <f>년간!Q177/1000</f>
        <v>#DIV/0!</v>
      </c>
      <c r="AO35" s="8154">
        <f>AC35+AD35</f>
        <v>0</v>
      </c>
      <c r="AP35" s="8165">
        <f>AO35/AB35</f>
        <v>0</v>
      </c>
      <c r="AQ35" s="8151"/>
    </row>
    <row r="36" spans="1:43" ht="15" customHeight="1">
      <c r="A36" s="8175"/>
      <c r="B36" s="1184" t="s">
        <v>408</v>
      </c>
      <c r="C36" s="399"/>
      <c r="D36" s="399"/>
      <c r="E36" s="399">
        <f>1280/60</f>
        <v>21.333333333333332</v>
      </c>
      <c r="F36" s="497">
        <f>1180/60</f>
        <v>19.666666666666668</v>
      </c>
      <c r="G36" s="401">
        <f>[2]년간!C57/60</f>
        <v>111.16666666666667</v>
      </c>
      <c r="H36" s="498">
        <v>161</v>
      </c>
      <c r="I36" s="498">
        <v>60.916666666666671</v>
      </c>
      <c r="J36" s="2107">
        <v>41.25</v>
      </c>
      <c r="K36" s="4533">
        <f>년간!C51/60</f>
        <v>17.333333333333332</v>
      </c>
      <c r="L36" s="4533">
        <f>년간!D51/60</f>
        <v>18.25</v>
      </c>
      <c r="M36" s="2783">
        <f>년간!E51/60</f>
        <v>16</v>
      </c>
      <c r="N36" s="4091">
        <f>M36/10</f>
        <v>1.6</v>
      </c>
      <c r="O36" s="4530">
        <f>년간!F51/60</f>
        <v>0</v>
      </c>
      <c r="P36" s="4091">
        <f>년간!G51/60</f>
        <v>0</v>
      </c>
      <c r="Q36" s="7596">
        <f>년간!H51/60</f>
        <v>0</v>
      </c>
      <c r="R36" s="4100">
        <f>년간!I51/60</f>
        <v>0</v>
      </c>
      <c r="S36" s="4530">
        <f>년간!J51/60</f>
        <v>0</v>
      </c>
      <c r="T36" s="4530">
        <f>년간!K51/60</f>
        <v>0</v>
      </c>
      <c r="U36" s="4530">
        <f>년간!L51/60</f>
        <v>0</v>
      </c>
      <c r="V36" s="4530">
        <f>년간!M51/60</f>
        <v>0</v>
      </c>
      <c r="W36" s="4530">
        <f>년간!N51/60</f>
        <v>0</v>
      </c>
      <c r="X36" s="4159">
        <f>년간!O51/60</f>
        <v>0</v>
      </c>
      <c r="Y36" s="5521">
        <f>년간!P51/60</f>
        <v>0</v>
      </c>
      <c r="Z36" s="2559">
        <f>년간!Q51/60</f>
        <v>0</v>
      </c>
      <c r="AA36" s="4159">
        <f>년간!V51/60</f>
        <v>0</v>
      </c>
      <c r="AB36" s="8172"/>
      <c r="AC36" s="8141"/>
      <c r="AD36" s="8141"/>
      <c r="AE36" s="8155"/>
      <c r="AF36" s="8155"/>
      <c r="AG36" s="8155"/>
      <c r="AH36" s="8155"/>
      <c r="AI36" s="8155"/>
      <c r="AJ36" s="8155"/>
      <c r="AK36" s="8155"/>
      <c r="AL36" s="8155"/>
      <c r="AM36" s="8155"/>
      <c r="AN36" s="8155"/>
      <c r="AO36" s="8155"/>
      <c r="AP36" s="8096"/>
      <c r="AQ36" s="8152"/>
    </row>
    <row r="37" spans="1:43" ht="15" customHeight="1">
      <c r="A37" s="8175" t="s">
        <v>4</v>
      </c>
      <c r="B37" s="1184" t="s">
        <v>69</v>
      </c>
      <c r="C37" s="398"/>
      <c r="D37" s="398"/>
      <c r="E37" s="398">
        <v>1E-3</v>
      </c>
      <c r="F37" s="496">
        <v>5.5999999999999999E-3</v>
      </c>
      <c r="G37" s="496">
        <v>9.8335888377879977E-3</v>
      </c>
      <c r="H37" s="496">
        <v>5.5418036723685667E-3</v>
      </c>
      <c r="I37" s="496">
        <v>3.8762812030039445E-3</v>
      </c>
      <c r="J37" s="2860">
        <v>5.013839528021145E-3</v>
      </c>
      <c r="K37" s="4090">
        <f>년간!C78</f>
        <v>6.4195353896901427E-3</v>
      </c>
      <c r="L37" s="4090">
        <f>년간!D78</f>
        <v>1.3354998108041935E-3</v>
      </c>
      <c r="M37" s="2782">
        <f>년간!E78</f>
        <v>1.4896728378933225E-3</v>
      </c>
      <c r="N37" s="4090">
        <f>M37</f>
        <v>1.4896728378933225E-3</v>
      </c>
      <c r="O37" s="4529" t="e">
        <f>년간!F78</f>
        <v>#DIV/0!</v>
      </c>
      <c r="P37" s="4090" t="e">
        <f>년간!G78</f>
        <v>#DIV/0!</v>
      </c>
      <c r="Q37" s="7595">
        <f>년간!H78</f>
        <v>4.0126263977315285E-4</v>
      </c>
      <c r="R37" s="4099" t="e">
        <f>년간!I78</f>
        <v>#DIV/0!</v>
      </c>
      <c r="S37" s="4529" t="e">
        <f>년간!J78</f>
        <v>#DIV/0!</v>
      </c>
      <c r="T37" s="4529" t="e">
        <f>년간!K78</f>
        <v>#DIV/0!</v>
      </c>
      <c r="U37" s="4529" t="e">
        <f>년간!L78</f>
        <v>#DIV/0!</v>
      </c>
      <c r="V37" s="4529" t="e">
        <f>년간!M78</f>
        <v>#DIV/0!</v>
      </c>
      <c r="W37" s="4529" t="e">
        <f>년간!N78</f>
        <v>#DIV/0!</v>
      </c>
      <c r="X37" s="4336" t="e">
        <f>년간!O78</f>
        <v>#DIV/0!</v>
      </c>
      <c r="Y37" s="5520" t="e">
        <f>년간!P78</f>
        <v>#DIV/0!</v>
      </c>
      <c r="Z37" s="2664" t="e">
        <f>년간!Q78</f>
        <v>#DIV/0!</v>
      </c>
      <c r="AA37" s="4158">
        <f>년간!V78</f>
        <v>4.0126263977315285E-4</v>
      </c>
      <c r="AB37" s="8171">
        <f>년간!E178/1000</f>
        <v>-2336.6216197815365</v>
      </c>
      <c r="AC37" s="8140"/>
      <c r="AD37" s="8140"/>
      <c r="AE37" s="8156">
        <f>년간!H178/1000</f>
        <v>1301.9564486678737</v>
      </c>
      <c r="AF37" s="8156" t="e">
        <f>년간!I178/1000</f>
        <v>#DIV/0!</v>
      </c>
      <c r="AG37" s="8156" t="e">
        <f>년간!J178/1000</f>
        <v>#DIV/0!</v>
      </c>
      <c r="AH37" s="8156" t="e">
        <f>년간!K178/1000</f>
        <v>#DIV/0!</v>
      </c>
      <c r="AI37" s="8156" t="e">
        <f>년간!L178/1000</f>
        <v>#DIV/0!</v>
      </c>
      <c r="AJ37" s="8156" t="e">
        <f>년간!M178/1000</f>
        <v>#DIV/0!</v>
      </c>
      <c r="AK37" s="8156" t="e">
        <f>년간!N178/1000</f>
        <v>#DIV/0!</v>
      </c>
      <c r="AL37" s="8154" t="e">
        <f>년간!O178/1000</f>
        <v>#DIV/0!</v>
      </c>
      <c r="AM37" s="8154" t="e">
        <f>년간!P178/1000</f>
        <v>#DIV/0!</v>
      </c>
      <c r="AN37" s="8154" t="e">
        <f>년간!Q178/1000</f>
        <v>#DIV/0!</v>
      </c>
      <c r="AO37" s="8154">
        <f>AC37+AD37</f>
        <v>0</v>
      </c>
      <c r="AP37" s="8165">
        <f>AO37/AB37</f>
        <v>0</v>
      </c>
      <c r="AQ37" s="8151"/>
    </row>
    <row r="38" spans="1:43" ht="15" customHeight="1">
      <c r="A38" s="8175"/>
      <c r="B38" s="1184" t="s">
        <v>408</v>
      </c>
      <c r="C38" s="399"/>
      <c r="D38" s="399"/>
      <c r="E38" s="399">
        <f>457/60</f>
        <v>7.6166666666666663</v>
      </c>
      <c r="F38" s="497">
        <f>2458/60</f>
        <v>40.966666666666669</v>
      </c>
      <c r="G38" s="401">
        <f>[2]년간!C58/60</f>
        <v>73.766666666666666</v>
      </c>
      <c r="H38" s="498">
        <v>45</v>
      </c>
      <c r="I38" s="498">
        <v>32.1</v>
      </c>
      <c r="J38" s="2861">
        <v>40.18333333333333</v>
      </c>
      <c r="K38" s="4533">
        <f>년간!C52/60</f>
        <v>48.783333333333331</v>
      </c>
      <c r="L38" s="4533">
        <f>년간!D52/60</f>
        <v>9</v>
      </c>
      <c r="M38" s="2783">
        <f>년간!E52/60</f>
        <v>10</v>
      </c>
      <c r="N38" s="4091">
        <f>M38/10</f>
        <v>1</v>
      </c>
      <c r="O38" s="4530">
        <f>년간!F52/60</f>
        <v>0</v>
      </c>
      <c r="P38" s="4091">
        <f>년간!G52/60</f>
        <v>0</v>
      </c>
      <c r="Q38" s="7596">
        <f>년간!H52/60</f>
        <v>0.25</v>
      </c>
      <c r="R38" s="4100">
        <f>년간!I52/60</f>
        <v>0</v>
      </c>
      <c r="S38" s="4530">
        <f>년간!J52/60</f>
        <v>0</v>
      </c>
      <c r="T38" s="4530">
        <f>년간!K52/60</f>
        <v>0</v>
      </c>
      <c r="U38" s="4530">
        <f>년간!L52/60</f>
        <v>0</v>
      </c>
      <c r="V38" s="4530">
        <f>년간!M52/60</f>
        <v>0</v>
      </c>
      <c r="W38" s="4530">
        <f>년간!N52/60</f>
        <v>0</v>
      </c>
      <c r="X38" s="4159">
        <f>년간!O52/60</f>
        <v>0</v>
      </c>
      <c r="Y38" s="5521">
        <f>년간!P52/60</f>
        <v>0</v>
      </c>
      <c r="Z38" s="2559">
        <f>년간!Q52/60</f>
        <v>0</v>
      </c>
      <c r="AA38" s="4159">
        <f>년간!V52/60</f>
        <v>0.25</v>
      </c>
      <c r="AB38" s="8172"/>
      <c r="AC38" s="8141"/>
      <c r="AD38" s="8141"/>
      <c r="AE38" s="8155"/>
      <c r="AF38" s="8155"/>
      <c r="AG38" s="8155"/>
      <c r="AH38" s="8155"/>
      <c r="AI38" s="8155"/>
      <c r="AJ38" s="8155"/>
      <c r="AK38" s="8155"/>
      <c r="AL38" s="8155"/>
      <c r="AM38" s="8155"/>
      <c r="AN38" s="8155"/>
      <c r="AO38" s="8155"/>
      <c r="AP38" s="8096"/>
      <c r="AQ38" s="8152"/>
    </row>
    <row r="39" spans="1:43" ht="15" customHeight="1">
      <c r="A39" s="8175" t="s">
        <v>190</v>
      </c>
      <c r="B39" s="1184" t="s">
        <v>69</v>
      </c>
      <c r="C39" s="398"/>
      <c r="D39" s="398"/>
      <c r="E39" s="398">
        <v>1.2999999999999999E-3</v>
      </c>
      <c r="F39" s="496">
        <v>2.8E-3</v>
      </c>
      <c r="G39" s="496">
        <v>3.3812298394808307E-3</v>
      </c>
      <c r="H39" s="496">
        <v>6.6225311755655093E-3</v>
      </c>
      <c r="I39" s="496">
        <v>4.1395934849379626E-3</v>
      </c>
      <c r="J39" s="2860">
        <v>5.4898913885470632E-4</v>
      </c>
      <c r="K39" s="4090">
        <f>년간!C79</f>
        <v>2.0967431609878961E-3</v>
      </c>
      <c r="L39" s="4090">
        <f>년간!D79</f>
        <v>1.7792858029544421E-3</v>
      </c>
      <c r="M39" s="2782">
        <f>년간!E79</f>
        <v>9.2290599345719402E-4</v>
      </c>
      <c r="N39" s="4090">
        <f>M39</f>
        <v>9.2290599345719402E-4</v>
      </c>
      <c r="O39" s="4529">
        <f>년간!F79</f>
        <v>0</v>
      </c>
      <c r="P39" s="4090">
        <f>년간!G79</f>
        <v>8.9194699286442405E-4</v>
      </c>
      <c r="Q39" s="7595">
        <f>년간!H79</f>
        <v>2.652034750800183E-3</v>
      </c>
      <c r="R39" s="4099" t="e">
        <f>년간!I79</f>
        <v>#DIV/0!</v>
      </c>
      <c r="S39" s="4529" t="e">
        <f>년간!J79</f>
        <v>#DIV/0!</v>
      </c>
      <c r="T39" s="4529" t="e">
        <f>년간!K79</f>
        <v>#DIV/0!</v>
      </c>
      <c r="U39" s="4529" t="e">
        <f>년간!L79</f>
        <v>#DIV/0!</v>
      </c>
      <c r="V39" s="4529" t="e">
        <f>년간!M79</f>
        <v>#DIV/0!</v>
      </c>
      <c r="W39" s="4529" t="e">
        <f>년간!N79</f>
        <v>#DIV/0!</v>
      </c>
      <c r="X39" s="4336" t="e">
        <f>년간!O79</f>
        <v>#DIV/0!</v>
      </c>
      <c r="Y39" s="5520" t="e">
        <f>년간!P79</f>
        <v>#DIV/0!</v>
      </c>
      <c r="Z39" s="2664" t="e">
        <f>년간!Q79</f>
        <v>#DIV/0!</v>
      </c>
      <c r="AA39" s="4158">
        <f>년간!V79</f>
        <v>1.2078067509198528E-3</v>
      </c>
      <c r="AB39" s="8171">
        <f>년간!E179/1000</f>
        <v>8375.9873308373681</v>
      </c>
      <c r="AC39" s="8156">
        <f>년간!F179/1000</f>
        <v>1516.9015302850996</v>
      </c>
      <c r="AD39" s="8156">
        <f>년간!G179/1000</f>
        <v>722.67340755644227</v>
      </c>
      <c r="AE39" s="8156">
        <f>년간!H179/1000</f>
        <v>-764.93387879110912</v>
      </c>
      <c r="AF39" s="8156" t="e">
        <f>년간!I179/1000</f>
        <v>#DIV/0!</v>
      </c>
      <c r="AG39" s="8156" t="e">
        <f>년간!J179/1000</f>
        <v>#DIV/0!</v>
      </c>
      <c r="AH39" s="8156" t="e">
        <f>년간!K179/1000</f>
        <v>#DIV/0!</v>
      </c>
      <c r="AI39" s="8156" t="e">
        <f>년간!L179/1000</f>
        <v>#DIV/0!</v>
      </c>
      <c r="AJ39" s="8156" t="e">
        <f>년간!M179/1000</f>
        <v>#DIV/0!</v>
      </c>
      <c r="AK39" s="8156" t="e">
        <f>년간!N179/1000</f>
        <v>#DIV/0!</v>
      </c>
      <c r="AL39" s="8154" t="e">
        <f>년간!O179/1000</f>
        <v>#DIV/0!</v>
      </c>
      <c r="AM39" s="8154" t="e">
        <f>년간!P179/1000</f>
        <v>#DIV/0!</v>
      </c>
      <c r="AN39" s="8154" t="e">
        <f>년간!Q179/1000</f>
        <v>#DIV/0!</v>
      </c>
      <c r="AO39" s="8154">
        <f>AC39+AD39</f>
        <v>2239.5749378415421</v>
      </c>
      <c r="AP39" s="8165">
        <f>AO39/AB39</f>
        <v>0.26738041133326862</v>
      </c>
      <c r="AQ39" s="8151"/>
    </row>
    <row r="40" spans="1:43" ht="15" customHeight="1">
      <c r="A40" s="8175"/>
      <c r="B40" s="1184" t="s">
        <v>408</v>
      </c>
      <c r="C40" s="399"/>
      <c r="D40" s="399"/>
      <c r="E40" s="399">
        <f>525/60</f>
        <v>8.75</v>
      </c>
      <c r="F40" s="497">
        <f>1144/60</f>
        <v>19.066666666666666</v>
      </c>
      <c r="G40" s="401">
        <f>[2]년간!C59/60</f>
        <v>22.1</v>
      </c>
      <c r="H40" s="498">
        <v>50</v>
      </c>
      <c r="I40" s="498">
        <v>32</v>
      </c>
      <c r="J40" s="2861">
        <v>3.9333333333333331</v>
      </c>
      <c r="K40" s="4533">
        <f>년간!C53/60</f>
        <v>15.983333333333333</v>
      </c>
      <c r="L40" s="4533">
        <f>년간!D53/60</f>
        <v>14.333333333333334</v>
      </c>
      <c r="M40" s="2783">
        <f>년간!E53/60</f>
        <v>7</v>
      </c>
      <c r="N40" s="4091">
        <f>M40/12</f>
        <v>0.58333333333333337</v>
      </c>
      <c r="O40" s="4530">
        <f>년간!F53/60</f>
        <v>0</v>
      </c>
      <c r="P40" s="4091">
        <f>년간!G53/60</f>
        <v>0.58333333333333337</v>
      </c>
      <c r="Q40" s="7596">
        <f>년간!H53/60</f>
        <v>1.9333333333333333</v>
      </c>
      <c r="R40" s="4100">
        <f>년간!I53/60</f>
        <v>0</v>
      </c>
      <c r="S40" s="4530">
        <f>년간!J53/60</f>
        <v>0</v>
      </c>
      <c r="T40" s="4530">
        <f>년간!K53/60</f>
        <v>0</v>
      </c>
      <c r="U40" s="4530">
        <f>년간!L53/60</f>
        <v>0</v>
      </c>
      <c r="V40" s="4530">
        <f>년간!M53/60</f>
        <v>0</v>
      </c>
      <c r="W40" s="4530">
        <f>년간!N53/60</f>
        <v>0</v>
      </c>
      <c r="X40" s="4159">
        <f>년간!O53/60</f>
        <v>0</v>
      </c>
      <c r="Y40" s="5521">
        <f>년간!P53/60</f>
        <v>0</v>
      </c>
      <c r="Z40" s="2559">
        <f>년간!Q53/60</f>
        <v>0</v>
      </c>
      <c r="AA40" s="4159">
        <f>년간!V53/60</f>
        <v>2.5166666666666666</v>
      </c>
      <c r="AB40" s="8172"/>
      <c r="AC40" s="8155"/>
      <c r="AD40" s="8155"/>
      <c r="AE40" s="8155"/>
      <c r="AF40" s="8155"/>
      <c r="AG40" s="8155"/>
      <c r="AH40" s="8155"/>
      <c r="AI40" s="8155"/>
      <c r="AJ40" s="8155"/>
      <c r="AK40" s="8155"/>
      <c r="AL40" s="8155"/>
      <c r="AM40" s="8155"/>
      <c r="AN40" s="8155"/>
      <c r="AO40" s="8155"/>
      <c r="AP40" s="8096"/>
      <c r="AQ40" s="8152"/>
    </row>
    <row r="41" spans="1:43" ht="15" customHeight="1">
      <c r="A41" s="8175" t="s">
        <v>17</v>
      </c>
      <c r="B41" s="1184" t="s">
        <v>69</v>
      </c>
      <c r="C41" s="398"/>
      <c r="D41" s="398"/>
      <c r="E41" s="398">
        <v>1.4E-3</v>
      </c>
      <c r="F41" s="496">
        <v>5.0000000000000001E-4</v>
      </c>
      <c r="G41" s="496">
        <v>3.912183272805402E-3</v>
      </c>
      <c r="H41" s="496">
        <v>1.5023938141438692E-3</v>
      </c>
      <c r="I41" s="496">
        <v>1.9165359412900164E-3</v>
      </c>
      <c r="J41" s="2860">
        <v>6.0399218627208838E-4</v>
      </c>
      <c r="K41" s="4090">
        <f>년간!C80</f>
        <v>1.2594320268737344E-3</v>
      </c>
      <c r="L41" s="4090">
        <f>년간!D80</f>
        <v>5.2741707711914025E-4</v>
      </c>
      <c r="M41" s="2782">
        <f>년간!E80</f>
        <v>4.9183098591549298E-4</v>
      </c>
      <c r="N41" s="4090">
        <f>M41</f>
        <v>4.9183098591549298E-4</v>
      </c>
      <c r="O41" s="4090">
        <f>년간!F80</f>
        <v>0</v>
      </c>
      <c r="P41" s="4090">
        <f>년간!G80</f>
        <v>0</v>
      </c>
      <c r="Q41" s="7595">
        <f>년간!H80</f>
        <v>0</v>
      </c>
      <c r="R41" s="4099" t="e">
        <f>년간!I80</f>
        <v>#DIV/0!</v>
      </c>
      <c r="S41" s="4529" t="e">
        <f>년간!J80</f>
        <v>#DIV/0!</v>
      </c>
      <c r="T41" s="4529" t="e">
        <f>년간!K80</f>
        <v>#DIV/0!</v>
      </c>
      <c r="U41" s="4529" t="e">
        <f>년간!L80</f>
        <v>#DIV/0!</v>
      </c>
      <c r="V41" s="4529" t="e">
        <f>년간!M80</f>
        <v>#DIV/0!</v>
      </c>
      <c r="W41" s="4529" t="e">
        <f>년간!N80</f>
        <v>#DIV/0!</v>
      </c>
      <c r="X41" s="4336" t="e">
        <f>년간!O80</f>
        <v>#DIV/0!</v>
      </c>
      <c r="Y41" s="5520" t="e">
        <f>년간!P80</f>
        <v>#DIV/0!</v>
      </c>
      <c r="Z41" s="2664" t="e">
        <f>년간!Q80</f>
        <v>#DIV/0!</v>
      </c>
      <c r="AA41" s="4158">
        <f>년간!V80</f>
        <v>0</v>
      </c>
      <c r="AB41" s="8171">
        <f>년간!E180/1000</f>
        <v>353.27274057593496</v>
      </c>
      <c r="AC41" s="8156">
        <f>년간!F180/1000</f>
        <v>449.70880626625308</v>
      </c>
      <c r="AD41" s="8156">
        <f>년간!G180/1000</f>
        <v>409.69323616122165</v>
      </c>
      <c r="AE41" s="8156">
        <f>년간!H180/1000</f>
        <v>486.91921898572315</v>
      </c>
      <c r="AF41" s="8156" t="e">
        <f>년간!I180/1000</f>
        <v>#DIV/0!</v>
      </c>
      <c r="AG41" s="8156" t="e">
        <f>년간!J180/1000</f>
        <v>#DIV/0!</v>
      </c>
      <c r="AH41" s="8156" t="e">
        <f>년간!K180/1000</f>
        <v>#DIV/0!</v>
      </c>
      <c r="AI41" s="8156" t="e">
        <f>년간!L180/1000</f>
        <v>#DIV/0!</v>
      </c>
      <c r="AJ41" s="8156" t="e">
        <f>년간!M180/1000</f>
        <v>#DIV/0!</v>
      </c>
      <c r="AK41" s="8166" t="e">
        <f>년간!N180/1000</f>
        <v>#DIV/0!</v>
      </c>
      <c r="AL41" s="8157" t="e">
        <f>년간!O180/1000</f>
        <v>#DIV/0!</v>
      </c>
      <c r="AM41" s="8157" t="e">
        <f>년간!P180/1000</f>
        <v>#DIV/0!</v>
      </c>
      <c r="AN41" s="8157" t="e">
        <f>년간!Q180/1000</f>
        <v>#DIV/0!</v>
      </c>
      <c r="AO41" s="8154">
        <f>AC41+AD41</f>
        <v>859.40204242747473</v>
      </c>
      <c r="AP41" s="8165">
        <f>AO41/AB41</f>
        <v>2.4326871103227643</v>
      </c>
      <c r="AQ41" s="8151"/>
    </row>
    <row r="42" spans="1:43" ht="15" customHeight="1">
      <c r="A42" s="8175"/>
      <c r="B42" s="1184" t="s">
        <v>408</v>
      </c>
      <c r="C42" s="400"/>
      <c r="D42" s="400"/>
      <c r="E42" s="400">
        <f>575/60</f>
        <v>9.5833333333333339</v>
      </c>
      <c r="F42" s="498">
        <f>171/60</f>
        <v>2.85</v>
      </c>
      <c r="G42" s="401">
        <v>12</v>
      </c>
      <c r="H42" s="498">
        <v>3.75</v>
      </c>
      <c r="I42" s="498">
        <v>12.533333333333331</v>
      </c>
      <c r="J42" s="2861">
        <v>4.4833333333333334</v>
      </c>
      <c r="K42" s="4533">
        <f>년간!C54/60</f>
        <v>9.5666666666666664</v>
      </c>
      <c r="L42" s="4533">
        <f>년간!D54/60</f>
        <v>4.083333333333333</v>
      </c>
      <c r="M42" s="2783">
        <f>년간!E54/60</f>
        <v>4</v>
      </c>
      <c r="N42" s="4091">
        <f>M42/12</f>
        <v>0.33333333333333331</v>
      </c>
      <c r="O42" s="4533">
        <f>년간!F54/60</f>
        <v>0</v>
      </c>
      <c r="P42" s="4533">
        <f>년간!G54/60</f>
        <v>0</v>
      </c>
      <c r="Q42" s="7617">
        <f>년간!H54/60</f>
        <v>0</v>
      </c>
      <c r="R42" s="7435">
        <f>년간!I54/60</f>
        <v>0</v>
      </c>
      <c r="S42" s="4533">
        <f>년간!J54/60</f>
        <v>0</v>
      </c>
      <c r="T42" s="4942">
        <f>년간!K54/60</f>
        <v>0</v>
      </c>
      <c r="U42" s="4533">
        <f>년간!L54/60</f>
        <v>0</v>
      </c>
      <c r="V42" s="4533">
        <f>년간!M54/60</f>
        <v>0</v>
      </c>
      <c r="W42" s="4533">
        <f>년간!N54/60</f>
        <v>0</v>
      </c>
      <c r="X42" s="4583">
        <f>년간!O54/60</f>
        <v>0</v>
      </c>
      <c r="Y42" s="5524">
        <f>년간!P54/60</f>
        <v>0</v>
      </c>
      <c r="Z42" s="2666">
        <f>년간!Q54/60</f>
        <v>0</v>
      </c>
      <c r="AA42" s="4159">
        <f>년간!V54/60</f>
        <v>0</v>
      </c>
      <c r="AB42" s="8172"/>
      <c r="AC42" s="8155"/>
      <c r="AD42" s="8155"/>
      <c r="AE42" s="8155"/>
      <c r="AF42" s="8155"/>
      <c r="AG42" s="8155"/>
      <c r="AH42" s="8155"/>
      <c r="AI42" s="8155"/>
      <c r="AJ42" s="8155"/>
      <c r="AK42" s="8158"/>
      <c r="AL42" s="8158"/>
      <c r="AM42" s="8158"/>
      <c r="AN42" s="8158"/>
      <c r="AO42" s="8155"/>
      <c r="AP42" s="8096"/>
      <c r="AQ42" s="8152"/>
    </row>
    <row r="43" spans="1:43" ht="15" customHeight="1" thickBot="1">
      <c r="A43" s="8148" t="s">
        <v>31</v>
      </c>
      <c r="B43" s="8148"/>
      <c r="C43" s="1111"/>
      <c r="D43" s="1111"/>
      <c r="E43" s="1111"/>
      <c r="F43" s="1185">
        <f t="shared" ref="F43:AA43" si="42">F34+F36+F38+F40+F42</f>
        <v>100.33333333333333</v>
      </c>
      <c r="G43" s="1185">
        <f t="shared" si="42"/>
        <v>326.43333333333334</v>
      </c>
      <c r="H43" s="1185">
        <v>352.75</v>
      </c>
      <c r="I43" s="1185">
        <f>I34+I36+I38+I40+I42</f>
        <v>165.48333333333335</v>
      </c>
      <c r="J43" s="2589">
        <f>J34+J36+J38+J40+J42</f>
        <v>107.60000000000001</v>
      </c>
      <c r="K43" s="4534">
        <f>K34+K36+K38+K40+K42</f>
        <v>99.833333333333329</v>
      </c>
      <c r="L43" s="4534">
        <f>L34+L36+L38+L40+L42</f>
        <v>57.966666666666669</v>
      </c>
      <c r="M43" s="2784">
        <f t="shared" si="42"/>
        <v>47</v>
      </c>
      <c r="N43" s="2108">
        <f t="shared" si="42"/>
        <v>4.5166666666666666</v>
      </c>
      <c r="O43" s="4534">
        <f t="shared" si="42"/>
        <v>0</v>
      </c>
      <c r="P43" s="4534">
        <f t="shared" si="42"/>
        <v>0.58333333333333337</v>
      </c>
      <c r="Q43" s="7600">
        <f t="shared" si="42"/>
        <v>2.85</v>
      </c>
      <c r="R43" s="7591">
        <f t="shared" si="42"/>
        <v>0</v>
      </c>
      <c r="S43" s="4534">
        <f t="shared" si="42"/>
        <v>0</v>
      </c>
      <c r="T43" s="4943">
        <f t="shared" si="42"/>
        <v>0</v>
      </c>
      <c r="U43" s="4534">
        <f t="shared" si="42"/>
        <v>0</v>
      </c>
      <c r="V43" s="4534">
        <f t="shared" si="42"/>
        <v>0</v>
      </c>
      <c r="W43" s="4534">
        <f t="shared" si="42"/>
        <v>0</v>
      </c>
      <c r="X43" s="4160">
        <f t="shared" si="42"/>
        <v>0</v>
      </c>
      <c r="Y43" s="5525">
        <f t="shared" si="42"/>
        <v>0</v>
      </c>
      <c r="Z43" s="2589">
        <f t="shared" si="42"/>
        <v>0</v>
      </c>
      <c r="AA43" s="4160">
        <f t="shared" si="42"/>
        <v>3.4333333333333331</v>
      </c>
      <c r="AB43" s="1420">
        <f>AB41+AB39+AB37+AB35+AB33</f>
        <v>10891.730888991637</v>
      </c>
      <c r="AC43" s="1182">
        <f>SUM(AC33:AC42)</f>
        <v>1966.6103365513527</v>
      </c>
      <c r="AD43" s="1182">
        <f t="shared" ref="AD43:AN43" si="43">SUM(AD33:AD42)</f>
        <v>1132.3666437176639</v>
      </c>
      <c r="AE43" s="1182">
        <f t="shared" si="43"/>
        <v>3521.5520784846271</v>
      </c>
      <c r="AF43" s="1182" t="e">
        <f t="shared" si="43"/>
        <v>#DIV/0!</v>
      </c>
      <c r="AG43" s="1182" t="e">
        <f t="shared" si="43"/>
        <v>#DIV/0!</v>
      </c>
      <c r="AH43" s="1182" t="e">
        <f t="shared" si="43"/>
        <v>#DIV/0!</v>
      </c>
      <c r="AI43" s="1182" t="e">
        <f t="shared" si="43"/>
        <v>#DIV/0!</v>
      </c>
      <c r="AJ43" s="1182" t="e">
        <f t="shared" si="43"/>
        <v>#DIV/0!</v>
      </c>
      <c r="AK43" s="1182" t="e">
        <f t="shared" si="43"/>
        <v>#DIV/0!</v>
      </c>
      <c r="AL43" s="1182" t="e">
        <f t="shared" si="43"/>
        <v>#DIV/0!</v>
      </c>
      <c r="AM43" s="1182" t="e">
        <f t="shared" si="43"/>
        <v>#DIV/0!</v>
      </c>
      <c r="AN43" s="1182" t="e">
        <f t="shared" si="43"/>
        <v>#DIV/0!</v>
      </c>
      <c r="AO43" s="1182">
        <f>SUM(AO33:AO42)</f>
        <v>3098.9769802690171</v>
      </c>
      <c r="AP43" s="1183">
        <f>AO43/AB43</f>
        <v>0.28452566555800407</v>
      </c>
      <c r="AQ43" s="1111"/>
    </row>
    <row r="44" spans="1:43" ht="15" customHeight="1">
      <c r="A44" s="405"/>
      <c r="B44" s="405"/>
      <c r="C44" s="406"/>
      <c r="D44" s="406"/>
      <c r="E44" s="406"/>
      <c r="F44" s="429"/>
      <c r="G44" s="501"/>
      <c r="H44" s="429"/>
      <c r="I44" s="429"/>
      <c r="J44" s="429"/>
      <c r="K44" s="429"/>
      <c r="L44" s="429"/>
      <c r="M44" s="429"/>
      <c r="N44" s="429"/>
      <c r="O44" s="429"/>
      <c r="P44" s="429"/>
      <c r="Q44" s="429"/>
      <c r="R44" s="429"/>
      <c r="S44" s="429"/>
      <c r="T44" s="429"/>
      <c r="U44" s="406"/>
      <c r="V44" s="406"/>
      <c r="W44" s="406"/>
      <c r="X44" s="406"/>
      <c r="Y44" s="406"/>
      <c r="Z44" s="406"/>
      <c r="AA44" s="406"/>
      <c r="AB44" s="407"/>
    </row>
    <row r="45" spans="1:43" ht="15" customHeight="1" thickBot="1">
      <c r="A45" s="291" t="s">
        <v>618</v>
      </c>
    </row>
    <row r="46" spans="1:43" ht="15" customHeight="1" thickBot="1">
      <c r="A46" s="8159" t="s">
        <v>0</v>
      </c>
      <c r="B46" s="8159"/>
      <c r="C46" s="8148" t="s">
        <v>404</v>
      </c>
      <c r="D46" s="8148" t="s">
        <v>405</v>
      </c>
      <c r="E46" s="8148" t="s">
        <v>406</v>
      </c>
      <c r="F46" s="8148" t="s">
        <v>407</v>
      </c>
      <c r="G46" s="8148" t="s">
        <v>403</v>
      </c>
      <c r="H46" s="8148" t="s">
        <v>1140</v>
      </c>
      <c r="I46" s="8148" t="s">
        <v>1141</v>
      </c>
      <c r="J46" s="8229" t="s">
        <v>1142</v>
      </c>
      <c r="K46" s="8249" t="s">
        <v>1156</v>
      </c>
      <c r="L46" s="8247" t="s">
        <v>1889</v>
      </c>
      <c r="M46" s="8142" t="s">
        <v>1899</v>
      </c>
      <c r="N46" s="7968" t="s">
        <v>893</v>
      </c>
      <c r="O46" s="8160" t="s">
        <v>1923</v>
      </c>
      <c r="P46" s="8161"/>
      <c r="Q46" s="8161"/>
      <c r="R46" s="8161"/>
      <c r="S46" s="8161"/>
      <c r="T46" s="8161"/>
      <c r="U46" s="8161"/>
      <c r="V46" s="8161"/>
      <c r="W46" s="8161"/>
      <c r="X46" s="8161"/>
      <c r="Y46" s="8162"/>
      <c r="Z46" s="8162"/>
      <c r="AA46" s="7958"/>
      <c r="AB46" s="8159"/>
      <c r="AC46" s="8159"/>
      <c r="AD46" s="8159"/>
      <c r="AE46" s="8159"/>
      <c r="AF46" s="8159"/>
      <c r="AG46" s="8159"/>
      <c r="AH46" s="8159"/>
      <c r="AI46" s="8159"/>
      <c r="AJ46" s="8159"/>
      <c r="AK46" s="8159"/>
      <c r="AL46" s="8159"/>
      <c r="AM46" s="8159"/>
      <c r="AN46" s="8159"/>
      <c r="AO46" s="8148" t="s">
        <v>457</v>
      </c>
      <c r="AP46" s="8148" t="s">
        <v>361</v>
      </c>
      <c r="AQ46" s="8159" t="s">
        <v>340</v>
      </c>
    </row>
    <row r="47" spans="1:43" ht="15" customHeight="1" thickTop="1">
      <c r="A47" s="8159"/>
      <c r="B47" s="8159"/>
      <c r="C47" s="8148"/>
      <c r="D47" s="8148"/>
      <c r="E47" s="8148"/>
      <c r="F47" s="8148"/>
      <c r="G47" s="8148"/>
      <c r="H47" s="8148"/>
      <c r="I47" s="8148"/>
      <c r="J47" s="8229"/>
      <c r="K47" s="8249"/>
      <c r="L47" s="8247"/>
      <c r="M47" s="8143"/>
      <c r="N47" s="8228"/>
      <c r="O47" s="4528" t="s">
        <v>409</v>
      </c>
      <c r="P47" s="4528" t="s">
        <v>368</v>
      </c>
      <c r="Q47" s="7594" t="s">
        <v>369</v>
      </c>
      <c r="R47" s="4098" t="s">
        <v>370</v>
      </c>
      <c r="S47" s="4791" t="s">
        <v>371</v>
      </c>
      <c r="T47" s="4936" t="s">
        <v>372</v>
      </c>
      <c r="U47" s="5079" t="s">
        <v>373</v>
      </c>
      <c r="V47" s="5442" t="s">
        <v>374</v>
      </c>
      <c r="W47" s="7427" t="s">
        <v>375</v>
      </c>
      <c r="X47" s="6427" t="s">
        <v>376</v>
      </c>
      <c r="Y47" s="4086" t="s">
        <v>377</v>
      </c>
      <c r="Z47" s="1654" t="s">
        <v>378</v>
      </c>
      <c r="AA47" s="7366" t="s">
        <v>1243</v>
      </c>
      <c r="AB47" s="1234" t="s">
        <v>192</v>
      </c>
      <c r="AC47" s="1181" t="s">
        <v>410</v>
      </c>
      <c r="AD47" s="1181" t="s">
        <v>379</v>
      </c>
      <c r="AE47" s="1181" t="s">
        <v>380</v>
      </c>
      <c r="AF47" s="1181" t="s">
        <v>381</v>
      </c>
      <c r="AG47" s="1181" t="s">
        <v>382</v>
      </c>
      <c r="AH47" s="1181" t="s">
        <v>383</v>
      </c>
      <c r="AI47" s="1181" t="s">
        <v>384</v>
      </c>
      <c r="AJ47" s="1181" t="s">
        <v>385</v>
      </c>
      <c r="AK47" s="1181" t="s">
        <v>386</v>
      </c>
      <c r="AL47" s="6425" t="s">
        <v>387</v>
      </c>
      <c r="AM47" s="6425" t="s">
        <v>388</v>
      </c>
      <c r="AN47" s="6425" t="s">
        <v>389</v>
      </c>
      <c r="AO47" s="8148"/>
      <c r="AP47" s="8148"/>
      <c r="AQ47" s="8159"/>
    </row>
    <row r="48" spans="1:43" ht="15" customHeight="1">
      <c r="A48" s="8173" t="s">
        <v>2</v>
      </c>
      <c r="B48" s="8174"/>
      <c r="C48" s="408"/>
      <c r="D48" s="408">
        <v>23</v>
      </c>
      <c r="E48" s="408">
        <v>19</v>
      </c>
      <c r="F48" s="408">
        <v>19</v>
      </c>
      <c r="G48" s="491">
        <v>61</v>
      </c>
      <c r="H48" s="499">
        <v>51</v>
      </c>
      <c r="I48" s="728">
        <v>20</v>
      </c>
      <c r="J48" s="2588">
        <v>10</v>
      </c>
      <c r="K48" s="2047">
        <f>년간!C40</f>
        <v>3</v>
      </c>
      <c r="L48" s="2047">
        <f>년간!D40</f>
        <v>7</v>
      </c>
      <c r="M48" s="2586">
        <f>년간!E40</f>
        <v>5</v>
      </c>
      <c r="N48" s="4089">
        <f>M48/10</f>
        <v>0.5</v>
      </c>
      <c r="O48" s="4531">
        <f>년간!F40</f>
        <v>0</v>
      </c>
      <c r="P48" s="4531">
        <f>년간!G40</f>
        <v>0</v>
      </c>
      <c r="Q48" s="7602">
        <f>년간!H40</f>
        <v>1</v>
      </c>
      <c r="R48" s="4101">
        <f>년간!I40</f>
        <v>0</v>
      </c>
      <c r="S48" s="4531">
        <f>년간!J40</f>
        <v>0</v>
      </c>
      <c r="T48" s="4531">
        <f>년간!K40</f>
        <v>0</v>
      </c>
      <c r="U48" s="4531">
        <f>년간!L40</f>
        <v>0</v>
      </c>
      <c r="V48" s="4531">
        <f>년간!M40</f>
        <v>0</v>
      </c>
      <c r="W48" s="7425">
        <f>년간!N40</f>
        <v>0</v>
      </c>
      <c r="X48" s="4157">
        <f>년간!O40</f>
        <v>0</v>
      </c>
      <c r="Y48" s="4087">
        <f>년간!P40</f>
        <v>0</v>
      </c>
      <c r="Z48" s="2526">
        <f>년간!Q40</f>
        <v>0</v>
      </c>
      <c r="AA48" s="7399">
        <f>년간!V40</f>
        <v>1</v>
      </c>
      <c r="AB48" s="1235"/>
      <c r="AC48" s="7397"/>
      <c r="AD48" s="7397"/>
      <c r="AE48" s="397"/>
      <c r="AF48" s="397"/>
      <c r="AG48" s="397"/>
      <c r="AH48" s="397"/>
      <c r="AI48" s="397"/>
      <c r="AJ48" s="397"/>
      <c r="AK48" s="397"/>
      <c r="AL48" s="397"/>
      <c r="AM48" s="397"/>
      <c r="AN48" s="397"/>
      <c r="AO48" s="712"/>
      <c r="AP48" s="351"/>
      <c r="AQ48" s="333"/>
    </row>
    <row r="49" spans="1:43" ht="15" customHeight="1">
      <c r="A49" s="8173" t="s">
        <v>3</v>
      </c>
      <c r="B49" s="8174"/>
      <c r="C49" s="408"/>
      <c r="D49" s="408"/>
      <c r="E49" s="408">
        <v>21</v>
      </c>
      <c r="F49" s="408">
        <v>26</v>
      </c>
      <c r="G49" s="491">
        <v>67</v>
      </c>
      <c r="H49" s="499">
        <v>73</v>
      </c>
      <c r="I49" s="728">
        <v>26</v>
      </c>
      <c r="J49" s="2588">
        <v>22</v>
      </c>
      <c r="K49" s="2047">
        <f>년간!C41</f>
        <v>7</v>
      </c>
      <c r="L49" s="2047">
        <f>년간!D41</f>
        <v>7</v>
      </c>
      <c r="M49" s="2586">
        <f>년간!E41</f>
        <v>6</v>
      </c>
      <c r="N49" s="4089">
        <f>M49/10</f>
        <v>0.6</v>
      </c>
      <c r="O49" s="4531">
        <f>년간!F41</f>
        <v>0</v>
      </c>
      <c r="P49" s="4531">
        <f>년간!G41</f>
        <v>0</v>
      </c>
      <c r="Q49" s="7602">
        <f>년간!H41</f>
        <v>0</v>
      </c>
      <c r="R49" s="4101">
        <f>년간!I41</f>
        <v>0</v>
      </c>
      <c r="S49" s="4531">
        <f>년간!J41</f>
        <v>0</v>
      </c>
      <c r="T49" s="4531">
        <f>년간!K41</f>
        <v>0</v>
      </c>
      <c r="U49" s="4531">
        <f>년간!L41</f>
        <v>0</v>
      </c>
      <c r="V49" s="4531">
        <f>년간!M41</f>
        <v>0</v>
      </c>
      <c r="W49" s="7425">
        <f>년간!N41</f>
        <v>0</v>
      </c>
      <c r="X49" s="4157">
        <f>년간!O41</f>
        <v>0</v>
      </c>
      <c r="Y49" s="4087">
        <f>년간!P41</f>
        <v>0</v>
      </c>
      <c r="Z49" s="2526">
        <f>년간!Q41</f>
        <v>0</v>
      </c>
      <c r="AA49" s="7399">
        <f>년간!V41</f>
        <v>0</v>
      </c>
      <c r="AB49" s="1235"/>
      <c r="AC49" s="7397"/>
      <c r="AD49" s="7397"/>
      <c r="AE49" s="397"/>
      <c r="AF49" s="397"/>
      <c r="AG49" s="397"/>
      <c r="AH49" s="397"/>
      <c r="AI49" s="397"/>
      <c r="AJ49" s="397"/>
      <c r="AK49" s="397"/>
      <c r="AL49" s="397"/>
      <c r="AM49" s="397"/>
      <c r="AN49" s="397"/>
      <c r="AO49" s="712"/>
      <c r="AP49" s="351"/>
      <c r="AQ49" s="333"/>
    </row>
    <row r="50" spans="1:43" ht="15" customHeight="1">
      <c r="A50" s="8173" t="s">
        <v>4</v>
      </c>
      <c r="B50" s="8174"/>
      <c r="C50" s="408"/>
      <c r="D50" s="408"/>
      <c r="E50" s="408">
        <v>14</v>
      </c>
      <c r="F50" s="408">
        <v>26</v>
      </c>
      <c r="G50" s="491">
        <v>35</v>
      </c>
      <c r="H50" s="499">
        <v>27</v>
      </c>
      <c r="I50" s="728">
        <v>15</v>
      </c>
      <c r="J50" s="2588">
        <v>13</v>
      </c>
      <c r="K50" s="2047">
        <f>년간!C42</f>
        <v>18</v>
      </c>
      <c r="L50" s="2047">
        <f>년간!D42</f>
        <v>3</v>
      </c>
      <c r="M50" s="2586">
        <f>년간!E42</f>
        <v>6</v>
      </c>
      <c r="N50" s="4089">
        <f>M50/10</f>
        <v>0.6</v>
      </c>
      <c r="O50" s="4531">
        <f>년간!F42</f>
        <v>0</v>
      </c>
      <c r="P50" s="4535">
        <f>년간!G42</f>
        <v>0</v>
      </c>
      <c r="Q50" s="7602">
        <f>년간!H42</f>
        <v>1</v>
      </c>
      <c r="R50" s="4101">
        <f>년간!I42</f>
        <v>0</v>
      </c>
      <c r="S50" s="4531">
        <f>년간!J42</f>
        <v>0</v>
      </c>
      <c r="T50" s="4531">
        <f>년간!K42</f>
        <v>0</v>
      </c>
      <c r="U50" s="4531">
        <f>년간!L42</f>
        <v>0</v>
      </c>
      <c r="V50" s="4531">
        <f>년간!M42</f>
        <v>0</v>
      </c>
      <c r="W50" s="7425">
        <f>년간!N42</f>
        <v>0</v>
      </c>
      <c r="X50" s="4157">
        <f>년간!O42</f>
        <v>0</v>
      </c>
      <c r="Y50" s="4087">
        <f>년간!P42</f>
        <v>0</v>
      </c>
      <c r="Z50" s="2526">
        <f>년간!Q42</f>
        <v>0</v>
      </c>
      <c r="AA50" s="7399">
        <f>년간!V42</f>
        <v>1</v>
      </c>
      <c r="AB50" s="1421">
        <f>년간!E188/1000</f>
        <v>-8979.8444998434297</v>
      </c>
      <c r="AC50" s="7398"/>
      <c r="AD50" s="7398"/>
      <c r="AE50" s="368">
        <f>년간!H188/1000</f>
        <v>-2244.9611249608574</v>
      </c>
      <c r="AF50" s="368">
        <f>년간!I188/1000</f>
        <v>748.32037498695252</v>
      </c>
      <c r="AG50" s="368">
        <f>년간!J188/1000</f>
        <v>748.32037498695252</v>
      </c>
      <c r="AH50" s="368">
        <f>년간!K188/1000</f>
        <v>748.32037498695252</v>
      </c>
      <c r="AI50" s="368">
        <f>년간!L188/1000</f>
        <v>748.32037498695252</v>
      </c>
      <c r="AJ50" s="368">
        <f>년간!M188/1000</f>
        <v>748.32037498695252</v>
      </c>
      <c r="AK50" s="368">
        <f>년간!N188/1000</f>
        <v>748.32037498695252</v>
      </c>
      <c r="AL50" s="368">
        <f>년간!O188/1000</f>
        <v>748.32037498695252</v>
      </c>
      <c r="AM50" s="368">
        <f>년간!P188/1000</f>
        <v>748.32037498695252</v>
      </c>
      <c r="AN50" s="368">
        <f>년간!Q188/1000</f>
        <v>748.32037498695252</v>
      </c>
      <c r="AO50" s="848">
        <f>AC50+AD50</f>
        <v>0</v>
      </c>
      <c r="AP50" s="351">
        <f>AO50/AB50</f>
        <v>0</v>
      </c>
      <c r="AQ50" s="333"/>
    </row>
    <row r="51" spans="1:43" ht="15" customHeight="1">
      <c r="A51" s="8173" t="s">
        <v>190</v>
      </c>
      <c r="B51" s="8174"/>
      <c r="C51" s="408"/>
      <c r="D51" s="408"/>
      <c r="E51" s="408">
        <v>10</v>
      </c>
      <c r="F51" s="408">
        <v>14</v>
      </c>
      <c r="G51" s="491">
        <v>19</v>
      </c>
      <c r="H51" s="499">
        <v>30</v>
      </c>
      <c r="I51" s="728">
        <v>12</v>
      </c>
      <c r="J51" s="2588">
        <v>4</v>
      </c>
      <c r="K51" s="2047">
        <f>년간!C43</f>
        <v>6</v>
      </c>
      <c r="L51" s="6460">
        <f>년간!D43</f>
        <v>9</v>
      </c>
      <c r="M51" s="2586">
        <f>년간!E43</f>
        <v>6</v>
      </c>
      <c r="N51" s="4089">
        <f>M51/12</f>
        <v>0.5</v>
      </c>
      <c r="O51" s="4531">
        <f>년간!F43</f>
        <v>0</v>
      </c>
      <c r="P51" s="4531">
        <f>년간!G43</f>
        <v>1</v>
      </c>
      <c r="Q51" s="7602">
        <f>년간!H43</f>
        <v>1</v>
      </c>
      <c r="R51" s="4101">
        <f>년간!I43</f>
        <v>0</v>
      </c>
      <c r="S51" s="4531">
        <f>년간!J43</f>
        <v>0</v>
      </c>
      <c r="T51" s="4531">
        <f>년간!K43</f>
        <v>0</v>
      </c>
      <c r="U51" s="4531">
        <f>년간!L43</f>
        <v>0</v>
      </c>
      <c r="V51" s="4531">
        <f>년간!M43</f>
        <v>0</v>
      </c>
      <c r="W51" s="7425">
        <f>년간!N43</f>
        <v>0</v>
      </c>
      <c r="X51" s="4157">
        <f>년간!O43</f>
        <v>0</v>
      </c>
      <c r="Y51" s="4087">
        <f>년간!P43</f>
        <v>0</v>
      </c>
      <c r="Z51" s="2526">
        <f>년간!Q43</f>
        <v>0</v>
      </c>
      <c r="AA51" s="7399">
        <f>년간!V43</f>
        <v>2</v>
      </c>
      <c r="AB51" s="1421">
        <f>년간!E189/1000</f>
        <v>3695.9744941210797</v>
      </c>
      <c r="AC51" s="368">
        <f>년간!F189/1000</f>
        <v>923.99362353026993</v>
      </c>
      <c r="AD51" s="368">
        <f>년간!G189/1000</f>
        <v>-307.99787451008996</v>
      </c>
      <c r="AE51" s="368">
        <f>년간!H189/1000</f>
        <v>-307.99787451008996</v>
      </c>
      <c r="AF51" s="368">
        <f>년간!I189/1000</f>
        <v>923.99362353026993</v>
      </c>
      <c r="AG51" s="368">
        <f>년간!J189/1000</f>
        <v>923.99362353026993</v>
      </c>
      <c r="AH51" s="368">
        <f>년간!K189/1000</f>
        <v>923.99362353026993</v>
      </c>
      <c r="AI51" s="368">
        <f>년간!L189/1000</f>
        <v>923.99362353026993</v>
      </c>
      <c r="AJ51" s="368">
        <f>년간!M189/1000</f>
        <v>923.99362353026993</v>
      </c>
      <c r="AK51" s="368">
        <f>년간!N189/1000</f>
        <v>923.99362353026993</v>
      </c>
      <c r="AL51" s="368">
        <f>년간!O189/1000</f>
        <v>923.99362353026993</v>
      </c>
      <c r="AM51" s="368">
        <f>년간!P189/1000</f>
        <v>923.99362353026993</v>
      </c>
      <c r="AN51" s="368">
        <f>년간!Q189/1000</f>
        <v>923.99362353026993</v>
      </c>
      <c r="AO51" s="848">
        <f>AC51+AD51</f>
        <v>615.99574902018003</v>
      </c>
      <c r="AP51" s="351">
        <f>AO51/AB51</f>
        <v>0.16666666666666669</v>
      </c>
      <c r="AQ51" s="333"/>
    </row>
    <row r="52" spans="1:43" ht="15" customHeight="1">
      <c r="A52" s="8173" t="s">
        <v>17</v>
      </c>
      <c r="B52" s="8174"/>
      <c r="C52" s="408"/>
      <c r="D52" s="408"/>
      <c r="E52" s="408">
        <v>7</v>
      </c>
      <c r="F52" s="408">
        <v>4</v>
      </c>
      <c r="G52" s="491">
        <v>13</v>
      </c>
      <c r="H52" s="499">
        <v>5</v>
      </c>
      <c r="I52" s="728">
        <v>14</v>
      </c>
      <c r="J52" s="2588">
        <v>3</v>
      </c>
      <c r="K52" s="2047">
        <f>년간!C44</f>
        <v>6</v>
      </c>
      <c r="L52" s="2047">
        <f>년간!D44</f>
        <v>4</v>
      </c>
      <c r="M52" s="2586">
        <f>년간!E44</f>
        <v>4</v>
      </c>
      <c r="N52" s="4089">
        <f>M52/12</f>
        <v>0.33333333333333331</v>
      </c>
      <c r="O52" s="4531">
        <f>년간!F44</f>
        <v>0</v>
      </c>
      <c r="P52" s="7425">
        <f>년간!G44</f>
        <v>0</v>
      </c>
      <c r="Q52" s="7602">
        <f>년간!H44</f>
        <v>0</v>
      </c>
      <c r="R52" s="4101">
        <f>년간!I44</f>
        <v>0</v>
      </c>
      <c r="S52" s="4531">
        <f>년간!J44</f>
        <v>0</v>
      </c>
      <c r="T52" s="4531">
        <f>년간!K44</f>
        <v>0</v>
      </c>
      <c r="U52" s="4531">
        <f>년간!L44</f>
        <v>0</v>
      </c>
      <c r="V52" s="4531">
        <f>년간!M44</f>
        <v>0</v>
      </c>
      <c r="W52" s="7425">
        <f>년간!N44</f>
        <v>0</v>
      </c>
      <c r="X52" s="4157">
        <f>년간!O44</f>
        <v>0</v>
      </c>
      <c r="Y52" s="4087">
        <f>년간!P44</f>
        <v>0</v>
      </c>
      <c r="Z52" s="2526">
        <f>년간!Q44</f>
        <v>0</v>
      </c>
      <c r="AA52" s="7399">
        <f>년간!V44</f>
        <v>0</v>
      </c>
      <c r="AB52" s="1421">
        <f>년간!E190/1000</f>
        <v>0</v>
      </c>
      <c r="AC52" s="368">
        <f>년간!F190/1000</f>
        <v>244.1867430465733</v>
      </c>
      <c r="AD52" s="368">
        <f>년간!G190/1000</f>
        <v>244.1867430465733</v>
      </c>
      <c r="AE52" s="368">
        <f>년간!H190/1000</f>
        <v>244.1867430465733</v>
      </c>
      <c r="AF52" s="368">
        <f>년간!I190/1000</f>
        <v>244.1867430465733</v>
      </c>
      <c r="AG52" s="368">
        <f>년간!J190/1000</f>
        <v>244.1867430465733</v>
      </c>
      <c r="AH52" s="368">
        <f>년간!K190/1000</f>
        <v>244.1867430465733</v>
      </c>
      <c r="AI52" s="368">
        <f>년간!L190/1000</f>
        <v>244.1867430465733</v>
      </c>
      <c r="AJ52" s="368">
        <f>년간!M190/1000</f>
        <v>244.1867430465733</v>
      </c>
      <c r="AK52" s="368">
        <f>년간!N190/1000</f>
        <v>244.1867430465733</v>
      </c>
      <c r="AL52" s="368">
        <f>년간!O190/1000</f>
        <v>244.1867430465733</v>
      </c>
      <c r="AM52" s="368">
        <f>년간!P190/1000</f>
        <v>244.1867430465733</v>
      </c>
      <c r="AN52" s="368">
        <f>년간!Q190/1000</f>
        <v>244.1867430465733</v>
      </c>
      <c r="AO52" s="848">
        <f>AC52+AD52</f>
        <v>488.3734860931466</v>
      </c>
      <c r="AP52" s="351"/>
      <c r="AQ52" s="333"/>
    </row>
    <row r="53" spans="1:43" ht="15" customHeight="1" thickBot="1">
      <c r="A53" s="8148" t="s">
        <v>31</v>
      </c>
      <c r="B53" s="8148"/>
      <c r="C53" s="1111"/>
      <c r="D53" s="1111"/>
      <c r="E53" s="4676">
        <f>SUM(E48:E52)</f>
        <v>71</v>
      </c>
      <c r="F53" s="1111">
        <f>SUM(F48:F52)</f>
        <v>89</v>
      </c>
      <c r="G53" s="1111">
        <f>SUM(G48:G52)</f>
        <v>195</v>
      </c>
      <c r="H53" s="1112">
        <v>186</v>
      </c>
      <c r="I53" s="1111">
        <f t="shared" ref="I53:O53" si="44">SUM(I48:I52)</f>
        <v>87</v>
      </c>
      <c r="J53" s="1483">
        <f t="shared" si="44"/>
        <v>52</v>
      </c>
      <c r="K53" s="2048">
        <f t="shared" si="44"/>
        <v>40</v>
      </c>
      <c r="L53" s="2048">
        <f>SUM(L48:L52)</f>
        <v>30</v>
      </c>
      <c r="M53" s="2765">
        <f t="shared" si="44"/>
        <v>27</v>
      </c>
      <c r="N53" s="4092">
        <f t="shared" si="44"/>
        <v>2.5333333333333337</v>
      </c>
      <c r="O53" s="4532">
        <f t="shared" si="44"/>
        <v>0</v>
      </c>
      <c r="P53" s="4564">
        <f t="shared" ref="P53:AA53" si="45">SUM(P48:P52)</f>
        <v>1</v>
      </c>
      <c r="Q53" s="7599">
        <f t="shared" si="45"/>
        <v>3</v>
      </c>
      <c r="R53" s="7588">
        <f t="shared" si="45"/>
        <v>0</v>
      </c>
      <c r="S53" s="4532">
        <f t="shared" si="45"/>
        <v>0</v>
      </c>
      <c r="T53" s="4593">
        <f t="shared" si="45"/>
        <v>0</v>
      </c>
      <c r="U53" s="4532">
        <f t="shared" si="45"/>
        <v>0</v>
      </c>
      <c r="V53" s="4532">
        <f t="shared" si="45"/>
        <v>0</v>
      </c>
      <c r="W53" s="4532">
        <f t="shared" si="45"/>
        <v>0</v>
      </c>
      <c r="X53" s="7424">
        <f t="shared" si="45"/>
        <v>0</v>
      </c>
      <c r="Y53" s="4088">
        <f t="shared" si="45"/>
        <v>0</v>
      </c>
      <c r="Z53" s="2665">
        <f t="shared" si="45"/>
        <v>0</v>
      </c>
      <c r="AA53" s="7364">
        <f t="shared" si="45"/>
        <v>4</v>
      </c>
      <c r="AB53" s="1420">
        <f>SUM(AB48:AB52)</f>
        <v>-5283.8700057223505</v>
      </c>
      <c r="AC53" s="1182">
        <f>SUM(AC50:AC52)</f>
        <v>1168.1803665768432</v>
      </c>
      <c r="AD53" s="1182">
        <f>SUM(AD50:AD52)</f>
        <v>-63.811131463516659</v>
      </c>
      <c r="AE53" s="1182">
        <f>SUM(AE50:AE51)</f>
        <v>-2552.9589994709472</v>
      </c>
      <c r="AF53" s="1182">
        <f t="shared" ref="AF53:AN53" si="46">SUM(AF50:AF51)</f>
        <v>1672.3139985172224</v>
      </c>
      <c r="AG53" s="1182">
        <f t="shared" si="46"/>
        <v>1672.3139985172224</v>
      </c>
      <c r="AH53" s="1182">
        <f t="shared" si="46"/>
        <v>1672.3139985172224</v>
      </c>
      <c r="AI53" s="1182">
        <f t="shared" si="46"/>
        <v>1672.3139985172224</v>
      </c>
      <c r="AJ53" s="1182">
        <f t="shared" si="46"/>
        <v>1672.3139985172224</v>
      </c>
      <c r="AK53" s="1182">
        <f t="shared" si="46"/>
        <v>1672.3139985172224</v>
      </c>
      <c r="AL53" s="1182">
        <f t="shared" si="46"/>
        <v>1672.3139985172224</v>
      </c>
      <c r="AM53" s="1182">
        <f t="shared" si="46"/>
        <v>1672.3139985172224</v>
      </c>
      <c r="AN53" s="1182">
        <f t="shared" si="46"/>
        <v>1672.3139985172224</v>
      </c>
      <c r="AO53" s="1182">
        <f>SUM(AO50:AO52)</f>
        <v>1104.3692351133266</v>
      </c>
      <c r="AP53" s="1183">
        <f>AO53/AB53</f>
        <v>-0.20900764665241794</v>
      </c>
      <c r="AQ53" s="1111"/>
    </row>
    <row r="54" spans="1:43" ht="15" customHeight="1">
      <c r="A54" s="410"/>
      <c r="B54" s="410"/>
      <c r="C54" s="101"/>
      <c r="D54" s="101"/>
      <c r="E54" s="101"/>
      <c r="F54" s="101"/>
      <c r="G54" s="101"/>
      <c r="H54" s="411"/>
      <c r="I54" s="411"/>
      <c r="J54" s="411"/>
      <c r="K54" s="411"/>
      <c r="L54" s="411"/>
      <c r="M54" s="411"/>
      <c r="N54" s="411"/>
      <c r="O54" s="411"/>
      <c r="P54" s="411"/>
      <c r="Q54" s="101"/>
      <c r="R54" s="101"/>
      <c r="S54" s="101"/>
      <c r="T54" s="101"/>
      <c r="U54" s="101">
        <f>U53+U91</f>
        <v>0</v>
      </c>
      <c r="V54" s="101">
        <f>V53+V91</f>
        <v>0</v>
      </c>
      <c r="W54" s="101">
        <f>W53+W91</f>
        <v>0</v>
      </c>
      <c r="X54" s="101">
        <f>X53+X91</f>
        <v>0</v>
      </c>
      <c r="Y54" s="101"/>
      <c r="Z54" s="101"/>
      <c r="AA54" s="101"/>
      <c r="AB54" s="412"/>
      <c r="AC54" s="413"/>
      <c r="AD54" s="413"/>
      <c r="AE54" s="413"/>
      <c r="AF54" s="413"/>
      <c r="AG54" s="413"/>
      <c r="AH54" s="413"/>
      <c r="AI54" s="413"/>
      <c r="AJ54" s="413"/>
      <c r="AK54" s="413"/>
      <c r="AL54" s="413"/>
      <c r="AM54" s="413"/>
      <c r="AN54" s="413"/>
      <c r="AO54" s="413"/>
      <c r="AP54" s="315"/>
      <c r="AQ54" s="414"/>
    </row>
    <row r="55" spans="1:43" ht="15" customHeight="1" thickBot="1">
      <c r="A55" s="291" t="s">
        <v>619</v>
      </c>
      <c r="C55" s="101"/>
      <c r="D55" s="101"/>
      <c r="E55" s="101"/>
      <c r="F55" s="101"/>
      <c r="G55" s="101"/>
      <c r="H55" s="411"/>
      <c r="I55" s="411"/>
      <c r="J55" s="411"/>
      <c r="K55" s="411"/>
      <c r="L55" s="411"/>
      <c r="M55" s="411"/>
      <c r="N55" s="411"/>
      <c r="O55" s="411"/>
      <c r="P55" s="411"/>
      <c r="Q55" s="101"/>
      <c r="R55" s="101"/>
      <c r="S55" s="101"/>
      <c r="T55" s="101"/>
      <c r="U55" s="415">
        <f t="shared" ref="U55:Z55" si="47">U43+U81</f>
        <v>0</v>
      </c>
      <c r="V55" s="415">
        <f t="shared" si="47"/>
        <v>0</v>
      </c>
      <c r="W55" s="415">
        <f t="shared" si="47"/>
        <v>0</v>
      </c>
      <c r="X55" s="415">
        <f t="shared" si="47"/>
        <v>0</v>
      </c>
      <c r="Y55" s="415">
        <f t="shared" si="47"/>
        <v>0</v>
      </c>
      <c r="Z55" s="415">
        <f t="shared" si="47"/>
        <v>0</v>
      </c>
      <c r="AA55" s="415"/>
      <c r="AB55" s="415"/>
      <c r="AC55" s="413"/>
      <c r="AD55" s="413"/>
      <c r="AE55" s="413"/>
      <c r="AF55" s="413"/>
      <c r="AG55" s="413"/>
      <c r="AH55" s="413"/>
      <c r="AI55" s="413"/>
      <c r="AJ55" s="413"/>
      <c r="AK55" s="413"/>
      <c r="AL55" s="413"/>
      <c r="AM55" s="413"/>
      <c r="AN55" s="413"/>
      <c r="AO55" s="413"/>
      <c r="AP55" s="315"/>
      <c r="AQ55" s="414"/>
    </row>
    <row r="56" spans="1:43" ht="15" customHeight="1" thickBot="1">
      <c r="A56" s="7750" t="s">
        <v>0</v>
      </c>
      <c r="B56" s="7835"/>
      <c r="C56" s="7844" t="s">
        <v>404</v>
      </c>
      <c r="D56" s="7844" t="s">
        <v>405</v>
      </c>
      <c r="E56" s="7844" t="s">
        <v>406</v>
      </c>
      <c r="F56" s="7844" t="s">
        <v>407</v>
      </c>
      <c r="G56" s="7844" t="s">
        <v>403</v>
      </c>
      <c r="H56" s="7844" t="s">
        <v>1140</v>
      </c>
      <c r="I56" s="7844" t="s">
        <v>1141</v>
      </c>
      <c r="J56" s="8208" t="s">
        <v>1142</v>
      </c>
      <c r="K56" s="8208" t="s">
        <v>1156</v>
      </c>
      <c r="L56" s="8208" t="s">
        <v>1889</v>
      </c>
      <c r="M56" s="8142" t="s">
        <v>1251</v>
      </c>
      <c r="N56" s="7968" t="s">
        <v>893</v>
      </c>
      <c r="O56" s="8160" t="s">
        <v>1923</v>
      </c>
      <c r="P56" s="8161"/>
      <c r="Q56" s="8161"/>
      <c r="R56" s="8161"/>
      <c r="S56" s="8161"/>
      <c r="T56" s="8161"/>
      <c r="U56" s="8161"/>
      <c r="V56" s="8161"/>
      <c r="W56" s="8161"/>
      <c r="X56" s="8161"/>
      <c r="Y56" s="8162"/>
      <c r="Z56" s="8162"/>
      <c r="AA56" s="7958"/>
      <c r="AB56" s="8159"/>
      <c r="AC56" s="8159"/>
      <c r="AD56" s="8159"/>
      <c r="AE56" s="8159"/>
      <c r="AF56" s="8159"/>
      <c r="AG56" s="8159"/>
      <c r="AH56" s="8159"/>
      <c r="AI56" s="8159"/>
      <c r="AJ56" s="8159"/>
      <c r="AK56" s="8159"/>
      <c r="AL56" s="8159"/>
      <c r="AM56" s="8159"/>
      <c r="AN56" s="8159"/>
      <c r="AO56" s="8148" t="s">
        <v>457</v>
      </c>
      <c r="AP56" s="8148" t="s">
        <v>361</v>
      </c>
      <c r="AQ56" s="8159" t="s">
        <v>283</v>
      </c>
    </row>
    <row r="57" spans="1:43" ht="15" customHeight="1" thickTop="1" thickBot="1">
      <c r="A57" s="8183"/>
      <c r="B57" s="8184"/>
      <c r="C57" s="8153"/>
      <c r="D57" s="8153"/>
      <c r="E57" s="8153"/>
      <c r="F57" s="8153"/>
      <c r="G57" s="8153"/>
      <c r="H57" s="8153"/>
      <c r="I57" s="8153"/>
      <c r="J57" s="8230"/>
      <c r="K57" s="8230"/>
      <c r="L57" s="8230"/>
      <c r="M57" s="8180"/>
      <c r="N57" s="7951"/>
      <c r="O57" s="4528" t="s">
        <v>415</v>
      </c>
      <c r="P57" s="4528" t="s">
        <v>368</v>
      </c>
      <c r="Q57" s="7594" t="s">
        <v>369</v>
      </c>
      <c r="R57" s="4098" t="s">
        <v>370</v>
      </c>
      <c r="S57" s="4791" t="s">
        <v>371</v>
      </c>
      <c r="T57" s="4936" t="s">
        <v>372</v>
      </c>
      <c r="U57" s="5079" t="s">
        <v>373</v>
      </c>
      <c r="V57" s="5442" t="s">
        <v>374</v>
      </c>
      <c r="W57" s="7427" t="s">
        <v>375</v>
      </c>
      <c r="X57" s="6427" t="s">
        <v>376</v>
      </c>
      <c r="Y57" s="4086" t="s">
        <v>377</v>
      </c>
      <c r="Z57" s="2663" t="s">
        <v>378</v>
      </c>
      <c r="AA57" s="7366" t="s">
        <v>1243</v>
      </c>
      <c r="AB57" s="1181" t="s">
        <v>192</v>
      </c>
      <c r="AC57" s="1181" t="s">
        <v>410</v>
      </c>
      <c r="AD57" s="1181" t="s">
        <v>379</v>
      </c>
      <c r="AE57" s="1181" t="s">
        <v>380</v>
      </c>
      <c r="AF57" s="1181" t="s">
        <v>381</v>
      </c>
      <c r="AG57" s="1181" t="s">
        <v>382</v>
      </c>
      <c r="AH57" s="1181" t="s">
        <v>383</v>
      </c>
      <c r="AI57" s="1181" t="s">
        <v>384</v>
      </c>
      <c r="AJ57" s="1181" t="s">
        <v>385</v>
      </c>
      <c r="AK57" s="1181" t="s">
        <v>386</v>
      </c>
      <c r="AL57" s="6425" t="s">
        <v>387</v>
      </c>
      <c r="AM57" s="6425" t="s">
        <v>388</v>
      </c>
      <c r="AN57" s="6425" t="s">
        <v>389</v>
      </c>
      <c r="AO57" s="8148"/>
      <c r="AP57" s="8148"/>
      <c r="AQ57" s="8159"/>
    </row>
    <row r="58" spans="1:43" ht="15" customHeight="1">
      <c r="A58" s="8181" t="s">
        <v>2</v>
      </c>
      <c r="B58" s="8182"/>
      <c r="C58" s="2590"/>
      <c r="D58" s="2590">
        <v>23</v>
      </c>
      <c r="E58" s="2590">
        <v>19</v>
      </c>
      <c r="F58" s="2590"/>
      <c r="G58" s="2590"/>
      <c r="H58" s="2590">
        <v>9</v>
      </c>
      <c r="I58" s="2590">
        <v>1</v>
      </c>
      <c r="J58" s="2591">
        <v>6</v>
      </c>
      <c r="K58" s="2591">
        <v>6</v>
      </c>
      <c r="L58" s="2591">
        <v>8</v>
      </c>
      <c r="M58" s="2592">
        <f>M132+M143</f>
        <v>4</v>
      </c>
      <c r="N58" s="4093">
        <f>M58/12</f>
        <v>0.33333333333333331</v>
      </c>
      <c r="O58" s="4531">
        <f>O132+O143</f>
        <v>1</v>
      </c>
      <c r="P58" s="4531">
        <v>0</v>
      </c>
      <c r="Q58" s="7598">
        <f t="shared" ref="Q58:Z58" si="48">Q132+Q143</f>
        <v>1</v>
      </c>
      <c r="R58" s="4101">
        <f t="shared" si="48"/>
        <v>0</v>
      </c>
      <c r="S58" s="4531">
        <f t="shared" si="48"/>
        <v>0</v>
      </c>
      <c r="T58" s="4531">
        <f t="shared" si="48"/>
        <v>0</v>
      </c>
      <c r="U58" s="4531">
        <f t="shared" si="48"/>
        <v>0</v>
      </c>
      <c r="V58" s="4531">
        <f t="shared" si="48"/>
        <v>0</v>
      </c>
      <c r="W58" s="7425">
        <f t="shared" si="48"/>
        <v>0</v>
      </c>
      <c r="X58" s="4157">
        <f t="shared" si="48"/>
        <v>0</v>
      </c>
      <c r="Y58" s="4087">
        <f t="shared" si="48"/>
        <v>0</v>
      </c>
      <c r="Z58" s="2526">
        <f t="shared" si="48"/>
        <v>0</v>
      </c>
      <c r="AA58" s="4157">
        <f>SUM(O58:Z58)</f>
        <v>2</v>
      </c>
      <c r="AB58" s="3079">
        <f>AB132+AB143</f>
        <v>202647.28</v>
      </c>
      <c r="AC58" s="848">
        <f>AC132</f>
        <v>0</v>
      </c>
      <c r="AD58" s="848">
        <f t="shared" ref="AD58:AN58" si="49">AD132</f>
        <v>0</v>
      </c>
      <c r="AE58" s="848">
        <f t="shared" si="49"/>
        <v>11472</v>
      </c>
      <c r="AF58" s="848">
        <f t="shared" si="49"/>
        <v>0</v>
      </c>
      <c r="AG58" s="848">
        <f t="shared" si="49"/>
        <v>0</v>
      </c>
      <c r="AH58" s="848">
        <f t="shared" si="49"/>
        <v>0</v>
      </c>
      <c r="AI58" s="848">
        <f t="shared" si="49"/>
        <v>0</v>
      </c>
      <c r="AJ58" s="848">
        <f t="shared" si="49"/>
        <v>0</v>
      </c>
      <c r="AK58" s="848">
        <f t="shared" si="49"/>
        <v>0</v>
      </c>
      <c r="AL58" s="848">
        <f t="shared" si="49"/>
        <v>0</v>
      </c>
      <c r="AM58" s="848">
        <f t="shared" si="49"/>
        <v>0</v>
      </c>
      <c r="AN58" s="848">
        <f t="shared" si="49"/>
        <v>0</v>
      </c>
      <c r="AO58" s="409">
        <f>SUM(AC58:AN58)</f>
        <v>11472</v>
      </c>
      <c r="AP58" s="351">
        <f t="shared" ref="AP58:AP63" si="50">AO58/AB58</f>
        <v>5.6610678416211653E-2</v>
      </c>
      <c r="AQ58" s="416"/>
    </row>
    <row r="59" spans="1:43" ht="15" customHeight="1">
      <c r="A59" s="8173" t="s">
        <v>3</v>
      </c>
      <c r="B59" s="8174"/>
      <c r="C59" s="408"/>
      <c r="D59" s="408"/>
      <c r="E59" s="408">
        <v>21</v>
      </c>
      <c r="F59" s="408"/>
      <c r="G59" s="491"/>
      <c r="H59" s="408">
        <v>10</v>
      </c>
      <c r="I59" s="499">
        <v>5</v>
      </c>
      <c r="J59" s="1585">
        <v>7</v>
      </c>
      <c r="K59" s="4531">
        <v>8</v>
      </c>
      <c r="L59" s="2591">
        <v>3</v>
      </c>
      <c r="M59" s="2592">
        <f>M133+M144</f>
        <v>2</v>
      </c>
      <c r="N59" s="4094">
        <f>M59/12</f>
        <v>0.16666666666666666</v>
      </c>
      <c r="O59" s="4531">
        <f>O133+O144</f>
        <v>0</v>
      </c>
      <c r="P59" s="4531">
        <f t="shared" ref="P59:Z59" si="51">P133+P144</f>
        <v>0</v>
      </c>
      <c r="Q59" s="7598">
        <f t="shared" si="51"/>
        <v>0</v>
      </c>
      <c r="R59" s="4101">
        <f t="shared" si="51"/>
        <v>0</v>
      </c>
      <c r="S59" s="4531">
        <f t="shared" si="51"/>
        <v>0</v>
      </c>
      <c r="T59" s="4531">
        <f t="shared" si="51"/>
        <v>0</v>
      </c>
      <c r="U59" s="4531">
        <f t="shared" si="51"/>
        <v>0</v>
      </c>
      <c r="V59" s="4531">
        <f t="shared" si="51"/>
        <v>0</v>
      </c>
      <c r="W59" s="7425">
        <f t="shared" si="51"/>
        <v>0</v>
      </c>
      <c r="X59" s="4157">
        <f t="shared" si="51"/>
        <v>0</v>
      </c>
      <c r="Y59" s="4087">
        <f t="shared" si="51"/>
        <v>0</v>
      </c>
      <c r="Z59" s="2526">
        <f t="shared" si="51"/>
        <v>0</v>
      </c>
      <c r="AA59" s="4157">
        <f>SUM(O59:Z59)</f>
        <v>0</v>
      </c>
      <c r="AB59" s="3079">
        <f>AB133+AB144</f>
        <v>96843.5</v>
      </c>
      <c r="AC59" s="848">
        <f t="shared" ref="AC59:AN62" si="52">AC133</f>
        <v>0</v>
      </c>
      <c r="AD59" s="848">
        <f t="shared" si="52"/>
        <v>0</v>
      </c>
      <c r="AE59" s="848">
        <f t="shared" si="52"/>
        <v>0</v>
      </c>
      <c r="AF59" s="848">
        <f t="shared" si="52"/>
        <v>0</v>
      </c>
      <c r="AG59" s="848">
        <f t="shared" si="52"/>
        <v>0</v>
      </c>
      <c r="AH59" s="848">
        <f t="shared" si="52"/>
        <v>0</v>
      </c>
      <c r="AI59" s="848">
        <f t="shared" si="52"/>
        <v>0</v>
      </c>
      <c r="AJ59" s="848">
        <f t="shared" si="52"/>
        <v>0</v>
      </c>
      <c r="AK59" s="848">
        <f t="shared" si="52"/>
        <v>0</v>
      </c>
      <c r="AL59" s="848">
        <f t="shared" si="52"/>
        <v>0</v>
      </c>
      <c r="AM59" s="848">
        <f t="shared" si="52"/>
        <v>0</v>
      </c>
      <c r="AN59" s="848">
        <f t="shared" si="52"/>
        <v>0</v>
      </c>
      <c r="AO59" s="409">
        <f>SUM(AC59:AN59)</f>
        <v>0</v>
      </c>
      <c r="AP59" s="351">
        <f t="shared" si="50"/>
        <v>0</v>
      </c>
      <c r="AQ59" s="416"/>
    </row>
    <row r="60" spans="1:43" ht="15" customHeight="1">
      <c r="A60" s="8173" t="s">
        <v>4</v>
      </c>
      <c r="B60" s="8174"/>
      <c r="C60" s="408"/>
      <c r="D60" s="408"/>
      <c r="E60" s="408">
        <v>14</v>
      </c>
      <c r="F60" s="408"/>
      <c r="G60" s="491"/>
      <c r="H60" s="408">
        <v>13</v>
      </c>
      <c r="I60" s="499">
        <v>3</v>
      </c>
      <c r="J60" s="1585">
        <v>8</v>
      </c>
      <c r="K60" s="4531">
        <v>8</v>
      </c>
      <c r="L60" s="2591">
        <v>8</v>
      </c>
      <c r="M60" s="2592">
        <f>M134+M145</f>
        <v>2</v>
      </c>
      <c r="N60" s="4094">
        <f>M60/12</f>
        <v>0.16666666666666666</v>
      </c>
      <c r="O60" s="4531">
        <f>O134+O145</f>
        <v>1</v>
      </c>
      <c r="P60" s="4531">
        <f t="shared" ref="P60:Z60" si="53">P134+P145</f>
        <v>0</v>
      </c>
      <c r="Q60" s="7598">
        <f t="shared" si="53"/>
        <v>2</v>
      </c>
      <c r="R60" s="4101">
        <f t="shared" si="53"/>
        <v>0</v>
      </c>
      <c r="S60" s="4531">
        <f t="shared" si="53"/>
        <v>0</v>
      </c>
      <c r="T60" s="4531">
        <f t="shared" si="53"/>
        <v>0</v>
      </c>
      <c r="U60" s="4531">
        <f t="shared" si="53"/>
        <v>0</v>
      </c>
      <c r="V60" s="4531">
        <f t="shared" si="53"/>
        <v>0</v>
      </c>
      <c r="W60" s="7425">
        <f t="shared" si="53"/>
        <v>0</v>
      </c>
      <c r="X60" s="4157">
        <f t="shared" si="53"/>
        <v>0</v>
      </c>
      <c r="Y60" s="4087">
        <f t="shared" si="53"/>
        <v>0</v>
      </c>
      <c r="Z60" s="2526">
        <f t="shared" si="53"/>
        <v>0</v>
      </c>
      <c r="AA60" s="4157">
        <f>SUM(O60:Z60)</f>
        <v>3</v>
      </c>
      <c r="AB60" s="3079">
        <f>AB134+AB145</f>
        <v>116590.78300000001</v>
      </c>
      <c r="AC60" s="848">
        <f t="shared" si="52"/>
        <v>29487</v>
      </c>
      <c r="AD60" s="848">
        <f t="shared" si="52"/>
        <v>0</v>
      </c>
      <c r="AE60" s="848">
        <f t="shared" si="52"/>
        <v>0</v>
      </c>
      <c r="AF60" s="848">
        <f t="shared" si="52"/>
        <v>0</v>
      </c>
      <c r="AG60" s="848">
        <f t="shared" si="52"/>
        <v>0</v>
      </c>
      <c r="AH60" s="848">
        <f t="shared" si="52"/>
        <v>0</v>
      </c>
      <c r="AI60" s="848">
        <f t="shared" si="52"/>
        <v>0</v>
      </c>
      <c r="AJ60" s="848">
        <f t="shared" si="52"/>
        <v>0</v>
      </c>
      <c r="AK60" s="848">
        <f t="shared" si="52"/>
        <v>0</v>
      </c>
      <c r="AL60" s="848">
        <f t="shared" si="52"/>
        <v>0</v>
      </c>
      <c r="AM60" s="848">
        <f t="shared" si="52"/>
        <v>0</v>
      </c>
      <c r="AN60" s="848">
        <f t="shared" si="52"/>
        <v>0</v>
      </c>
      <c r="AO60" s="409">
        <f>SUM(AC60:AN60)</f>
        <v>29487</v>
      </c>
      <c r="AP60" s="351">
        <f t="shared" si="50"/>
        <v>0.25291021503818184</v>
      </c>
      <c r="AQ60" s="416"/>
    </row>
    <row r="61" spans="1:43" ht="15" customHeight="1">
      <c r="A61" s="8173" t="s">
        <v>190</v>
      </c>
      <c r="B61" s="8174"/>
      <c r="C61" s="408"/>
      <c r="D61" s="408"/>
      <c r="E61" s="408">
        <v>10</v>
      </c>
      <c r="F61" s="408"/>
      <c r="G61" s="491"/>
      <c r="H61" s="408">
        <v>7</v>
      </c>
      <c r="I61" s="499">
        <v>3</v>
      </c>
      <c r="J61" s="1585">
        <v>8</v>
      </c>
      <c r="K61" s="4531">
        <v>7</v>
      </c>
      <c r="L61" s="2591">
        <v>7</v>
      </c>
      <c r="M61" s="2592">
        <f>M135+M146</f>
        <v>2</v>
      </c>
      <c r="N61" s="4094">
        <f>M61/12</f>
        <v>0.16666666666666666</v>
      </c>
      <c r="O61" s="4531">
        <f>O135+O146</f>
        <v>0</v>
      </c>
      <c r="P61" s="4531">
        <v>0</v>
      </c>
      <c r="Q61" s="7598">
        <f t="shared" ref="Q61:Z61" si="54">Q135+Q146</f>
        <v>0</v>
      </c>
      <c r="R61" s="4101">
        <f t="shared" si="54"/>
        <v>0</v>
      </c>
      <c r="S61" s="4531">
        <f t="shared" si="54"/>
        <v>0</v>
      </c>
      <c r="T61" s="4531">
        <f t="shared" si="54"/>
        <v>0</v>
      </c>
      <c r="U61" s="4531">
        <f t="shared" si="54"/>
        <v>0</v>
      </c>
      <c r="V61" s="4531">
        <f t="shared" si="54"/>
        <v>0</v>
      </c>
      <c r="W61" s="7425">
        <f t="shared" si="54"/>
        <v>0</v>
      </c>
      <c r="X61" s="4157">
        <f t="shared" si="54"/>
        <v>0</v>
      </c>
      <c r="Y61" s="4087">
        <f t="shared" si="54"/>
        <v>0</v>
      </c>
      <c r="Z61" s="2526">
        <f t="shared" si="54"/>
        <v>0</v>
      </c>
      <c r="AA61" s="4157">
        <f>SUM(O61:Z61)</f>
        <v>0</v>
      </c>
      <c r="AB61" s="3079">
        <f>AB135+AB146</f>
        <v>98684.800000000003</v>
      </c>
      <c r="AC61" s="848">
        <f t="shared" si="52"/>
        <v>0</v>
      </c>
      <c r="AD61" s="848">
        <f t="shared" si="52"/>
        <v>0</v>
      </c>
      <c r="AE61" s="848">
        <f t="shared" si="52"/>
        <v>0</v>
      </c>
      <c r="AF61" s="848">
        <f t="shared" si="52"/>
        <v>0</v>
      </c>
      <c r="AG61" s="848">
        <f t="shared" si="52"/>
        <v>0</v>
      </c>
      <c r="AH61" s="848">
        <f t="shared" si="52"/>
        <v>0</v>
      </c>
      <c r="AI61" s="848">
        <f t="shared" si="52"/>
        <v>0</v>
      </c>
      <c r="AJ61" s="848">
        <f t="shared" si="52"/>
        <v>0</v>
      </c>
      <c r="AK61" s="848">
        <f t="shared" si="52"/>
        <v>0</v>
      </c>
      <c r="AL61" s="848">
        <f t="shared" si="52"/>
        <v>0</v>
      </c>
      <c r="AM61" s="848">
        <f t="shared" si="52"/>
        <v>0</v>
      </c>
      <c r="AN61" s="848">
        <f t="shared" si="52"/>
        <v>0</v>
      </c>
      <c r="AO61" s="409">
        <f>SUM(AC61:AN61)</f>
        <v>0</v>
      </c>
      <c r="AP61" s="351">
        <f t="shared" si="50"/>
        <v>0</v>
      </c>
      <c r="AQ61" s="416"/>
    </row>
    <row r="62" spans="1:43" ht="15" customHeight="1" thickBot="1">
      <c r="A62" s="8176" t="s">
        <v>17</v>
      </c>
      <c r="B62" s="8177"/>
      <c r="C62" s="2593"/>
      <c r="D62" s="2593"/>
      <c r="E62" s="2593">
        <v>7</v>
      </c>
      <c r="F62" s="2593"/>
      <c r="G62" s="2593"/>
      <c r="H62" s="2593">
        <v>5</v>
      </c>
      <c r="I62" s="2593">
        <v>0</v>
      </c>
      <c r="J62" s="2049">
        <v>28</v>
      </c>
      <c r="K62" s="5812">
        <v>6</v>
      </c>
      <c r="L62" s="5813">
        <v>5.3</v>
      </c>
      <c r="M62" s="2592">
        <f>M136+M148</f>
        <v>5</v>
      </c>
      <c r="N62" s="4094">
        <f>M62/12</f>
        <v>0.41666666666666669</v>
      </c>
      <c r="O62" s="4531">
        <f t="shared" ref="O62:Z62" si="55">O136+O148</f>
        <v>0</v>
      </c>
      <c r="P62" s="4531">
        <f t="shared" si="55"/>
        <v>0</v>
      </c>
      <c r="Q62" s="7598">
        <f t="shared" si="55"/>
        <v>0</v>
      </c>
      <c r="R62" s="4101">
        <f t="shared" si="55"/>
        <v>0</v>
      </c>
      <c r="S62" s="4531">
        <f t="shared" si="55"/>
        <v>0</v>
      </c>
      <c r="T62" s="4531">
        <f t="shared" si="55"/>
        <v>0</v>
      </c>
      <c r="U62" s="4531">
        <f t="shared" si="55"/>
        <v>0</v>
      </c>
      <c r="V62" s="4531">
        <f t="shared" si="55"/>
        <v>0</v>
      </c>
      <c r="W62" s="7425">
        <f t="shared" si="55"/>
        <v>0</v>
      </c>
      <c r="X62" s="4157">
        <f t="shared" si="55"/>
        <v>0</v>
      </c>
      <c r="Y62" s="4087">
        <f t="shared" si="55"/>
        <v>0</v>
      </c>
      <c r="Z62" s="2526">
        <f t="shared" si="55"/>
        <v>0</v>
      </c>
      <c r="AA62" s="4157">
        <f>SUM(O62:Z62)</f>
        <v>0</v>
      </c>
      <c r="AB62" s="3079">
        <f>AB136+AB148</f>
        <v>424997.266</v>
      </c>
      <c r="AC62" s="848">
        <f t="shared" si="52"/>
        <v>0</v>
      </c>
      <c r="AD62" s="848">
        <f t="shared" si="52"/>
        <v>0</v>
      </c>
      <c r="AE62" s="848">
        <f t="shared" si="52"/>
        <v>0</v>
      </c>
      <c r="AF62" s="848">
        <f t="shared" si="52"/>
        <v>0</v>
      </c>
      <c r="AG62" s="848">
        <f t="shared" si="52"/>
        <v>0</v>
      </c>
      <c r="AH62" s="848">
        <f t="shared" si="52"/>
        <v>0</v>
      </c>
      <c r="AI62" s="848">
        <f t="shared" si="52"/>
        <v>0</v>
      </c>
      <c r="AJ62" s="848">
        <f t="shared" si="52"/>
        <v>0</v>
      </c>
      <c r="AK62" s="848">
        <f t="shared" si="52"/>
        <v>0</v>
      </c>
      <c r="AL62" s="848">
        <f t="shared" si="52"/>
        <v>0</v>
      </c>
      <c r="AM62" s="848">
        <f t="shared" si="52"/>
        <v>0</v>
      </c>
      <c r="AN62" s="848">
        <f t="shared" si="52"/>
        <v>0</v>
      </c>
      <c r="AO62" s="409">
        <f>SUM(AC62:AN62)</f>
        <v>0</v>
      </c>
      <c r="AP62" s="351">
        <f t="shared" si="50"/>
        <v>0</v>
      </c>
      <c r="AQ62" s="416"/>
    </row>
    <row r="63" spans="1:43" ht="15" customHeight="1" thickBot="1">
      <c r="A63" s="8178" t="s">
        <v>16</v>
      </c>
      <c r="B63" s="8179"/>
      <c r="C63" s="2256"/>
      <c r="D63" s="2256"/>
      <c r="E63" s="2256"/>
      <c r="F63" s="2256"/>
      <c r="G63" s="2256"/>
      <c r="H63" s="2256">
        <f t="shared" ref="H63:N63" si="56">SUM(H58:H62)</f>
        <v>44</v>
      </c>
      <c r="I63" s="2256">
        <f t="shared" si="56"/>
        <v>12</v>
      </c>
      <c r="J63" s="2256">
        <f t="shared" si="56"/>
        <v>57</v>
      </c>
      <c r="K63" s="4550">
        <f t="shared" si="56"/>
        <v>35</v>
      </c>
      <c r="L63" s="2256">
        <v>31.3</v>
      </c>
      <c r="M63" s="2256">
        <f t="shared" si="56"/>
        <v>15</v>
      </c>
      <c r="N63" s="4095">
        <f t="shared" si="56"/>
        <v>1.25</v>
      </c>
      <c r="O63" s="4532">
        <f t="shared" ref="O63:AB63" si="57">SUM(O58:O62)</f>
        <v>2</v>
      </c>
      <c r="P63" s="4532">
        <f t="shared" si="57"/>
        <v>0</v>
      </c>
      <c r="Q63" s="7599">
        <f t="shared" si="57"/>
        <v>3</v>
      </c>
      <c r="R63" s="7588">
        <f t="shared" si="57"/>
        <v>0</v>
      </c>
      <c r="S63" s="4532">
        <f t="shared" si="57"/>
        <v>0</v>
      </c>
      <c r="T63" s="4593">
        <f t="shared" si="57"/>
        <v>0</v>
      </c>
      <c r="U63" s="4532">
        <f t="shared" si="57"/>
        <v>0</v>
      </c>
      <c r="V63" s="4532">
        <f t="shared" si="57"/>
        <v>0</v>
      </c>
      <c r="W63" s="4532">
        <f t="shared" si="57"/>
        <v>0</v>
      </c>
      <c r="X63" s="7424">
        <f t="shared" si="57"/>
        <v>0</v>
      </c>
      <c r="Y63" s="4088">
        <f t="shared" si="57"/>
        <v>0</v>
      </c>
      <c r="Z63" s="2665">
        <f t="shared" si="57"/>
        <v>0</v>
      </c>
      <c r="AA63" s="7364">
        <f t="shared" si="57"/>
        <v>5</v>
      </c>
      <c r="AB63" s="3080">
        <f t="shared" si="57"/>
        <v>939763.62899999996</v>
      </c>
      <c r="AC63" s="1182">
        <f>SUM(AC58:AC62)</f>
        <v>29487</v>
      </c>
      <c r="AD63" s="1182">
        <f>SUM(AD58:AD62)</f>
        <v>0</v>
      </c>
      <c r="AE63" s="1182">
        <f>SUM(AE58:AE62)</f>
        <v>11472</v>
      </c>
      <c r="AF63" s="1182">
        <f>SUM(AF58:AF62)</f>
        <v>0</v>
      </c>
      <c r="AG63" s="1182">
        <f t="shared" ref="AG63:AN63" si="58">SUM(AG58:AG62)</f>
        <v>0</v>
      </c>
      <c r="AH63" s="1182">
        <f t="shared" si="58"/>
        <v>0</v>
      </c>
      <c r="AI63" s="1182">
        <f t="shared" si="58"/>
        <v>0</v>
      </c>
      <c r="AJ63" s="1182">
        <f t="shared" si="58"/>
        <v>0</v>
      </c>
      <c r="AK63" s="1182">
        <f t="shared" si="58"/>
        <v>0</v>
      </c>
      <c r="AL63" s="1182">
        <f t="shared" si="58"/>
        <v>0</v>
      </c>
      <c r="AM63" s="1182">
        <f t="shared" si="58"/>
        <v>0</v>
      </c>
      <c r="AN63" s="1182">
        <f t="shared" si="58"/>
        <v>0</v>
      </c>
      <c r="AO63" s="1187">
        <f>SUM(AO58:AO62)</f>
        <v>40959</v>
      </c>
      <c r="AP63" s="1183">
        <f t="shared" si="50"/>
        <v>4.3584363914556223E-2</v>
      </c>
      <c r="AQ63" s="1111"/>
    </row>
    <row r="64" spans="1:43">
      <c r="A64" s="744" t="s">
        <v>927</v>
      </c>
      <c r="B64" s="410"/>
      <c r="AC64" s="418"/>
    </row>
    <row r="65" spans="1:43">
      <c r="A65" s="410"/>
      <c r="B65" s="410"/>
      <c r="AC65" s="418"/>
    </row>
    <row r="66" spans="1:43">
      <c r="A66" s="410"/>
      <c r="B66" s="410"/>
      <c r="AC66" s="418"/>
    </row>
    <row r="67" spans="1:43">
      <c r="A67" s="410"/>
      <c r="B67" s="410"/>
      <c r="AC67" s="418"/>
    </row>
    <row r="68" spans="1:43" ht="15.75" customHeight="1" thickBot="1">
      <c r="A68" s="291" t="s">
        <v>620</v>
      </c>
      <c r="AC68" s="418"/>
    </row>
    <row r="69" spans="1:43" ht="15.75" customHeight="1" thickBot="1">
      <c r="A69" s="8159" t="s">
        <v>0</v>
      </c>
      <c r="B69" s="8159"/>
      <c r="C69" s="8148" t="s">
        <v>404</v>
      </c>
      <c r="D69" s="8148" t="s">
        <v>405</v>
      </c>
      <c r="E69" s="8148" t="s">
        <v>406</v>
      </c>
      <c r="F69" s="8148" t="s">
        <v>407</v>
      </c>
      <c r="G69" s="8148" t="s">
        <v>403</v>
      </c>
      <c r="H69" s="8148" t="s">
        <v>1140</v>
      </c>
      <c r="I69" s="8148" t="s">
        <v>1141</v>
      </c>
      <c r="J69" s="8229" t="s">
        <v>1142</v>
      </c>
      <c r="K69" s="8209" t="s">
        <v>1156</v>
      </c>
      <c r="L69" s="8209" t="s">
        <v>1889</v>
      </c>
      <c r="M69" s="7986" t="s">
        <v>1921</v>
      </c>
      <c r="N69" s="7968" t="s">
        <v>893</v>
      </c>
      <c r="O69" s="8160" t="s">
        <v>1923</v>
      </c>
      <c r="P69" s="8161"/>
      <c r="Q69" s="8161"/>
      <c r="R69" s="8161"/>
      <c r="S69" s="8161"/>
      <c r="T69" s="8161"/>
      <c r="U69" s="8161"/>
      <c r="V69" s="8161"/>
      <c r="W69" s="8161"/>
      <c r="X69" s="8161"/>
      <c r="Y69" s="8162"/>
      <c r="Z69" s="8162"/>
      <c r="AA69" s="7958"/>
      <c r="AB69" s="8159"/>
      <c r="AC69" s="8159"/>
      <c r="AD69" s="8159"/>
      <c r="AE69" s="8159"/>
      <c r="AF69" s="8159"/>
      <c r="AG69" s="8159"/>
      <c r="AH69" s="8159"/>
      <c r="AI69" s="8159"/>
      <c r="AJ69" s="8159"/>
      <c r="AK69" s="8159"/>
      <c r="AL69" s="8159"/>
      <c r="AM69" s="8159"/>
      <c r="AN69" s="8159"/>
      <c r="AO69" s="8148" t="s">
        <v>457</v>
      </c>
      <c r="AP69" s="8148" t="s">
        <v>361</v>
      </c>
      <c r="AQ69" s="8159" t="s">
        <v>340</v>
      </c>
    </row>
    <row r="70" spans="1:43" ht="15.75" customHeight="1" thickTop="1">
      <c r="A70" s="8159"/>
      <c r="B70" s="8159"/>
      <c r="C70" s="8148"/>
      <c r="D70" s="8148"/>
      <c r="E70" s="8148"/>
      <c r="F70" s="8148"/>
      <c r="G70" s="8148"/>
      <c r="H70" s="8148"/>
      <c r="I70" s="8148"/>
      <c r="J70" s="8229"/>
      <c r="K70" s="8209"/>
      <c r="L70" s="8209"/>
      <c r="M70" s="7986"/>
      <c r="N70" s="8228"/>
      <c r="O70" s="4528" t="s">
        <v>409</v>
      </c>
      <c r="P70" s="4528" t="s">
        <v>368</v>
      </c>
      <c r="Q70" s="7594" t="s">
        <v>369</v>
      </c>
      <c r="R70" s="4098" t="s">
        <v>370</v>
      </c>
      <c r="S70" s="4791" t="s">
        <v>371</v>
      </c>
      <c r="T70" s="4936" t="s">
        <v>372</v>
      </c>
      <c r="U70" s="5079" t="s">
        <v>373</v>
      </c>
      <c r="V70" s="5442" t="s">
        <v>374</v>
      </c>
      <c r="W70" s="7427" t="s">
        <v>375</v>
      </c>
      <c r="X70" s="6427" t="s">
        <v>376</v>
      </c>
      <c r="Y70" s="4086" t="s">
        <v>377</v>
      </c>
      <c r="Z70" s="2663" t="s">
        <v>378</v>
      </c>
      <c r="AA70" s="4156" t="s">
        <v>1243</v>
      </c>
      <c r="AB70" s="1234" t="s">
        <v>192</v>
      </c>
      <c r="AC70" s="1181" t="s">
        <v>410</v>
      </c>
      <c r="AD70" s="1181" t="s">
        <v>379</v>
      </c>
      <c r="AE70" s="1181" t="s">
        <v>380</v>
      </c>
      <c r="AF70" s="1181" t="s">
        <v>381</v>
      </c>
      <c r="AG70" s="1181" t="s">
        <v>382</v>
      </c>
      <c r="AH70" s="1181" t="s">
        <v>383</v>
      </c>
      <c r="AI70" s="1181" t="s">
        <v>384</v>
      </c>
      <c r="AJ70" s="1181" t="s">
        <v>385</v>
      </c>
      <c r="AK70" s="1181" t="s">
        <v>386</v>
      </c>
      <c r="AL70" s="6425" t="s">
        <v>387</v>
      </c>
      <c r="AM70" s="6425" t="s">
        <v>388</v>
      </c>
      <c r="AN70" s="6425" t="s">
        <v>389</v>
      </c>
      <c r="AO70" s="8148"/>
      <c r="AP70" s="8148"/>
      <c r="AQ70" s="8159"/>
    </row>
    <row r="71" spans="1:43" ht="15.75" customHeight="1">
      <c r="A71" s="8175" t="s">
        <v>2</v>
      </c>
      <c r="B71" s="1184" t="s">
        <v>69</v>
      </c>
      <c r="C71" s="398"/>
      <c r="D71" s="398">
        <v>2.3999999999999998E-3</v>
      </c>
      <c r="E71" s="398">
        <v>1.1000000000000001E-3</v>
      </c>
      <c r="F71" s="398">
        <v>1.2999999999999999E-3</v>
      </c>
      <c r="G71" s="398">
        <v>8.1565252201761407E-3</v>
      </c>
      <c r="H71" s="398">
        <v>2.9831452294535872E-3</v>
      </c>
      <c r="I71" s="398">
        <v>8.2800588755307003E-4</v>
      </c>
      <c r="J71" s="2860">
        <v>4.2101337920374341E-4</v>
      </c>
      <c r="K71" s="4090">
        <f>년간!C81</f>
        <v>1.7676645936781887E-4</v>
      </c>
      <c r="L71" s="4090">
        <f>년간!D81</f>
        <v>1.8385992702175205E-3</v>
      </c>
      <c r="M71" s="1656">
        <f>년간!E81</f>
        <v>1.5290889132821073E-3</v>
      </c>
      <c r="N71" s="4090">
        <f>M71</f>
        <v>1.5290889132821073E-3</v>
      </c>
      <c r="O71" s="4529" t="e">
        <f>년간!F81</f>
        <v>#DIV/0!</v>
      </c>
      <c r="P71" s="4529" t="e">
        <f>년간!G81</f>
        <v>#DIV/0!</v>
      </c>
      <c r="Q71" s="7595">
        <f>년간!H81</f>
        <v>0</v>
      </c>
      <c r="R71" s="4099" t="e">
        <f>년간!I81</f>
        <v>#DIV/0!</v>
      </c>
      <c r="S71" s="4529" t="e">
        <f>년간!J81</f>
        <v>#DIV/0!</v>
      </c>
      <c r="T71" s="4529" t="e">
        <f>년간!K81</f>
        <v>#DIV/0!</v>
      </c>
      <c r="U71" s="4529" t="e">
        <f>년간!L81</f>
        <v>#DIV/0!</v>
      </c>
      <c r="V71" s="4529" t="e">
        <f>년간!M81</f>
        <v>#DIV/0!</v>
      </c>
      <c r="W71" s="4529" t="e">
        <f>년간!N81</f>
        <v>#DIV/0!</v>
      </c>
      <c r="X71" s="4336" t="e">
        <f>년간!O81</f>
        <v>#DIV/0!</v>
      </c>
      <c r="Y71" s="5520" t="e">
        <f>년간!P81</f>
        <v>#DIV/0!</v>
      </c>
      <c r="Z71" s="2664" t="e">
        <f>년간!Q81</f>
        <v>#DIV/0!</v>
      </c>
      <c r="AA71" s="4158">
        <f>년간!V81</f>
        <v>0</v>
      </c>
      <c r="AB71" s="8167">
        <f>년간!E182/1000</f>
        <v>1576.0839396717406</v>
      </c>
      <c r="AC71" s="8169"/>
      <c r="AD71" s="8169"/>
      <c r="AE71" s="8149">
        <f>년간!H182/1000</f>
        <v>949.84882891362349</v>
      </c>
      <c r="AF71" s="8149" t="e">
        <f>년간!I182/1000</f>
        <v>#DIV/0!</v>
      </c>
      <c r="AG71" s="8149" t="e">
        <f>년간!J182/1000</f>
        <v>#DIV/0!</v>
      </c>
      <c r="AH71" s="8149" t="e">
        <f>년간!K182/1000</f>
        <v>#DIV/0!</v>
      </c>
      <c r="AI71" s="8149" t="e">
        <f>년간!L182/1000</f>
        <v>#DIV/0!</v>
      </c>
      <c r="AJ71" s="8149" t="e">
        <f>년간!M182/1000</f>
        <v>#DIV/0!</v>
      </c>
      <c r="AK71" s="8149" t="e">
        <f>년간!N182/1000</f>
        <v>#DIV/0!</v>
      </c>
      <c r="AL71" s="8149" t="e">
        <f>년간!O182/1000</f>
        <v>#DIV/0!</v>
      </c>
      <c r="AM71" s="8149" t="e">
        <f>년간!P182/1000</f>
        <v>#DIV/0!</v>
      </c>
      <c r="AN71" s="8149" t="e">
        <f>년간!Q182/1000</f>
        <v>#DIV/0!</v>
      </c>
      <c r="AO71" s="8163">
        <f>AC71+AD71</f>
        <v>0</v>
      </c>
      <c r="AP71" s="8165">
        <f>AO71/AB71</f>
        <v>0</v>
      </c>
      <c r="AQ71" s="8151"/>
    </row>
    <row r="72" spans="1:43" ht="15.75" customHeight="1">
      <c r="A72" s="8175"/>
      <c r="B72" s="1184" t="s">
        <v>408</v>
      </c>
      <c r="C72" s="399"/>
      <c r="D72" s="399">
        <f>743/60</f>
        <v>12.383333333333333</v>
      </c>
      <c r="E72" s="399">
        <f>365/60</f>
        <v>6.083333333333333</v>
      </c>
      <c r="F72" s="399">
        <f>439/60</f>
        <v>7.3166666666666664</v>
      </c>
      <c r="G72" s="401">
        <v>51.616666666666667</v>
      </c>
      <c r="H72" s="399">
        <v>19</v>
      </c>
      <c r="I72" s="399">
        <v>4.8</v>
      </c>
      <c r="J72" s="2861">
        <v>2.3333333333333335</v>
      </c>
      <c r="K72" s="4091">
        <f>년간!C55/60</f>
        <v>0.91666666666666663</v>
      </c>
      <c r="L72" s="4091">
        <f>년간!D55/60</f>
        <v>8.6666666666666661</v>
      </c>
      <c r="M72" s="1683">
        <f>년간!E55/60</f>
        <v>7</v>
      </c>
      <c r="N72" s="4091">
        <f>M72/10</f>
        <v>0.7</v>
      </c>
      <c r="O72" s="4530">
        <f>년간!F55/60</f>
        <v>0</v>
      </c>
      <c r="P72" s="4530">
        <f>년간!G55/60</f>
        <v>0</v>
      </c>
      <c r="Q72" s="7596">
        <f>년간!H55/60</f>
        <v>0</v>
      </c>
      <c r="R72" s="4100">
        <f>년간!I55/60</f>
        <v>0</v>
      </c>
      <c r="S72" s="4530">
        <f>년간!J55/60</f>
        <v>0</v>
      </c>
      <c r="T72" s="4530">
        <f>년간!K55/60</f>
        <v>0</v>
      </c>
      <c r="U72" s="4530">
        <f>년간!L55/60</f>
        <v>0</v>
      </c>
      <c r="V72" s="4530">
        <f>년간!M55/60</f>
        <v>0</v>
      </c>
      <c r="W72" s="4530">
        <f>년간!N55/60</f>
        <v>0</v>
      </c>
      <c r="X72" s="4159">
        <f>년간!O55/60</f>
        <v>0</v>
      </c>
      <c r="Y72" s="5521">
        <f>년간!P55/60</f>
        <v>0</v>
      </c>
      <c r="Z72" s="2559">
        <f>년간!Q55/60</f>
        <v>0</v>
      </c>
      <c r="AA72" s="4159">
        <f>년간!V55/60</f>
        <v>0</v>
      </c>
      <c r="AB72" s="8168"/>
      <c r="AC72" s="8170"/>
      <c r="AD72" s="8170"/>
      <c r="AE72" s="8150"/>
      <c r="AF72" s="8150"/>
      <c r="AG72" s="8150"/>
      <c r="AH72" s="8150"/>
      <c r="AI72" s="8150"/>
      <c r="AJ72" s="8150"/>
      <c r="AK72" s="8150"/>
      <c r="AL72" s="8150"/>
      <c r="AM72" s="8150"/>
      <c r="AN72" s="8150"/>
      <c r="AO72" s="8164"/>
      <c r="AP72" s="8096"/>
      <c r="AQ72" s="8152"/>
    </row>
    <row r="73" spans="1:43" ht="15.75" customHeight="1">
      <c r="A73" s="8175" t="s">
        <v>3</v>
      </c>
      <c r="B73" s="1184" t="s">
        <v>69</v>
      </c>
      <c r="C73" s="398"/>
      <c r="D73" s="398"/>
      <c r="E73" s="398">
        <v>2.3999999999999998E-3</v>
      </c>
      <c r="F73" s="398">
        <v>2.5000000000000001E-3</v>
      </c>
      <c r="G73" s="398">
        <v>1.1059085114168447E-2</v>
      </c>
      <c r="H73" s="398">
        <v>5.6967313421499039E-3</v>
      </c>
      <c r="I73" s="398">
        <v>6.5673049635479033E-3</v>
      </c>
      <c r="J73" s="2860">
        <v>5.8960634563829497E-3</v>
      </c>
      <c r="K73" s="4090">
        <f>년간!C82</f>
        <v>2.0793150251558847E-3</v>
      </c>
      <c r="L73" s="4090">
        <f>년간!D82</f>
        <v>1.0033425220955065E-2</v>
      </c>
      <c r="M73" s="1656">
        <f>년간!E82</f>
        <v>2.6760939494606395E-3</v>
      </c>
      <c r="N73" s="4090">
        <f>M73</f>
        <v>2.6760939494606395E-3</v>
      </c>
      <c r="O73" s="4529" t="e">
        <f>년간!F82</f>
        <v>#DIV/0!</v>
      </c>
      <c r="P73" s="4529" t="e">
        <f>년간!G82</f>
        <v>#DIV/0!</v>
      </c>
      <c r="Q73" s="7595">
        <f>년간!H82</f>
        <v>5.7975815802550935E-3</v>
      </c>
      <c r="R73" s="4099" t="e">
        <f>년간!I82</f>
        <v>#DIV/0!</v>
      </c>
      <c r="S73" s="4529" t="e">
        <f>년간!J82</f>
        <v>#DIV/0!</v>
      </c>
      <c r="T73" s="4529" t="e">
        <f>년간!K82</f>
        <v>#DIV/0!</v>
      </c>
      <c r="U73" s="4529" t="e">
        <f>년간!L82</f>
        <v>#DIV/0!</v>
      </c>
      <c r="V73" s="4529" t="e">
        <f>년간!M82</f>
        <v>#DIV/0!</v>
      </c>
      <c r="W73" s="4529" t="e">
        <f>년간!N82</f>
        <v>#DIV/0!</v>
      </c>
      <c r="X73" s="4336" t="e">
        <f>년간!O82</f>
        <v>#DIV/0!</v>
      </c>
      <c r="Y73" s="5520" t="e">
        <f>년간!P82</f>
        <v>#DIV/0!</v>
      </c>
      <c r="Z73" s="2664" t="e">
        <f>년간!Q82</f>
        <v>#DIV/0!</v>
      </c>
      <c r="AA73" s="4158">
        <f>년간!V82</f>
        <v>5.7975815802550935E-3</v>
      </c>
      <c r="AB73" s="8167">
        <f>년간!E183/1000</f>
        <v>48629.97938195891</v>
      </c>
      <c r="AC73" s="8169"/>
      <c r="AD73" s="8169"/>
      <c r="AE73" s="8149">
        <f>년간!H183/1000</f>
        <v>2500.7169515883779</v>
      </c>
      <c r="AF73" s="8149" t="e">
        <f>년간!I183/1000</f>
        <v>#DIV/0!</v>
      </c>
      <c r="AG73" s="8149" t="e">
        <f>년간!J183/1000</f>
        <v>#DIV/0!</v>
      </c>
      <c r="AH73" s="8149" t="e">
        <f>년간!K183/1000</f>
        <v>#DIV/0!</v>
      </c>
      <c r="AI73" s="8149" t="e">
        <f>년간!L183/1000</f>
        <v>#DIV/0!</v>
      </c>
      <c r="AJ73" s="8149" t="e">
        <f>년간!M183/1000</f>
        <v>#DIV/0!</v>
      </c>
      <c r="AK73" s="8149" t="e">
        <f>년간!N183/1000</f>
        <v>#DIV/0!</v>
      </c>
      <c r="AL73" s="8149" t="e">
        <f>년간!O183/1000</f>
        <v>#DIV/0!</v>
      </c>
      <c r="AM73" s="8149" t="e">
        <f>년간!P183/1000</f>
        <v>#DIV/0!</v>
      </c>
      <c r="AN73" s="8149" t="e">
        <f>년간!Q183/1000</f>
        <v>#DIV/0!</v>
      </c>
      <c r="AO73" s="8163">
        <f>AC73+AD73</f>
        <v>0</v>
      </c>
      <c r="AP73" s="8165">
        <f>AO73/AB73</f>
        <v>0</v>
      </c>
      <c r="AQ73" s="8151"/>
    </row>
    <row r="74" spans="1:43" ht="15.75" customHeight="1">
      <c r="A74" s="8175"/>
      <c r="B74" s="1184" t="s">
        <v>408</v>
      </c>
      <c r="C74" s="399"/>
      <c r="D74" s="399"/>
      <c r="E74" s="399">
        <f>1115/60</f>
        <v>18.583333333333332</v>
      </c>
      <c r="F74" s="399">
        <f>1025/60</f>
        <v>17.083333333333332</v>
      </c>
      <c r="G74" s="401">
        <v>79.083333333333329</v>
      </c>
      <c r="H74" s="399">
        <v>45</v>
      </c>
      <c r="I74" s="399">
        <v>45.166666666666671</v>
      </c>
      <c r="J74" s="2861">
        <v>42.666666666666664</v>
      </c>
      <c r="K74" s="4091">
        <f>년간!C56/60</f>
        <v>13.583333333333334</v>
      </c>
      <c r="L74" s="4091">
        <f>년간!D56/60</f>
        <v>57.083333333333336</v>
      </c>
      <c r="M74" s="1683">
        <f>년간!E56/60</f>
        <v>15</v>
      </c>
      <c r="N74" s="4091">
        <f>M74/10</f>
        <v>1.5</v>
      </c>
      <c r="O74" s="4530">
        <f>년간!F56/60</f>
        <v>0</v>
      </c>
      <c r="P74" s="4530">
        <f>년간!G56/60</f>
        <v>0</v>
      </c>
      <c r="Q74" s="7596">
        <f>년간!H56/60</f>
        <v>2.9166666666666665</v>
      </c>
      <c r="R74" s="4100">
        <f>년간!I56/60</f>
        <v>0</v>
      </c>
      <c r="S74" s="4530">
        <f>년간!J56/60</f>
        <v>0</v>
      </c>
      <c r="T74" s="4530">
        <f>년간!K56/60</f>
        <v>0</v>
      </c>
      <c r="U74" s="4530">
        <f>년간!L56/60</f>
        <v>0</v>
      </c>
      <c r="V74" s="4530">
        <f>년간!M56/60</f>
        <v>0</v>
      </c>
      <c r="W74" s="4530">
        <f>년간!N56/60</f>
        <v>0</v>
      </c>
      <c r="X74" s="4159">
        <f>년간!O56/60</f>
        <v>0</v>
      </c>
      <c r="Y74" s="5521">
        <f>년간!P56/60</f>
        <v>0</v>
      </c>
      <c r="Z74" s="2559">
        <f>년간!Q56/60</f>
        <v>0</v>
      </c>
      <c r="AA74" s="4159">
        <f>년간!V56/60</f>
        <v>2.9166666666666665</v>
      </c>
      <c r="AB74" s="8168"/>
      <c r="AC74" s="8170"/>
      <c r="AD74" s="8170"/>
      <c r="AE74" s="8150"/>
      <c r="AF74" s="8150"/>
      <c r="AG74" s="8150"/>
      <c r="AH74" s="8150"/>
      <c r="AI74" s="8150"/>
      <c r="AJ74" s="8150"/>
      <c r="AK74" s="8150"/>
      <c r="AL74" s="8150"/>
      <c r="AM74" s="8150"/>
      <c r="AN74" s="8150"/>
      <c r="AO74" s="8164"/>
      <c r="AP74" s="8096"/>
      <c r="AQ74" s="8152"/>
    </row>
    <row r="75" spans="1:43" ht="15.75" customHeight="1">
      <c r="A75" s="8175" t="s">
        <v>4</v>
      </c>
      <c r="B75" s="1184" t="s">
        <v>69</v>
      </c>
      <c r="C75" s="398"/>
      <c r="D75" s="398"/>
      <c r="E75" s="398">
        <v>6.9999999999999999E-4</v>
      </c>
      <c r="F75" s="398">
        <v>3.8E-3</v>
      </c>
      <c r="G75" s="398">
        <v>1.0086871514585973E-3</v>
      </c>
      <c r="H75" s="398">
        <v>2.3398726616667281E-3</v>
      </c>
      <c r="I75" s="398">
        <v>4.5081472672001419E-3</v>
      </c>
      <c r="J75" s="2860">
        <v>2.4351746525561016E-3</v>
      </c>
      <c r="K75" s="4090">
        <f>년간!C83</f>
        <v>3.6736323121732114E-3</v>
      </c>
      <c r="L75" s="4090">
        <f>년간!D83</f>
        <v>4.5258604699475444E-4</v>
      </c>
      <c r="M75" s="1656">
        <f>년간!E83</f>
        <v>1.1917382703146579E-3</v>
      </c>
      <c r="N75" s="4090">
        <f>M75</f>
        <v>1.1917382703146579E-3</v>
      </c>
      <c r="O75" s="4529" t="e">
        <f>년간!F83</f>
        <v>#DIV/0!</v>
      </c>
      <c r="P75" s="4529" t="e">
        <f>년간!G83</f>
        <v>#DIV/0!</v>
      </c>
      <c r="Q75" s="7595">
        <f>년간!H83</f>
        <v>1.177037076667915E-3</v>
      </c>
      <c r="R75" s="4099" t="e">
        <f>년간!I83</f>
        <v>#DIV/0!</v>
      </c>
      <c r="S75" s="4529" t="e">
        <f>년간!J83</f>
        <v>#DIV/0!</v>
      </c>
      <c r="T75" s="4529" t="e">
        <f>년간!K83</f>
        <v>#DIV/0!</v>
      </c>
      <c r="U75" s="4529" t="e">
        <f>년간!L83</f>
        <v>#DIV/0!</v>
      </c>
      <c r="V75" s="4529" t="e">
        <f>년간!M83</f>
        <v>#DIV/0!</v>
      </c>
      <c r="W75" s="4529" t="e">
        <f>년간!N83</f>
        <v>#DIV/0!</v>
      </c>
      <c r="X75" s="4336" t="e">
        <f>년간!O83</f>
        <v>#DIV/0!</v>
      </c>
      <c r="Y75" s="5520" t="e">
        <f>년간!P83</f>
        <v>#DIV/0!</v>
      </c>
      <c r="Z75" s="2664" t="e">
        <f>년간!Q83</f>
        <v>#DIV/0!</v>
      </c>
      <c r="AA75" s="4158">
        <f>년간!V83</f>
        <v>1.177037076667915E-3</v>
      </c>
      <c r="AB75" s="8167">
        <f>년간!E184/1000</f>
        <v>-11202.472299648187</v>
      </c>
      <c r="AC75" s="8169"/>
      <c r="AD75" s="8169"/>
      <c r="AE75" s="8149">
        <f>년간!H184/1000</f>
        <v>-1009.597690044934</v>
      </c>
      <c r="AF75" s="8149" t="e">
        <f>년간!I184/1000</f>
        <v>#DIV/0!</v>
      </c>
      <c r="AG75" s="8149" t="e">
        <f>년간!J184/1000</f>
        <v>#DIV/0!</v>
      </c>
      <c r="AH75" s="8149" t="e">
        <f>년간!K184/1000</f>
        <v>#DIV/0!</v>
      </c>
      <c r="AI75" s="8149" t="e">
        <f>년간!L184/1000</f>
        <v>#DIV/0!</v>
      </c>
      <c r="AJ75" s="8149" t="e">
        <f>년간!M184/1000</f>
        <v>#DIV/0!</v>
      </c>
      <c r="AK75" s="8149" t="e">
        <f>년간!N184/1000</f>
        <v>#DIV/0!</v>
      </c>
      <c r="AL75" s="8149" t="e">
        <f>년간!O184/1000</f>
        <v>#DIV/0!</v>
      </c>
      <c r="AM75" s="8149" t="e">
        <f>년간!P184/1000</f>
        <v>#DIV/0!</v>
      </c>
      <c r="AN75" s="8149" t="e">
        <f>년간!Q184/1000</f>
        <v>#DIV/0!</v>
      </c>
      <c r="AO75" s="8163">
        <f>AC75+AD75</f>
        <v>0</v>
      </c>
      <c r="AP75" s="8165">
        <f>AO75/AB75</f>
        <v>0</v>
      </c>
      <c r="AQ75" s="8151"/>
    </row>
    <row r="76" spans="1:43" ht="15.75" customHeight="1">
      <c r="A76" s="8175"/>
      <c r="B76" s="1184" t="s">
        <v>408</v>
      </c>
      <c r="C76" s="399"/>
      <c r="D76" s="399"/>
      <c r="E76" s="399">
        <f>350/60</f>
        <v>5.833333333333333</v>
      </c>
      <c r="F76" s="399">
        <f>1655/60</f>
        <v>27.583333333333332</v>
      </c>
      <c r="G76" s="401">
        <v>7.5666666666666664</v>
      </c>
      <c r="H76" s="399">
        <v>19</v>
      </c>
      <c r="I76" s="399">
        <v>35.1</v>
      </c>
      <c r="J76" s="2861">
        <v>19.516666666666666</v>
      </c>
      <c r="K76" s="4091">
        <f>년간!C57/60</f>
        <v>27.916666666666668</v>
      </c>
      <c r="L76" s="4091">
        <f>년간!D57/60</f>
        <v>3.05</v>
      </c>
      <c r="M76" s="1683">
        <f>년간!E57/60</f>
        <v>8</v>
      </c>
      <c r="N76" s="4091">
        <f>M76/10</f>
        <v>0.8</v>
      </c>
      <c r="O76" s="4530">
        <f>년간!F57/60</f>
        <v>0</v>
      </c>
      <c r="P76" s="4530">
        <f>년간!G57/60</f>
        <v>0</v>
      </c>
      <c r="Q76" s="7596">
        <f>년간!H57/60</f>
        <v>0.73333333333333328</v>
      </c>
      <c r="R76" s="4100">
        <f>년간!I57/60</f>
        <v>0</v>
      </c>
      <c r="S76" s="4530">
        <f>년간!J57/60</f>
        <v>0</v>
      </c>
      <c r="T76" s="4530">
        <f>년간!K57/60</f>
        <v>0</v>
      </c>
      <c r="U76" s="4530">
        <f>년간!L57/60</f>
        <v>0</v>
      </c>
      <c r="V76" s="4530">
        <f>년간!M57/60</f>
        <v>0</v>
      </c>
      <c r="W76" s="4530">
        <f>년간!N57/60</f>
        <v>0</v>
      </c>
      <c r="X76" s="4159">
        <f>년간!O57/60</f>
        <v>0</v>
      </c>
      <c r="Y76" s="5521">
        <f>년간!P57/60</f>
        <v>0</v>
      </c>
      <c r="Z76" s="2559">
        <f>년간!Q57/60</f>
        <v>0</v>
      </c>
      <c r="AA76" s="4159">
        <f>년간!V57/60</f>
        <v>0.73333333333333328</v>
      </c>
      <c r="AB76" s="8168"/>
      <c r="AC76" s="8170"/>
      <c r="AD76" s="8170"/>
      <c r="AE76" s="8150"/>
      <c r="AF76" s="8150"/>
      <c r="AG76" s="8150"/>
      <c r="AH76" s="8150"/>
      <c r="AI76" s="8150"/>
      <c r="AJ76" s="8150"/>
      <c r="AK76" s="8150"/>
      <c r="AL76" s="8150"/>
      <c r="AM76" s="8150"/>
      <c r="AN76" s="8150"/>
      <c r="AO76" s="8164"/>
      <c r="AP76" s="8096"/>
      <c r="AQ76" s="8152"/>
    </row>
    <row r="77" spans="1:43" ht="15.75" customHeight="1">
      <c r="A77" s="8175" t="s">
        <v>190</v>
      </c>
      <c r="B77" s="1184" t="s">
        <v>69</v>
      </c>
      <c r="C77" s="398"/>
      <c r="D77" s="398"/>
      <c r="E77" s="398">
        <v>1.8E-3</v>
      </c>
      <c r="F77" s="398">
        <v>2.8E-3</v>
      </c>
      <c r="G77" s="398">
        <v>2.5269975648005306E-3</v>
      </c>
      <c r="H77" s="398">
        <v>2.1192099761809628E-3</v>
      </c>
      <c r="I77" s="398">
        <v>6.3725739005275166E-3</v>
      </c>
      <c r="J77" s="2860">
        <v>6.885626487330215E-4</v>
      </c>
      <c r="K77" s="4090">
        <f>년간!C84</f>
        <v>1.0210417686979641E-3</v>
      </c>
      <c r="L77" s="4090">
        <f>년간!D84</f>
        <v>1.1482600239996689E-3</v>
      </c>
      <c r="M77" s="1656">
        <f>년간!E84</f>
        <v>3.2960928337756932E-4</v>
      </c>
      <c r="N77" s="4090">
        <f>M77</f>
        <v>3.2960928337756932E-4</v>
      </c>
      <c r="O77" s="4529">
        <f>년간!F84</f>
        <v>1.6650808753568031E-3</v>
      </c>
      <c r="P77" s="4529">
        <f>년간!G84</f>
        <v>0</v>
      </c>
      <c r="Q77" s="7595">
        <f>년간!H84</f>
        <v>3.5208047553726566E-3</v>
      </c>
      <c r="R77" s="4099" t="e">
        <f>년간!I84</f>
        <v>#DIV/0!</v>
      </c>
      <c r="S77" s="4529" t="e">
        <f>년간!J84</f>
        <v>#DIV/0!</v>
      </c>
      <c r="T77" s="4529" t="e">
        <f>년간!K84</f>
        <v>#DIV/0!</v>
      </c>
      <c r="U77" s="4529" t="e">
        <f>년간!L84</f>
        <v>#DIV/0!</v>
      </c>
      <c r="V77" s="4529" t="e">
        <f>년간!M84</f>
        <v>#DIV/0!</v>
      </c>
      <c r="W77" s="4529" t="e">
        <f>년간!N84</f>
        <v>#DIV/0!</v>
      </c>
      <c r="X77" s="4336" t="e">
        <f>년간!O84</f>
        <v>#DIV/0!</v>
      </c>
      <c r="Y77" s="5520" t="e">
        <f>년간!P84</f>
        <v>#DIV/0!</v>
      </c>
      <c r="Z77" s="2664" t="e">
        <f>년간!Q84</f>
        <v>#DIV/0!</v>
      </c>
      <c r="AA77" s="4158">
        <f>년간!V84</f>
        <v>1.7917133258678612E-3</v>
      </c>
      <c r="AB77" s="8167">
        <f>년간!E185/1000</f>
        <v>8006.9709208310915</v>
      </c>
      <c r="AC77" s="8149">
        <f>년간!F185/1000</f>
        <v>-440.60731502782522</v>
      </c>
      <c r="AD77" s="8149">
        <f>년간!G185/1000</f>
        <v>935.17490147928982</v>
      </c>
      <c r="AE77" s="8149">
        <f>년간!H185/1000</f>
        <v>-2079.4523424568183</v>
      </c>
      <c r="AF77" s="8149" t="e">
        <f>년간!I185/1000</f>
        <v>#DIV/0!</v>
      </c>
      <c r="AG77" s="8149" t="e">
        <f>년간!J185/1000</f>
        <v>#DIV/0!</v>
      </c>
      <c r="AH77" s="8149" t="e">
        <f>년간!K185/1000</f>
        <v>#DIV/0!</v>
      </c>
      <c r="AI77" s="8149" t="e">
        <f>년간!L185/1000</f>
        <v>#DIV/0!</v>
      </c>
      <c r="AJ77" s="8149" t="e">
        <f>년간!M185/1000</f>
        <v>#DIV/0!</v>
      </c>
      <c r="AK77" s="8149" t="e">
        <f>년간!N185/1000</f>
        <v>#DIV/0!</v>
      </c>
      <c r="AL77" s="8149" t="e">
        <f>년간!O185/1000</f>
        <v>#DIV/0!</v>
      </c>
      <c r="AM77" s="8149" t="e">
        <f>년간!P185/1000</f>
        <v>#DIV/0!</v>
      </c>
      <c r="AN77" s="8149" t="e">
        <f>년간!Q185/1000</f>
        <v>#DIV/0!</v>
      </c>
      <c r="AO77" s="8163">
        <f>AC77+AD77</f>
        <v>494.56758645146459</v>
      </c>
      <c r="AP77" s="8165">
        <f>AO77/AB77</f>
        <v>6.1767126587757168E-2</v>
      </c>
      <c r="AQ77" s="8151"/>
    </row>
    <row r="78" spans="1:43" ht="15.75" customHeight="1">
      <c r="A78" s="8175"/>
      <c r="B78" s="1184" t="s">
        <v>408</v>
      </c>
      <c r="C78" s="399"/>
      <c r="D78" s="399"/>
      <c r="E78" s="399">
        <f>715/60</f>
        <v>11.916666666666666</v>
      </c>
      <c r="F78" s="399">
        <f>1177/60</f>
        <v>19.616666666666667</v>
      </c>
      <c r="G78" s="401">
        <v>16.516666666666666</v>
      </c>
      <c r="H78" s="399">
        <v>16</v>
      </c>
      <c r="I78" s="399">
        <v>37.033333333333331</v>
      </c>
      <c r="J78" s="2861">
        <v>4.9333333333333336</v>
      </c>
      <c r="K78" s="4091">
        <f>년간!C58/60</f>
        <v>7.7833333333333332</v>
      </c>
      <c r="L78" s="4091">
        <f>년간!D58/60</f>
        <v>9.25</v>
      </c>
      <c r="M78" s="1683">
        <f>년간!E58/60</f>
        <v>2.5</v>
      </c>
      <c r="N78" s="4091">
        <f>M78/12</f>
        <v>0.20833333333333334</v>
      </c>
      <c r="O78" s="4530">
        <f>년간!F58/60</f>
        <v>1.1666666666666667</v>
      </c>
      <c r="P78" s="4530">
        <f>년간!G58/60</f>
        <v>0</v>
      </c>
      <c r="Q78" s="7596">
        <f>년간!H58/60</f>
        <v>2.5666666666666669</v>
      </c>
      <c r="R78" s="4100">
        <f>년간!I58/60</f>
        <v>0</v>
      </c>
      <c r="S78" s="4530">
        <f>년간!J58/60</f>
        <v>0</v>
      </c>
      <c r="T78" s="4530">
        <f>년간!K58/60</f>
        <v>0</v>
      </c>
      <c r="U78" s="4530">
        <f>년간!L58/60</f>
        <v>0</v>
      </c>
      <c r="V78" s="4530">
        <f>년간!M58/60</f>
        <v>0</v>
      </c>
      <c r="W78" s="4530">
        <f>년간!N58/60</f>
        <v>0</v>
      </c>
      <c r="X78" s="4159">
        <f>년간!O58/60</f>
        <v>0</v>
      </c>
      <c r="Y78" s="5521">
        <f>년간!P58/60</f>
        <v>0</v>
      </c>
      <c r="Z78" s="2559">
        <f>년간!Q58/60</f>
        <v>0</v>
      </c>
      <c r="AA78" s="4159">
        <f>년간!V58/60</f>
        <v>3.7333333333333334</v>
      </c>
      <c r="AB78" s="8168"/>
      <c r="AC78" s="8150"/>
      <c r="AD78" s="8150"/>
      <c r="AE78" s="8150"/>
      <c r="AF78" s="8150"/>
      <c r="AG78" s="8150"/>
      <c r="AH78" s="8150"/>
      <c r="AI78" s="8150"/>
      <c r="AJ78" s="8150"/>
      <c r="AK78" s="8150"/>
      <c r="AL78" s="8150"/>
      <c r="AM78" s="8150"/>
      <c r="AN78" s="8150"/>
      <c r="AO78" s="8164"/>
      <c r="AP78" s="8096"/>
      <c r="AQ78" s="8152"/>
    </row>
    <row r="79" spans="1:43" ht="15.75" customHeight="1">
      <c r="A79" s="8175" t="s">
        <v>17</v>
      </c>
      <c r="B79" s="1184" t="s">
        <v>69</v>
      </c>
      <c r="C79" s="398"/>
      <c r="D79" s="398"/>
      <c r="E79" s="398">
        <v>1.1999999999999999E-3</v>
      </c>
      <c r="F79" s="398">
        <v>5.0000000000000001E-4</v>
      </c>
      <c r="G79" s="398">
        <v>2.6140904248493765E-3</v>
      </c>
      <c r="H79" s="398">
        <v>5.0413659096827613E-3</v>
      </c>
      <c r="I79" s="398">
        <v>2.1233349795022885E-3</v>
      </c>
      <c r="J79" s="2860">
        <v>8.5322316276354492E-5</v>
      </c>
      <c r="K79" s="4090">
        <f>년간!C85</f>
        <v>1.5578340402096712E-4</v>
      </c>
      <c r="L79" s="4090">
        <f>년간!D85</f>
        <v>1.2012193021733889E-3</v>
      </c>
      <c r="M79" s="1656">
        <f>년간!E85</f>
        <v>7.3774647887323941E-4</v>
      </c>
      <c r="N79" s="4090">
        <f>M79</f>
        <v>7.3774647887323941E-4</v>
      </c>
      <c r="O79" s="4529">
        <f>년간!F85</f>
        <v>0</v>
      </c>
      <c r="P79" s="4529">
        <f>년간!G85</f>
        <v>0</v>
      </c>
      <c r="Q79" s="7595">
        <f>년간!H85</f>
        <v>3.2263268269075657E-3</v>
      </c>
      <c r="R79" s="4099" t="e">
        <f>년간!I85</f>
        <v>#DIV/0!</v>
      </c>
      <c r="S79" s="4529" t="e">
        <f>년간!J85</f>
        <v>#DIV/0!</v>
      </c>
      <c r="T79" s="4529" t="e">
        <f>년간!K85</f>
        <v>#DIV/0!</v>
      </c>
      <c r="U79" s="4529" t="e">
        <f>년간!L85</f>
        <v>#DIV/0!</v>
      </c>
      <c r="V79" s="4529" t="e">
        <f>년간!M85</f>
        <v>#DIV/0!</v>
      </c>
      <c r="W79" s="4529" t="e">
        <f>년간!N85</f>
        <v>#DIV/0!</v>
      </c>
      <c r="X79" s="4336" t="e">
        <f>년간!O85</f>
        <v>#DIV/0!</v>
      </c>
      <c r="Y79" s="5520" t="e">
        <f>년간!P85</f>
        <v>#DIV/0!</v>
      </c>
      <c r="Z79" s="2664" t="e">
        <f>년간!Q85</f>
        <v>#DIV/0!</v>
      </c>
      <c r="AA79" s="4158">
        <f>년간!V85</f>
        <v>1.1431837667905116E-3</v>
      </c>
      <c r="AB79" s="8167">
        <f>년간!E186/1000</f>
        <v>4601.0199190668236</v>
      </c>
      <c r="AC79" s="8144">
        <f>년간!F186/1000</f>
        <v>1024.2347505982416</v>
      </c>
      <c r="AD79" s="8144">
        <f>년간!G186/1000</f>
        <v>933.09724807331304</v>
      </c>
      <c r="AE79" s="8144">
        <f>년간!H186/1000</f>
        <v>-1869.6091140843564</v>
      </c>
      <c r="AF79" s="8144" t="e">
        <f>년간!I186/1000</f>
        <v>#DIV/0!</v>
      </c>
      <c r="AG79" s="8144" t="e">
        <f>년간!J186/1000</f>
        <v>#DIV/0!</v>
      </c>
      <c r="AH79" s="8144" t="e">
        <f>년간!K186/1000</f>
        <v>#DIV/0!</v>
      </c>
      <c r="AI79" s="8144" t="e">
        <f>년간!L186/1000</f>
        <v>#DIV/0!</v>
      </c>
      <c r="AJ79" s="8144" t="e">
        <f>년간!M186/1000</f>
        <v>#DIV/0!</v>
      </c>
      <c r="AK79" s="8144" t="e">
        <f>년간!N186/1000</f>
        <v>#DIV/0!</v>
      </c>
      <c r="AL79" s="8144" t="e">
        <f>년간!O186/1000</f>
        <v>#DIV/0!</v>
      </c>
      <c r="AM79" s="8144" t="e">
        <f>년간!P186/1000</f>
        <v>#DIV/0!</v>
      </c>
      <c r="AN79" s="8144" t="e">
        <f>년간!Q186/1000</f>
        <v>#DIV/0!</v>
      </c>
      <c r="AO79" s="8163">
        <f>AC79+AD79</f>
        <v>1957.3319986715546</v>
      </c>
      <c r="AP79" s="8165">
        <f>AO79/AB79</f>
        <v>0.4254126330903909</v>
      </c>
      <c r="AQ79" s="8151"/>
    </row>
    <row r="80" spans="1:43" ht="15.75" customHeight="1">
      <c r="A80" s="8175"/>
      <c r="B80" s="1184" t="s">
        <v>408</v>
      </c>
      <c r="C80" s="400"/>
      <c r="D80" s="400"/>
      <c r="E80" s="400">
        <f>463/60</f>
        <v>7.7166666666666668</v>
      </c>
      <c r="F80" s="400">
        <f>186/60</f>
        <v>3.1</v>
      </c>
      <c r="G80" s="401">
        <v>14.6</v>
      </c>
      <c r="H80" s="399">
        <v>12.583333333333334</v>
      </c>
      <c r="I80" s="399">
        <v>14.466666666666669</v>
      </c>
      <c r="J80" s="2861">
        <v>0.6333333333333333</v>
      </c>
      <c r="K80" s="4091">
        <f>년간!C59/60</f>
        <v>1.1833333333333333</v>
      </c>
      <c r="L80" s="4091">
        <f>년간!D59/60</f>
        <v>9.3000000000000007</v>
      </c>
      <c r="M80" s="1683">
        <f>년간!E59/60</f>
        <v>6</v>
      </c>
      <c r="N80" s="4091">
        <f>M80/12</f>
        <v>0.5</v>
      </c>
      <c r="O80" s="4530">
        <f>년간!F59/60</f>
        <v>0</v>
      </c>
      <c r="P80" s="4530">
        <f>년간!G59/60</f>
        <v>0</v>
      </c>
      <c r="Q80" s="7596">
        <f>년간!H59/60</f>
        <v>2.3333333333333335</v>
      </c>
      <c r="R80" s="4100">
        <f>년간!I59/60</f>
        <v>0</v>
      </c>
      <c r="S80" s="4530">
        <f>년간!J59/60</f>
        <v>0</v>
      </c>
      <c r="T80" s="4530">
        <f>년간!K59/60</f>
        <v>0</v>
      </c>
      <c r="U80" s="4530">
        <f>년간!L59/60</f>
        <v>0</v>
      </c>
      <c r="V80" s="4530">
        <f>년간!M59/60</f>
        <v>0</v>
      </c>
      <c r="W80" s="4530">
        <f>년간!N59/60</f>
        <v>0</v>
      </c>
      <c r="X80" s="4159">
        <f>년간!O59/60</f>
        <v>0</v>
      </c>
      <c r="Y80" s="5521">
        <f>년간!P59/60</f>
        <v>0</v>
      </c>
      <c r="Z80" s="2559">
        <f>년간!Q59/60</f>
        <v>0</v>
      </c>
      <c r="AA80" s="4159">
        <f>년간!V59/60</f>
        <v>2.3333333333333335</v>
      </c>
      <c r="AB80" s="8168"/>
      <c r="AC80" s="8145"/>
      <c r="AD80" s="8145"/>
      <c r="AE80" s="8145"/>
      <c r="AF80" s="8145"/>
      <c r="AG80" s="8145"/>
      <c r="AH80" s="8145"/>
      <c r="AI80" s="8145"/>
      <c r="AJ80" s="8145"/>
      <c r="AK80" s="8145"/>
      <c r="AL80" s="8145"/>
      <c r="AM80" s="8145"/>
      <c r="AN80" s="8145"/>
      <c r="AO80" s="8164"/>
      <c r="AP80" s="8096"/>
      <c r="AQ80" s="8152"/>
    </row>
    <row r="81" spans="1:43" ht="15.75" customHeight="1" thickBot="1">
      <c r="A81" s="8148" t="s">
        <v>31</v>
      </c>
      <c r="B81" s="8148"/>
      <c r="C81" s="1111"/>
      <c r="D81" s="1111"/>
      <c r="E81" s="1111"/>
      <c r="F81" s="1186">
        <f>F80+F78+F76+F74+F72</f>
        <v>74.699999999999989</v>
      </c>
      <c r="G81" s="1186">
        <v>169.38333333333333</v>
      </c>
      <c r="H81" s="1186">
        <v>111.58333333333334</v>
      </c>
      <c r="I81" s="1186">
        <f t="shared" ref="I81:O81" si="59">I80+I78+I76+I74+I72</f>
        <v>136.56666666666666</v>
      </c>
      <c r="J81" s="1586">
        <f t="shared" si="59"/>
        <v>70.083333333333329</v>
      </c>
      <c r="K81" s="4534">
        <f t="shared" si="59"/>
        <v>51.383333333333333</v>
      </c>
      <c r="L81" s="4534">
        <f>L80+L78+L76+L74+L72</f>
        <v>87.350000000000009</v>
      </c>
      <c r="M81" s="1657">
        <f t="shared" si="59"/>
        <v>38.5</v>
      </c>
      <c r="N81" s="2108">
        <f t="shared" si="59"/>
        <v>3.708333333333333</v>
      </c>
      <c r="O81" s="4534">
        <f t="shared" si="59"/>
        <v>1.1666666666666667</v>
      </c>
      <c r="P81" s="4534">
        <f t="shared" ref="P81:Z81" si="60">P80+P78+P76+P74+P72</f>
        <v>0</v>
      </c>
      <c r="Q81" s="7600">
        <f t="shared" si="60"/>
        <v>8.5500000000000007</v>
      </c>
      <c r="R81" s="7591">
        <f t="shared" si="60"/>
        <v>0</v>
      </c>
      <c r="S81" s="4534">
        <f t="shared" si="60"/>
        <v>0</v>
      </c>
      <c r="T81" s="4941">
        <f>T80+T78+T76+T74+T72</f>
        <v>0</v>
      </c>
      <c r="U81" s="4534">
        <f t="shared" si="60"/>
        <v>0</v>
      </c>
      <c r="V81" s="4534">
        <f t="shared" si="60"/>
        <v>0</v>
      </c>
      <c r="W81" s="4534">
        <f t="shared" si="60"/>
        <v>0</v>
      </c>
      <c r="X81" s="4160">
        <f t="shared" si="60"/>
        <v>0</v>
      </c>
      <c r="Y81" s="5525">
        <f t="shared" si="60"/>
        <v>0</v>
      </c>
      <c r="Z81" s="2589">
        <f t="shared" si="60"/>
        <v>0</v>
      </c>
      <c r="AA81" s="2515"/>
      <c r="AB81" s="4554">
        <f>SUM(AB71:AB80)</f>
        <v>51611.581861880375</v>
      </c>
      <c r="AC81" s="4555">
        <f>SUM(AC71:AC80)</f>
        <v>583.62743557041631</v>
      </c>
      <c r="AD81" s="4555">
        <f>SUM(AD71:AD80)</f>
        <v>1868.272149552603</v>
      </c>
      <c r="AE81" s="4555">
        <f t="shared" ref="AE81:AN81" si="61">SUM(AE71:AE79)</f>
        <v>-1508.0933660841074</v>
      </c>
      <c r="AF81" s="4555" t="e">
        <f t="shared" si="61"/>
        <v>#DIV/0!</v>
      </c>
      <c r="AG81" s="4555" t="e">
        <f t="shared" si="61"/>
        <v>#DIV/0!</v>
      </c>
      <c r="AH81" s="4944" t="e">
        <f t="shared" si="61"/>
        <v>#DIV/0!</v>
      </c>
      <c r="AI81" s="4944" t="e">
        <f t="shared" si="61"/>
        <v>#DIV/0!</v>
      </c>
      <c r="AJ81" s="4944" t="e">
        <f t="shared" si="61"/>
        <v>#DIV/0!</v>
      </c>
      <c r="AK81" s="4944" t="e">
        <f t="shared" si="61"/>
        <v>#DIV/0!</v>
      </c>
      <c r="AL81" s="4944" t="e">
        <f t="shared" si="61"/>
        <v>#DIV/0!</v>
      </c>
      <c r="AM81" s="4944" t="e">
        <f t="shared" si="61"/>
        <v>#DIV/0!</v>
      </c>
      <c r="AN81" s="4944" t="e">
        <f t="shared" si="61"/>
        <v>#DIV/0!</v>
      </c>
      <c r="AO81" s="4944">
        <f>SUM(AO71:AO80)</f>
        <v>2451.8995851230193</v>
      </c>
      <c r="AP81" s="4945">
        <f>AO81/AB81</f>
        <v>4.7506770702836362E-2</v>
      </c>
      <c r="AQ81" s="1111"/>
    </row>
    <row r="82" spans="1:43" ht="15.75" customHeight="1">
      <c r="A82" s="405"/>
      <c r="B82" s="405"/>
      <c r="C82" s="406"/>
      <c r="D82" s="406"/>
      <c r="E82" s="406"/>
      <c r="F82" s="419">
        <f>F81+F43</f>
        <v>175.0333333333333</v>
      </c>
      <c r="G82" s="503"/>
      <c r="H82" s="420"/>
      <c r="I82" s="420"/>
      <c r="J82" s="420"/>
      <c r="K82" s="420"/>
      <c r="L82" s="420"/>
      <c r="M82" s="420"/>
      <c r="N82" s="420"/>
      <c r="O82" s="420"/>
      <c r="P82" s="420">
        <f>P81+P43</f>
        <v>0.58333333333333337</v>
      </c>
      <c r="Q82" s="420">
        <f>Q81+Q43</f>
        <v>11.4</v>
      </c>
      <c r="R82" s="420">
        <f>R81+R43</f>
        <v>0</v>
      </c>
      <c r="S82" s="420">
        <f t="shared" ref="S82:AD82" si="62">S81+S43</f>
        <v>0</v>
      </c>
      <c r="T82" s="420">
        <f t="shared" si="62"/>
        <v>0</v>
      </c>
      <c r="U82" s="420">
        <f t="shared" si="62"/>
        <v>0</v>
      </c>
      <c r="V82" s="420">
        <f t="shared" si="62"/>
        <v>0</v>
      </c>
      <c r="W82" s="420">
        <f t="shared" si="62"/>
        <v>0</v>
      </c>
      <c r="X82" s="420">
        <f t="shared" si="62"/>
        <v>0</v>
      </c>
      <c r="Y82" s="420">
        <f t="shared" si="62"/>
        <v>0</v>
      </c>
      <c r="Z82" s="420">
        <f t="shared" si="62"/>
        <v>0</v>
      </c>
      <c r="AA82" s="420"/>
      <c r="AB82" s="420">
        <f t="shared" si="62"/>
        <v>62503.312750872014</v>
      </c>
      <c r="AC82" s="420">
        <f t="shared" si="62"/>
        <v>2550.237772121769</v>
      </c>
      <c r="AD82" s="420">
        <f t="shared" si="62"/>
        <v>3000.6387932702669</v>
      </c>
      <c r="AE82" s="420"/>
    </row>
    <row r="83" spans="1:43" ht="15.75" customHeight="1" thickBot="1">
      <c r="A83" s="291" t="s">
        <v>621</v>
      </c>
      <c r="F83" s="421">
        <f>F82/12</f>
        <v>14.586111111111109</v>
      </c>
      <c r="G83" s="421"/>
    </row>
    <row r="84" spans="1:43" ht="15.75" customHeight="1" thickBot="1">
      <c r="A84" s="7750" t="s">
        <v>0</v>
      </c>
      <c r="B84" s="7835"/>
      <c r="C84" s="7844" t="s">
        <v>404</v>
      </c>
      <c r="D84" s="7844" t="s">
        <v>405</v>
      </c>
      <c r="E84" s="7844" t="s">
        <v>406</v>
      </c>
      <c r="F84" s="7844" t="s">
        <v>407</v>
      </c>
      <c r="G84" s="7844" t="s">
        <v>403</v>
      </c>
      <c r="H84" s="7844" t="s">
        <v>1140</v>
      </c>
      <c r="I84" s="7844" t="s">
        <v>1141</v>
      </c>
      <c r="J84" s="8208" t="s">
        <v>1142</v>
      </c>
      <c r="K84" s="8208" t="s">
        <v>1156</v>
      </c>
      <c r="L84" s="7845" t="s">
        <v>1889</v>
      </c>
      <c r="M84" s="8142" t="s">
        <v>1921</v>
      </c>
      <c r="N84" s="7968" t="s">
        <v>893</v>
      </c>
      <c r="O84" s="8191" t="s">
        <v>1923</v>
      </c>
      <c r="P84" s="7975"/>
      <c r="Q84" s="7975"/>
      <c r="R84" s="7975"/>
      <c r="S84" s="7975"/>
      <c r="T84" s="7975"/>
      <c r="U84" s="7975"/>
      <c r="V84" s="7975"/>
      <c r="W84" s="7975"/>
      <c r="X84" s="7975"/>
      <c r="Y84" s="7975"/>
      <c r="Z84" s="7975"/>
      <c r="AA84" s="7975"/>
      <c r="AB84" s="7835"/>
      <c r="AC84" s="7835"/>
      <c r="AD84" s="7835"/>
      <c r="AE84" s="7835"/>
      <c r="AF84" s="7835"/>
      <c r="AG84" s="7835"/>
      <c r="AH84" s="7835"/>
      <c r="AI84" s="7835"/>
      <c r="AJ84" s="7835"/>
      <c r="AK84" s="7835"/>
      <c r="AL84" s="7835"/>
      <c r="AM84" s="7835"/>
      <c r="AN84" s="7835"/>
      <c r="AO84" s="7844" t="s">
        <v>457</v>
      </c>
      <c r="AP84" s="7844" t="s">
        <v>361</v>
      </c>
      <c r="AQ84" s="7838" t="s">
        <v>340</v>
      </c>
    </row>
    <row r="85" spans="1:43" ht="15.75" customHeight="1" thickTop="1" thickBot="1">
      <c r="A85" s="8183"/>
      <c r="B85" s="8184"/>
      <c r="C85" s="8153"/>
      <c r="D85" s="8153"/>
      <c r="E85" s="8153"/>
      <c r="F85" s="8153"/>
      <c r="G85" s="8153"/>
      <c r="H85" s="8153"/>
      <c r="I85" s="8153"/>
      <c r="J85" s="8230"/>
      <c r="K85" s="8230"/>
      <c r="L85" s="8248"/>
      <c r="M85" s="8180"/>
      <c r="N85" s="7951"/>
      <c r="O85" s="4524" t="s">
        <v>409</v>
      </c>
      <c r="P85" s="4563" t="s">
        <v>368</v>
      </c>
      <c r="Q85" s="7601" t="s">
        <v>369</v>
      </c>
      <c r="R85" s="7592" t="s">
        <v>370</v>
      </c>
      <c r="S85" s="4792" t="s">
        <v>371</v>
      </c>
      <c r="T85" s="4937" t="s">
        <v>372</v>
      </c>
      <c r="U85" s="5080" t="s">
        <v>373</v>
      </c>
      <c r="V85" s="5443" t="s">
        <v>374</v>
      </c>
      <c r="W85" s="7426" t="s">
        <v>375</v>
      </c>
      <c r="X85" s="6427" t="s">
        <v>376</v>
      </c>
      <c r="Y85" s="4340" t="s">
        <v>377</v>
      </c>
      <c r="Z85" s="4300" t="s">
        <v>378</v>
      </c>
      <c r="AA85" s="4525" t="s">
        <v>1243</v>
      </c>
      <c r="AB85" s="4340" t="s">
        <v>192</v>
      </c>
      <c r="AC85" s="4300" t="s">
        <v>410</v>
      </c>
      <c r="AD85" s="4300" t="s">
        <v>379</v>
      </c>
      <c r="AE85" s="4300" t="s">
        <v>380</v>
      </c>
      <c r="AF85" s="4300" t="s">
        <v>381</v>
      </c>
      <c r="AG85" s="4300" t="s">
        <v>382</v>
      </c>
      <c r="AH85" s="4300" t="s">
        <v>383</v>
      </c>
      <c r="AI85" s="4300" t="s">
        <v>384</v>
      </c>
      <c r="AJ85" s="4300" t="s">
        <v>385</v>
      </c>
      <c r="AK85" s="4300" t="s">
        <v>386</v>
      </c>
      <c r="AL85" s="6426" t="s">
        <v>387</v>
      </c>
      <c r="AM85" s="6426" t="s">
        <v>388</v>
      </c>
      <c r="AN85" s="6426" t="s">
        <v>389</v>
      </c>
      <c r="AO85" s="8153"/>
      <c r="AP85" s="8153"/>
      <c r="AQ85" s="8190"/>
    </row>
    <row r="86" spans="1:43" ht="15.75" customHeight="1">
      <c r="A86" s="8181" t="s">
        <v>2</v>
      </c>
      <c r="B86" s="8182"/>
      <c r="C86" s="2590"/>
      <c r="D86" s="2590">
        <v>23</v>
      </c>
      <c r="E86" s="2590">
        <v>13</v>
      </c>
      <c r="F86" s="2590">
        <v>14</v>
      </c>
      <c r="G86" s="2590">
        <v>31</v>
      </c>
      <c r="H86" s="2590">
        <v>18</v>
      </c>
      <c r="I86" s="2590">
        <v>7</v>
      </c>
      <c r="J86" s="4298">
        <v>4</v>
      </c>
      <c r="K86" s="2591">
        <f>년간!C45</f>
        <v>3</v>
      </c>
      <c r="L86" s="2591">
        <f>년간!D45</f>
        <v>3</v>
      </c>
      <c r="M86" s="4337">
        <f>년간!E45</f>
        <v>3</v>
      </c>
      <c r="N86" s="4338">
        <f>M86/10</f>
        <v>0.3</v>
      </c>
      <c r="O86" s="2591">
        <f>년간!F45</f>
        <v>0</v>
      </c>
      <c r="P86" s="2591">
        <f>년간!G45</f>
        <v>0</v>
      </c>
      <c r="Q86" s="7618">
        <f>년간!H45</f>
        <v>0</v>
      </c>
      <c r="R86" s="7593">
        <f>년간!I45</f>
        <v>0</v>
      </c>
      <c r="S86" s="2591">
        <f>년간!J45</f>
        <v>0</v>
      </c>
      <c r="T86" s="2591">
        <f>년간!K45</f>
        <v>0</v>
      </c>
      <c r="U86" s="2591">
        <f>년간!L45</f>
        <v>0</v>
      </c>
      <c r="V86" s="2591">
        <f>년간!M45</f>
        <v>0</v>
      </c>
      <c r="W86" s="2591">
        <f>년간!N45</f>
        <v>0</v>
      </c>
      <c r="X86" s="4157">
        <f>년간!O45</f>
        <v>0</v>
      </c>
      <c r="Y86" s="4339">
        <f>년간!P45</f>
        <v>0</v>
      </c>
      <c r="Z86" s="2590">
        <f>년간!Q45</f>
        <v>0</v>
      </c>
      <c r="AA86" s="4526">
        <f>년간!V45</f>
        <v>0</v>
      </c>
      <c r="AB86" s="4339"/>
      <c r="AC86" s="7400"/>
      <c r="AD86" s="7400"/>
      <c r="AE86" s="4298"/>
      <c r="AF86" s="4298"/>
      <c r="AG86" s="4298"/>
      <c r="AH86" s="4298"/>
      <c r="AI86" s="4298"/>
      <c r="AJ86" s="4298"/>
      <c r="AK86" s="4298"/>
      <c r="AL86" s="4298"/>
      <c r="AM86" s="4298"/>
      <c r="AN86" s="4298"/>
      <c r="AO86" s="2590"/>
      <c r="AP86" s="4299"/>
      <c r="AQ86" s="850"/>
    </row>
    <row r="87" spans="1:43" ht="15.75" customHeight="1">
      <c r="A87" s="8173" t="s">
        <v>3</v>
      </c>
      <c r="B87" s="8174"/>
      <c r="C87" s="408"/>
      <c r="D87" s="408"/>
      <c r="E87" s="408">
        <v>14</v>
      </c>
      <c r="F87" s="408">
        <v>21</v>
      </c>
      <c r="G87" s="491">
        <v>41</v>
      </c>
      <c r="H87" s="499">
        <v>24</v>
      </c>
      <c r="I87" s="499">
        <v>14</v>
      </c>
      <c r="J87" s="2588">
        <v>25</v>
      </c>
      <c r="K87" s="1585">
        <f>년간!C46</f>
        <v>6</v>
      </c>
      <c r="L87" s="1585">
        <f>년간!D46</f>
        <v>25</v>
      </c>
      <c r="M87" s="2586">
        <f>년간!E46</f>
        <v>10</v>
      </c>
      <c r="N87" s="4089">
        <f>M87/10</f>
        <v>1</v>
      </c>
      <c r="O87" s="4531">
        <f>년간!F46</f>
        <v>0</v>
      </c>
      <c r="P87" s="4531">
        <f>년간!G46</f>
        <v>0</v>
      </c>
      <c r="Q87" s="7602">
        <f>년간!H46</f>
        <v>3</v>
      </c>
      <c r="R87" s="4101">
        <f>년간!I46</f>
        <v>0</v>
      </c>
      <c r="S87" s="4531">
        <f>년간!J46</f>
        <v>0</v>
      </c>
      <c r="T87" s="4531">
        <f>년간!K46</f>
        <v>0</v>
      </c>
      <c r="U87" s="4531">
        <f>년간!L46</f>
        <v>0</v>
      </c>
      <c r="V87" s="4531">
        <f>년간!M46</f>
        <v>0</v>
      </c>
      <c r="W87" s="7425">
        <f>년간!N46</f>
        <v>0</v>
      </c>
      <c r="X87" s="4157">
        <f>년간!O46</f>
        <v>0</v>
      </c>
      <c r="Y87" s="4087">
        <f>년간!P46</f>
        <v>0</v>
      </c>
      <c r="Z87" s="2526">
        <f>년간!Q46</f>
        <v>0</v>
      </c>
      <c r="AA87" s="4527">
        <f>년간!V46</f>
        <v>3</v>
      </c>
      <c r="AB87" s="1235"/>
      <c r="AC87" s="7397"/>
      <c r="AD87" s="7397"/>
      <c r="AE87" s="397"/>
      <c r="AF87" s="397"/>
      <c r="AG87" s="397"/>
      <c r="AH87" s="397"/>
      <c r="AI87" s="397"/>
      <c r="AJ87" s="397"/>
      <c r="AK87" s="397"/>
      <c r="AL87" s="397"/>
      <c r="AM87" s="397"/>
      <c r="AN87" s="397"/>
      <c r="AO87" s="712"/>
      <c r="AP87" s="351"/>
      <c r="AQ87" s="333"/>
    </row>
    <row r="88" spans="1:43" ht="15.75" customHeight="1">
      <c r="A88" s="8173" t="s">
        <v>4</v>
      </c>
      <c r="B88" s="8174"/>
      <c r="C88" s="408"/>
      <c r="D88" s="408"/>
      <c r="E88" s="408">
        <v>16</v>
      </c>
      <c r="F88" s="408">
        <v>36</v>
      </c>
      <c r="G88" s="491">
        <v>20</v>
      </c>
      <c r="H88" s="499">
        <v>21</v>
      </c>
      <c r="I88" s="499">
        <v>17</v>
      </c>
      <c r="J88" s="2588">
        <v>22</v>
      </c>
      <c r="K88" s="1585">
        <f>년간!C47</f>
        <v>14</v>
      </c>
      <c r="L88" s="1585">
        <f>년간!D47</f>
        <v>7</v>
      </c>
      <c r="M88" s="2586">
        <f>년간!E47</f>
        <v>6</v>
      </c>
      <c r="N88" s="4089">
        <f>M88/10</f>
        <v>0.6</v>
      </c>
      <c r="O88" s="4531">
        <f>년간!F47</f>
        <v>0</v>
      </c>
      <c r="P88" s="4531">
        <f>년간!G47</f>
        <v>0</v>
      </c>
      <c r="Q88" s="7602">
        <f>년간!H47</f>
        <v>2</v>
      </c>
      <c r="R88" s="4101">
        <f>년간!I47</f>
        <v>0</v>
      </c>
      <c r="S88" s="4531">
        <f>년간!J47</f>
        <v>0</v>
      </c>
      <c r="T88" s="4531">
        <f>년간!K47</f>
        <v>0</v>
      </c>
      <c r="U88" s="4531">
        <f>년간!L47</f>
        <v>0</v>
      </c>
      <c r="V88" s="4531">
        <f>년간!M47</f>
        <v>0</v>
      </c>
      <c r="W88" s="7425">
        <f>년간!N47</f>
        <v>0</v>
      </c>
      <c r="X88" s="4157">
        <f>년간!O47</f>
        <v>0</v>
      </c>
      <c r="Y88" s="4087">
        <f>년간!P47</f>
        <v>0</v>
      </c>
      <c r="Z88" s="2526">
        <f>년간!Q47</f>
        <v>0</v>
      </c>
      <c r="AA88" s="4527">
        <f>년간!V47</f>
        <v>2</v>
      </c>
      <c r="AB88" s="1421">
        <f>년간!E192/1000</f>
        <v>2993.2814999478101</v>
      </c>
      <c r="AC88" s="7398"/>
      <c r="AD88" s="7398"/>
      <c r="AE88" s="368">
        <f>년간!H192/1000</f>
        <v>-4240.482124926064</v>
      </c>
      <c r="AF88" s="368">
        <f>년간!I192/1000</f>
        <v>1746.0808749695559</v>
      </c>
      <c r="AG88" s="368">
        <f>년간!J192/1000</f>
        <v>1746.0808749695559</v>
      </c>
      <c r="AH88" s="368">
        <f>년간!K192/1000</f>
        <v>1746.0808749695559</v>
      </c>
      <c r="AI88" s="368">
        <f>년간!L192/1000</f>
        <v>1746.0808749695559</v>
      </c>
      <c r="AJ88" s="368">
        <f>년간!M192/1000</f>
        <v>1746.0808749695559</v>
      </c>
      <c r="AK88" s="368">
        <f>년간!N192/1000</f>
        <v>1746.0808749695559</v>
      </c>
      <c r="AL88" s="368">
        <f>년간!O192/1000</f>
        <v>1746.0808749695559</v>
      </c>
      <c r="AM88" s="368">
        <f>년간!P192/1000</f>
        <v>1746.0808749695559</v>
      </c>
      <c r="AN88" s="368">
        <f>년간!Q192/1000</f>
        <v>1746.0808749695559</v>
      </c>
      <c r="AO88" s="848">
        <f>AC88+AD88</f>
        <v>0</v>
      </c>
      <c r="AP88" s="351">
        <f>AO88/AB88</f>
        <v>0</v>
      </c>
      <c r="AQ88" s="333"/>
    </row>
    <row r="89" spans="1:43" ht="15.75" customHeight="1">
      <c r="A89" s="8173" t="s">
        <v>190</v>
      </c>
      <c r="B89" s="8174"/>
      <c r="C89" s="408"/>
      <c r="D89" s="408"/>
      <c r="E89" s="408">
        <v>23</v>
      </c>
      <c r="F89" s="408">
        <v>21</v>
      </c>
      <c r="G89" s="491">
        <v>13</v>
      </c>
      <c r="H89" s="499">
        <v>14</v>
      </c>
      <c r="I89" s="499">
        <v>19</v>
      </c>
      <c r="J89" s="2588">
        <v>6</v>
      </c>
      <c r="K89" s="1585">
        <f>년간!C48</f>
        <v>6</v>
      </c>
      <c r="L89" s="1585">
        <f>년간!D48</f>
        <v>2</v>
      </c>
      <c r="M89" s="2586">
        <f>년간!E48</f>
        <v>3</v>
      </c>
      <c r="N89" s="4089">
        <f>M89/12</f>
        <v>0.25</v>
      </c>
      <c r="O89" s="4531">
        <f>년간!F48</f>
        <v>1</v>
      </c>
      <c r="P89" s="4531">
        <f>년간!G48</f>
        <v>0</v>
      </c>
      <c r="Q89" s="7602">
        <f>년간!H48</f>
        <v>1</v>
      </c>
      <c r="R89" s="4101">
        <f>년간!I48</f>
        <v>0</v>
      </c>
      <c r="S89" s="4531">
        <f>년간!J48</f>
        <v>0</v>
      </c>
      <c r="T89" s="4531">
        <f>년간!K48</f>
        <v>0</v>
      </c>
      <c r="U89" s="4531">
        <f>년간!L48</f>
        <v>0</v>
      </c>
      <c r="V89" s="4531">
        <f>년간!M48</f>
        <v>0</v>
      </c>
      <c r="W89" s="7425">
        <f>년간!N48</f>
        <v>0</v>
      </c>
      <c r="X89" s="4157">
        <f>년간!O48</f>
        <v>0</v>
      </c>
      <c r="Y89" s="4087">
        <f>년간!P48</f>
        <v>0</v>
      </c>
      <c r="Z89" s="2526">
        <f>년간!Q48</f>
        <v>0</v>
      </c>
      <c r="AA89" s="4527">
        <f>년간!V48</f>
        <v>2</v>
      </c>
      <c r="AB89" s="1421">
        <f>년간!E193/1000</f>
        <v>-1231.9914980403598</v>
      </c>
      <c r="AC89" s="368">
        <f>년간!F193/1000</f>
        <v>-1026.6595817002999</v>
      </c>
      <c r="AD89" s="368">
        <f>년간!G193/1000</f>
        <v>205.33191634005999</v>
      </c>
      <c r="AE89" s="368">
        <f>년간!H193/1000</f>
        <v>-1026.6595817002999</v>
      </c>
      <c r="AF89" s="368">
        <f>년간!I193/1000</f>
        <v>205.33191634005999</v>
      </c>
      <c r="AG89" s="368">
        <f>년간!J193/1000</f>
        <v>205.33191634005999</v>
      </c>
      <c r="AH89" s="368">
        <f>년간!K193/1000</f>
        <v>205.33191634005999</v>
      </c>
      <c r="AI89" s="368">
        <f>년간!L193/1000</f>
        <v>205.33191634005999</v>
      </c>
      <c r="AJ89" s="368">
        <f>년간!M193/1000</f>
        <v>205.33191634005999</v>
      </c>
      <c r="AK89" s="368">
        <f>년간!N193/1000</f>
        <v>205.33191634005999</v>
      </c>
      <c r="AL89" s="368">
        <f>년간!O193/1000</f>
        <v>205.33191634005999</v>
      </c>
      <c r="AM89" s="368">
        <f>년간!P193/1000</f>
        <v>205.33191634005999</v>
      </c>
      <c r="AN89" s="368">
        <f>년간!Q193/1000</f>
        <v>205.33191634005999</v>
      </c>
      <c r="AO89" s="848">
        <f>AC89+AD89</f>
        <v>-821.32766536023996</v>
      </c>
      <c r="AP89" s="351">
        <f>AO89/AB89</f>
        <v>0.66666666666666674</v>
      </c>
      <c r="AQ89" s="333"/>
    </row>
    <row r="90" spans="1:43" ht="15.75" customHeight="1">
      <c r="A90" s="8173" t="s">
        <v>17</v>
      </c>
      <c r="B90" s="8174"/>
      <c r="C90" s="408"/>
      <c r="D90" s="408"/>
      <c r="E90" s="408">
        <v>9</v>
      </c>
      <c r="F90" s="408">
        <v>6</v>
      </c>
      <c r="G90" s="491">
        <v>11</v>
      </c>
      <c r="H90" s="499">
        <v>11</v>
      </c>
      <c r="I90" s="499">
        <v>14</v>
      </c>
      <c r="J90" s="2588">
        <v>2</v>
      </c>
      <c r="K90" s="1585">
        <f>년간!C49</f>
        <v>2</v>
      </c>
      <c r="L90" s="1585">
        <f>년간!D49</f>
        <v>5</v>
      </c>
      <c r="M90" s="2586">
        <f>년간!E49</f>
        <v>4</v>
      </c>
      <c r="N90" s="4089">
        <f>M90/12</f>
        <v>0.33333333333333331</v>
      </c>
      <c r="O90" s="4531">
        <f>년간!F49</f>
        <v>0</v>
      </c>
      <c r="P90" s="4531">
        <f>년간!G49</f>
        <v>0</v>
      </c>
      <c r="Q90" s="7602">
        <f>년간!H49</f>
        <v>2</v>
      </c>
      <c r="R90" s="4101">
        <f>년간!I49</f>
        <v>0</v>
      </c>
      <c r="S90" s="4531">
        <f>년간!J49</f>
        <v>0</v>
      </c>
      <c r="T90" s="4531">
        <f>년간!K49</f>
        <v>0</v>
      </c>
      <c r="U90" s="4531">
        <f>년간!L49</f>
        <v>0</v>
      </c>
      <c r="V90" s="4531">
        <f>년간!M49</f>
        <v>0</v>
      </c>
      <c r="W90" s="7425">
        <f>년간!N49</f>
        <v>0</v>
      </c>
      <c r="X90" s="4157">
        <f>년간!O49</f>
        <v>0</v>
      </c>
      <c r="Y90" s="4087">
        <f>년간!P49</f>
        <v>0</v>
      </c>
      <c r="Z90" s="2526">
        <f>년간!Q49</f>
        <v>0</v>
      </c>
      <c r="AA90" s="4527">
        <f>년간!V49</f>
        <v>2</v>
      </c>
      <c r="AB90" s="4161">
        <f>년간!E194/1000</f>
        <v>732.56022913971992</v>
      </c>
      <c r="AC90" s="368">
        <f>년간!F194/1000</f>
        <v>305.23342880821667</v>
      </c>
      <c r="AD90" s="368">
        <f>년간!G194/1000</f>
        <v>305.23342880821667</v>
      </c>
      <c r="AE90" s="368">
        <f>년간!H194/1000</f>
        <v>-1159.8870294712233</v>
      </c>
      <c r="AF90" s="368">
        <f>년간!I194/1000</f>
        <v>305.23342880821667</v>
      </c>
      <c r="AG90" s="368">
        <f>년간!J194/1000</f>
        <v>305.23342880821667</v>
      </c>
      <c r="AH90" s="368">
        <f>년간!K194/1000</f>
        <v>305.23342880821667</v>
      </c>
      <c r="AI90" s="368">
        <f>년간!L194/1000</f>
        <v>305.23342880821667</v>
      </c>
      <c r="AJ90" s="368">
        <f>년간!M194/1000</f>
        <v>305.23342880821667</v>
      </c>
      <c r="AK90" s="368">
        <f>년간!N194/1000</f>
        <v>305.23342880821667</v>
      </c>
      <c r="AL90" s="368">
        <f>년간!O194/1000</f>
        <v>305.23342880821667</v>
      </c>
      <c r="AM90" s="368">
        <f>년간!P194/1000</f>
        <v>305.23342880821667</v>
      </c>
      <c r="AN90" s="502">
        <f>년간!Q194/1000</f>
        <v>305.23342880821667</v>
      </c>
      <c r="AO90" s="848">
        <f>AC90+AD90</f>
        <v>610.46685761643334</v>
      </c>
      <c r="AP90" s="351"/>
      <c r="AQ90" s="333"/>
    </row>
    <row r="91" spans="1:43" ht="15.75" customHeight="1" thickBot="1">
      <c r="A91" s="8148" t="s">
        <v>31</v>
      </c>
      <c r="B91" s="8148"/>
      <c r="C91" s="1111">
        <f>SUM(C86:C90)</f>
        <v>0</v>
      </c>
      <c r="D91" s="1111">
        <f t="shared" ref="D91:AB91" si="63">SUM(D86:D90)</f>
        <v>23</v>
      </c>
      <c r="E91" s="1111">
        <f t="shared" si="63"/>
        <v>75</v>
      </c>
      <c r="F91" s="1111">
        <f t="shared" si="63"/>
        <v>98</v>
      </c>
      <c r="G91" s="1111">
        <f t="shared" si="63"/>
        <v>116</v>
      </c>
      <c r="H91" s="1111">
        <v>88</v>
      </c>
      <c r="I91" s="1111">
        <f>SUM(I86:I90)</f>
        <v>71</v>
      </c>
      <c r="J91" s="1483">
        <f>SUM(J86:J90)</f>
        <v>59</v>
      </c>
      <c r="K91" s="1483">
        <f>SUM(K86:K90)</f>
        <v>31</v>
      </c>
      <c r="L91" s="1483">
        <f>SUM(L86:L90)</f>
        <v>42</v>
      </c>
      <c r="M91" s="2587">
        <f t="shared" si="63"/>
        <v>26</v>
      </c>
      <c r="N91" s="4096">
        <f t="shared" si="63"/>
        <v>2.4833333333333334</v>
      </c>
      <c r="O91" s="4532">
        <f t="shared" si="63"/>
        <v>1</v>
      </c>
      <c r="P91" s="4532">
        <f t="shared" si="63"/>
        <v>0</v>
      </c>
      <c r="Q91" s="7599">
        <f t="shared" si="63"/>
        <v>8</v>
      </c>
      <c r="R91" s="7588">
        <f t="shared" si="63"/>
        <v>0</v>
      </c>
      <c r="S91" s="4532">
        <f t="shared" si="63"/>
        <v>0</v>
      </c>
      <c r="T91" s="4593">
        <f t="shared" si="63"/>
        <v>0</v>
      </c>
      <c r="U91" s="4532">
        <f t="shared" si="63"/>
        <v>0</v>
      </c>
      <c r="V91" s="4532">
        <f t="shared" si="63"/>
        <v>0</v>
      </c>
      <c r="W91" s="4532">
        <f t="shared" si="63"/>
        <v>0</v>
      </c>
      <c r="X91" s="7424">
        <f t="shared" si="63"/>
        <v>0</v>
      </c>
      <c r="Y91" s="4088">
        <f t="shared" si="63"/>
        <v>0</v>
      </c>
      <c r="Z91" s="2665">
        <f t="shared" si="63"/>
        <v>0</v>
      </c>
      <c r="AA91" s="4523">
        <f t="shared" si="63"/>
        <v>9</v>
      </c>
      <c r="AB91" s="1422">
        <f t="shared" si="63"/>
        <v>2493.8502310471704</v>
      </c>
      <c r="AC91" s="1182">
        <f>SUM(AC86:AC90)</f>
        <v>-721.42615289208322</v>
      </c>
      <c r="AD91" s="1182">
        <f t="shared" ref="AD91:AN91" si="64">SUM(AD86:AD89)</f>
        <v>205.33191634005999</v>
      </c>
      <c r="AE91" s="1182">
        <f t="shared" si="64"/>
        <v>-5267.1417066263639</v>
      </c>
      <c r="AF91" s="1182">
        <f t="shared" si="64"/>
        <v>1951.4127913096158</v>
      </c>
      <c r="AG91" s="1182">
        <f t="shared" si="64"/>
        <v>1951.4127913096158</v>
      </c>
      <c r="AH91" s="1182">
        <f t="shared" si="64"/>
        <v>1951.4127913096158</v>
      </c>
      <c r="AI91" s="1182">
        <f t="shared" si="64"/>
        <v>1951.4127913096158</v>
      </c>
      <c r="AJ91" s="1182">
        <f t="shared" si="64"/>
        <v>1951.4127913096158</v>
      </c>
      <c r="AK91" s="1182">
        <f t="shared" si="64"/>
        <v>1951.4127913096158</v>
      </c>
      <c r="AL91" s="1182">
        <f t="shared" si="64"/>
        <v>1951.4127913096158</v>
      </c>
      <c r="AM91" s="1182">
        <f t="shared" si="64"/>
        <v>1951.4127913096158</v>
      </c>
      <c r="AN91" s="1182">
        <f t="shared" si="64"/>
        <v>1951.4127913096158</v>
      </c>
      <c r="AO91" s="1182">
        <f>SUM(AO86:AO90)</f>
        <v>-210.86080774380662</v>
      </c>
      <c r="AP91" s="1183">
        <f>AO91/AB91</f>
        <v>-8.4552313975673643E-2</v>
      </c>
      <c r="AQ91" s="1111"/>
    </row>
    <row r="92" spans="1:43" ht="15.75" customHeight="1">
      <c r="F92" s="426" t="e">
        <f>AT107=AN</f>
        <v>#NAME?</v>
      </c>
      <c r="G92" s="426">
        <f>G91+G53</f>
        <v>311</v>
      </c>
      <c r="H92" s="422"/>
      <c r="I92" s="422"/>
      <c r="J92" s="422"/>
      <c r="K92" s="422"/>
      <c r="L92" s="422"/>
      <c r="M92" s="422"/>
      <c r="N92" s="422"/>
      <c r="O92" s="426">
        <f t="shared" ref="O92:U92" si="65">O91+O53</f>
        <v>1</v>
      </c>
      <c r="P92" s="426">
        <f t="shared" si="65"/>
        <v>1</v>
      </c>
      <c r="Q92" s="426">
        <f t="shared" si="65"/>
        <v>11</v>
      </c>
      <c r="R92" s="426">
        <f t="shared" si="65"/>
        <v>0</v>
      </c>
      <c r="S92" s="426">
        <f t="shared" si="65"/>
        <v>0</v>
      </c>
      <c r="T92" s="426">
        <f t="shared" si="65"/>
        <v>0</v>
      </c>
      <c r="U92" s="426">
        <f t="shared" si="65"/>
        <v>0</v>
      </c>
      <c r="X92" s="297">
        <f>X91+X53</f>
        <v>0</v>
      </c>
      <c r="Y92" s="297">
        <f>Y91+Y53</f>
        <v>0</v>
      </c>
      <c r="Z92" s="297">
        <f>Z91+Z53</f>
        <v>0</v>
      </c>
    </row>
    <row r="93" spans="1:43" ht="15.75" customHeight="1" thickBot="1">
      <c r="A93" s="291" t="s">
        <v>622</v>
      </c>
      <c r="C93" s="101"/>
      <c r="D93" s="101"/>
      <c r="E93" s="101"/>
      <c r="F93" s="423" t="e">
        <f>F92/12</f>
        <v>#NAME?</v>
      </c>
      <c r="G93" s="423">
        <f>G92/12</f>
        <v>25.916666666666668</v>
      </c>
      <c r="H93" s="424"/>
      <c r="I93" s="424"/>
      <c r="J93" s="424"/>
      <c r="K93" s="424"/>
      <c r="L93" s="424"/>
      <c r="M93" s="424"/>
      <c r="N93" s="424"/>
      <c r="O93" s="424"/>
      <c r="P93" s="424"/>
      <c r="Q93" s="425"/>
      <c r="R93" s="425"/>
      <c r="S93" s="425"/>
      <c r="T93" s="425"/>
      <c r="U93" s="425"/>
      <c r="V93" s="101"/>
      <c r="W93" s="101"/>
      <c r="X93" s="101"/>
      <c r="Y93" s="101"/>
      <c r="Z93" s="101"/>
      <c r="AA93" s="101"/>
      <c r="AB93" s="412"/>
      <c r="AC93" s="413"/>
      <c r="AD93" s="413"/>
      <c r="AE93" s="413"/>
      <c r="AF93" s="413"/>
      <c r="AG93" s="413"/>
      <c r="AH93" s="413"/>
      <c r="AI93" s="413"/>
      <c r="AJ93" s="413"/>
      <c r="AK93" s="413"/>
      <c r="AL93" s="413"/>
      <c r="AM93" s="413"/>
      <c r="AN93" s="413"/>
      <c r="AO93" s="413"/>
      <c r="AP93" s="315"/>
      <c r="AQ93" s="414"/>
    </row>
    <row r="94" spans="1:43" ht="15.75" customHeight="1" thickBot="1">
      <c r="A94" s="8159" t="s">
        <v>0</v>
      </c>
      <c r="B94" s="8159"/>
      <c r="C94" s="8148" t="s">
        <v>404</v>
      </c>
      <c r="D94" s="8148" t="s">
        <v>405</v>
      </c>
      <c r="E94" s="8148" t="s">
        <v>406</v>
      </c>
      <c r="F94" s="8148" t="s">
        <v>407</v>
      </c>
      <c r="G94" s="8148" t="s">
        <v>403</v>
      </c>
      <c r="H94" s="8185" t="s">
        <v>543</v>
      </c>
      <c r="I94" s="8185" t="s">
        <v>714</v>
      </c>
      <c r="J94" s="8229" t="s">
        <v>979</v>
      </c>
      <c r="K94" s="8209" t="s">
        <v>1156</v>
      </c>
      <c r="L94" s="8247" t="s">
        <v>1889</v>
      </c>
      <c r="M94" s="7952" t="s">
        <v>1922</v>
      </c>
      <c r="N94" s="7968" t="s">
        <v>894</v>
      </c>
      <c r="O94" s="8186" t="s">
        <v>1923</v>
      </c>
      <c r="P94" s="8187"/>
      <c r="Q94" s="8187"/>
      <c r="R94" s="8187"/>
      <c r="S94" s="8187"/>
      <c r="T94" s="8187"/>
      <c r="U94" s="8187"/>
      <c r="V94" s="8187"/>
      <c r="W94" s="8187"/>
      <c r="X94" s="8187"/>
      <c r="Y94" s="8188"/>
      <c r="Z94" s="8188"/>
      <c r="AA94" s="8188"/>
      <c r="AB94" s="8188"/>
      <c r="AC94" s="8188"/>
      <c r="AD94" s="8188"/>
      <c r="AE94" s="8188"/>
      <c r="AF94" s="8188"/>
      <c r="AG94" s="8188"/>
      <c r="AH94" s="8188"/>
      <c r="AI94" s="8188"/>
      <c r="AJ94" s="8188"/>
      <c r="AK94" s="8188"/>
      <c r="AL94" s="8188"/>
      <c r="AM94" s="8188"/>
      <c r="AN94" s="8189"/>
      <c r="AO94" s="8148" t="s">
        <v>457</v>
      </c>
      <c r="AP94" s="8148" t="s">
        <v>361</v>
      </c>
      <c r="AQ94" s="8159" t="s">
        <v>283</v>
      </c>
    </row>
    <row r="95" spans="1:43" ht="15.75" customHeight="1" thickTop="1">
      <c r="A95" s="8159"/>
      <c r="B95" s="8159"/>
      <c r="C95" s="8148"/>
      <c r="D95" s="8148"/>
      <c r="E95" s="8148"/>
      <c r="F95" s="8148"/>
      <c r="G95" s="8148"/>
      <c r="H95" s="8185"/>
      <c r="I95" s="8185"/>
      <c r="J95" s="8229"/>
      <c r="K95" s="8209"/>
      <c r="L95" s="8247"/>
      <c r="M95" s="8147"/>
      <c r="N95" s="8228"/>
      <c r="O95" s="4528" t="s">
        <v>415</v>
      </c>
      <c r="P95" s="4528" t="s">
        <v>473</v>
      </c>
      <c r="Q95" s="7594" t="s">
        <v>474</v>
      </c>
      <c r="R95" s="4098" t="s">
        <v>475</v>
      </c>
      <c r="S95" s="4791" t="s">
        <v>476</v>
      </c>
      <c r="T95" s="4936" t="s">
        <v>477</v>
      </c>
      <c r="U95" s="5079" t="s">
        <v>478</v>
      </c>
      <c r="V95" s="5442" t="s">
        <v>479</v>
      </c>
      <c r="W95" s="7427" t="s">
        <v>480</v>
      </c>
      <c r="X95" s="6427" t="s">
        <v>481</v>
      </c>
      <c r="Y95" s="4086" t="s">
        <v>482</v>
      </c>
      <c r="Z95" s="2880" t="s">
        <v>483</v>
      </c>
      <c r="AA95" s="1654" t="s">
        <v>1243</v>
      </c>
      <c r="AB95" s="2880" t="s">
        <v>192</v>
      </c>
      <c r="AC95" s="2880" t="s">
        <v>410</v>
      </c>
      <c r="AD95" s="2880" t="s">
        <v>379</v>
      </c>
      <c r="AE95" s="2880" t="s">
        <v>380</v>
      </c>
      <c r="AF95" s="2880" t="s">
        <v>381</v>
      </c>
      <c r="AG95" s="2880" t="s">
        <v>382</v>
      </c>
      <c r="AH95" s="2880" t="s">
        <v>383</v>
      </c>
      <c r="AI95" s="2880" t="s">
        <v>384</v>
      </c>
      <c r="AJ95" s="2880" t="s">
        <v>385</v>
      </c>
      <c r="AK95" s="2880" t="s">
        <v>386</v>
      </c>
      <c r="AL95" s="6425" t="s">
        <v>387</v>
      </c>
      <c r="AM95" s="6425" t="s">
        <v>388</v>
      </c>
      <c r="AN95" s="6425" t="s">
        <v>389</v>
      </c>
      <c r="AO95" s="8148"/>
      <c r="AP95" s="8148"/>
      <c r="AQ95" s="8159"/>
    </row>
    <row r="96" spans="1:43" ht="15.75" customHeight="1">
      <c r="A96" s="8173" t="s">
        <v>2</v>
      </c>
      <c r="B96" s="8174"/>
      <c r="C96" s="408"/>
      <c r="D96" s="408">
        <v>23</v>
      </c>
      <c r="E96" s="408">
        <v>19</v>
      </c>
      <c r="F96" s="408"/>
      <c r="G96" s="814"/>
      <c r="H96" s="408">
        <v>1</v>
      </c>
      <c r="I96" s="499">
        <v>6</v>
      </c>
      <c r="J96" s="1585">
        <v>6</v>
      </c>
      <c r="K96" s="4531">
        <v>6</v>
      </c>
      <c r="L96" s="5811">
        <v>5</v>
      </c>
      <c r="M96" s="2560">
        <f>M108+M120</f>
        <v>2</v>
      </c>
      <c r="N96" s="4097">
        <f>M96/12</f>
        <v>0.16666666666666666</v>
      </c>
      <c r="O96" s="4535">
        <f>O108+O120</f>
        <v>1</v>
      </c>
      <c r="P96" s="4535">
        <f t="shared" ref="P96:Z96" si="66">P108+P120</f>
        <v>0</v>
      </c>
      <c r="Q96" s="7602">
        <f t="shared" si="66"/>
        <v>1</v>
      </c>
      <c r="R96" s="5814">
        <f t="shared" si="66"/>
        <v>0</v>
      </c>
      <c r="S96" s="4535">
        <f t="shared" si="66"/>
        <v>0</v>
      </c>
      <c r="T96" s="4535">
        <f t="shared" si="66"/>
        <v>0</v>
      </c>
      <c r="U96" s="4535">
        <f t="shared" si="66"/>
        <v>0</v>
      </c>
      <c r="V96" s="4535">
        <f t="shared" si="66"/>
        <v>0</v>
      </c>
      <c r="W96" s="4535">
        <f t="shared" si="66"/>
        <v>0</v>
      </c>
      <c r="X96" s="3502">
        <f t="shared" si="66"/>
        <v>0</v>
      </c>
      <c r="Y96" s="4102">
        <f t="shared" si="66"/>
        <v>0</v>
      </c>
      <c r="Z96" s="1655">
        <f t="shared" si="66"/>
        <v>0</v>
      </c>
      <c r="AA96" s="2526">
        <f t="shared" ref="AA96:AA101" si="67">SUM(O96:Z96)</f>
        <v>2</v>
      </c>
      <c r="AB96" s="755">
        <v>0</v>
      </c>
      <c r="AC96" s="368">
        <f>AC120+AC108</f>
        <v>1118</v>
      </c>
      <c r="AD96" s="368">
        <f t="shared" ref="AD96:AN96" si="68">AD120+AD108</f>
        <v>0</v>
      </c>
      <c r="AE96" s="368">
        <f t="shared" si="68"/>
        <v>0</v>
      </c>
      <c r="AF96" s="368">
        <f t="shared" si="68"/>
        <v>0</v>
      </c>
      <c r="AG96" s="368">
        <f t="shared" si="68"/>
        <v>0</v>
      </c>
      <c r="AH96" s="368">
        <f t="shared" si="68"/>
        <v>0</v>
      </c>
      <c r="AI96" s="368">
        <f t="shared" si="68"/>
        <v>0</v>
      </c>
      <c r="AJ96" s="368">
        <f t="shared" si="68"/>
        <v>0</v>
      </c>
      <c r="AK96" s="368">
        <f t="shared" si="68"/>
        <v>0</v>
      </c>
      <c r="AL96" s="368">
        <f t="shared" si="68"/>
        <v>0</v>
      </c>
      <c r="AM96" s="368">
        <f t="shared" si="68"/>
        <v>0</v>
      </c>
      <c r="AN96" s="368">
        <f t="shared" si="68"/>
        <v>0</v>
      </c>
      <c r="AO96" s="409">
        <f t="shared" ref="AO96:AO101" si="69">SUM(AC96:AN96)</f>
        <v>1118</v>
      </c>
      <c r="AP96" s="351" t="e">
        <f t="shared" ref="AP96:AP102" si="70">AO96/AB96</f>
        <v>#DIV/0!</v>
      </c>
      <c r="AQ96" s="333"/>
    </row>
    <row r="97" spans="1:46" ht="15.75" customHeight="1">
      <c r="A97" s="8173" t="s">
        <v>3</v>
      </c>
      <c r="B97" s="8174"/>
      <c r="C97" s="408"/>
      <c r="D97" s="408"/>
      <c r="E97" s="408">
        <v>21</v>
      </c>
      <c r="F97" s="408"/>
      <c r="G97" s="814"/>
      <c r="H97" s="408">
        <v>2</v>
      </c>
      <c r="I97" s="499">
        <v>4</v>
      </c>
      <c r="J97" s="1585">
        <v>9</v>
      </c>
      <c r="K97" s="4531">
        <v>6</v>
      </c>
      <c r="L97" s="5811">
        <v>2</v>
      </c>
      <c r="M97" s="2560">
        <f>M109+M121</f>
        <v>1</v>
      </c>
      <c r="N97" s="4097">
        <f>M97/12</f>
        <v>8.3333333333333329E-2</v>
      </c>
      <c r="O97" s="4535">
        <f>O109+O121</f>
        <v>0</v>
      </c>
      <c r="P97" s="4535">
        <f t="shared" ref="P97:Z97" si="71">P109+P121</f>
        <v>0</v>
      </c>
      <c r="Q97" s="7602">
        <f t="shared" si="71"/>
        <v>0</v>
      </c>
      <c r="R97" s="5814">
        <f t="shared" si="71"/>
        <v>0</v>
      </c>
      <c r="S97" s="4535">
        <f t="shared" si="71"/>
        <v>0</v>
      </c>
      <c r="T97" s="4535">
        <f t="shared" si="71"/>
        <v>0</v>
      </c>
      <c r="U97" s="4535">
        <f t="shared" si="71"/>
        <v>0</v>
      </c>
      <c r="V97" s="4535">
        <f t="shared" si="71"/>
        <v>0</v>
      </c>
      <c r="W97" s="4535">
        <f t="shared" si="71"/>
        <v>0</v>
      </c>
      <c r="X97" s="3502">
        <f t="shared" si="71"/>
        <v>0</v>
      </c>
      <c r="Y97" s="4102">
        <f t="shared" si="71"/>
        <v>0</v>
      </c>
      <c r="Z97" s="1655">
        <f t="shared" si="71"/>
        <v>0</v>
      </c>
      <c r="AA97" s="2526">
        <f t="shared" si="67"/>
        <v>0</v>
      </c>
      <c r="AB97" s="816">
        <v>0</v>
      </c>
      <c r="AC97" s="368">
        <f t="shared" ref="AC97:AN97" si="72">AC121+AC109</f>
        <v>0</v>
      </c>
      <c r="AD97" s="368">
        <f t="shared" si="72"/>
        <v>0</v>
      </c>
      <c r="AE97" s="368">
        <f t="shared" si="72"/>
        <v>0</v>
      </c>
      <c r="AF97" s="368">
        <f t="shared" si="72"/>
        <v>0</v>
      </c>
      <c r="AG97" s="368">
        <f t="shared" si="72"/>
        <v>0</v>
      </c>
      <c r="AH97" s="368">
        <f t="shared" si="72"/>
        <v>0</v>
      </c>
      <c r="AI97" s="368">
        <f t="shared" si="72"/>
        <v>0</v>
      </c>
      <c r="AJ97" s="368">
        <f t="shared" si="72"/>
        <v>0</v>
      </c>
      <c r="AK97" s="368">
        <f t="shared" si="72"/>
        <v>0</v>
      </c>
      <c r="AL97" s="368">
        <f t="shared" si="72"/>
        <v>0</v>
      </c>
      <c r="AM97" s="368">
        <f t="shared" si="72"/>
        <v>0</v>
      </c>
      <c r="AN97" s="368">
        <f t="shared" si="72"/>
        <v>0</v>
      </c>
      <c r="AO97" s="409">
        <f t="shared" si="69"/>
        <v>0</v>
      </c>
      <c r="AP97" s="351" t="e">
        <f t="shared" si="70"/>
        <v>#DIV/0!</v>
      </c>
      <c r="AQ97" s="333"/>
    </row>
    <row r="98" spans="1:46" ht="15.75" customHeight="1">
      <c r="A98" s="8173" t="s">
        <v>4</v>
      </c>
      <c r="B98" s="8174"/>
      <c r="C98" s="408"/>
      <c r="D98" s="408"/>
      <c r="E98" s="408">
        <v>14</v>
      </c>
      <c r="F98" s="408"/>
      <c r="G98" s="814"/>
      <c r="H98" s="408">
        <v>1</v>
      </c>
      <c r="I98" s="499">
        <v>7</v>
      </c>
      <c r="J98" s="1585">
        <v>11</v>
      </c>
      <c r="K98" s="4531">
        <v>8</v>
      </c>
      <c r="L98" s="5811">
        <v>7.8</v>
      </c>
      <c r="M98" s="2560">
        <f>M110+M122</f>
        <v>3</v>
      </c>
      <c r="N98" s="4097">
        <f>M98/12</f>
        <v>0.25</v>
      </c>
      <c r="O98" s="4535">
        <f>O110+O122</f>
        <v>0</v>
      </c>
      <c r="P98" s="4535">
        <f t="shared" ref="P98:Z98" si="73">P110+P122</f>
        <v>0</v>
      </c>
      <c r="Q98" s="7602">
        <f t="shared" si="73"/>
        <v>0</v>
      </c>
      <c r="R98" s="5814">
        <f t="shared" si="73"/>
        <v>0</v>
      </c>
      <c r="S98" s="4535">
        <f t="shared" si="73"/>
        <v>0</v>
      </c>
      <c r="T98" s="4535">
        <f t="shared" si="73"/>
        <v>0</v>
      </c>
      <c r="U98" s="4535">
        <f t="shared" si="73"/>
        <v>0</v>
      </c>
      <c r="V98" s="4535">
        <f t="shared" si="73"/>
        <v>0</v>
      </c>
      <c r="W98" s="4535">
        <f t="shared" si="73"/>
        <v>0</v>
      </c>
      <c r="X98" s="3502">
        <f t="shared" si="73"/>
        <v>0</v>
      </c>
      <c r="Y98" s="4102">
        <f t="shared" si="73"/>
        <v>0</v>
      </c>
      <c r="Z98" s="1655">
        <f t="shared" si="73"/>
        <v>0</v>
      </c>
      <c r="AA98" s="2526">
        <f t="shared" si="67"/>
        <v>0</v>
      </c>
      <c r="AB98" s="816">
        <v>0</v>
      </c>
      <c r="AC98" s="368">
        <f t="shared" ref="AC98:AN98" si="74">AC122+AC110</f>
        <v>0</v>
      </c>
      <c r="AD98" s="368">
        <f t="shared" si="74"/>
        <v>0</v>
      </c>
      <c r="AE98" s="368">
        <f t="shared" si="74"/>
        <v>0</v>
      </c>
      <c r="AF98" s="368">
        <f t="shared" si="74"/>
        <v>0</v>
      </c>
      <c r="AG98" s="368">
        <f t="shared" si="74"/>
        <v>0</v>
      </c>
      <c r="AH98" s="368">
        <f t="shared" si="74"/>
        <v>0</v>
      </c>
      <c r="AI98" s="368">
        <f t="shared" si="74"/>
        <v>0</v>
      </c>
      <c r="AJ98" s="368">
        <f t="shared" si="74"/>
        <v>0</v>
      </c>
      <c r="AK98" s="368">
        <f t="shared" si="74"/>
        <v>0</v>
      </c>
      <c r="AL98" s="368">
        <f t="shared" si="74"/>
        <v>0</v>
      </c>
      <c r="AM98" s="368">
        <f t="shared" si="74"/>
        <v>0</v>
      </c>
      <c r="AN98" s="368">
        <f t="shared" si="74"/>
        <v>0</v>
      </c>
      <c r="AO98" s="409">
        <f t="shared" si="69"/>
        <v>0</v>
      </c>
      <c r="AP98" s="351" t="e">
        <f t="shared" si="70"/>
        <v>#DIV/0!</v>
      </c>
      <c r="AQ98" s="333"/>
    </row>
    <row r="99" spans="1:46" ht="15.75" customHeight="1">
      <c r="A99" s="8173" t="s">
        <v>190</v>
      </c>
      <c r="B99" s="8174"/>
      <c r="C99" s="408"/>
      <c r="D99" s="408"/>
      <c r="E99" s="408">
        <v>10</v>
      </c>
      <c r="F99" s="408"/>
      <c r="G99" s="814"/>
      <c r="H99" s="408">
        <v>3</v>
      </c>
      <c r="I99" s="499">
        <v>7</v>
      </c>
      <c r="J99" s="1585">
        <v>6</v>
      </c>
      <c r="K99" s="4531">
        <v>7</v>
      </c>
      <c r="L99" s="5811">
        <v>4.5</v>
      </c>
      <c r="M99" s="2560">
        <f>M111+M123</f>
        <v>1</v>
      </c>
      <c r="N99" s="4097">
        <f>M99/12</f>
        <v>8.3333333333333329E-2</v>
      </c>
      <c r="O99" s="4535">
        <f>O111+O123</f>
        <v>0</v>
      </c>
      <c r="P99" s="4535">
        <f t="shared" ref="P99:Z99" si="75">P111+P123</f>
        <v>0</v>
      </c>
      <c r="Q99" s="7602">
        <f t="shared" si="75"/>
        <v>0</v>
      </c>
      <c r="R99" s="5814">
        <f t="shared" si="75"/>
        <v>0</v>
      </c>
      <c r="S99" s="4535">
        <f t="shared" si="75"/>
        <v>0</v>
      </c>
      <c r="T99" s="4535">
        <f t="shared" si="75"/>
        <v>0</v>
      </c>
      <c r="U99" s="4535">
        <f t="shared" si="75"/>
        <v>0</v>
      </c>
      <c r="V99" s="4535">
        <f t="shared" si="75"/>
        <v>0</v>
      </c>
      <c r="W99" s="4535">
        <f t="shared" si="75"/>
        <v>0</v>
      </c>
      <c r="X99" s="3502">
        <f t="shared" si="75"/>
        <v>0</v>
      </c>
      <c r="Y99" s="4102">
        <f t="shared" si="75"/>
        <v>0</v>
      </c>
      <c r="Z99" s="1655">
        <f t="shared" si="75"/>
        <v>0</v>
      </c>
      <c r="AA99" s="2526">
        <f t="shared" si="67"/>
        <v>0</v>
      </c>
      <c r="AB99" s="755">
        <v>0</v>
      </c>
      <c r="AC99" s="368">
        <f t="shared" ref="AC99:AN99" si="76">AC123+AC111</f>
        <v>0</v>
      </c>
      <c r="AD99" s="368">
        <f t="shared" si="76"/>
        <v>0</v>
      </c>
      <c r="AE99" s="368">
        <f t="shared" si="76"/>
        <v>0</v>
      </c>
      <c r="AF99" s="368">
        <f t="shared" si="76"/>
        <v>0</v>
      </c>
      <c r="AG99" s="368">
        <f t="shared" si="76"/>
        <v>0</v>
      </c>
      <c r="AH99" s="368">
        <f t="shared" si="76"/>
        <v>0</v>
      </c>
      <c r="AI99" s="368">
        <f t="shared" si="76"/>
        <v>0</v>
      </c>
      <c r="AJ99" s="368">
        <f t="shared" si="76"/>
        <v>0</v>
      </c>
      <c r="AK99" s="368">
        <f t="shared" si="76"/>
        <v>0</v>
      </c>
      <c r="AL99" s="368">
        <f t="shared" si="76"/>
        <v>0</v>
      </c>
      <c r="AM99" s="368">
        <f t="shared" si="76"/>
        <v>0</v>
      </c>
      <c r="AN99" s="368">
        <f t="shared" si="76"/>
        <v>0</v>
      </c>
      <c r="AO99" s="409">
        <f t="shared" si="69"/>
        <v>0</v>
      </c>
      <c r="AP99" s="351" t="e">
        <f t="shared" si="70"/>
        <v>#DIV/0!</v>
      </c>
      <c r="AQ99" s="333"/>
    </row>
    <row r="100" spans="1:46" ht="15.75" customHeight="1">
      <c r="A100" s="8173" t="s">
        <v>17</v>
      </c>
      <c r="B100" s="8174"/>
      <c r="C100" s="408"/>
      <c r="D100" s="408"/>
      <c r="E100" s="408">
        <v>7</v>
      </c>
      <c r="F100" s="408"/>
      <c r="G100" s="814"/>
      <c r="H100" s="417">
        <v>3</v>
      </c>
      <c r="I100" s="499">
        <v>3</v>
      </c>
      <c r="J100" s="1585">
        <v>13</v>
      </c>
      <c r="K100" s="4531">
        <v>10</v>
      </c>
      <c r="L100" s="5811">
        <v>5.5</v>
      </c>
      <c r="M100" s="2560">
        <f>M113+M124</f>
        <v>3</v>
      </c>
      <c r="N100" s="4097">
        <f>M100/12</f>
        <v>0.25</v>
      </c>
      <c r="O100" s="4535">
        <f>O112+O124</f>
        <v>1</v>
      </c>
      <c r="P100" s="4535">
        <f t="shared" ref="P100:Z100" si="77">P112+P124</f>
        <v>0</v>
      </c>
      <c r="Q100" s="7602">
        <f t="shared" si="77"/>
        <v>0</v>
      </c>
      <c r="R100" s="5814">
        <f t="shared" si="77"/>
        <v>0</v>
      </c>
      <c r="S100" s="4535">
        <f t="shared" si="77"/>
        <v>0</v>
      </c>
      <c r="T100" s="4535">
        <f t="shared" si="77"/>
        <v>0</v>
      </c>
      <c r="U100" s="4535">
        <f t="shared" si="77"/>
        <v>0</v>
      </c>
      <c r="V100" s="4535">
        <f t="shared" si="77"/>
        <v>0</v>
      </c>
      <c r="W100" s="4535">
        <f t="shared" si="77"/>
        <v>0</v>
      </c>
      <c r="X100" s="3502">
        <f t="shared" si="77"/>
        <v>0</v>
      </c>
      <c r="Y100" s="5814">
        <f t="shared" si="77"/>
        <v>0</v>
      </c>
      <c r="Z100" s="4535">
        <f t="shared" si="77"/>
        <v>0</v>
      </c>
      <c r="AA100" s="2526">
        <f t="shared" si="67"/>
        <v>1</v>
      </c>
      <c r="AB100" s="755">
        <v>0</v>
      </c>
      <c r="AC100" s="368">
        <f>AC124+AC112</f>
        <v>3434</v>
      </c>
      <c r="AD100" s="368">
        <f t="shared" ref="AD100:AN100" si="78">AD124+AD112</f>
        <v>0</v>
      </c>
      <c r="AE100" s="368">
        <f t="shared" si="78"/>
        <v>0</v>
      </c>
      <c r="AF100" s="368">
        <f t="shared" si="78"/>
        <v>0</v>
      </c>
      <c r="AG100" s="368">
        <f t="shared" si="78"/>
        <v>0</v>
      </c>
      <c r="AH100" s="368">
        <f t="shared" si="78"/>
        <v>0</v>
      </c>
      <c r="AI100" s="368">
        <f t="shared" si="78"/>
        <v>0</v>
      </c>
      <c r="AJ100" s="368">
        <f t="shared" si="78"/>
        <v>0</v>
      </c>
      <c r="AK100" s="368">
        <f t="shared" si="78"/>
        <v>0</v>
      </c>
      <c r="AL100" s="368">
        <f t="shared" si="78"/>
        <v>0</v>
      </c>
      <c r="AM100" s="368">
        <f t="shared" si="78"/>
        <v>0</v>
      </c>
      <c r="AN100" s="368">
        <f t="shared" si="78"/>
        <v>0</v>
      </c>
      <c r="AO100" s="409">
        <f t="shared" si="69"/>
        <v>3434</v>
      </c>
      <c r="AP100" s="351" t="e">
        <f t="shared" si="70"/>
        <v>#DIV/0!</v>
      </c>
      <c r="AQ100" s="333"/>
    </row>
    <row r="101" spans="1:46" s="1451" customFormat="1" ht="15.75" customHeight="1">
      <c r="A101" s="8244" t="s">
        <v>2033</v>
      </c>
      <c r="B101" s="8207"/>
      <c r="C101" s="4157"/>
      <c r="D101" s="4157"/>
      <c r="E101" s="4157"/>
      <c r="F101" s="4157"/>
      <c r="G101" s="7401"/>
      <c r="H101" s="4157"/>
      <c r="I101" s="4157"/>
      <c r="J101" s="7365"/>
      <c r="K101" s="7365"/>
      <c r="L101" s="5822"/>
      <c r="M101" s="5820">
        <v>3</v>
      </c>
      <c r="N101" s="7402">
        <v>0.25</v>
      </c>
      <c r="O101" s="4535">
        <f>O113</f>
        <v>1</v>
      </c>
      <c r="P101" s="4535">
        <f t="shared" ref="P101:AN101" si="79">P113</f>
        <v>0</v>
      </c>
      <c r="Q101" s="7602">
        <f t="shared" si="79"/>
        <v>0</v>
      </c>
      <c r="R101" s="5814">
        <f t="shared" si="79"/>
        <v>0</v>
      </c>
      <c r="S101" s="4535">
        <f t="shared" si="79"/>
        <v>0</v>
      </c>
      <c r="T101" s="4535">
        <f t="shared" si="79"/>
        <v>0</v>
      </c>
      <c r="U101" s="4535">
        <f t="shared" si="79"/>
        <v>0</v>
      </c>
      <c r="V101" s="4535">
        <f t="shared" si="79"/>
        <v>0</v>
      </c>
      <c r="W101" s="4535">
        <f t="shared" si="79"/>
        <v>0</v>
      </c>
      <c r="X101" s="3502">
        <f t="shared" si="79"/>
        <v>0</v>
      </c>
      <c r="Y101" s="5814">
        <f t="shared" si="79"/>
        <v>0</v>
      </c>
      <c r="Z101" s="4535">
        <f t="shared" si="79"/>
        <v>0</v>
      </c>
      <c r="AA101" s="2526">
        <f t="shared" si="67"/>
        <v>1</v>
      </c>
      <c r="AB101" s="4535">
        <f t="shared" si="79"/>
        <v>24840</v>
      </c>
      <c r="AC101" s="368">
        <f>AC124+AC113</f>
        <v>1240</v>
      </c>
      <c r="AD101" s="4535">
        <f t="shared" si="79"/>
        <v>0</v>
      </c>
      <c r="AE101" s="4535">
        <f t="shared" si="79"/>
        <v>0</v>
      </c>
      <c r="AF101" s="4535">
        <f t="shared" si="79"/>
        <v>0</v>
      </c>
      <c r="AG101" s="4535">
        <f t="shared" si="79"/>
        <v>0</v>
      </c>
      <c r="AH101" s="4535">
        <f t="shared" si="79"/>
        <v>0</v>
      </c>
      <c r="AI101" s="4535">
        <f t="shared" si="79"/>
        <v>0</v>
      </c>
      <c r="AJ101" s="4535">
        <f t="shared" si="79"/>
        <v>0</v>
      </c>
      <c r="AK101" s="4535">
        <f t="shared" si="79"/>
        <v>0</v>
      </c>
      <c r="AL101" s="4535">
        <f t="shared" si="79"/>
        <v>0</v>
      </c>
      <c r="AM101" s="4535">
        <f t="shared" si="79"/>
        <v>0</v>
      </c>
      <c r="AN101" s="4535">
        <f t="shared" si="79"/>
        <v>0</v>
      </c>
      <c r="AO101" s="409">
        <f t="shared" si="69"/>
        <v>1240</v>
      </c>
      <c r="AP101" s="351">
        <f t="shared" si="70"/>
        <v>4.9919484702093397E-2</v>
      </c>
      <c r="AQ101" s="6632"/>
    </row>
    <row r="102" spans="1:46" s="297" customFormat="1" ht="15.75" customHeight="1" thickBot="1">
      <c r="A102" s="8148" t="s">
        <v>16</v>
      </c>
      <c r="B102" s="8148"/>
      <c r="C102" s="2881"/>
      <c r="D102" s="2881"/>
      <c r="E102" s="2881"/>
      <c r="F102" s="2881"/>
      <c r="G102" s="2881"/>
      <c r="H102" s="2881">
        <f>SUM(H96:H100)</f>
        <v>10</v>
      </c>
      <c r="I102" s="2881">
        <f>SUM(I96:I100)</f>
        <v>27</v>
      </c>
      <c r="J102" s="2881">
        <f t="shared" ref="J102:O102" si="80">SUM(J96:J101)</f>
        <v>45</v>
      </c>
      <c r="K102" s="4532">
        <f t="shared" si="80"/>
        <v>37</v>
      </c>
      <c r="L102" s="4532">
        <f t="shared" si="80"/>
        <v>24.8</v>
      </c>
      <c r="M102" s="2883">
        <f t="shared" si="80"/>
        <v>13</v>
      </c>
      <c r="N102" s="4092">
        <f t="shared" si="80"/>
        <v>1.0833333333333335</v>
      </c>
      <c r="O102" s="4532">
        <f t="shared" si="80"/>
        <v>3</v>
      </c>
      <c r="P102" s="4532">
        <f t="shared" ref="P102:AA102" si="81">SUM(P96:P101)</f>
        <v>0</v>
      </c>
      <c r="Q102" s="7599">
        <f t="shared" si="81"/>
        <v>1</v>
      </c>
      <c r="R102" s="7588">
        <f t="shared" si="81"/>
        <v>0</v>
      </c>
      <c r="S102" s="4532">
        <f t="shared" si="81"/>
        <v>0</v>
      </c>
      <c r="T102" s="4532">
        <f t="shared" si="81"/>
        <v>0</v>
      </c>
      <c r="U102" s="4532">
        <f t="shared" si="81"/>
        <v>0</v>
      </c>
      <c r="V102" s="4532">
        <f t="shared" si="81"/>
        <v>0</v>
      </c>
      <c r="W102" s="4532">
        <f t="shared" si="81"/>
        <v>0</v>
      </c>
      <c r="X102" s="7424">
        <f t="shared" si="81"/>
        <v>0</v>
      </c>
      <c r="Y102" s="7588">
        <f t="shared" si="81"/>
        <v>0</v>
      </c>
      <c r="Z102" s="4532">
        <f t="shared" si="81"/>
        <v>0</v>
      </c>
      <c r="AA102" s="4532">
        <f t="shared" si="81"/>
        <v>4</v>
      </c>
      <c r="AB102" s="2901">
        <f>SUM(AB96:AB100)</f>
        <v>0</v>
      </c>
      <c r="AC102" s="1182">
        <f>SUM(AC96:AC101)</f>
        <v>5792</v>
      </c>
      <c r="AD102" s="1182">
        <f>SUM(AD96:AD101)</f>
        <v>0</v>
      </c>
      <c r="AE102" s="1182">
        <f t="shared" ref="AE102:AO102" si="82">SUM(AE96:AE101)</f>
        <v>0</v>
      </c>
      <c r="AF102" s="1182">
        <f t="shared" si="82"/>
        <v>0</v>
      </c>
      <c r="AG102" s="1182">
        <f t="shared" si="82"/>
        <v>0</v>
      </c>
      <c r="AH102" s="1182">
        <f t="shared" si="82"/>
        <v>0</v>
      </c>
      <c r="AI102" s="1182">
        <f t="shared" si="82"/>
        <v>0</v>
      </c>
      <c r="AJ102" s="1182">
        <f t="shared" si="82"/>
        <v>0</v>
      </c>
      <c r="AK102" s="1182">
        <f t="shared" si="82"/>
        <v>0</v>
      </c>
      <c r="AL102" s="1182">
        <f t="shared" si="82"/>
        <v>0</v>
      </c>
      <c r="AM102" s="1182">
        <f t="shared" si="82"/>
        <v>0</v>
      </c>
      <c r="AN102" s="1182">
        <f t="shared" si="82"/>
        <v>0</v>
      </c>
      <c r="AO102" s="1182">
        <f t="shared" si="82"/>
        <v>5792</v>
      </c>
      <c r="AP102" s="1183" t="e">
        <f t="shared" si="70"/>
        <v>#DIV/0!</v>
      </c>
      <c r="AQ102" s="2881"/>
    </row>
    <row r="103" spans="1:46">
      <c r="A103" s="744" t="s">
        <v>927</v>
      </c>
    </row>
    <row r="104" spans="1:46">
      <c r="AO104" s="704"/>
    </row>
    <row r="105" spans="1:46" s="1451" customFormat="1" ht="15.75" customHeight="1" thickBot="1">
      <c r="A105" s="291" t="s">
        <v>1386</v>
      </c>
      <c r="C105" s="101"/>
      <c r="D105" s="101"/>
      <c r="E105" s="101"/>
      <c r="F105" s="423">
        <f>F104/12</f>
        <v>0</v>
      </c>
      <c r="G105" s="423">
        <f>G104/12</f>
        <v>0</v>
      </c>
      <c r="H105" s="424"/>
      <c r="I105" s="424"/>
      <c r="J105" s="424"/>
      <c r="K105" s="424"/>
      <c r="L105" s="424"/>
      <c r="M105" s="424"/>
      <c r="N105" s="424"/>
      <c r="O105" s="424"/>
      <c r="P105" s="424"/>
      <c r="Q105" s="425"/>
      <c r="R105" s="425"/>
      <c r="S105" s="425"/>
      <c r="T105" s="425"/>
      <c r="U105" s="425"/>
      <c r="V105" s="101"/>
      <c r="W105" s="101"/>
      <c r="X105" s="101"/>
      <c r="Y105" s="101"/>
      <c r="Z105" s="101"/>
      <c r="AA105" s="101"/>
      <c r="AB105" s="412"/>
      <c r="AC105" s="413"/>
      <c r="AD105" s="413"/>
      <c r="AE105" s="413"/>
      <c r="AF105" s="413"/>
      <c r="AG105" s="413"/>
      <c r="AH105" s="413"/>
      <c r="AI105" s="413"/>
      <c r="AJ105" s="413"/>
      <c r="AK105" s="413"/>
      <c r="AL105" s="413"/>
      <c r="AM105" s="413"/>
      <c r="AN105" s="413"/>
      <c r="AO105" s="413"/>
      <c r="AP105" s="315"/>
      <c r="AQ105" s="414"/>
    </row>
    <row r="106" spans="1:46" s="1451" customFormat="1" ht="15.75" customHeight="1">
      <c r="A106" s="8241" t="s">
        <v>0</v>
      </c>
      <c r="B106" s="8241"/>
      <c r="C106" s="8242" t="s">
        <v>404</v>
      </c>
      <c r="D106" s="8242" t="s">
        <v>405</v>
      </c>
      <c r="E106" s="8242" t="s">
        <v>406</v>
      </c>
      <c r="F106" s="8242" t="s">
        <v>407</v>
      </c>
      <c r="G106" s="8242" t="s">
        <v>403</v>
      </c>
      <c r="H106" s="8218" t="s">
        <v>543</v>
      </c>
      <c r="I106" s="8218" t="s">
        <v>714</v>
      </c>
      <c r="J106" s="8231" t="s">
        <v>979</v>
      </c>
      <c r="K106" s="8224" t="s">
        <v>1156</v>
      </c>
      <c r="L106" s="8221" t="s">
        <v>1889</v>
      </c>
      <c r="M106" s="8232" t="s">
        <v>1899</v>
      </c>
      <c r="N106" s="8222" t="s">
        <v>800</v>
      </c>
      <c r="O106" s="8234" t="s">
        <v>1923</v>
      </c>
      <c r="P106" s="8234"/>
      <c r="Q106" s="8235"/>
      <c r="R106" s="8235"/>
      <c r="S106" s="8235"/>
      <c r="T106" s="8235"/>
      <c r="U106" s="8235"/>
      <c r="V106" s="8235"/>
      <c r="W106" s="8235"/>
      <c r="X106" s="8235"/>
      <c r="Y106" s="8235"/>
      <c r="Z106" s="8235"/>
      <c r="AA106" s="8235"/>
      <c r="AB106" s="8235"/>
      <c r="AC106" s="8235"/>
      <c r="AD106" s="8235"/>
      <c r="AE106" s="8235"/>
      <c r="AF106" s="8235"/>
      <c r="AG106" s="8235"/>
      <c r="AH106" s="8235"/>
      <c r="AI106" s="8235"/>
      <c r="AJ106" s="8235"/>
      <c r="AK106" s="8235"/>
      <c r="AL106" s="8235"/>
      <c r="AM106" s="8235"/>
      <c r="AN106" s="8236"/>
      <c r="AO106" s="8237" t="s">
        <v>457</v>
      </c>
      <c r="AP106" s="8237" t="s">
        <v>361</v>
      </c>
      <c r="AQ106" s="8238" t="s">
        <v>283</v>
      </c>
    </row>
    <row r="107" spans="1:46" s="1451" customFormat="1" ht="15.75" customHeight="1">
      <c r="A107" s="8241"/>
      <c r="B107" s="8241"/>
      <c r="C107" s="8242"/>
      <c r="D107" s="8242"/>
      <c r="E107" s="8242"/>
      <c r="F107" s="8242"/>
      <c r="G107" s="8242"/>
      <c r="H107" s="8218"/>
      <c r="I107" s="8218"/>
      <c r="J107" s="8231"/>
      <c r="K107" s="8224"/>
      <c r="L107" s="8221"/>
      <c r="M107" s="8233"/>
      <c r="N107" s="8223"/>
      <c r="O107" s="5808" t="s">
        <v>415</v>
      </c>
      <c r="P107" s="4537" t="s">
        <v>473</v>
      </c>
      <c r="Q107" s="4103" t="s">
        <v>474</v>
      </c>
      <c r="R107" s="2882" t="s">
        <v>475</v>
      </c>
      <c r="S107" s="2882" t="s">
        <v>476</v>
      </c>
      <c r="T107" s="2882" t="s">
        <v>477</v>
      </c>
      <c r="U107" s="2882" t="s">
        <v>478</v>
      </c>
      <c r="V107" s="2882" t="s">
        <v>479</v>
      </c>
      <c r="W107" s="2882" t="s">
        <v>480</v>
      </c>
      <c r="X107" s="6423" t="s">
        <v>481</v>
      </c>
      <c r="Y107" s="2882" t="s">
        <v>482</v>
      </c>
      <c r="Z107" s="2882" t="s">
        <v>483</v>
      </c>
      <c r="AA107" s="2561" t="s">
        <v>871</v>
      </c>
      <c r="AB107" s="2882" t="s">
        <v>2035</v>
      </c>
      <c r="AC107" s="2882" t="s">
        <v>410</v>
      </c>
      <c r="AD107" s="2882" t="s">
        <v>379</v>
      </c>
      <c r="AE107" s="2882" t="s">
        <v>380</v>
      </c>
      <c r="AF107" s="2882" t="s">
        <v>381</v>
      </c>
      <c r="AG107" s="2882" t="s">
        <v>382</v>
      </c>
      <c r="AH107" s="2882" t="s">
        <v>383</v>
      </c>
      <c r="AI107" s="2882" t="s">
        <v>384</v>
      </c>
      <c r="AJ107" s="2882" t="s">
        <v>385</v>
      </c>
      <c r="AK107" s="2882" t="s">
        <v>386</v>
      </c>
      <c r="AL107" s="6423" t="s">
        <v>387</v>
      </c>
      <c r="AM107" s="6423" t="s">
        <v>388</v>
      </c>
      <c r="AN107" s="6423" t="s">
        <v>389</v>
      </c>
      <c r="AO107" s="8237"/>
      <c r="AP107" s="8237"/>
      <c r="AQ107" s="8238"/>
      <c r="AR107" s="298" t="s">
        <v>1367</v>
      </c>
      <c r="AS107" s="298" t="s">
        <v>1361</v>
      </c>
      <c r="AT107" s="298" t="s">
        <v>1366</v>
      </c>
    </row>
    <row r="108" spans="1:46" s="1451" customFormat="1" ht="15.75" customHeight="1">
      <c r="A108" s="8239" t="s">
        <v>2</v>
      </c>
      <c r="B108" s="8240"/>
      <c r="C108" s="837"/>
      <c r="D108" s="837">
        <v>23</v>
      </c>
      <c r="E108" s="837">
        <v>19</v>
      </c>
      <c r="F108" s="837"/>
      <c r="G108" s="814"/>
      <c r="H108" s="837">
        <v>1</v>
      </c>
      <c r="I108" s="499">
        <v>6</v>
      </c>
      <c r="J108" s="1585">
        <v>6</v>
      </c>
      <c r="K108" s="4531">
        <v>6</v>
      </c>
      <c r="L108" s="5811">
        <v>3</v>
      </c>
      <c r="M108" s="5816">
        <v>1</v>
      </c>
      <c r="N108" s="5817">
        <f t="shared" ref="N108:N113" si="83">M108/12</f>
        <v>8.3333333333333329E-2</v>
      </c>
      <c r="O108" s="5814">
        <v>0</v>
      </c>
      <c r="P108" s="3502">
        <v>0</v>
      </c>
      <c r="Q108" s="4102">
        <v>1</v>
      </c>
      <c r="R108" s="754">
        <v>0</v>
      </c>
      <c r="S108" s="754">
        <v>0</v>
      </c>
      <c r="T108" s="754">
        <v>0</v>
      </c>
      <c r="U108" s="499">
        <v>0</v>
      </c>
      <c r="V108" s="499">
        <v>0</v>
      </c>
      <c r="W108" s="499">
        <v>0</v>
      </c>
      <c r="X108" s="499">
        <v>0</v>
      </c>
      <c r="Y108" s="499">
        <v>0</v>
      </c>
      <c r="Z108" s="499">
        <v>0</v>
      </c>
      <c r="AA108" s="2526">
        <f t="shared" ref="AA108:AA113" si="84">SUM(O108:Z108)</f>
        <v>1</v>
      </c>
      <c r="AB108" s="755">
        <v>0</v>
      </c>
      <c r="AC108" s="4295">
        <v>0</v>
      </c>
      <c r="AD108" s="4295">
        <v>0</v>
      </c>
      <c r="AE108" s="4295">
        <v>0</v>
      </c>
      <c r="AF108" s="4295">
        <v>0</v>
      </c>
      <c r="AG108" s="4295">
        <v>0</v>
      </c>
      <c r="AH108" s="4295">
        <v>0</v>
      </c>
      <c r="AI108" s="4295">
        <v>0</v>
      </c>
      <c r="AJ108" s="4295">
        <v>0</v>
      </c>
      <c r="AK108" s="4295">
        <v>0</v>
      </c>
      <c r="AL108" s="4295">
        <v>0</v>
      </c>
      <c r="AM108" s="4295">
        <v>0</v>
      </c>
      <c r="AN108" s="4295">
        <v>0</v>
      </c>
      <c r="AO108" s="409">
        <f t="shared" ref="AO108:AO113" si="85">SUM(AC108:AN108)</f>
        <v>0</v>
      </c>
      <c r="AP108" s="351" t="e">
        <f t="shared" ref="AP108:AP114" si="86">AO108/AB108</f>
        <v>#DIV/0!</v>
      </c>
      <c r="AQ108" s="333"/>
      <c r="AR108" s="298" t="s">
        <v>1360</v>
      </c>
      <c r="AS108" s="695">
        <v>333213</v>
      </c>
      <c r="AT108" s="8146" t="s">
        <v>1365</v>
      </c>
    </row>
    <row r="109" spans="1:46" s="1451" customFormat="1" ht="15.75" customHeight="1">
      <c r="A109" s="8239" t="s">
        <v>3</v>
      </c>
      <c r="B109" s="8240"/>
      <c r="C109" s="837"/>
      <c r="D109" s="837"/>
      <c r="E109" s="837">
        <v>21</v>
      </c>
      <c r="F109" s="837"/>
      <c r="G109" s="814"/>
      <c r="H109" s="837">
        <v>2</v>
      </c>
      <c r="I109" s="499">
        <v>4</v>
      </c>
      <c r="J109" s="1585">
        <v>9</v>
      </c>
      <c r="K109" s="4531">
        <v>6</v>
      </c>
      <c r="L109" s="5811">
        <v>1</v>
      </c>
      <c r="M109" s="5816">
        <v>0</v>
      </c>
      <c r="N109" s="5817">
        <f t="shared" si="83"/>
        <v>0</v>
      </c>
      <c r="O109" s="5814">
        <v>0</v>
      </c>
      <c r="P109" s="3502">
        <v>0</v>
      </c>
      <c r="Q109" s="4102">
        <v>0</v>
      </c>
      <c r="R109" s="754">
        <v>0</v>
      </c>
      <c r="S109" s="754">
        <v>0</v>
      </c>
      <c r="T109" s="754">
        <v>0</v>
      </c>
      <c r="U109" s="499">
        <v>0</v>
      </c>
      <c r="V109" s="499">
        <v>0</v>
      </c>
      <c r="W109" s="499">
        <v>0</v>
      </c>
      <c r="X109" s="499">
        <v>0</v>
      </c>
      <c r="Y109" s="499">
        <v>0</v>
      </c>
      <c r="Z109" s="499">
        <v>0</v>
      </c>
      <c r="AA109" s="2526">
        <f t="shared" si="84"/>
        <v>0</v>
      </c>
      <c r="AB109" s="816">
        <f>80000000/1000</f>
        <v>80000</v>
      </c>
      <c r="AC109" s="4295">
        <v>0</v>
      </c>
      <c r="AD109" s="4295">
        <v>0</v>
      </c>
      <c r="AE109" s="4295">
        <v>0</v>
      </c>
      <c r="AF109" s="4295">
        <v>0</v>
      </c>
      <c r="AG109" s="4295">
        <v>0</v>
      </c>
      <c r="AH109" s="4295">
        <v>0</v>
      </c>
      <c r="AI109" s="4295">
        <v>0</v>
      </c>
      <c r="AJ109" s="4295">
        <v>0</v>
      </c>
      <c r="AK109" s="4295">
        <v>0</v>
      </c>
      <c r="AL109" s="4295">
        <v>0</v>
      </c>
      <c r="AM109" s="4295">
        <v>0</v>
      </c>
      <c r="AN109" s="4295">
        <v>0</v>
      </c>
      <c r="AO109" s="409">
        <f t="shared" si="85"/>
        <v>0</v>
      </c>
      <c r="AP109" s="351">
        <f t="shared" si="86"/>
        <v>0</v>
      </c>
      <c r="AQ109" s="333"/>
      <c r="AR109" s="298" t="s">
        <v>1362</v>
      </c>
      <c r="AS109" s="695">
        <v>49796</v>
      </c>
      <c r="AT109" s="8146"/>
    </row>
    <row r="110" spans="1:46" s="1451" customFormat="1" ht="15.75" customHeight="1">
      <c r="A110" s="8239" t="s">
        <v>4</v>
      </c>
      <c r="B110" s="8240"/>
      <c r="C110" s="837"/>
      <c r="D110" s="837"/>
      <c r="E110" s="837">
        <v>14</v>
      </c>
      <c r="F110" s="837"/>
      <c r="G110" s="814"/>
      <c r="H110" s="837">
        <v>1</v>
      </c>
      <c r="I110" s="499">
        <v>7</v>
      </c>
      <c r="J110" s="1585">
        <v>11</v>
      </c>
      <c r="K110" s="4531">
        <v>8</v>
      </c>
      <c r="L110" s="5811">
        <v>3.8</v>
      </c>
      <c r="M110" s="5816">
        <v>2</v>
      </c>
      <c r="N110" s="5817">
        <f t="shared" si="83"/>
        <v>0.16666666666666666</v>
      </c>
      <c r="O110" s="5814">
        <v>0</v>
      </c>
      <c r="P110" s="3502">
        <v>0</v>
      </c>
      <c r="Q110" s="4102">
        <v>0</v>
      </c>
      <c r="R110" s="754">
        <v>0</v>
      </c>
      <c r="S110" s="754">
        <v>0</v>
      </c>
      <c r="T110" s="754">
        <v>0</v>
      </c>
      <c r="U110" s="499">
        <v>0</v>
      </c>
      <c r="V110" s="499">
        <v>0</v>
      </c>
      <c r="W110" s="499">
        <v>0</v>
      </c>
      <c r="X110" s="499">
        <v>0</v>
      </c>
      <c r="Y110" s="499">
        <v>0</v>
      </c>
      <c r="Z110" s="499">
        <v>0</v>
      </c>
      <c r="AA110" s="2526">
        <f t="shared" si="84"/>
        <v>0</v>
      </c>
      <c r="AB110" s="816">
        <f>7915407/1000</f>
        <v>7915.4070000000002</v>
      </c>
      <c r="AC110" s="4295">
        <v>0</v>
      </c>
      <c r="AD110" s="4295">
        <v>0</v>
      </c>
      <c r="AE110" s="4295">
        <v>0</v>
      </c>
      <c r="AF110" s="4295">
        <v>0</v>
      </c>
      <c r="AG110" s="4295">
        <v>0</v>
      </c>
      <c r="AH110" s="4295">
        <v>0</v>
      </c>
      <c r="AI110" s="4295">
        <v>0</v>
      </c>
      <c r="AJ110" s="4295">
        <v>0</v>
      </c>
      <c r="AK110" s="4295">
        <v>0</v>
      </c>
      <c r="AL110" s="4295">
        <v>0</v>
      </c>
      <c r="AM110" s="4295">
        <v>0</v>
      </c>
      <c r="AN110" s="4295">
        <v>0</v>
      </c>
      <c r="AO110" s="409">
        <f t="shared" si="85"/>
        <v>0</v>
      </c>
      <c r="AP110" s="351">
        <f t="shared" si="86"/>
        <v>0</v>
      </c>
      <c r="AQ110" s="333"/>
      <c r="AR110" s="1451" t="s">
        <v>1367</v>
      </c>
      <c r="AS110" s="1451" t="s">
        <v>1361</v>
      </c>
      <c r="AT110" s="1451" t="s">
        <v>1366</v>
      </c>
    </row>
    <row r="111" spans="1:46" s="1451" customFormat="1" ht="15.75" customHeight="1">
      <c r="A111" s="8239" t="s">
        <v>190</v>
      </c>
      <c r="B111" s="8240"/>
      <c r="C111" s="837"/>
      <c r="D111" s="837"/>
      <c r="E111" s="837">
        <v>10</v>
      </c>
      <c r="F111" s="837"/>
      <c r="G111" s="814"/>
      <c r="H111" s="837">
        <v>3</v>
      </c>
      <c r="I111" s="499">
        <v>7</v>
      </c>
      <c r="J111" s="1585">
        <v>6</v>
      </c>
      <c r="K111" s="4531">
        <v>7</v>
      </c>
      <c r="L111" s="5811">
        <v>2.5</v>
      </c>
      <c r="M111" s="5816">
        <v>1</v>
      </c>
      <c r="N111" s="5817">
        <f t="shared" si="83"/>
        <v>8.3333333333333329E-2</v>
      </c>
      <c r="O111" s="5814">
        <v>0</v>
      </c>
      <c r="P111" s="3502">
        <v>0</v>
      </c>
      <c r="Q111" s="4102">
        <v>0</v>
      </c>
      <c r="R111" s="754">
        <v>0</v>
      </c>
      <c r="S111" s="754">
        <v>0</v>
      </c>
      <c r="T111" s="754">
        <v>0</v>
      </c>
      <c r="U111" s="499">
        <v>0</v>
      </c>
      <c r="V111" s="499">
        <v>0</v>
      </c>
      <c r="W111" s="499">
        <v>0</v>
      </c>
      <c r="X111" s="499">
        <v>0</v>
      </c>
      <c r="Y111" s="499">
        <v>0</v>
      </c>
      <c r="Z111" s="499">
        <v>0</v>
      </c>
      <c r="AA111" s="2526">
        <f t="shared" si="84"/>
        <v>0</v>
      </c>
      <c r="AB111" s="755">
        <f>29359133/1000</f>
        <v>29359.133000000002</v>
      </c>
      <c r="AC111" s="4295">
        <v>0</v>
      </c>
      <c r="AD111" s="4295">
        <v>0</v>
      </c>
      <c r="AE111" s="4295">
        <v>0</v>
      </c>
      <c r="AF111" s="4295">
        <v>0</v>
      </c>
      <c r="AG111" s="4295">
        <v>0</v>
      </c>
      <c r="AH111" s="4295">
        <v>0</v>
      </c>
      <c r="AI111" s="4295">
        <v>0</v>
      </c>
      <c r="AJ111" s="4295">
        <v>0</v>
      </c>
      <c r="AK111" s="4295">
        <v>0</v>
      </c>
      <c r="AL111" s="4295">
        <v>0</v>
      </c>
      <c r="AM111" s="4295">
        <v>0</v>
      </c>
      <c r="AN111" s="4295">
        <v>0</v>
      </c>
      <c r="AO111" s="409">
        <f t="shared" si="85"/>
        <v>0</v>
      </c>
      <c r="AP111" s="351">
        <f t="shared" si="86"/>
        <v>0</v>
      </c>
      <c r="AQ111" s="333"/>
      <c r="AR111" s="298" t="s">
        <v>1363</v>
      </c>
      <c r="AS111" s="695">
        <v>512362</v>
      </c>
      <c r="AT111" s="8146" t="s">
        <v>1365</v>
      </c>
    </row>
    <row r="112" spans="1:46" s="1451" customFormat="1" ht="15.75" customHeight="1">
      <c r="A112" s="8239" t="s">
        <v>17</v>
      </c>
      <c r="B112" s="8240"/>
      <c r="C112" s="837"/>
      <c r="D112" s="837"/>
      <c r="E112" s="837">
        <v>7</v>
      </c>
      <c r="F112" s="837"/>
      <c r="G112" s="814"/>
      <c r="H112" s="417">
        <v>3</v>
      </c>
      <c r="I112" s="499">
        <v>3</v>
      </c>
      <c r="J112" s="1585">
        <v>13</v>
      </c>
      <c r="K112" s="4531">
        <v>10</v>
      </c>
      <c r="L112" s="5811">
        <v>3.5</v>
      </c>
      <c r="M112" s="5816">
        <v>1</v>
      </c>
      <c r="N112" s="5817">
        <f t="shared" si="83"/>
        <v>8.3333333333333329E-2</v>
      </c>
      <c r="O112" s="5814">
        <v>1</v>
      </c>
      <c r="P112" s="3502">
        <v>0</v>
      </c>
      <c r="Q112" s="4102">
        <v>0</v>
      </c>
      <c r="R112" s="754">
        <v>0</v>
      </c>
      <c r="S112" s="754">
        <v>0</v>
      </c>
      <c r="T112" s="754">
        <v>0</v>
      </c>
      <c r="U112" s="499">
        <v>0</v>
      </c>
      <c r="V112" s="499">
        <v>0</v>
      </c>
      <c r="W112" s="499">
        <v>0</v>
      </c>
      <c r="X112" s="499">
        <v>0</v>
      </c>
      <c r="Y112" s="499">
        <v>0</v>
      </c>
      <c r="Z112" s="499">
        <v>0</v>
      </c>
      <c r="AA112" s="2526">
        <f t="shared" si="84"/>
        <v>1</v>
      </c>
      <c r="AB112" s="755">
        <f>3434400/1000</f>
        <v>3434.4</v>
      </c>
      <c r="AC112" s="4295">
        <v>3434</v>
      </c>
      <c r="AD112" s="4295">
        <v>0</v>
      </c>
      <c r="AE112" s="4295">
        <v>0</v>
      </c>
      <c r="AF112" s="4296">
        <v>0</v>
      </c>
      <c r="AG112" s="4297">
        <v>0</v>
      </c>
      <c r="AH112" s="4295">
        <v>0</v>
      </c>
      <c r="AI112" s="4295">
        <v>0</v>
      </c>
      <c r="AJ112" s="4295">
        <v>0</v>
      </c>
      <c r="AK112" s="4295">
        <v>0</v>
      </c>
      <c r="AL112" s="4295">
        <v>0</v>
      </c>
      <c r="AM112" s="4295">
        <v>0</v>
      </c>
      <c r="AN112" s="4295">
        <v>0</v>
      </c>
      <c r="AO112" s="409">
        <f t="shared" si="85"/>
        <v>3434</v>
      </c>
      <c r="AP112" s="351">
        <f>AO112/AB112</f>
        <v>0.99988353133007224</v>
      </c>
      <c r="AQ112" s="6632"/>
      <c r="AS112" s="695"/>
      <c r="AT112" s="8146"/>
    </row>
    <row r="113" spans="1:50" s="1451" customFormat="1" ht="15.75" customHeight="1">
      <c r="A113" s="8239" t="s">
        <v>2033</v>
      </c>
      <c r="B113" s="8240"/>
      <c r="C113" s="837"/>
      <c r="D113" s="837"/>
      <c r="E113" s="837">
        <v>7</v>
      </c>
      <c r="F113" s="837"/>
      <c r="G113" s="814"/>
      <c r="H113" s="417">
        <v>3</v>
      </c>
      <c r="I113" s="499">
        <v>3</v>
      </c>
      <c r="J113" s="1585"/>
      <c r="K113" s="4531"/>
      <c r="L113" s="5811"/>
      <c r="M113" s="5816">
        <v>3</v>
      </c>
      <c r="N113" s="5817">
        <f t="shared" si="83"/>
        <v>0.25</v>
      </c>
      <c r="O113" s="5814">
        <v>1</v>
      </c>
      <c r="P113" s="3502">
        <v>0</v>
      </c>
      <c r="Q113" s="4102">
        <v>0</v>
      </c>
      <c r="R113" s="754">
        <v>0</v>
      </c>
      <c r="S113" s="754">
        <v>0</v>
      </c>
      <c r="T113" s="754">
        <v>0</v>
      </c>
      <c r="U113" s="499">
        <v>0</v>
      </c>
      <c r="V113" s="499">
        <v>0</v>
      </c>
      <c r="W113" s="499">
        <v>0</v>
      </c>
      <c r="X113" s="499">
        <v>0</v>
      </c>
      <c r="Y113" s="499">
        <v>0</v>
      </c>
      <c r="Z113" s="499">
        <v>0</v>
      </c>
      <c r="AA113" s="2526">
        <f t="shared" si="84"/>
        <v>1</v>
      </c>
      <c r="AB113" s="755">
        <f>24840000/1000</f>
        <v>24840</v>
      </c>
      <c r="AC113" s="4295">
        <v>1240</v>
      </c>
      <c r="AD113" s="4295">
        <v>0</v>
      </c>
      <c r="AE113" s="4295">
        <v>0</v>
      </c>
      <c r="AF113" s="4296">
        <v>0</v>
      </c>
      <c r="AG113" s="4297">
        <v>0</v>
      </c>
      <c r="AH113" s="4295">
        <v>0</v>
      </c>
      <c r="AI113" s="4295">
        <v>0</v>
      </c>
      <c r="AJ113" s="4295">
        <v>0</v>
      </c>
      <c r="AK113" s="4295">
        <v>0</v>
      </c>
      <c r="AL113" s="4295">
        <v>0</v>
      </c>
      <c r="AM113" s="4295">
        <v>0</v>
      </c>
      <c r="AN113" s="4295">
        <v>0</v>
      </c>
      <c r="AO113" s="409">
        <f t="shared" si="85"/>
        <v>1240</v>
      </c>
      <c r="AP113" s="351">
        <f t="shared" si="86"/>
        <v>4.9919484702093397E-2</v>
      </c>
      <c r="AQ113" s="333"/>
      <c r="AR113" s="298" t="s">
        <v>1364</v>
      </c>
      <c r="AS113" s="695">
        <v>52998</v>
      </c>
      <c r="AT113" s="8146"/>
    </row>
    <row r="114" spans="1:50" s="2884" customFormat="1" ht="15.75" customHeight="1" thickBot="1">
      <c r="A114" s="8243" t="s">
        <v>16</v>
      </c>
      <c r="B114" s="8243"/>
      <c r="C114" s="402"/>
      <c r="D114" s="402"/>
      <c r="E114" s="402"/>
      <c r="F114" s="402"/>
      <c r="G114" s="402"/>
      <c r="H114" s="402">
        <f t="shared" ref="H114:AB114" si="87">SUM(H108:H113)</f>
        <v>13</v>
      </c>
      <c r="I114" s="402">
        <f t="shared" si="87"/>
        <v>30</v>
      </c>
      <c r="J114" s="402">
        <f t="shared" si="87"/>
        <v>45</v>
      </c>
      <c r="K114" s="4536">
        <f t="shared" si="87"/>
        <v>37</v>
      </c>
      <c r="L114" s="5819">
        <v>13.8</v>
      </c>
      <c r="M114" s="2585">
        <f t="shared" si="87"/>
        <v>8</v>
      </c>
      <c r="N114" s="5818">
        <f t="shared" si="87"/>
        <v>0.66666666666666663</v>
      </c>
      <c r="O114" s="5815">
        <f t="shared" si="87"/>
        <v>2</v>
      </c>
      <c r="P114" s="4538">
        <f t="shared" si="87"/>
        <v>0</v>
      </c>
      <c r="Q114" s="4104">
        <f t="shared" si="87"/>
        <v>1</v>
      </c>
      <c r="R114" s="402">
        <f t="shared" si="87"/>
        <v>0</v>
      </c>
      <c r="S114" s="402">
        <f t="shared" si="87"/>
        <v>0</v>
      </c>
      <c r="T114" s="402">
        <f t="shared" si="87"/>
        <v>0</v>
      </c>
      <c r="U114" s="402">
        <f t="shared" si="87"/>
        <v>0</v>
      </c>
      <c r="V114" s="402">
        <f t="shared" si="87"/>
        <v>0</v>
      </c>
      <c r="W114" s="402">
        <f t="shared" si="87"/>
        <v>0</v>
      </c>
      <c r="X114" s="402">
        <f t="shared" si="87"/>
        <v>0</v>
      </c>
      <c r="Y114" s="402">
        <f t="shared" si="87"/>
        <v>0</v>
      </c>
      <c r="Z114" s="402">
        <f t="shared" si="87"/>
        <v>0</v>
      </c>
      <c r="AA114" s="402">
        <f t="shared" si="87"/>
        <v>3</v>
      </c>
      <c r="AB114" s="811">
        <f t="shared" si="87"/>
        <v>145548.94</v>
      </c>
      <c r="AC114" s="367">
        <f>SUM(AC108:AC113)</f>
        <v>4674</v>
      </c>
      <c r="AD114" s="367">
        <f t="shared" ref="AD114:AK114" si="88">SUM(AD108:AD113)</f>
        <v>0</v>
      </c>
      <c r="AE114" s="367">
        <f t="shared" si="88"/>
        <v>0</v>
      </c>
      <c r="AF114" s="367">
        <f t="shared" si="88"/>
        <v>0</v>
      </c>
      <c r="AG114" s="367">
        <f t="shared" si="88"/>
        <v>0</v>
      </c>
      <c r="AH114" s="367">
        <f t="shared" si="88"/>
        <v>0</v>
      </c>
      <c r="AI114" s="367">
        <f t="shared" si="88"/>
        <v>0</v>
      </c>
      <c r="AJ114" s="367">
        <f t="shared" si="88"/>
        <v>0</v>
      </c>
      <c r="AK114" s="367">
        <f t="shared" si="88"/>
        <v>0</v>
      </c>
      <c r="AL114" s="367">
        <f>SUM(AL110:AL113)</f>
        <v>0</v>
      </c>
      <c r="AM114" s="367">
        <f>SUM(AM110:AM113)</f>
        <v>0</v>
      </c>
      <c r="AN114" s="367">
        <f>SUM(AN110:AN113)</f>
        <v>0</v>
      </c>
      <c r="AO114" s="367">
        <f>SUM(AO108:AO113)</f>
        <v>4674</v>
      </c>
      <c r="AP114" s="403">
        <f t="shared" si="86"/>
        <v>3.2112909925692344E-2</v>
      </c>
      <c r="AQ114" s="404"/>
    </row>
    <row r="115" spans="1:50" s="1451" customFormat="1">
      <c r="A115" s="744" t="s">
        <v>927</v>
      </c>
      <c r="C115" s="2884"/>
      <c r="D115" s="2884"/>
      <c r="E115" s="2884"/>
      <c r="F115" s="2884"/>
      <c r="G115" s="2884"/>
      <c r="Q115" s="2884"/>
      <c r="R115" s="2884"/>
      <c r="S115" s="2884"/>
      <c r="T115" s="2884"/>
      <c r="U115" s="2884"/>
      <c r="V115" s="2884"/>
      <c r="W115" s="2884"/>
      <c r="X115" s="2884"/>
      <c r="Y115" s="2884"/>
      <c r="Z115" s="2884"/>
      <c r="AA115" s="2884"/>
      <c r="AB115" s="2884"/>
      <c r="AC115" s="2884"/>
      <c r="AD115" s="2884"/>
      <c r="AE115" s="2884"/>
      <c r="AF115" s="2884"/>
      <c r="AG115" s="2884"/>
      <c r="AH115" s="2884"/>
      <c r="AI115" s="2884"/>
      <c r="AJ115" s="2884"/>
      <c r="AK115" s="2884"/>
      <c r="AL115" s="2884"/>
      <c r="AM115" s="2884"/>
      <c r="AN115" s="2884"/>
      <c r="AO115" s="2884"/>
      <c r="AP115" s="1452"/>
      <c r="AQ115" s="1453"/>
    </row>
    <row r="116" spans="1:50">
      <c r="AL116" s="418"/>
      <c r="AO116" s="704"/>
    </row>
    <row r="117" spans="1:50" s="1451" customFormat="1" ht="15.75" customHeight="1" thickBot="1">
      <c r="A117" s="291" t="s">
        <v>1387</v>
      </c>
      <c r="C117" s="101"/>
      <c r="D117" s="101"/>
      <c r="E117" s="101"/>
      <c r="F117" s="423">
        <f>F116/12</f>
        <v>0</v>
      </c>
      <c r="G117" s="423">
        <f>G116/12</f>
        <v>0</v>
      </c>
      <c r="H117" s="424"/>
      <c r="I117" s="424"/>
      <c r="J117" s="424"/>
      <c r="K117" s="424"/>
      <c r="L117" s="424"/>
      <c r="M117" s="424"/>
      <c r="N117" s="424"/>
      <c r="O117" s="424"/>
      <c r="P117" s="424"/>
      <c r="Q117" s="425"/>
      <c r="R117" s="425"/>
      <c r="S117" s="425"/>
      <c r="T117" s="425"/>
      <c r="U117" s="425"/>
      <c r="V117" s="101"/>
      <c r="W117" s="101"/>
      <c r="X117" s="101"/>
      <c r="Y117" s="101"/>
      <c r="Z117" s="101"/>
      <c r="AA117" s="101"/>
      <c r="AB117" s="412"/>
      <c r="AC117" s="413"/>
      <c r="AD117" s="413"/>
      <c r="AE117" s="413"/>
      <c r="AF117" s="413"/>
      <c r="AG117" s="413"/>
      <c r="AH117" s="413"/>
      <c r="AI117" s="413"/>
      <c r="AJ117" s="413"/>
      <c r="AK117" s="413"/>
      <c r="AL117" s="413"/>
      <c r="AM117" s="413"/>
      <c r="AN117" s="413"/>
      <c r="AO117" s="413"/>
      <c r="AP117" s="315"/>
      <c r="AQ117" s="414"/>
    </row>
    <row r="118" spans="1:50" s="1451" customFormat="1" ht="15.75" customHeight="1">
      <c r="A118" s="8241" t="s">
        <v>0</v>
      </c>
      <c r="B118" s="8241"/>
      <c r="C118" s="8242" t="s">
        <v>404</v>
      </c>
      <c r="D118" s="8242" t="s">
        <v>405</v>
      </c>
      <c r="E118" s="8242" t="s">
        <v>406</v>
      </c>
      <c r="F118" s="8242" t="s">
        <v>407</v>
      </c>
      <c r="G118" s="8242" t="s">
        <v>403</v>
      </c>
      <c r="H118" s="8218" t="s">
        <v>543</v>
      </c>
      <c r="I118" s="8218" t="s">
        <v>714</v>
      </c>
      <c r="J118" s="8231" t="s">
        <v>979</v>
      </c>
      <c r="K118" s="8224" t="s">
        <v>1156</v>
      </c>
      <c r="L118" s="8221" t="s">
        <v>1889</v>
      </c>
      <c r="M118" s="8232" t="s">
        <v>1899</v>
      </c>
      <c r="N118" s="8222" t="s">
        <v>800</v>
      </c>
      <c r="O118" s="8234" t="s">
        <v>1923</v>
      </c>
      <c r="P118" s="8234"/>
      <c r="Q118" s="8235"/>
      <c r="R118" s="8235"/>
      <c r="S118" s="8235"/>
      <c r="T118" s="8235"/>
      <c r="U118" s="8235"/>
      <c r="V118" s="8235"/>
      <c r="W118" s="8235"/>
      <c r="X118" s="8235"/>
      <c r="Y118" s="8235"/>
      <c r="Z118" s="8235"/>
      <c r="AA118" s="8235"/>
      <c r="AB118" s="8235"/>
      <c r="AC118" s="8235"/>
      <c r="AD118" s="8235"/>
      <c r="AE118" s="8235"/>
      <c r="AF118" s="8235"/>
      <c r="AG118" s="8235"/>
      <c r="AH118" s="8235"/>
      <c r="AI118" s="8235"/>
      <c r="AJ118" s="8235"/>
      <c r="AK118" s="8235"/>
      <c r="AL118" s="8235"/>
      <c r="AM118" s="8235"/>
      <c r="AN118" s="8236"/>
      <c r="AO118" s="8237" t="s">
        <v>457</v>
      </c>
      <c r="AP118" s="8237" t="s">
        <v>361</v>
      </c>
      <c r="AQ118" s="8238" t="s">
        <v>283</v>
      </c>
    </row>
    <row r="119" spans="1:50" s="1451" customFormat="1" ht="15.75" customHeight="1">
      <c r="A119" s="8241"/>
      <c r="B119" s="8241"/>
      <c r="C119" s="8242"/>
      <c r="D119" s="8242"/>
      <c r="E119" s="8242"/>
      <c r="F119" s="8242"/>
      <c r="G119" s="8242"/>
      <c r="H119" s="8218"/>
      <c r="I119" s="8218"/>
      <c r="J119" s="8231"/>
      <c r="K119" s="8224"/>
      <c r="L119" s="8221"/>
      <c r="M119" s="8233"/>
      <c r="N119" s="8223"/>
      <c r="O119" s="5808" t="s">
        <v>415</v>
      </c>
      <c r="P119" s="4537" t="s">
        <v>473</v>
      </c>
      <c r="Q119" s="4103" t="s">
        <v>474</v>
      </c>
      <c r="R119" s="2882" t="s">
        <v>475</v>
      </c>
      <c r="S119" s="2882" t="s">
        <v>476</v>
      </c>
      <c r="T119" s="2882" t="s">
        <v>477</v>
      </c>
      <c r="U119" s="2882" t="s">
        <v>478</v>
      </c>
      <c r="V119" s="2882" t="s">
        <v>479</v>
      </c>
      <c r="W119" s="2882" t="s">
        <v>480</v>
      </c>
      <c r="X119" s="6423" t="s">
        <v>481</v>
      </c>
      <c r="Y119" s="2882" t="s">
        <v>482</v>
      </c>
      <c r="Z119" s="2882" t="s">
        <v>483</v>
      </c>
      <c r="AA119" s="2561" t="s">
        <v>871</v>
      </c>
      <c r="AB119" s="2882" t="s">
        <v>2036</v>
      </c>
      <c r="AC119" s="2882" t="s">
        <v>410</v>
      </c>
      <c r="AD119" s="2882" t="s">
        <v>379</v>
      </c>
      <c r="AE119" s="2882" t="s">
        <v>380</v>
      </c>
      <c r="AF119" s="2882" t="s">
        <v>381</v>
      </c>
      <c r="AG119" s="2882" t="s">
        <v>382</v>
      </c>
      <c r="AH119" s="2882" t="s">
        <v>383</v>
      </c>
      <c r="AI119" s="2882" t="s">
        <v>384</v>
      </c>
      <c r="AJ119" s="2882" t="s">
        <v>385</v>
      </c>
      <c r="AK119" s="2882" t="s">
        <v>386</v>
      </c>
      <c r="AL119" s="6423" t="s">
        <v>387</v>
      </c>
      <c r="AM119" s="6423" t="s">
        <v>388</v>
      </c>
      <c r="AN119" s="6423" t="s">
        <v>389</v>
      </c>
      <c r="AO119" s="8237"/>
      <c r="AP119" s="8237"/>
      <c r="AQ119" s="8238"/>
    </row>
    <row r="120" spans="1:50" s="1451" customFormat="1" ht="15.75" customHeight="1">
      <c r="A120" s="8239" t="s">
        <v>2</v>
      </c>
      <c r="B120" s="8240"/>
      <c r="C120" s="837"/>
      <c r="D120" s="837">
        <v>23</v>
      </c>
      <c r="E120" s="837">
        <v>19</v>
      </c>
      <c r="F120" s="837"/>
      <c r="G120" s="814"/>
      <c r="H120" s="837">
        <v>1</v>
      </c>
      <c r="I120" s="499">
        <v>6</v>
      </c>
      <c r="J120" s="1585">
        <v>6</v>
      </c>
      <c r="K120" s="4531">
        <v>6</v>
      </c>
      <c r="L120" s="5811">
        <v>2</v>
      </c>
      <c r="M120" s="5816">
        <v>1</v>
      </c>
      <c r="N120" s="5817">
        <f t="shared" ref="N120:N125" si="89">M120/12</f>
        <v>8.3333333333333329E-2</v>
      </c>
      <c r="O120" s="5814">
        <v>1</v>
      </c>
      <c r="P120" s="3502">
        <v>0</v>
      </c>
      <c r="Q120" s="4102">
        <v>0</v>
      </c>
      <c r="R120" s="754">
        <v>0</v>
      </c>
      <c r="S120" s="754">
        <v>0</v>
      </c>
      <c r="T120" s="754">
        <v>0</v>
      </c>
      <c r="U120" s="499">
        <v>0</v>
      </c>
      <c r="V120" s="499">
        <v>0</v>
      </c>
      <c r="W120" s="499">
        <v>0</v>
      </c>
      <c r="X120" s="499">
        <v>0</v>
      </c>
      <c r="Y120" s="499">
        <v>0</v>
      </c>
      <c r="Z120" s="499">
        <v>0</v>
      </c>
      <c r="AA120" s="2526">
        <f t="shared" ref="AA120:AA125" si="90">SUM(O120:Z120)</f>
        <v>1</v>
      </c>
      <c r="AB120" s="755">
        <f>1117933/1000</f>
        <v>1117.933</v>
      </c>
      <c r="AC120" s="368">
        <v>1118</v>
      </c>
      <c r="AD120" s="4322">
        <v>0</v>
      </c>
      <c r="AE120" s="397">
        <v>0</v>
      </c>
      <c r="AF120" s="397">
        <v>0</v>
      </c>
      <c r="AG120" s="397">
        <v>0</v>
      </c>
      <c r="AH120" s="397">
        <v>0</v>
      </c>
      <c r="AI120" s="397">
        <v>0</v>
      </c>
      <c r="AJ120" s="397">
        <v>0</v>
      </c>
      <c r="AK120" s="397">
        <v>0</v>
      </c>
      <c r="AL120" s="397">
        <v>0</v>
      </c>
      <c r="AM120" s="397">
        <v>0</v>
      </c>
      <c r="AN120" s="397">
        <v>0</v>
      </c>
      <c r="AO120" s="409">
        <f t="shared" ref="AO120:AO125" si="91">SUM(AC120:AN120)</f>
        <v>1118</v>
      </c>
      <c r="AP120" s="351">
        <f t="shared" ref="AP120:AP126" si="92">AO120/AB120</f>
        <v>1.000059932035283</v>
      </c>
      <c r="AQ120" s="333"/>
    </row>
    <row r="121" spans="1:50" s="1451" customFormat="1" ht="15.75" customHeight="1">
      <c r="A121" s="8239" t="s">
        <v>3</v>
      </c>
      <c r="B121" s="8240"/>
      <c r="C121" s="837"/>
      <c r="D121" s="837"/>
      <c r="E121" s="837">
        <v>21</v>
      </c>
      <c r="F121" s="837"/>
      <c r="G121" s="814"/>
      <c r="H121" s="837">
        <v>2</v>
      </c>
      <c r="I121" s="499">
        <v>4</v>
      </c>
      <c r="J121" s="1585">
        <v>9</v>
      </c>
      <c r="K121" s="4531">
        <v>6</v>
      </c>
      <c r="L121" s="5811">
        <v>1</v>
      </c>
      <c r="M121" s="5816">
        <v>1</v>
      </c>
      <c r="N121" s="5817">
        <f t="shared" si="89"/>
        <v>8.3333333333333329E-2</v>
      </c>
      <c r="O121" s="5814">
        <v>0</v>
      </c>
      <c r="P121" s="3502">
        <v>0</v>
      </c>
      <c r="Q121" s="4102">
        <v>0</v>
      </c>
      <c r="R121" s="754">
        <v>0</v>
      </c>
      <c r="S121" s="754">
        <v>0</v>
      </c>
      <c r="T121" s="754">
        <v>0</v>
      </c>
      <c r="U121" s="499">
        <v>0</v>
      </c>
      <c r="V121" s="499">
        <v>0</v>
      </c>
      <c r="W121" s="499">
        <v>0</v>
      </c>
      <c r="X121" s="499">
        <v>0</v>
      </c>
      <c r="Y121" s="499">
        <v>0</v>
      </c>
      <c r="Z121" s="499">
        <v>0</v>
      </c>
      <c r="AA121" s="2526">
        <f t="shared" si="90"/>
        <v>0</v>
      </c>
      <c r="AB121" s="816">
        <f>11295360/1000</f>
        <v>11295.36</v>
      </c>
      <c r="AC121" s="368">
        <v>0</v>
      </c>
      <c r="AD121" s="368">
        <v>0</v>
      </c>
      <c r="AE121" s="368">
        <v>0</v>
      </c>
      <c r="AF121" s="368">
        <v>0</v>
      </c>
      <c r="AG121" s="368">
        <v>0</v>
      </c>
      <c r="AH121" s="368">
        <v>0</v>
      </c>
      <c r="AI121" s="368">
        <v>0</v>
      </c>
      <c r="AJ121" s="368">
        <v>0</v>
      </c>
      <c r="AK121" s="368">
        <v>0</v>
      </c>
      <c r="AL121" s="368">
        <v>0</v>
      </c>
      <c r="AM121" s="397">
        <v>0</v>
      </c>
      <c r="AN121" s="397">
        <v>0</v>
      </c>
      <c r="AO121" s="409">
        <f t="shared" si="91"/>
        <v>0</v>
      </c>
      <c r="AP121" s="351">
        <f t="shared" si="92"/>
        <v>0</v>
      </c>
      <c r="AQ121" s="333"/>
    </row>
    <row r="122" spans="1:50" s="1451" customFormat="1" ht="15.75" customHeight="1">
      <c r="A122" s="8239" t="s">
        <v>4</v>
      </c>
      <c r="B122" s="8240"/>
      <c r="C122" s="837"/>
      <c r="D122" s="837"/>
      <c r="E122" s="837">
        <v>14</v>
      </c>
      <c r="F122" s="837"/>
      <c r="G122" s="814"/>
      <c r="H122" s="837">
        <v>1</v>
      </c>
      <c r="I122" s="499">
        <v>7</v>
      </c>
      <c r="J122" s="1585">
        <v>11</v>
      </c>
      <c r="K122" s="4531">
        <v>8</v>
      </c>
      <c r="L122" s="5811">
        <v>4</v>
      </c>
      <c r="M122" s="5816">
        <v>1</v>
      </c>
      <c r="N122" s="5817">
        <f t="shared" si="89"/>
        <v>8.3333333333333329E-2</v>
      </c>
      <c r="O122" s="5814">
        <v>0</v>
      </c>
      <c r="P122" s="3502">
        <v>0</v>
      </c>
      <c r="Q122" s="4102">
        <v>0</v>
      </c>
      <c r="R122" s="754">
        <v>0</v>
      </c>
      <c r="S122" s="754">
        <v>0</v>
      </c>
      <c r="T122" s="754">
        <v>0</v>
      </c>
      <c r="U122" s="499">
        <v>0</v>
      </c>
      <c r="V122" s="499">
        <v>0</v>
      </c>
      <c r="W122" s="499">
        <v>0</v>
      </c>
      <c r="X122" s="499">
        <v>0</v>
      </c>
      <c r="Y122" s="499">
        <v>0</v>
      </c>
      <c r="Z122" s="499">
        <v>0</v>
      </c>
      <c r="AA122" s="2526">
        <f t="shared" si="90"/>
        <v>0</v>
      </c>
      <c r="AB122" s="816">
        <f>5365699/1000</f>
        <v>5365.6989999999996</v>
      </c>
      <c r="AC122" s="368">
        <v>0</v>
      </c>
      <c r="AD122" s="368">
        <v>0</v>
      </c>
      <c r="AE122" s="368">
        <v>0</v>
      </c>
      <c r="AF122" s="368">
        <v>0</v>
      </c>
      <c r="AG122" s="368">
        <v>0</v>
      </c>
      <c r="AH122" s="368">
        <v>0</v>
      </c>
      <c r="AI122" s="368">
        <v>0</v>
      </c>
      <c r="AJ122" s="368">
        <v>0</v>
      </c>
      <c r="AK122" s="368">
        <v>0</v>
      </c>
      <c r="AL122" s="368">
        <v>0</v>
      </c>
      <c r="AM122" s="368">
        <v>0</v>
      </c>
      <c r="AN122" s="368">
        <v>0</v>
      </c>
      <c r="AO122" s="409">
        <f t="shared" si="91"/>
        <v>0</v>
      </c>
      <c r="AP122" s="351">
        <f t="shared" si="92"/>
        <v>0</v>
      </c>
      <c r="AQ122" s="333"/>
    </row>
    <row r="123" spans="1:50" s="1451" customFormat="1" ht="15.75" customHeight="1">
      <c r="A123" s="8239" t="s">
        <v>190</v>
      </c>
      <c r="B123" s="8240"/>
      <c r="C123" s="837"/>
      <c r="D123" s="837"/>
      <c r="E123" s="837">
        <v>10</v>
      </c>
      <c r="F123" s="837"/>
      <c r="G123" s="814"/>
      <c r="H123" s="837">
        <v>3</v>
      </c>
      <c r="I123" s="499">
        <v>7</v>
      </c>
      <c r="J123" s="1585">
        <v>6</v>
      </c>
      <c r="K123" s="4531">
        <v>7</v>
      </c>
      <c r="L123" s="5811">
        <v>1</v>
      </c>
      <c r="M123" s="5816">
        <v>0</v>
      </c>
      <c r="N123" s="5817">
        <f t="shared" si="89"/>
        <v>0</v>
      </c>
      <c r="O123" s="5814">
        <v>0</v>
      </c>
      <c r="P123" s="3502">
        <v>0</v>
      </c>
      <c r="Q123" s="4102">
        <v>0</v>
      </c>
      <c r="R123" s="754">
        <v>0</v>
      </c>
      <c r="S123" s="754">
        <v>0</v>
      </c>
      <c r="T123" s="754">
        <v>0</v>
      </c>
      <c r="U123" s="499">
        <v>0</v>
      </c>
      <c r="V123" s="499">
        <v>0</v>
      </c>
      <c r="W123" s="499">
        <v>0</v>
      </c>
      <c r="X123" s="499">
        <v>0</v>
      </c>
      <c r="Y123" s="499">
        <v>0</v>
      </c>
      <c r="Z123" s="499">
        <v>0</v>
      </c>
      <c r="AA123" s="2526">
        <f t="shared" si="90"/>
        <v>0</v>
      </c>
      <c r="AB123" s="755">
        <v>0</v>
      </c>
      <c r="AC123" s="368">
        <v>0</v>
      </c>
      <c r="AD123" s="368">
        <v>0</v>
      </c>
      <c r="AE123" s="368">
        <v>0</v>
      </c>
      <c r="AF123" s="368">
        <v>0</v>
      </c>
      <c r="AG123" s="368">
        <v>0</v>
      </c>
      <c r="AH123" s="368">
        <v>0</v>
      </c>
      <c r="AI123" s="368">
        <v>0</v>
      </c>
      <c r="AJ123" s="368">
        <v>0</v>
      </c>
      <c r="AK123" s="368">
        <v>0</v>
      </c>
      <c r="AL123" s="368">
        <v>0</v>
      </c>
      <c r="AM123" s="368">
        <v>0</v>
      </c>
      <c r="AN123" s="368">
        <v>0</v>
      </c>
      <c r="AO123" s="409">
        <f t="shared" si="91"/>
        <v>0</v>
      </c>
      <c r="AP123" s="351" t="e">
        <f t="shared" si="92"/>
        <v>#DIV/0!</v>
      </c>
      <c r="AQ123" s="333"/>
    </row>
    <row r="124" spans="1:50" s="1451" customFormat="1" ht="15.75" customHeight="1">
      <c r="A124" s="8239" t="s">
        <v>17</v>
      </c>
      <c r="B124" s="8240"/>
      <c r="C124" s="837"/>
      <c r="D124" s="837"/>
      <c r="E124" s="837">
        <v>7</v>
      </c>
      <c r="F124" s="837"/>
      <c r="G124" s="814"/>
      <c r="H124" s="417">
        <v>3</v>
      </c>
      <c r="I124" s="499">
        <v>3</v>
      </c>
      <c r="J124" s="1585">
        <v>13</v>
      </c>
      <c r="K124" s="4531">
        <v>10</v>
      </c>
      <c r="L124" s="5811">
        <v>2</v>
      </c>
      <c r="M124" s="5816">
        <v>0</v>
      </c>
      <c r="N124" s="5817">
        <f t="shared" si="89"/>
        <v>0</v>
      </c>
      <c r="O124" s="5814">
        <v>0</v>
      </c>
      <c r="P124" s="3502">
        <v>0</v>
      </c>
      <c r="Q124" s="4102">
        <v>0</v>
      </c>
      <c r="R124" s="754">
        <v>0</v>
      </c>
      <c r="S124" s="754">
        <v>0</v>
      </c>
      <c r="T124" s="754">
        <v>0</v>
      </c>
      <c r="U124" s="499">
        <v>0</v>
      </c>
      <c r="V124" s="499">
        <v>0</v>
      </c>
      <c r="W124" s="499">
        <v>0</v>
      </c>
      <c r="X124" s="499">
        <v>0</v>
      </c>
      <c r="Y124" s="499">
        <v>0</v>
      </c>
      <c r="Z124" s="499">
        <v>0</v>
      </c>
      <c r="AA124" s="2526">
        <f t="shared" si="90"/>
        <v>0</v>
      </c>
      <c r="AB124" s="755">
        <v>0</v>
      </c>
      <c r="AC124" s="368">
        <v>0</v>
      </c>
      <c r="AD124" s="368">
        <v>0</v>
      </c>
      <c r="AE124" s="368">
        <v>0</v>
      </c>
      <c r="AF124" s="428">
        <v>0</v>
      </c>
      <c r="AG124" s="427">
        <v>0</v>
      </c>
      <c r="AH124" s="368">
        <v>0</v>
      </c>
      <c r="AI124" s="368">
        <v>0</v>
      </c>
      <c r="AJ124" s="368">
        <v>0</v>
      </c>
      <c r="AK124" s="368">
        <v>0</v>
      </c>
      <c r="AL124" s="368">
        <v>0</v>
      </c>
      <c r="AM124" s="368">
        <v>0</v>
      </c>
      <c r="AN124" s="368">
        <v>0</v>
      </c>
      <c r="AO124" s="409">
        <f t="shared" si="91"/>
        <v>0</v>
      </c>
      <c r="AP124" s="351" t="e">
        <f>AO124/AB124</f>
        <v>#DIV/0!</v>
      </c>
      <c r="AQ124" s="6632"/>
    </row>
    <row r="125" spans="1:50" s="1451" customFormat="1" ht="15.75" customHeight="1">
      <c r="A125" s="8239" t="s">
        <v>2033</v>
      </c>
      <c r="B125" s="8240"/>
      <c r="C125" s="837"/>
      <c r="D125" s="837"/>
      <c r="E125" s="837">
        <v>7</v>
      </c>
      <c r="F125" s="837"/>
      <c r="G125" s="814"/>
      <c r="H125" s="417">
        <v>3</v>
      </c>
      <c r="I125" s="499">
        <v>3</v>
      </c>
      <c r="J125" s="1585"/>
      <c r="K125" s="4531"/>
      <c r="L125" s="5811"/>
      <c r="M125" s="5816">
        <v>0</v>
      </c>
      <c r="N125" s="5817">
        <f t="shared" si="89"/>
        <v>0</v>
      </c>
      <c r="O125" s="5814">
        <v>0</v>
      </c>
      <c r="P125" s="3502">
        <v>0</v>
      </c>
      <c r="Q125" s="4102">
        <v>0</v>
      </c>
      <c r="R125" s="754">
        <v>0</v>
      </c>
      <c r="S125" s="754">
        <v>0</v>
      </c>
      <c r="T125" s="754">
        <v>0</v>
      </c>
      <c r="U125" s="499">
        <v>0</v>
      </c>
      <c r="V125" s="499">
        <v>0</v>
      </c>
      <c r="W125" s="499">
        <v>0</v>
      </c>
      <c r="X125" s="499">
        <v>0</v>
      </c>
      <c r="Y125" s="499">
        <v>0</v>
      </c>
      <c r="Z125" s="499">
        <v>0</v>
      </c>
      <c r="AA125" s="2526">
        <f t="shared" si="90"/>
        <v>0</v>
      </c>
      <c r="AB125" s="755">
        <v>0</v>
      </c>
      <c r="AC125" s="368">
        <v>0</v>
      </c>
      <c r="AD125" s="368">
        <v>0</v>
      </c>
      <c r="AE125" s="368">
        <v>0</v>
      </c>
      <c r="AF125" s="428">
        <v>0</v>
      </c>
      <c r="AG125" s="427">
        <v>0</v>
      </c>
      <c r="AH125" s="368">
        <v>0</v>
      </c>
      <c r="AI125" s="368">
        <v>0</v>
      </c>
      <c r="AJ125" s="368">
        <v>0</v>
      </c>
      <c r="AK125" s="368">
        <v>0</v>
      </c>
      <c r="AL125" s="368">
        <v>0</v>
      </c>
      <c r="AM125" s="368">
        <v>0</v>
      </c>
      <c r="AN125" s="368">
        <v>0</v>
      </c>
      <c r="AO125" s="409">
        <f t="shared" si="91"/>
        <v>0</v>
      </c>
      <c r="AP125" s="351" t="e">
        <f t="shared" si="92"/>
        <v>#DIV/0!</v>
      </c>
      <c r="AQ125" s="333"/>
    </row>
    <row r="126" spans="1:50" s="2884" customFormat="1" ht="15.75" customHeight="1" thickBot="1">
      <c r="A126" s="8243" t="s">
        <v>16</v>
      </c>
      <c r="B126" s="8243"/>
      <c r="C126" s="402"/>
      <c r="D126" s="402"/>
      <c r="E126" s="402"/>
      <c r="F126" s="402"/>
      <c r="G126" s="402"/>
      <c r="H126" s="402">
        <f t="shared" ref="H126:AB126" si="93">SUM(H120:H125)</f>
        <v>13</v>
      </c>
      <c r="I126" s="402">
        <f t="shared" si="93"/>
        <v>30</v>
      </c>
      <c r="J126" s="402">
        <f t="shared" si="93"/>
        <v>45</v>
      </c>
      <c r="K126" s="4536">
        <f t="shared" si="93"/>
        <v>37</v>
      </c>
      <c r="L126" s="5819">
        <v>10</v>
      </c>
      <c r="M126" s="2585">
        <f t="shared" si="93"/>
        <v>3</v>
      </c>
      <c r="N126" s="5818">
        <f t="shared" si="93"/>
        <v>0.25</v>
      </c>
      <c r="O126" s="5815">
        <f t="shared" si="93"/>
        <v>1</v>
      </c>
      <c r="P126" s="4538">
        <f t="shared" si="93"/>
        <v>0</v>
      </c>
      <c r="Q126" s="4104">
        <f t="shared" si="93"/>
        <v>0</v>
      </c>
      <c r="R126" s="402">
        <f t="shared" si="93"/>
        <v>0</v>
      </c>
      <c r="S126" s="402">
        <f t="shared" si="93"/>
        <v>0</v>
      </c>
      <c r="T126" s="402">
        <f t="shared" si="93"/>
        <v>0</v>
      </c>
      <c r="U126" s="402">
        <f t="shared" si="93"/>
        <v>0</v>
      </c>
      <c r="V126" s="402">
        <f t="shared" si="93"/>
        <v>0</v>
      </c>
      <c r="W126" s="402">
        <f t="shared" si="93"/>
        <v>0</v>
      </c>
      <c r="X126" s="402">
        <f t="shared" si="93"/>
        <v>0</v>
      </c>
      <c r="Y126" s="402">
        <f t="shared" si="93"/>
        <v>0</v>
      </c>
      <c r="Z126" s="402">
        <f t="shared" si="93"/>
        <v>0</v>
      </c>
      <c r="AA126" s="402">
        <f t="shared" si="93"/>
        <v>1</v>
      </c>
      <c r="AB126" s="811">
        <f t="shared" si="93"/>
        <v>17778.992000000002</v>
      </c>
      <c r="AC126" s="367">
        <f>SUM(AC120:AC125)</f>
        <v>1118</v>
      </c>
      <c r="AD126" s="367">
        <f t="shared" ref="AD126:AK126" si="94">SUM(AD120:AD125)</f>
        <v>0</v>
      </c>
      <c r="AE126" s="367">
        <f t="shared" si="94"/>
        <v>0</v>
      </c>
      <c r="AF126" s="367">
        <f t="shared" si="94"/>
        <v>0</v>
      </c>
      <c r="AG126" s="367">
        <f t="shared" si="94"/>
        <v>0</v>
      </c>
      <c r="AH126" s="367">
        <f t="shared" si="94"/>
        <v>0</v>
      </c>
      <c r="AI126" s="367">
        <f t="shared" si="94"/>
        <v>0</v>
      </c>
      <c r="AJ126" s="367">
        <f t="shared" si="94"/>
        <v>0</v>
      </c>
      <c r="AK126" s="367">
        <f t="shared" si="94"/>
        <v>0</v>
      </c>
      <c r="AL126" s="367">
        <f>SUM(AL122:AL125)</f>
        <v>0</v>
      </c>
      <c r="AM126" s="367">
        <f>SUM(AM122:AM125)</f>
        <v>0</v>
      </c>
      <c r="AN126" s="367">
        <f>SUM(AN122:AN125)</f>
        <v>0</v>
      </c>
      <c r="AO126" s="367">
        <f>SUM(AO120:AO125)</f>
        <v>1118</v>
      </c>
      <c r="AP126" s="403">
        <f t="shared" si="92"/>
        <v>6.2883205077093232E-2</v>
      </c>
      <c r="AQ126" s="404"/>
    </row>
    <row r="127" spans="1:50" s="1451" customFormat="1">
      <c r="A127" s="744" t="s">
        <v>927</v>
      </c>
      <c r="C127" s="2884"/>
      <c r="D127" s="2884"/>
      <c r="E127" s="2884"/>
      <c r="F127" s="2884"/>
      <c r="G127" s="2884"/>
      <c r="Q127" s="2884"/>
      <c r="R127" s="2884"/>
      <c r="S127" s="2884"/>
      <c r="T127" s="2884"/>
      <c r="U127" s="2884"/>
      <c r="V127" s="2884"/>
      <c r="W127" s="2884"/>
      <c r="X127" s="2884"/>
      <c r="Y127" s="2884"/>
      <c r="Z127" s="2884"/>
      <c r="AA127" s="2884"/>
      <c r="AB127" s="2884"/>
      <c r="AC127" s="2884"/>
      <c r="AD127" s="2884"/>
      <c r="AE127" s="2884"/>
      <c r="AF127" s="2884"/>
      <c r="AG127" s="2884"/>
      <c r="AH127" s="2884"/>
      <c r="AI127" s="2884"/>
      <c r="AJ127" s="2884"/>
      <c r="AK127" s="2884"/>
      <c r="AL127" s="2884"/>
      <c r="AM127" s="2884"/>
      <c r="AN127" s="2884"/>
      <c r="AO127" s="2884"/>
      <c r="AP127" s="1452"/>
      <c r="AQ127" s="1453"/>
      <c r="AX127" s="1451" t="s">
        <v>2037</v>
      </c>
    </row>
    <row r="128" spans="1:50" s="1451" customFormat="1">
      <c r="C128" s="2884"/>
      <c r="D128" s="2884"/>
      <c r="E128" s="2884"/>
      <c r="F128" s="2884"/>
      <c r="G128" s="2884"/>
      <c r="Q128" s="2884"/>
      <c r="R128" s="2884"/>
      <c r="S128" s="2884"/>
      <c r="T128" s="2884"/>
      <c r="U128" s="2884"/>
      <c r="V128" s="2884"/>
      <c r="W128" s="2884"/>
      <c r="X128" s="2884"/>
      <c r="Y128" s="2884"/>
      <c r="Z128" s="2884"/>
      <c r="AA128" s="2884"/>
      <c r="AB128" s="2884"/>
      <c r="AC128" s="2884"/>
      <c r="AD128" s="2884"/>
      <c r="AE128" s="2884"/>
      <c r="AF128" s="2884"/>
      <c r="AG128" s="2884"/>
      <c r="AH128" s="2884"/>
      <c r="AI128" s="2884"/>
      <c r="AJ128" s="2884"/>
      <c r="AK128" s="2884"/>
      <c r="AL128" s="418"/>
      <c r="AM128" s="2884"/>
      <c r="AN128" s="2884"/>
      <c r="AO128" s="2884"/>
      <c r="AP128" s="1452"/>
      <c r="AQ128" s="1453"/>
    </row>
    <row r="129" spans="1:45" ht="17.25" thickBot="1">
      <c r="A129" s="291" t="s">
        <v>792</v>
      </c>
      <c r="C129" s="101"/>
      <c r="D129" s="101"/>
      <c r="E129" s="101"/>
      <c r="F129" s="101"/>
      <c r="G129" s="101"/>
      <c r="H129" s="411"/>
      <c r="I129" s="411"/>
      <c r="J129" s="411"/>
      <c r="K129" s="411"/>
      <c r="L129" s="411"/>
      <c r="M129" s="411"/>
      <c r="N129" s="411"/>
      <c r="O129" s="411"/>
      <c r="P129" s="411"/>
      <c r="Q129" s="101"/>
      <c r="R129" s="101"/>
      <c r="S129" s="101"/>
      <c r="T129" s="101"/>
      <c r="U129" s="101"/>
      <c r="V129" s="101"/>
      <c r="W129" s="101"/>
      <c r="X129" s="101"/>
      <c r="Y129" s="101"/>
      <c r="Z129" s="101"/>
      <c r="AA129" s="101"/>
      <c r="AB129" s="412"/>
      <c r="AC129" s="413"/>
      <c r="AD129" s="413"/>
      <c r="AE129" s="413"/>
      <c r="AF129" s="413"/>
      <c r="AG129" s="413"/>
      <c r="AH129" s="413"/>
      <c r="AI129" s="413"/>
      <c r="AJ129" s="413"/>
      <c r="AK129" s="413"/>
      <c r="AL129" s="413"/>
      <c r="AM129" s="413"/>
      <c r="AN129" s="413"/>
      <c r="AO129" s="789"/>
      <c r="AP129" s="315"/>
      <c r="AQ129" s="414"/>
    </row>
    <row r="130" spans="1:45" ht="16.5" customHeight="1">
      <c r="A130" s="8212" t="s">
        <v>0</v>
      </c>
      <c r="B130" s="8212"/>
      <c r="C130" s="8218" t="s">
        <v>404</v>
      </c>
      <c r="D130" s="8218" t="s">
        <v>405</v>
      </c>
      <c r="E130" s="8218" t="s">
        <v>406</v>
      </c>
      <c r="F130" s="8218" t="s">
        <v>407</v>
      </c>
      <c r="G130" s="8218" t="s">
        <v>403</v>
      </c>
      <c r="H130" s="8218" t="s">
        <v>543</v>
      </c>
      <c r="I130" s="8218" t="s">
        <v>714</v>
      </c>
      <c r="J130" s="8231" t="s">
        <v>979</v>
      </c>
      <c r="K130" s="8224" t="s">
        <v>1156</v>
      </c>
      <c r="L130" s="8221" t="s">
        <v>1889</v>
      </c>
      <c r="M130" s="8219" t="s">
        <v>1899</v>
      </c>
      <c r="N130" s="8222" t="s">
        <v>894</v>
      </c>
      <c r="O130" s="8210" t="s">
        <v>1923</v>
      </c>
      <c r="P130" s="8211"/>
      <c r="Q130" s="8212"/>
      <c r="R130" s="8212"/>
      <c r="S130" s="8212"/>
      <c r="T130" s="8212"/>
      <c r="U130" s="8212"/>
      <c r="V130" s="8212"/>
      <c r="W130" s="8212"/>
      <c r="X130" s="8212"/>
      <c r="Y130" s="8212"/>
      <c r="Z130" s="8212"/>
      <c r="AA130" s="8213"/>
      <c r="AB130" s="8212"/>
      <c r="AC130" s="8212"/>
      <c r="AD130" s="8212"/>
      <c r="AE130" s="8212"/>
      <c r="AF130" s="8212"/>
      <c r="AG130" s="8212"/>
      <c r="AH130" s="8212"/>
      <c r="AI130" s="8212"/>
      <c r="AJ130" s="8212"/>
      <c r="AK130" s="8212"/>
      <c r="AL130" s="8212"/>
      <c r="AM130" s="8212"/>
      <c r="AN130" s="8212"/>
      <c r="AO130" s="8214" t="s">
        <v>457</v>
      </c>
      <c r="AP130" s="8214" t="s">
        <v>793</v>
      </c>
      <c r="AQ130" s="8215"/>
    </row>
    <row r="131" spans="1:45">
      <c r="A131" s="8212"/>
      <c r="B131" s="8212"/>
      <c r="C131" s="8218"/>
      <c r="D131" s="8218"/>
      <c r="E131" s="8218"/>
      <c r="F131" s="8218"/>
      <c r="G131" s="8218"/>
      <c r="H131" s="8218"/>
      <c r="I131" s="8218"/>
      <c r="J131" s="8231"/>
      <c r="K131" s="8224"/>
      <c r="L131" s="8221"/>
      <c r="M131" s="8220"/>
      <c r="N131" s="8223"/>
      <c r="O131" s="5808" t="s">
        <v>415</v>
      </c>
      <c r="P131" s="4537" t="s">
        <v>368</v>
      </c>
      <c r="Q131" s="4103" t="s">
        <v>369</v>
      </c>
      <c r="R131" s="733" t="s">
        <v>370</v>
      </c>
      <c r="S131" s="733" t="s">
        <v>371</v>
      </c>
      <c r="T131" s="733" t="s">
        <v>372</v>
      </c>
      <c r="U131" s="733" t="s">
        <v>373</v>
      </c>
      <c r="V131" s="733" t="s">
        <v>374</v>
      </c>
      <c r="W131" s="733" t="s">
        <v>375</v>
      </c>
      <c r="X131" s="6424" t="s">
        <v>376</v>
      </c>
      <c r="Y131" s="733" t="s">
        <v>377</v>
      </c>
      <c r="Z131" s="733" t="s">
        <v>378</v>
      </c>
      <c r="AA131" s="2525" t="s">
        <v>1248</v>
      </c>
      <c r="AB131" s="733" t="s">
        <v>1929</v>
      </c>
      <c r="AC131" s="733" t="s">
        <v>410</v>
      </c>
      <c r="AD131" s="733" t="s">
        <v>379</v>
      </c>
      <c r="AE131" s="733" t="s">
        <v>380</v>
      </c>
      <c r="AF131" s="733" t="s">
        <v>381</v>
      </c>
      <c r="AG131" s="733" t="s">
        <v>382</v>
      </c>
      <c r="AH131" s="733" t="s">
        <v>383</v>
      </c>
      <c r="AI131" s="733" t="s">
        <v>384</v>
      </c>
      <c r="AJ131" s="733" t="s">
        <v>385</v>
      </c>
      <c r="AK131" s="733" t="s">
        <v>386</v>
      </c>
      <c r="AL131" s="6424" t="s">
        <v>387</v>
      </c>
      <c r="AM131" s="6424" t="s">
        <v>388</v>
      </c>
      <c r="AN131" s="6424" t="s">
        <v>389</v>
      </c>
      <c r="AO131" s="8214"/>
      <c r="AP131" s="8214"/>
      <c r="AQ131" s="8215"/>
    </row>
    <row r="132" spans="1:45">
      <c r="A132" s="8216" t="s">
        <v>2</v>
      </c>
      <c r="B132" s="8217"/>
      <c r="C132" s="499"/>
      <c r="D132" s="499">
        <v>23</v>
      </c>
      <c r="E132" s="499">
        <v>19</v>
      </c>
      <c r="F132" s="499"/>
      <c r="G132" s="499"/>
      <c r="H132" s="499">
        <v>4</v>
      </c>
      <c r="I132" s="499">
        <v>1</v>
      </c>
      <c r="J132" s="1585">
        <v>3</v>
      </c>
      <c r="K132" s="4531">
        <v>4</v>
      </c>
      <c r="L132" s="5811">
        <v>3</v>
      </c>
      <c r="M132" s="5816">
        <v>4</v>
      </c>
      <c r="N132" s="5817">
        <f t="shared" ref="N132:N137" si="95">M132/12</f>
        <v>0.33333333333333331</v>
      </c>
      <c r="O132" s="4101">
        <v>0</v>
      </c>
      <c r="P132" s="4157">
        <v>0</v>
      </c>
      <c r="Q132" s="4087">
        <v>1</v>
      </c>
      <c r="R132" s="499">
        <v>0</v>
      </c>
      <c r="S132" s="499">
        <v>0</v>
      </c>
      <c r="T132" s="499">
        <v>0</v>
      </c>
      <c r="U132" s="499">
        <v>0</v>
      </c>
      <c r="V132" s="499">
        <v>0</v>
      </c>
      <c r="W132" s="499">
        <v>0</v>
      </c>
      <c r="X132" s="499">
        <v>0</v>
      </c>
      <c r="Y132" s="499">
        <v>0</v>
      </c>
      <c r="Z132" s="499">
        <v>0</v>
      </c>
      <c r="AA132" s="2526">
        <f t="shared" ref="AA132:AA137" si="96">SUM(O132:Z132)</f>
        <v>1</v>
      </c>
      <c r="AB132" s="809">
        <f>173797280/1000</f>
        <v>173797.28</v>
      </c>
      <c r="AC132" s="368">
        <v>0</v>
      </c>
      <c r="AD132" s="368">
        <v>0</v>
      </c>
      <c r="AE132" s="368">
        <v>11472</v>
      </c>
      <c r="AF132" s="368">
        <v>0</v>
      </c>
      <c r="AG132" s="368">
        <v>0</v>
      </c>
      <c r="AH132" s="368">
        <v>0</v>
      </c>
      <c r="AI132" s="368">
        <v>0</v>
      </c>
      <c r="AJ132" s="368">
        <v>0</v>
      </c>
      <c r="AK132" s="368">
        <v>0</v>
      </c>
      <c r="AL132" s="368">
        <v>0</v>
      </c>
      <c r="AM132" s="368">
        <v>0</v>
      </c>
      <c r="AN132" s="1488">
        <v>0</v>
      </c>
      <c r="AO132" s="810">
        <f t="shared" ref="AO132:AO137" si="97">SUM(AC132:AN132)</f>
        <v>11472</v>
      </c>
      <c r="AP132" s="621">
        <f t="shared" ref="AP132:AP138" si="98">AO132/AB132</f>
        <v>6.6007937523533164E-2</v>
      </c>
      <c r="AQ132" s="790"/>
    </row>
    <row r="133" spans="1:45">
      <c r="A133" s="8216" t="s">
        <v>3</v>
      </c>
      <c r="B133" s="8217"/>
      <c r="C133" s="499"/>
      <c r="D133" s="499"/>
      <c r="E133" s="499">
        <v>21</v>
      </c>
      <c r="F133" s="499"/>
      <c r="G133" s="499"/>
      <c r="H133" s="499">
        <v>4</v>
      </c>
      <c r="I133" s="499">
        <v>3</v>
      </c>
      <c r="J133" s="1585">
        <v>4</v>
      </c>
      <c r="K133" s="4531">
        <v>5</v>
      </c>
      <c r="L133" s="5811">
        <v>1</v>
      </c>
      <c r="M133" s="5816">
        <v>0</v>
      </c>
      <c r="N133" s="5817">
        <f t="shared" si="95"/>
        <v>0</v>
      </c>
      <c r="O133" s="4101">
        <v>0</v>
      </c>
      <c r="P133" s="4157">
        <v>0</v>
      </c>
      <c r="Q133" s="4087">
        <v>0</v>
      </c>
      <c r="R133" s="499">
        <v>0</v>
      </c>
      <c r="S133" s="499">
        <v>0</v>
      </c>
      <c r="T133" s="499">
        <v>0</v>
      </c>
      <c r="U133" s="499">
        <v>0</v>
      </c>
      <c r="V133" s="499">
        <v>0</v>
      </c>
      <c r="W133" s="499">
        <v>0</v>
      </c>
      <c r="X133" s="499">
        <v>0</v>
      </c>
      <c r="Y133" s="499">
        <v>0</v>
      </c>
      <c r="Z133" s="499">
        <v>0</v>
      </c>
      <c r="AA133" s="2526">
        <f t="shared" si="96"/>
        <v>0</v>
      </c>
      <c r="AB133" s="809">
        <v>0</v>
      </c>
      <c r="AC133" s="368">
        <v>0</v>
      </c>
      <c r="AD133" s="368">
        <v>0</v>
      </c>
      <c r="AE133" s="368">
        <v>0</v>
      </c>
      <c r="AF133" s="368">
        <v>0</v>
      </c>
      <c r="AG133" s="368">
        <v>0</v>
      </c>
      <c r="AH133" s="368">
        <v>0</v>
      </c>
      <c r="AI133" s="368">
        <v>0</v>
      </c>
      <c r="AJ133" s="368">
        <v>0</v>
      </c>
      <c r="AK133" s="368">
        <v>0</v>
      </c>
      <c r="AL133" s="368">
        <v>0</v>
      </c>
      <c r="AM133" s="368">
        <v>0</v>
      </c>
      <c r="AN133" s="1488">
        <v>0</v>
      </c>
      <c r="AO133" s="810">
        <f t="shared" si="97"/>
        <v>0</v>
      </c>
      <c r="AP133" s="621" t="e">
        <f t="shared" si="98"/>
        <v>#DIV/0!</v>
      </c>
      <c r="AQ133" s="790"/>
    </row>
    <row r="134" spans="1:45">
      <c r="A134" s="8216" t="s">
        <v>4</v>
      </c>
      <c r="B134" s="8217"/>
      <c r="C134" s="499"/>
      <c r="D134" s="499"/>
      <c r="E134" s="499">
        <v>14</v>
      </c>
      <c r="F134" s="499"/>
      <c r="G134" s="499"/>
      <c r="H134" s="499">
        <v>6</v>
      </c>
      <c r="I134" s="499">
        <v>1</v>
      </c>
      <c r="J134" s="1585">
        <v>4</v>
      </c>
      <c r="K134" s="4531">
        <v>6</v>
      </c>
      <c r="L134" s="5811">
        <v>3</v>
      </c>
      <c r="M134" s="5816">
        <v>0</v>
      </c>
      <c r="N134" s="5817">
        <f t="shared" si="95"/>
        <v>0</v>
      </c>
      <c r="O134" s="4101">
        <v>1</v>
      </c>
      <c r="P134" s="4157">
        <v>0</v>
      </c>
      <c r="Q134" s="4087">
        <v>0</v>
      </c>
      <c r="R134" s="499">
        <v>0</v>
      </c>
      <c r="S134" s="499">
        <v>0</v>
      </c>
      <c r="T134" s="499">
        <v>0</v>
      </c>
      <c r="U134" s="499">
        <v>0</v>
      </c>
      <c r="V134" s="499">
        <v>0</v>
      </c>
      <c r="W134" s="499">
        <v>0</v>
      </c>
      <c r="X134" s="499">
        <v>0</v>
      </c>
      <c r="Y134" s="499">
        <v>0</v>
      </c>
      <c r="Z134" s="499">
        <v>0</v>
      </c>
      <c r="AA134" s="2526">
        <f t="shared" si="96"/>
        <v>1</v>
      </c>
      <c r="AB134" s="809">
        <f>29486838/1000</f>
        <v>29486.838</v>
      </c>
      <c r="AC134" s="368">
        <v>29487</v>
      </c>
      <c r="AD134" s="368">
        <v>0</v>
      </c>
      <c r="AE134" s="368">
        <v>0</v>
      </c>
      <c r="AF134" s="368">
        <v>0</v>
      </c>
      <c r="AG134" s="368">
        <v>0</v>
      </c>
      <c r="AH134" s="368">
        <v>0</v>
      </c>
      <c r="AI134" s="368">
        <v>0</v>
      </c>
      <c r="AJ134" s="368">
        <v>0</v>
      </c>
      <c r="AK134" s="368">
        <v>0</v>
      </c>
      <c r="AL134" s="368">
        <v>0</v>
      </c>
      <c r="AM134" s="368">
        <v>0</v>
      </c>
      <c r="AN134" s="810">
        <v>0</v>
      </c>
      <c r="AO134" s="810">
        <f t="shared" si="97"/>
        <v>29487</v>
      </c>
      <c r="AP134" s="621">
        <f t="shared" si="98"/>
        <v>1.0000054939766685</v>
      </c>
      <c r="AQ134" s="790"/>
    </row>
    <row r="135" spans="1:45">
      <c r="A135" s="8216" t="s">
        <v>190</v>
      </c>
      <c r="B135" s="8217"/>
      <c r="C135" s="499"/>
      <c r="D135" s="499"/>
      <c r="E135" s="499">
        <v>10</v>
      </c>
      <c r="F135" s="499"/>
      <c r="G135" s="499"/>
      <c r="H135" s="499">
        <v>2</v>
      </c>
      <c r="I135" s="499">
        <v>3</v>
      </c>
      <c r="J135" s="1585">
        <v>5</v>
      </c>
      <c r="K135" s="4531">
        <v>6</v>
      </c>
      <c r="L135" s="5811">
        <v>7</v>
      </c>
      <c r="M135" s="5816">
        <v>1</v>
      </c>
      <c r="N135" s="5817">
        <f t="shared" si="95"/>
        <v>8.3333333333333329E-2</v>
      </c>
      <c r="O135" s="4101">
        <v>0</v>
      </c>
      <c r="P135" s="4157">
        <v>0</v>
      </c>
      <c r="Q135" s="4087">
        <v>0</v>
      </c>
      <c r="R135" s="499">
        <v>0</v>
      </c>
      <c r="S135" s="499">
        <v>0</v>
      </c>
      <c r="T135" s="499">
        <v>0</v>
      </c>
      <c r="U135" s="499">
        <v>0</v>
      </c>
      <c r="V135" s="499">
        <v>0</v>
      </c>
      <c r="W135" s="499">
        <v>0</v>
      </c>
      <c r="X135" s="499">
        <v>0</v>
      </c>
      <c r="Y135" s="499">
        <v>0</v>
      </c>
      <c r="Z135" s="499">
        <v>0</v>
      </c>
      <c r="AA135" s="2526">
        <f t="shared" si="96"/>
        <v>0</v>
      </c>
      <c r="AB135" s="809">
        <f>82684800/1000</f>
        <v>82684.800000000003</v>
      </c>
      <c r="AC135" s="368">
        <v>0</v>
      </c>
      <c r="AD135" s="368">
        <v>0</v>
      </c>
      <c r="AE135" s="368">
        <v>0</v>
      </c>
      <c r="AF135" s="368">
        <v>0</v>
      </c>
      <c r="AG135" s="368">
        <v>0</v>
      </c>
      <c r="AH135" s="368">
        <v>0</v>
      </c>
      <c r="AI135" s="368">
        <v>0</v>
      </c>
      <c r="AJ135" s="368">
        <v>0</v>
      </c>
      <c r="AK135" s="368">
        <v>0</v>
      </c>
      <c r="AL135" s="368">
        <v>0</v>
      </c>
      <c r="AM135" s="368">
        <v>0</v>
      </c>
      <c r="AN135" s="810">
        <v>0</v>
      </c>
      <c r="AO135" s="810">
        <f t="shared" si="97"/>
        <v>0</v>
      </c>
      <c r="AP135" s="621">
        <f t="shared" si="98"/>
        <v>0</v>
      </c>
      <c r="AQ135" s="790"/>
    </row>
    <row r="136" spans="1:45" ht="17.25">
      <c r="A136" s="8216" t="s">
        <v>17</v>
      </c>
      <c r="B136" s="8217"/>
      <c r="C136" s="499"/>
      <c r="D136" s="499"/>
      <c r="E136" s="499">
        <v>7</v>
      </c>
      <c r="F136" s="499"/>
      <c r="G136" s="499"/>
      <c r="H136" s="499">
        <v>1</v>
      </c>
      <c r="I136" s="499">
        <v>0</v>
      </c>
      <c r="J136" s="1585">
        <v>13</v>
      </c>
      <c r="K136" s="4531">
        <v>5</v>
      </c>
      <c r="L136" s="5811">
        <v>4.3</v>
      </c>
      <c r="M136" s="5816">
        <v>4</v>
      </c>
      <c r="N136" s="5817">
        <f t="shared" si="95"/>
        <v>0.33333333333333331</v>
      </c>
      <c r="O136" s="4101">
        <v>0</v>
      </c>
      <c r="P136" s="4157">
        <v>0</v>
      </c>
      <c r="Q136" s="4087">
        <v>0</v>
      </c>
      <c r="R136" s="499">
        <v>0</v>
      </c>
      <c r="S136" s="499">
        <v>0</v>
      </c>
      <c r="T136" s="499">
        <v>0</v>
      </c>
      <c r="U136" s="499">
        <v>0</v>
      </c>
      <c r="V136" s="499">
        <v>0</v>
      </c>
      <c r="W136" s="499">
        <v>0</v>
      </c>
      <c r="X136" s="499">
        <v>0</v>
      </c>
      <c r="Y136" s="499">
        <v>0</v>
      </c>
      <c r="Z136" s="499">
        <v>0</v>
      </c>
      <c r="AA136" s="2526">
        <f t="shared" si="96"/>
        <v>0</v>
      </c>
      <c r="AB136" s="809">
        <f>(44219016+380778250)/1000</f>
        <v>424997.266</v>
      </c>
      <c r="AC136" s="368">
        <v>0</v>
      </c>
      <c r="AD136" s="368">
        <v>0</v>
      </c>
      <c r="AE136" s="368">
        <v>0</v>
      </c>
      <c r="AF136" s="368">
        <v>0</v>
      </c>
      <c r="AG136" s="368">
        <v>0</v>
      </c>
      <c r="AH136" s="368">
        <v>0</v>
      </c>
      <c r="AI136" s="368">
        <v>0</v>
      </c>
      <c r="AJ136" s="368">
        <v>0</v>
      </c>
      <c r="AK136" s="368">
        <v>0</v>
      </c>
      <c r="AL136" s="368">
        <v>0</v>
      </c>
      <c r="AM136" s="368">
        <v>0</v>
      </c>
      <c r="AN136" s="810">
        <v>0</v>
      </c>
      <c r="AO136" s="810">
        <f t="shared" si="97"/>
        <v>0</v>
      </c>
      <c r="AP136" s="621">
        <f t="shared" si="98"/>
        <v>0</v>
      </c>
      <c r="AQ136" s="790"/>
      <c r="AS136" s="6787"/>
    </row>
    <row r="137" spans="1:45" s="1451" customFormat="1">
      <c r="A137" s="8245" t="s">
        <v>2034</v>
      </c>
      <c r="B137" s="8246"/>
      <c r="C137" s="4157"/>
      <c r="D137" s="4157"/>
      <c r="E137" s="4157"/>
      <c r="F137" s="4157"/>
      <c r="G137" s="4157"/>
      <c r="H137" s="4157"/>
      <c r="I137" s="4157"/>
      <c r="J137" s="4531"/>
      <c r="K137" s="4531"/>
      <c r="L137" s="5811"/>
      <c r="M137" s="5820">
        <v>1</v>
      </c>
      <c r="N137" s="5817">
        <f t="shared" si="95"/>
        <v>8.3333333333333329E-2</v>
      </c>
      <c r="O137" s="4101">
        <v>0</v>
      </c>
      <c r="P137" s="4157"/>
      <c r="Q137" s="4087">
        <v>0</v>
      </c>
      <c r="R137" s="4157"/>
      <c r="S137" s="4157"/>
      <c r="T137" s="4157"/>
      <c r="U137" s="4157"/>
      <c r="V137" s="4157"/>
      <c r="W137" s="4157"/>
      <c r="X137" s="4157"/>
      <c r="Y137" s="4157"/>
      <c r="Z137" s="4157"/>
      <c r="AA137" s="2526">
        <f t="shared" si="96"/>
        <v>0</v>
      </c>
      <c r="AB137" s="6631">
        <f>91928348/1000</f>
        <v>91928.347999999998</v>
      </c>
      <c r="AC137" s="368">
        <v>0</v>
      </c>
      <c r="AD137" s="368">
        <v>0</v>
      </c>
      <c r="AE137" s="368">
        <v>0</v>
      </c>
      <c r="AF137" s="368">
        <v>0</v>
      </c>
      <c r="AG137" s="368">
        <v>0</v>
      </c>
      <c r="AH137" s="368">
        <v>0</v>
      </c>
      <c r="AI137" s="368">
        <v>0</v>
      </c>
      <c r="AJ137" s="368">
        <v>0</v>
      </c>
      <c r="AK137" s="368">
        <v>0</v>
      </c>
      <c r="AL137" s="368">
        <v>0</v>
      </c>
      <c r="AM137" s="368">
        <v>0</v>
      </c>
      <c r="AN137" s="810">
        <v>0</v>
      </c>
      <c r="AO137" s="810">
        <f t="shared" si="97"/>
        <v>0</v>
      </c>
      <c r="AP137" s="621">
        <f>AO137/AB137</f>
        <v>0</v>
      </c>
      <c r="AQ137" s="6632"/>
    </row>
    <row r="138" spans="1:45" ht="17.25" thickBot="1">
      <c r="A138" s="8225" t="s">
        <v>57</v>
      </c>
      <c r="B138" s="8225"/>
      <c r="C138" s="500"/>
      <c r="D138" s="500"/>
      <c r="E138" s="500"/>
      <c r="F138" s="500"/>
      <c r="G138" s="500"/>
      <c r="H138" s="500">
        <v>17</v>
      </c>
      <c r="I138" s="500">
        <f>SUM(I132:I136)</f>
        <v>8</v>
      </c>
      <c r="J138" s="500">
        <f>SUM(J132:J136)</f>
        <v>29</v>
      </c>
      <c r="K138" s="4536">
        <f>SUM(K132:K136)</f>
        <v>26</v>
      </c>
      <c r="L138" s="5819">
        <v>18.3</v>
      </c>
      <c r="M138" s="2585">
        <f>SUM(M132:M137)</f>
        <v>10</v>
      </c>
      <c r="N138" s="5818">
        <f>SUM(N132:N137)</f>
        <v>0.83333333333333337</v>
      </c>
      <c r="O138" s="6633">
        <f>SUM(O132:O137)</f>
        <v>1</v>
      </c>
      <c r="P138" s="4538">
        <f t="shared" ref="P138:AA138" si="99">SUM(P132:P137)</f>
        <v>0</v>
      </c>
      <c r="Q138" s="4538">
        <f t="shared" si="99"/>
        <v>1</v>
      </c>
      <c r="R138" s="4538">
        <f t="shared" si="99"/>
        <v>0</v>
      </c>
      <c r="S138" s="4538">
        <f t="shared" si="99"/>
        <v>0</v>
      </c>
      <c r="T138" s="4538">
        <f t="shared" si="99"/>
        <v>0</v>
      </c>
      <c r="U138" s="4538">
        <f t="shared" si="99"/>
        <v>0</v>
      </c>
      <c r="V138" s="4538">
        <f t="shared" si="99"/>
        <v>0</v>
      </c>
      <c r="W138" s="4538">
        <f t="shared" si="99"/>
        <v>0</v>
      </c>
      <c r="X138" s="4538">
        <f t="shared" si="99"/>
        <v>0</v>
      </c>
      <c r="Y138" s="4538">
        <f t="shared" si="99"/>
        <v>0</v>
      </c>
      <c r="Z138" s="4538">
        <f t="shared" si="99"/>
        <v>0</v>
      </c>
      <c r="AA138" s="4538">
        <f t="shared" si="99"/>
        <v>2</v>
      </c>
      <c r="AB138" s="4251">
        <f>SUM(AB132:AB137)</f>
        <v>802894.53200000001</v>
      </c>
      <c r="AC138" s="4251">
        <f t="shared" ref="AC138:AO138" si="100">SUM(AC132:AC137)</f>
        <v>29487</v>
      </c>
      <c r="AD138" s="4251">
        <f t="shared" si="100"/>
        <v>0</v>
      </c>
      <c r="AE138" s="4251">
        <f t="shared" si="100"/>
        <v>11472</v>
      </c>
      <c r="AF138" s="4251">
        <f t="shared" si="100"/>
        <v>0</v>
      </c>
      <c r="AG138" s="4251">
        <f t="shared" si="100"/>
        <v>0</v>
      </c>
      <c r="AH138" s="4251">
        <f t="shared" si="100"/>
        <v>0</v>
      </c>
      <c r="AI138" s="4251">
        <f t="shared" si="100"/>
        <v>0</v>
      </c>
      <c r="AJ138" s="4251">
        <f t="shared" si="100"/>
        <v>0</v>
      </c>
      <c r="AK138" s="4251">
        <f t="shared" si="100"/>
        <v>0</v>
      </c>
      <c r="AL138" s="4251">
        <f t="shared" si="100"/>
        <v>0</v>
      </c>
      <c r="AM138" s="4251">
        <f t="shared" si="100"/>
        <v>0</v>
      </c>
      <c r="AN138" s="4251">
        <f t="shared" si="100"/>
        <v>0</v>
      </c>
      <c r="AO138" s="4251">
        <f t="shared" si="100"/>
        <v>40959</v>
      </c>
      <c r="AP138" s="812">
        <f t="shared" si="98"/>
        <v>5.1014172307253927E-2</v>
      </c>
      <c r="AQ138" s="813">
        <f>SUM(AQ132:AQ136)</f>
        <v>0</v>
      </c>
    </row>
    <row r="139" spans="1:45">
      <c r="C139" s="789"/>
      <c r="D139" s="789"/>
      <c r="E139" s="789"/>
      <c r="F139" s="789"/>
      <c r="G139" s="789"/>
      <c r="Q139" s="789"/>
      <c r="R139" s="789"/>
      <c r="S139" s="789"/>
      <c r="T139" s="789"/>
      <c r="U139" s="789"/>
      <c r="V139" s="789"/>
      <c r="W139" s="789"/>
      <c r="X139" s="789"/>
      <c r="Y139" s="789"/>
      <c r="Z139" s="789"/>
      <c r="AB139" s="789"/>
      <c r="AC139" s="789"/>
      <c r="AD139" s="789"/>
      <c r="AE139" s="789"/>
      <c r="AF139" s="789"/>
      <c r="AG139" s="789"/>
      <c r="AH139" s="789"/>
      <c r="AI139" s="789"/>
      <c r="AJ139" s="789"/>
      <c r="AK139" s="789"/>
      <c r="AL139" s="789"/>
      <c r="AM139" s="789"/>
      <c r="AN139" s="789"/>
      <c r="AO139" s="789"/>
    </row>
    <row r="140" spans="1:45" ht="16.5" customHeight="1" thickBot="1">
      <c r="A140" s="291" t="s">
        <v>794</v>
      </c>
      <c r="C140" s="101"/>
      <c r="D140" s="101"/>
      <c r="E140" s="101"/>
      <c r="F140" s="101"/>
      <c r="G140" s="101"/>
      <c r="H140" s="411"/>
      <c r="I140" s="411"/>
      <c r="J140" s="411"/>
      <c r="K140" s="411"/>
      <c r="L140" s="411"/>
      <c r="M140" s="411"/>
      <c r="N140" s="411"/>
      <c r="O140" s="411"/>
      <c r="P140" s="411"/>
      <c r="Q140" s="101"/>
      <c r="R140" s="101"/>
      <c r="S140" s="101"/>
      <c r="T140" s="101"/>
      <c r="U140" s="101"/>
      <c r="V140" s="101"/>
      <c r="W140" s="101"/>
      <c r="X140" s="101"/>
      <c r="Y140" s="101"/>
      <c r="Z140" s="101"/>
      <c r="AA140" s="101"/>
      <c r="AB140" s="412"/>
      <c r="AC140" s="413"/>
      <c r="AD140" s="413"/>
      <c r="AE140" s="413"/>
      <c r="AF140" s="413"/>
      <c r="AG140" s="413"/>
      <c r="AH140" s="413"/>
      <c r="AI140" s="413"/>
      <c r="AJ140" s="413"/>
      <c r="AK140" s="413"/>
      <c r="AL140" s="413"/>
      <c r="AM140" s="413"/>
      <c r="AN140" s="413"/>
      <c r="AO140" s="413"/>
      <c r="AP140" s="315"/>
      <c r="AQ140" s="414"/>
    </row>
    <row r="141" spans="1:45" ht="16.5" customHeight="1">
      <c r="A141" s="8212" t="s">
        <v>0</v>
      </c>
      <c r="B141" s="8212"/>
      <c r="C141" s="8218" t="s">
        <v>404</v>
      </c>
      <c r="D141" s="8218" t="s">
        <v>405</v>
      </c>
      <c r="E141" s="8218" t="s">
        <v>406</v>
      </c>
      <c r="F141" s="8218" t="s">
        <v>407</v>
      </c>
      <c r="G141" s="8218" t="s">
        <v>403</v>
      </c>
      <c r="H141" s="8218" t="s">
        <v>543</v>
      </c>
      <c r="I141" s="8218" t="s">
        <v>714</v>
      </c>
      <c r="J141" s="8226" t="s">
        <v>979</v>
      </c>
      <c r="K141" s="8224" t="s">
        <v>1156</v>
      </c>
      <c r="L141" s="8221" t="s">
        <v>1889</v>
      </c>
      <c r="M141" s="8219" t="s">
        <v>1899</v>
      </c>
      <c r="N141" s="8222" t="s">
        <v>894</v>
      </c>
      <c r="O141" s="8210" t="s">
        <v>1924</v>
      </c>
      <c r="P141" s="8211"/>
      <c r="Q141" s="8212"/>
      <c r="R141" s="8212"/>
      <c r="S141" s="8212"/>
      <c r="T141" s="8212"/>
      <c r="U141" s="8212"/>
      <c r="V141" s="8212"/>
      <c r="W141" s="8212"/>
      <c r="X141" s="8212"/>
      <c r="Y141" s="8212"/>
      <c r="Z141" s="8212"/>
      <c r="AA141" s="8213"/>
      <c r="AB141" s="8212"/>
      <c r="AC141" s="8212"/>
      <c r="AD141" s="8212"/>
      <c r="AE141" s="8212"/>
      <c r="AF141" s="8212"/>
      <c r="AG141" s="8212"/>
      <c r="AH141" s="8212"/>
      <c r="AI141" s="8212"/>
      <c r="AJ141" s="8212"/>
      <c r="AK141" s="8212"/>
      <c r="AL141" s="8212"/>
      <c r="AM141" s="8212"/>
      <c r="AN141" s="8212"/>
      <c r="AO141" s="8214" t="s">
        <v>457</v>
      </c>
      <c r="AP141" s="8214" t="s">
        <v>793</v>
      </c>
      <c r="AQ141" s="8215" t="s">
        <v>795</v>
      </c>
    </row>
    <row r="142" spans="1:45">
      <c r="A142" s="8212"/>
      <c r="B142" s="8212"/>
      <c r="C142" s="8218"/>
      <c r="D142" s="8218"/>
      <c r="E142" s="8218"/>
      <c r="F142" s="8218"/>
      <c r="G142" s="8218"/>
      <c r="H142" s="8218"/>
      <c r="I142" s="8218"/>
      <c r="J142" s="8226"/>
      <c r="K142" s="8224"/>
      <c r="L142" s="8221"/>
      <c r="M142" s="8220"/>
      <c r="N142" s="8223"/>
      <c r="O142" s="5808" t="s">
        <v>415</v>
      </c>
      <c r="P142" s="4537" t="s">
        <v>368</v>
      </c>
      <c r="Q142" s="4103" t="s">
        <v>369</v>
      </c>
      <c r="R142" s="733" t="s">
        <v>370</v>
      </c>
      <c r="S142" s="733" t="s">
        <v>371</v>
      </c>
      <c r="T142" s="733" t="s">
        <v>372</v>
      </c>
      <c r="U142" s="733" t="s">
        <v>373</v>
      </c>
      <c r="V142" s="733" t="s">
        <v>374</v>
      </c>
      <c r="W142" s="733" t="s">
        <v>375</v>
      </c>
      <c r="X142" s="6424" t="s">
        <v>376</v>
      </c>
      <c r="Y142" s="733" t="s">
        <v>377</v>
      </c>
      <c r="Z142" s="733" t="s">
        <v>378</v>
      </c>
      <c r="AA142" s="2525" t="s">
        <v>1249</v>
      </c>
      <c r="AB142" s="733" t="s">
        <v>2035</v>
      </c>
      <c r="AC142" s="733" t="s">
        <v>410</v>
      </c>
      <c r="AD142" s="733" t="s">
        <v>379</v>
      </c>
      <c r="AE142" s="733" t="s">
        <v>380</v>
      </c>
      <c r="AF142" s="733" t="s">
        <v>381</v>
      </c>
      <c r="AG142" s="733" t="s">
        <v>382</v>
      </c>
      <c r="AH142" s="733" t="s">
        <v>383</v>
      </c>
      <c r="AI142" s="733" t="s">
        <v>384</v>
      </c>
      <c r="AJ142" s="733" t="s">
        <v>385</v>
      </c>
      <c r="AK142" s="733" t="s">
        <v>386</v>
      </c>
      <c r="AL142" s="6424" t="s">
        <v>387</v>
      </c>
      <c r="AM142" s="6424" t="s">
        <v>388</v>
      </c>
      <c r="AN142" s="6424" t="s">
        <v>389</v>
      </c>
      <c r="AO142" s="8214"/>
      <c r="AP142" s="8214"/>
      <c r="AQ142" s="8215"/>
    </row>
    <row r="143" spans="1:45">
      <c r="A143" s="8216" t="s">
        <v>2</v>
      </c>
      <c r="B143" s="8217"/>
      <c r="C143" s="499"/>
      <c r="D143" s="499">
        <v>23</v>
      </c>
      <c r="E143" s="499">
        <v>19</v>
      </c>
      <c r="F143" s="499"/>
      <c r="G143" s="499"/>
      <c r="H143" s="499">
        <v>4</v>
      </c>
      <c r="I143" s="499">
        <v>0</v>
      </c>
      <c r="J143" s="2047">
        <v>3</v>
      </c>
      <c r="K143" s="4531">
        <v>2</v>
      </c>
      <c r="L143" s="5811">
        <v>6</v>
      </c>
      <c r="M143" s="5816">
        <v>0</v>
      </c>
      <c r="N143" s="5817">
        <f>M143/12</f>
        <v>0</v>
      </c>
      <c r="O143" s="4101">
        <v>1</v>
      </c>
      <c r="P143" s="4157">
        <v>0</v>
      </c>
      <c r="Q143" s="4087">
        <v>0</v>
      </c>
      <c r="R143" s="499">
        <v>0</v>
      </c>
      <c r="S143" s="499">
        <v>0</v>
      </c>
      <c r="T143" s="499">
        <v>0</v>
      </c>
      <c r="U143" s="499">
        <v>0</v>
      </c>
      <c r="V143" s="499">
        <v>0</v>
      </c>
      <c r="W143" s="499">
        <v>0</v>
      </c>
      <c r="X143" s="499">
        <v>0</v>
      </c>
      <c r="Y143" s="499">
        <v>0</v>
      </c>
      <c r="Z143" s="499">
        <v>0</v>
      </c>
      <c r="AA143" s="2526">
        <f t="shared" ref="AA143:AA148" si="101">SUM(O143:Z143)</f>
        <v>1</v>
      </c>
      <c r="AB143" s="809">
        <f>(24500000+4350000)/1000</f>
        <v>28850</v>
      </c>
      <c r="AC143" s="368">
        <v>24500</v>
      </c>
      <c r="AD143" s="368">
        <v>0</v>
      </c>
      <c r="AE143" s="368">
        <v>0</v>
      </c>
      <c r="AF143" s="368">
        <v>0</v>
      </c>
      <c r="AG143" s="368">
        <v>0</v>
      </c>
      <c r="AH143" s="368">
        <v>0</v>
      </c>
      <c r="AI143" s="368">
        <v>0</v>
      </c>
      <c r="AJ143" s="368">
        <v>0</v>
      </c>
      <c r="AK143" s="368">
        <v>0</v>
      </c>
      <c r="AL143" s="368">
        <v>0</v>
      </c>
      <c r="AM143" s="368">
        <v>0</v>
      </c>
      <c r="AN143" s="1488">
        <v>0</v>
      </c>
      <c r="AO143" s="810">
        <f t="shared" ref="AO143:AO148" si="102">SUM(AC143:AN143)</f>
        <v>24500</v>
      </c>
      <c r="AP143" s="621">
        <f t="shared" ref="AP143:AP149" si="103">AO143/AB143</f>
        <v>0.84922010398613523</v>
      </c>
      <c r="AQ143" s="790"/>
    </row>
    <row r="144" spans="1:45">
      <c r="A144" s="8216" t="s">
        <v>3</v>
      </c>
      <c r="B144" s="8217"/>
      <c r="C144" s="499"/>
      <c r="D144" s="499"/>
      <c r="E144" s="499">
        <v>21</v>
      </c>
      <c r="F144" s="499"/>
      <c r="G144" s="499"/>
      <c r="H144" s="499">
        <v>4</v>
      </c>
      <c r="I144" s="499">
        <v>2</v>
      </c>
      <c r="J144" s="2047">
        <v>3</v>
      </c>
      <c r="K144" s="4531">
        <v>3</v>
      </c>
      <c r="L144" s="5811">
        <v>2</v>
      </c>
      <c r="M144" s="5816">
        <v>2</v>
      </c>
      <c r="N144" s="5817">
        <f>M144/12</f>
        <v>0.16666666666666666</v>
      </c>
      <c r="O144" s="4101">
        <v>0</v>
      </c>
      <c r="P144" s="4157">
        <v>0</v>
      </c>
      <c r="Q144" s="4087">
        <v>0</v>
      </c>
      <c r="R144" s="499">
        <v>0</v>
      </c>
      <c r="S144" s="499">
        <v>0</v>
      </c>
      <c r="T144" s="499">
        <v>0</v>
      </c>
      <c r="U144" s="499">
        <v>0</v>
      </c>
      <c r="V144" s="499">
        <v>0</v>
      </c>
      <c r="W144" s="499">
        <v>0</v>
      </c>
      <c r="X144" s="499">
        <v>0</v>
      </c>
      <c r="Y144" s="499">
        <v>0</v>
      </c>
      <c r="Z144" s="499">
        <v>0</v>
      </c>
      <c r="AA144" s="2526">
        <f t="shared" si="101"/>
        <v>0</v>
      </c>
      <c r="AB144" s="809">
        <f>(26476000+70367500)/1000</f>
        <v>96843.5</v>
      </c>
      <c r="AC144" s="368">
        <v>0</v>
      </c>
      <c r="AD144" s="368">
        <v>0</v>
      </c>
      <c r="AE144" s="368">
        <v>0</v>
      </c>
      <c r="AF144" s="368">
        <v>0</v>
      </c>
      <c r="AG144" s="368">
        <v>0</v>
      </c>
      <c r="AH144" s="368">
        <v>0</v>
      </c>
      <c r="AI144" s="368">
        <v>0</v>
      </c>
      <c r="AJ144" s="368">
        <v>0</v>
      </c>
      <c r="AK144" s="368">
        <v>0</v>
      </c>
      <c r="AL144" s="368">
        <v>0</v>
      </c>
      <c r="AM144" s="368">
        <v>0</v>
      </c>
      <c r="AN144" s="1488">
        <v>0</v>
      </c>
      <c r="AO144" s="810">
        <f t="shared" si="102"/>
        <v>0</v>
      </c>
      <c r="AP144" s="621">
        <f t="shared" si="103"/>
        <v>0</v>
      </c>
      <c r="AQ144" s="790"/>
    </row>
    <row r="145" spans="1:43">
      <c r="A145" s="8216" t="s">
        <v>4</v>
      </c>
      <c r="B145" s="8217"/>
      <c r="C145" s="499"/>
      <c r="D145" s="499"/>
      <c r="E145" s="499">
        <v>14</v>
      </c>
      <c r="F145" s="499"/>
      <c r="G145" s="499"/>
      <c r="H145" s="499">
        <v>6</v>
      </c>
      <c r="I145" s="499">
        <v>2</v>
      </c>
      <c r="J145" s="2047">
        <v>4</v>
      </c>
      <c r="K145" s="4531">
        <v>2</v>
      </c>
      <c r="L145" s="5811">
        <v>5</v>
      </c>
      <c r="M145" s="5816">
        <v>2</v>
      </c>
      <c r="N145" s="5817">
        <f>M145/12</f>
        <v>0.16666666666666666</v>
      </c>
      <c r="O145" s="4101">
        <v>0</v>
      </c>
      <c r="P145" s="4157">
        <v>0</v>
      </c>
      <c r="Q145" s="4087">
        <v>2</v>
      </c>
      <c r="R145" s="499">
        <v>0</v>
      </c>
      <c r="S145" s="499">
        <v>0</v>
      </c>
      <c r="T145" s="499">
        <v>0</v>
      </c>
      <c r="U145" s="499">
        <v>0</v>
      </c>
      <c r="V145" s="499">
        <v>0</v>
      </c>
      <c r="W145" s="499">
        <v>0</v>
      </c>
      <c r="X145" s="499">
        <v>0</v>
      </c>
      <c r="Y145" s="499">
        <v>0</v>
      </c>
      <c r="Z145" s="499">
        <v>0</v>
      </c>
      <c r="AA145" s="2526">
        <f t="shared" si="101"/>
        <v>2</v>
      </c>
      <c r="AB145" s="809">
        <f>(85000000+2103945)/1000</f>
        <v>87103.945000000007</v>
      </c>
      <c r="AC145" s="368">
        <v>0</v>
      </c>
      <c r="AD145" s="368">
        <v>0</v>
      </c>
      <c r="AE145" s="368">
        <v>29248</v>
      </c>
      <c r="AF145" s="368">
        <v>0</v>
      </c>
      <c r="AG145" s="368">
        <v>0</v>
      </c>
      <c r="AH145" s="368">
        <v>0</v>
      </c>
      <c r="AI145" s="368">
        <v>0</v>
      </c>
      <c r="AJ145" s="368">
        <v>0</v>
      </c>
      <c r="AK145" s="368">
        <v>0</v>
      </c>
      <c r="AL145" s="368">
        <v>0</v>
      </c>
      <c r="AM145" s="368">
        <v>0</v>
      </c>
      <c r="AN145" s="810">
        <v>0</v>
      </c>
      <c r="AO145" s="810">
        <f t="shared" si="102"/>
        <v>29248</v>
      </c>
      <c r="AP145" s="621">
        <f t="shared" si="103"/>
        <v>0.335782724881175</v>
      </c>
      <c r="AQ145" s="790"/>
    </row>
    <row r="146" spans="1:43" ht="19.149999999999999" customHeight="1">
      <c r="A146" s="8216" t="s">
        <v>190</v>
      </c>
      <c r="B146" s="8217"/>
      <c r="C146" s="499"/>
      <c r="D146" s="499"/>
      <c r="E146" s="499">
        <v>10</v>
      </c>
      <c r="F146" s="499"/>
      <c r="G146" s="499"/>
      <c r="H146" s="499">
        <v>2</v>
      </c>
      <c r="I146" s="499">
        <v>0</v>
      </c>
      <c r="J146" s="2047">
        <v>3</v>
      </c>
      <c r="K146" s="4531">
        <v>1</v>
      </c>
      <c r="L146" s="5811">
        <v>0</v>
      </c>
      <c r="M146" s="5816">
        <v>1</v>
      </c>
      <c r="N146" s="5817">
        <f>M146/12</f>
        <v>8.3333333333333329E-2</v>
      </c>
      <c r="O146" s="4101">
        <v>0</v>
      </c>
      <c r="P146" s="4157">
        <v>0</v>
      </c>
      <c r="Q146" s="4087">
        <v>0</v>
      </c>
      <c r="R146" s="499">
        <v>0</v>
      </c>
      <c r="S146" s="499">
        <v>0</v>
      </c>
      <c r="T146" s="499">
        <v>0</v>
      </c>
      <c r="U146" s="499">
        <v>0</v>
      </c>
      <c r="V146" s="499">
        <v>0</v>
      </c>
      <c r="W146" s="499">
        <v>0</v>
      </c>
      <c r="X146" s="499">
        <v>0</v>
      </c>
      <c r="Y146" s="499">
        <v>0</v>
      </c>
      <c r="Z146" s="499">
        <v>0</v>
      </c>
      <c r="AA146" s="2526">
        <f t="shared" si="101"/>
        <v>0</v>
      </c>
      <c r="AB146" s="809">
        <f>16000000/1000</f>
        <v>16000</v>
      </c>
      <c r="AC146" s="368">
        <v>0</v>
      </c>
      <c r="AD146" s="368">
        <v>0</v>
      </c>
      <c r="AE146" s="368">
        <v>0</v>
      </c>
      <c r="AF146" s="368">
        <v>0</v>
      </c>
      <c r="AG146" s="368">
        <v>0</v>
      </c>
      <c r="AH146" s="368">
        <v>0</v>
      </c>
      <c r="AI146" s="368">
        <v>0</v>
      </c>
      <c r="AJ146" s="368">
        <v>0</v>
      </c>
      <c r="AK146" s="368">
        <v>0</v>
      </c>
      <c r="AL146" s="368">
        <v>0</v>
      </c>
      <c r="AM146" s="368">
        <v>0</v>
      </c>
      <c r="AN146" s="810">
        <v>0</v>
      </c>
      <c r="AO146" s="810">
        <f t="shared" si="102"/>
        <v>0</v>
      </c>
      <c r="AP146" s="621">
        <f t="shared" si="103"/>
        <v>0</v>
      </c>
      <c r="AQ146" s="790"/>
    </row>
    <row r="147" spans="1:43" s="1451" customFormat="1" ht="19.149999999999999" customHeight="1">
      <c r="A147" s="8245" t="s">
        <v>17</v>
      </c>
      <c r="B147" s="8246"/>
      <c r="C147" s="4157"/>
      <c r="D147" s="4157"/>
      <c r="E147" s="4157"/>
      <c r="F147" s="4157"/>
      <c r="G147" s="4157"/>
      <c r="H147" s="4157"/>
      <c r="I147" s="4157"/>
      <c r="J147" s="4531">
        <v>15</v>
      </c>
      <c r="K147" s="4531">
        <v>1</v>
      </c>
      <c r="L147" s="5822">
        <v>1</v>
      </c>
      <c r="M147" s="5820">
        <v>1</v>
      </c>
      <c r="N147" s="5821">
        <v>0.16666666666666666</v>
      </c>
      <c r="O147" s="4101">
        <v>0</v>
      </c>
      <c r="P147" s="4157">
        <v>0</v>
      </c>
      <c r="Q147" s="4087">
        <v>0</v>
      </c>
      <c r="R147" s="499">
        <v>0</v>
      </c>
      <c r="S147" s="499">
        <v>0</v>
      </c>
      <c r="T147" s="499">
        <v>0</v>
      </c>
      <c r="U147" s="499">
        <v>0</v>
      </c>
      <c r="V147" s="499">
        <v>0</v>
      </c>
      <c r="W147" s="499">
        <v>0</v>
      </c>
      <c r="X147" s="499">
        <v>0</v>
      </c>
      <c r="Y147" s="499">
        <v>0</v>
      </c>
      <c r="Z147" s="499">
        <v>0</v>
      </c>
      <c r="AA147" s="2526">
        <f t="shared" si="101"/>
        <v>0</v>
      </c>
      <c r="AB147" s="809">
        <f>7206964/1000</f>
        <v>7206.9639999999999</v>
      </c>
      <c r="AC147" s="810">
        <v>0</v>
      </c>
      <c r="AD147" s="810">
        <v>0</v>
      </c>
      <c r="AE147" s="810">
        <v>0</v>
      </c>
      <c r="AF147" s="499">
        <v>0</v>
      </c>
      <c r="AG147" s="810">
        <v>0</v>
      </c>
      <c r="AH147" s="810">
        <v>0</v>
      </c>
      <c r="AI147" s="810">
        <v>0</v>
      </c>
      <c r="AJ147" s="810">
        <v>0</v>
      </c>
      <c r="AK147" s="810">
        <v>0</v>
      </c>
      <c r="AL147" s="810">
        <v>0</v>
      </c>
      <c r="AM147" s="810">
        <v>0</v>
      </c>
      <c r="AN147" s="810">
        <v>0</v>
      </c>
      <c r="AO147" s="810">
        <f t="shared" si="102"/>
        <v>0</v>
      </c>
      <c r="AP147" s="621">
        <f>AO147/AB147</f>
        <v>0</v>
      </c>
      <c r="AQ147" s="6632"/>
    </row>
    <row r="148" spans="1:43" ht="16.899999999999999" customHeight="1">
      <c r="A148" s="8216" t="s">
        <v>2033</v>
      </c>
      <c r="B148" s="8217"/>
      <c r="C148" s="499"/>
      <c r="D148" s="499"/>
      <c r="E148" s="499">
        <v>7</v>
      </c>
      <c r="F148" s="499"/>
      <c r="G148" s="499"/>
      <c r="H148" s="499">
        <v>1</v>
      </c>
      <c r="I148" s="499">
        <v>0</v>
      </c>
      <c r="J148" s="2047"/>
      <c r="K148" s="4531"/>
      <c r="L148" s="5822"/>
      <c r="M148" s="5820">
        <v>1</v>
      </c>
      <c r="N148" s="5821">
        <f>M148/12</f>
        <v>8.3333333333333329E-2</v>
      </c>
      <c r="O148" s="4101">
        <v>0</v>
      </c>
      <c r="P148" s="4157">
        <v>0</v>
      </c>
      <c r="Q148" s="4087">
        <v>0</v>
      </c>
      <c r="R148" s="499">
        <v>0</v>
      </c>
      <c r="S148" s="499">
        <v>0</v>
      </c>
      <c r="T148" s="499">
        <v>0</v>
      </c>
      <c r="U148" s="499">
        <v>0</v>
      </c>
      <c r="V148" s="499">
        <v>0</v>
      </c>
      <c r="W148" s="499">
        <v>0</v>
      </c>
      <c r="X148" s="499">
        <v>0</v>
      </c>
      <c r="Y148" s="499">
        <v>0</v>
      </c>
      <c r="Z148" s="499">
        <v>0</v>
      </c>
      <c r="AA148" s="2526">
        <f t="shared" si="101"/>
        <v>0</v>
      </c>
      <c r="AB148" s="809">
        <v>0</v>
      </c>
      <c r="AC148" s="810">
        <v>0</v>
      </c>
      <c r="AD148" s="810">
        <v>0</v>
      </c>
      <c r="AE148" s="810">
        <v>0</v>
      </c>
      <c r="AF148" s="499">
        <v>0</v>
      </c>
      <c r="AG148" s="810">
        <v>0</v>
      </c>
      <c r="AH148" s="810">
        <v>0</v>
      </c>
      <c r="AI148" s="810">
        <v>0</v>
      </c>
      <c r="AJ148" s="810">
        <v>0</v>
      </c>
      <c r="AK148" s="810">
        <v>0</v>
      </c>
      <c r="AL148" s="810">
        <v>0</v>
      </c>
      <c r="AM148" s="810">
        <v>0</v>
      </c>
      <c r="AN148" s="810">
        <v>0</v>
      </c>
      <c r="AO148" s="810">
        <f t="shared" si="102"/>
        <v>0</v>
      </c>
      <c r="AP148" s="621" t="e">
        <f t="shared" si="103"/>
        <v>#DIV/0!</v>
      </c>
      <c r="AQ148" s="790"/>
    </row>
    <row r="149" spans="1:43" ht="17.25" thickBot="1">
      <c r="A149" s="8225" t="s">
        <v>57</v>
      </c>
      <c r="B149" s="8225"/>
      <c r="C149" s="500"/>
      <c r="D149" s="500"/>
      <c r="E149" s="500"/>
      <c r="F149" s="500"/>
      <c r="G149" s="500"/>
      <c r="H149" s="500">
        <v>17</v>
      </c>
      <c r="I149" s="500">
        <f>SUM(I143:I148)</f>
        <v>4</v>
      </c>
      <c r="J149" s="500">
        <f>SUM(J143:J148)</f>
        <v>28</v>
      </c>
      <c r="K149" s="4536">
        <f>SUM(K143:K148)</f>
        <v>9</v>
      </c>
      <c r="L149" s="5819">
        <v>14</v>
      </c>
      <c r="M149" s="2585">
        <f>SUM(M143:M148)</f>
        <v>7</v>
      </c>
      <c r="N149" s="5818">
        <f>SUM(N143:N148)</f>
        <v>0.66666666666666663</v>
      </c>
      <c r="O149" s="5815">
        <f t="shared" ref="O149:AC149" si="104">SUM(O143:O148)</f>
        <v>1</v>
      </c>
      <c r="P149" s="4538">
        <f t="shared" si="104"/>
        <v>0</v>
      </c>
      <c r="Q149" s="4104">
        <f t="shared" si="104"/>
        <v>2</v>
      </c>
      <c r="R149" s="500">
        <f t="shared" si="104"/>
        <v>0</v>
      </c>
      <c r="S149" s="500">
        <f t="shared" si="104"/>
        <v>0</v>
      </c>
      <c r="T149" s="500">
        <f t="shared" si="104"/>
        <v>0</v>
      </c>
      <c r="U149" s="500">
        <f t="shared" si="104"/>
        <v>0</v>
      </c>
      <c r="V149" s="500">
        <f t="shared" si="104"/>
        <v>0</v>
      </c>
      <c r="W149" s="500">
        <f t="shared" si="104"/>
        <v>0</v>
      </c>
      <c r="X149" s="500">
        <f t="shared" si="104"/>
        <v>0</v>
      </c>
      <c r="Y149" s="500">
        <f t="shared" si="104"/>
        <v>0</v>
      </c>
      <c r="Z149" s="500">
        <f t="shared" si="104"/>
        <v>0</v>
      </c>
      <c r="AA149" s="402">
        <f t="shared" si="104"/>
        <v>3</v>
      </c>
      <c r="AB149" s="811">
        <f t="shared" si="104"/>
        <v>236004.40900000001</v>
      </c>
      <c r="AC149" s="811">
        <f t="shared" si="104"/>
        <v>24500</v>
      </c>
      <c r="AD149" s="811">
        <f>SUM(AD143:AD148)</f>
        <v>0</v>
      </c>
      <c r="AE149" s="811">
        <f>SUM(AE143:AE148)</f>
        <v>29248</v>
      </c>
      <c r="AF149" s="811">
        <f t="shared" ref="AF149:AN149" si="105">SUM(AF143:AF148)</f>
        <v>0</v>
      </c>
      <c r="AG149" s="811">
        <f t="shared" si="105"/>
        <v>0</v>
      </c>
      <c r="AH149" s="811">
        <f t="shared" si="105"/>
        <v>0</v>
      </c>
      <c r="AI149" s="811">
        <f t="shared" si="105"/>
        <v>0</v>
      </c>
      <c r="AJ149" s="811">
        <f t="shared" si="105"/>
        <v>0</v>
      </c>
      <c r="AK149" s="811">
        <f t="shared" si="105"/>
        <v>0</v>
      </c>
      <c r="AL149" s="811">
        <f t="shared" si="105"/>
        <v>0</v>
      </c>
      <c r="AM149" s="811">
        <f t="shared" si="105"/>
        <v>0</v>
      </c>
      <c r="AN149" s="811">
        <f t="shared" si="105"/>
        <v>0</v>
      </c>
      <c r="AO149" s="811">
        <f>SUM(AO143:AO148)</f>
        <v>53748</v>
      </c>
      <c r="AP149" s="812">
        <f t="shared" si="103"/>
        <v>0.22774150799869167</v>
      </c>
      <c r="AQ149" s="813">
        <f>SUM(AQ143:AQ148)</f>
        <v>0</v>
      </c>
    </row>
    <row r="150" spans="1:43">
      <c r="A150" s="744" t="s">
        <v>927</v>
      </c>
      <c r="C150" s="740"/>
      <c r="D150" s="740"/>
      <c r="E150" s="740"/>
      <c r="F150" s="740"/>
      <c r="G150" s="740"/>
      <c r="Q150" s="740"/>
      <c r="R150" s="740"/>
      <c r="S150" s="740"/>
      <c r="T150" s="740"/>
      <c r="U150" s="740"/>
      <c r="V150" s="740"/>
      <c r="W150" s="740"/>
      <c r="X150" s="740"/>
      <c r="Y150" s="740"/>
      <c r="Z150" s="740"/>
      <c r="AB150" s="740"/>
      <c r="AC150" s="740"/>
      <c r="AD150" s="740"/>
      <c r="AE150" s="740"/>
      <c r="AF150" s="740"/>
      <c r="AG150" s="740"/>
      <c r="AH150" s="740"/>
      <c r="AI150" s="740"/>
      <c r="AJ150" s="740"/>
      <c r="AK150" s="740"/>
      <c r="AL150" s="418"/>
      <c r="AM150" s="740"/>
      <c r="AN150" s="740"/>
      <c r="AO150" s="740"/>
    </row>
    <row r="157" spans="1:43">
      <c r="AO157" s="298"/>
      <c r="AP157" s="298"/>
      <c r="AQ157" s="298"/>
    </row>
  </sheetData>
  <mergeCells count="523">
    <mergeCell ref="A101:B101"/>
    <mergeCell ref="A137:B137"/>
    <mergeCell ref="A147:B147"/>
    <mergeCell ref="A124:B124"/>
    <mergeCell ref="A112:B112"/>
    <mergeCell ref="L4:L5"/>
    <mergeCell ref="L19:L20"/>
    <mergeCell ref="L31:L32"/>
    <mergeCell ref="L46:L47"/>
    <mergeCell ref="L56:L57"/>
    <mergeCell ref="L69:L70"/>
    <mergeCell ref="L84:L85"/>
    <mergeCell ref="L94:L95"/>
    <mergeCell ref="L106:L107"/>
    <mergeCell ref="A110:B110"/>
    <mergeCell ref="A111:B111"/>
    <mergeCell ref="A113:B113"/>
    <mergeCell ref="A114:B114"/>
    <mergeCell ref="K4:K5"/>
    <mergeCell ref="K19:K20"/>
    <mergeCell ref="K31:K32"/>
    <mergeCell ref="K46:K47"/>
    <mergeCell ref="K56:K57"/>
    <mergeCell ref="K69:K70"/>
    <mergeCell ref="AP118:AP119"/>
    <mergeCell ref="AQ118:AQ119"/>
    <mergeCell ref="A120:B120"/>
    <mergeCell ref="A121:B121"/>
    <mergeCell ref="A122:B122"/>
    <mergeCell ref="A123:B123"/>
    <mergeCell ref="A125:B125"/>
    <mergeCell ref="A126:B126"/>
    <mergeCell ref="G118:G119"/>
    <mergeCell ref="H118:H119"/>
    <mergeCell ref="I118:I119"/>
    <mergeCell ref="J118:J119"/>
    <mergeCell ref="K118:K119"/>
    <mergeCell ref="M118:M119"/>
    <mergeCell ref="N118:N119"/>
    <mergeCell ref="O118:AN118"/>
    <mergeCell ref="AO118:AO119"/>
    <mergeCell ref="L118:L119"/>
    <mergeCell ref="A118:B119"/>
    <mergeCell ref="C118:C119"/>
    <mergeCell ref="D118:D119"/>
    <mergeCell ref="E118:E119"/>
    <mergeCell ref="F118:F119"/>
    <mergeCell ref="N106:N107"/>
    <mergeCell ref="O106:AN106"/>
    <mergeCell ref="AO106:AO107"/>
    <mergeCell ref="AP106:AP107"/>
    <mergeCell ref="AQ106:AQ107"/>
    <mergeCell ref="A108:B108"/>
    <mergeCell ref="A109:B109"/>
    <mergeCell ref="A106:B107"/>
    <mergeCell ref="C106:C107"/>
    <mergeCell ref="D106:D107"/>
    <mergeCell ref="E106:E107"/>
    <mergeCell ref="F106:F107"/>
    <mergeCell ref="G106:G107"/>
    <mergeCell ref="H106:H107"/>
    <mergeCell ref="I106:I107"/>
    <mergeCell ref="J106:J107"/>
    <mergeCell ref="K106:K107"/>
    <mergeCell ref="J31:J32"/>
    <mergeCell ref="J46:J47"/>
    <mergeCell ref="J56:J57"/>
    <mergeCell ref="J69:J70"/>
    <mergeCell ref="J84:J85"/>
    <mergeCell ref="J94:J95"/>
    <mergeCell ref="J130:J131"/>
    <mergeCell ref="M106:M107"/>
    <mergeCell ref="J4:J5"/>
    <mergeCell ref="K94:K95"/>
    <mergeCell ref="K84:K85"/>
    <mergeCell ref="N4:N5"/>
    <mergeCell ref="N19:N20"/>
    <mergeCell ref="N31:N32"/>
    <mergeCell ref="N46:N47"/>
    <mergeCell ref="N56:N57"/>
    <mergeCell ref="N69:N70"/>
    <mergeCell ref="N84:N85"/>
    <mergeCell ref="N94:N95"/>
    <mergeCell ref="M84:M85"/>
    <mergeCell ref="A148:B148"/>
    <mergeCell ref="A149:B149"/>
    <mergeCell ref="M141:M142"/>
    <mergeCell ref="O141:AN141"/>
    <mergeCell ref="AQ141:AQ142"/>
    <mergeCell ref="A144:B144"/>
    <mergeCell ref="A145:B145"/>
    <mergeCell ref="A146:B146"/>
    <mergeCell ref="A138:B138"/>
    <mergeCell ref="A141:B142"/>
    <mergeCell ref="C141:C142"/>
    <mergeCell ref="D141:D142"/>
    <mergeCell ref="E141:E142"/>
    <mergeCell ref="F141:F142"/>
    <mergeCell ref="G141:G142"/>
    <mergeCell ref="H141:H142"/>
    <mergeCell ref="I141:I142"/>
    <mergeCell ref="AO141:AO142"/>
    <mergeCell ref="AP141:AP142"/>
    <mergeCell ref="A143:B143"/>
    <mergeCell ref="N141:N142"/>
    <mergeCell ref="K141:K142"/>
    <mergeCell ref="L141:L142"/>
    <mergeCell ref="J141:J142"/>
    <mergeCell ref="O130:AN130"/>
    <mergeCell ref="AO130:AO131"/>
    <mergeCell ref="AP130:AP131"/>
    <mergeCell ref="AQ130:AQ131"/>
    <mergeCell ref="A132:B132"/>
    <mergeCell ref="A133:B133"/>
    <mergeCell ref="A134:B134"/>
    <mergeCell ref="A135:B135"/>
    <mergeCell ref="A136:B136"/>
    <mergeCell ref="A130:B131"/>
    <mergeCell ref="C130:C131"/>
    <mergeCell ref="D130:D131"/>
    <mergeCell ref="E130:E131"/>
    <mergeCell ref="F130:F131"/>
    <mergeCell ref="G130:G131"/>
    <mergeCell ref="H130:H131"/>
    <mergeCell ref="I130:I131"/>
    <mergeCell ref="M130:M131"/>
    <mergeCell ref="L130:L131"/>
    <mergeCell ref="N130:N131"/>
    <mergeCell ref="K130:K131"/>
    <mergeCell ref="I4:I5"/>
    <mergeCell ref="I19:I20"/>
    <mergeCell ref="I31:I32"/>
    <mergeCell ref="I46:I47"/>
    <mergeCell ref="AO19:AO20"/>
    <mergeCell ref="AP19:AP20"/>
    <mergeCell ref="AJ14:AJ15"/>
    <mergeCell ref="AK14:AK15"/>
    <mergeCell ref="AL14:AL15"/>
    <mergeCell ref="AM14:AM15"/>
    <mergeCell ref="AN14:AN15"/>
    <mergeCell ref="AO14:AO15"/>
    <mergeCell ref="AP14:AP15"/>
    <mergeCell ref="AJ8:AJ9"/>
    <mergeCell ref="AK8:AK9"/>
    <mergeCell ref="AL8:AL9"/>
    <mergeCell ref="AM8:AM9"/>
    <mergeCell ref="AN8:AN9"/>
    <mergeCell ref="AO8:AO9"/>
    <mergeCell ref="AP8:AP9"/>
    <mergeCell ref="AH8:AH9"/>
    <mergeCell ref="AI8:AI9"/>
    <mergeCell ref="AO4:AO5"/>
    <mergeCell ref="AP4:AP5"/>
    <mergeCell ref="AQ19:AQ20"/>
    <mergeCell ref="A21:B21"/>
    <mergeCell ref="A22:B22"/>
    <mergeCell ref="A23:B23"/>
    <mergeCell ref="A24:B24"/>
    <mergeCell ref="A25:B25"/>
    <mergeCell ref="A26:B26"/>
    <mergeCell ref="A19:B20"/>
    <mergeCell ref="C19:C20"/>
    <mergeCell ref="D19:D20"/>
    <mergeCell ref="E19:E20"/>
    <mergeCell ref="F19:F20"/>
    <mergeCell ref="G19:G20"/>
    <mergeCell ref="H19:H20"/>
    <mergeCell ref="M19:M20"/>
    <mergeCell ref="O19:AN19"/>
    <mergeCell ref="J19:J20"/>
    <mergeCell ref="AQ14:AQ15"/>
    <mergeCell ref="A16:B16"/>
    <mergeCell ref="A14:A15"/>
    <mergeCell ref="AB14:AB15"/>
    <mergeCell ref="AC14:AC15"/>
    <mergeCell ref="AD14:AD15"/>
    <mergeCell ref="AE14:AE15"/>
    <mergeCell ref="AF14:AF15"/>
    <mergeCell ref="AG14:AG15"/>
    <mergeCell ref="AH14:AH15"/>
    <mergeCell ref="AI14:AI15"/>
    <mergeCell ref="AQ10:AQ11"/>
    <mergeCell ref="A12:A13"/>
    <mergeCell ref="AB12:AB13"/>
    <mergeCell ref="AC12:AC13"/>
    <mergeCell ref="AD12:AD13"/>
    <mergeCell ref="AE12:AE13"/>
    <mergeCell ref="AF12:AF13"/>
    <mergeCell ref="AG12:AG13"/>
    <mergeCell ref="AH12:AH13"/>
    <mergeCell ref="AI12:AI13"/>
    <mergeCell ref="AJ12:AJ13"/>
    <mergeCell ref="AK12:AK13"/>
    <mergeCell ref="AL12:AL13"/>
    <mergeCell ref="AM12:AM13"/>
    <mergeCell ref="AN12:AN13"/>
    <mergeCell ref="AO12:AO13"/>
    <mergeCell ref="AP12:AP13"/>
    <mergeCell ref="AQ12:AQ13"/>
    <mergeCell ref="AQ8:AQ9"/>
    <mergeCell ref="A10:A11"/>
    <mergeCell ref="AB10:AB11"/>
    <mergeCell ref="AC10:AC11"/>
    <mergeCell ref="AD10:AD11"/>
    <mergeCell ref="AE10:AE11"/>
    <mergeCell ref="AF10:AF11"/>
    <mergeCell ref="AG10:AG11"/>
    <mergeCell ref="AH10:AH11"/>
    <mergeCell ref="AI10:AI11"/>
    <mergeCell ref="AJ10:AJ11"/>
    <mergeCell ref="AK10:AK11"/>
    <mergeCell ref="AL10:AL11"/>
    <mergeCell ref="AM10:AM11"/>
    <mergeCell ref="AN10:AN11"/>
    <mergeCell ref="AO10:AO11"/>
    <mergeCell ref="AP10:AP11"/>
    <mergeCell ref="A8:A9"/>
    <mergeCell ref="AB8:AB9"/>
    <mergeCell ref="AC8:AC9"/>
    <mergeCell ref="AD8:AD9"/>
    <mergeCell ref="AE8:AE9"/>
    <mergeCell ref="AF8:AF9"/>
    <mergeCell ref="AG8:AG9"/>
    <mergeCell ref="AQ4:AQ5"/>
    <mergeCell ref="A6: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 ref="AP6:AP7"/>
    <mergeCell ref="AQ6:AQ7"/>
    <mergeCell ref="A4:B5"/>
    <mergeCell ref="C4:C5"/>
    <mergeCell ref="D4:D5"/>
    <mergeCell ref="E4:E5"/>
    <mergeCell ref="F4:F5"/>
    <mergeCell ref="G4:G5"/>
    <mergeCell ref="H4:H5"/>
    <mergeCell ref="M4:M5"/>
    <mergeCell ref="O4:AN4"/>
    <mergeCell ref="A87:B87"/>
    <mergeCell ref="G69:G70"/>
    <mergeCell ref="H69:H70"/>
    <mergeCell ref="O69:AN69"/>
    <mergeCell ref="AD75:AD76"/>
    <mergeCell ref="AE75:AE76"/>
    <mergeCell ref="AF75:AF76"/>
    <mergeCell ref="AG75:AG76"/>
    <mergeCell ref="AC73:AC74"/>
    <mergeCell ref="AD73:AD74"/>
    <mergeCell ref="AG73:AG74"/>
    <mergeCell ref="AL75:AL76"/>
    <mergeCell ref="AH73:AH74"/>
    <mergeCell ref="AN33:AN34"/>
    <mergeCell ref="AD35:AD36"/>
    <mergeCell ref="AE35:AE36"/>
    <mergeCell ref="AF35:AF36"/>
    <mergeCell ref="AG35:AG36"/>
    <mergeCell ref="AM35:AM36"/>
    <mergeCell ref="AK37:AK38"/>
    <mergeCell ref="AL37:AL38"/>
    <mergeCell ref="A100:B100"/>
    <mergeCell ref="A102:B102"/>
    <mergeCell ref="AQ56:AQ57"/>
    <mergeCell ref="A94:B95"/>
    <mergeCell ref="C94:C95"/>
    <mergeCell ref="D94:D95"/>
    <mergeCell ref="E94:E95"/>
    <mergeCell ref="F94:F95"/>
    <mergeCell ref="G94:G95"/>
    <mergeCell ref="H94:H95"/>
    <mergeCell ref="O94:AN94"/>
    <mergeCell ref="AP94:AP95"/>
    <mergeCell ref="AQ94:AQ95"/>
    <mergeCell ref="AP84:AP85"/>
    <mergeCell ref="AQ84:AQ85"/>
    <mergeCell ref="H84:H85"/>
    <mergeCell ref="O84:AN84"/>
    <mergeCell ref="A91:B91"/>
    <mergeCell ref="A86:B86"/>
    <mergeCell ref="AF73:AF74"/>
    <mergeCell ref="I69:I70"/>
    <mergeCell ref="I84:I85"/>
    <mergeCell ref="I94:I95"/>
    <mergeCell ref="O56:AN56"/>
    <mergeCell ref="A99:B99"/>
    <mergeCell ref="A89:B89"/>
    <mergeCell ref="A90:B90"/>
    <mergeCell ref="A84:B85"/>
    <mergeCell ref="C84:C85"/>
    <mergeCell ref="D84:D85"/>
    <mergeCell ref="E84:E85"/>
    <mergeCell ref="F84:F85"/>
    <mergeCell ref="G84:G85"/>
    <mergeCell ref="A88:B88"/>
    <mergeCell ref="A96:B96"/>
    <mergeCell ref="A97:B97"/>
    <mergeCell ref="A98:B98"/>
    <mergeCell ref="AB33:AB34"/>
    <mergeCell ref="E69:E70"/>
    <mergeCell ref="F69:F70"/>
    <mergeCell ref="A60:B60"/>
    <mergeCell ref="A61:B61"/>
    <mergeCell ref="A77:A78"/>
    <mergeCell ref="M56:M57"/>
    <mergeCell ref="AB35:AB36"/>
    <mergeCell ref="AB37:AB38"/>
    <mergeCell ref="AB39:AB40"/>
    <mergeCell ref="A51:B51"/>
    <mergeCell ref="A69:B70"/>
    <mergeCell ref="C69:C70"/>
    <mergeCell ref="D69:D70"/>
    <mergeCell ref="A49:B49"/>
    <mergeCell ref="A58:B58"/>
    <mergeCell ref="A59:B59"/>
    <mergeCell ref="A53:B53"/>
    <mergeCell ref="A56:B57"/>
    <mergeCell ref="A37:A38"/>
    <mergeCell ref="A39:A40"/>
    <mergeCell ref="A41:A42"/>
    <mergeCell ref="A79:A80"/>
    <mergeCell ref="A81:B81"/>
    <mergeCell ref="A73:A74"/>
    <mergeCell ref="A75:A76"/>
    <mergeCell ref="E56:E57"/>
    <mergeCell ref="G31:G32"/>
    <mergeCell ref="H31:H32"/>
    <mergeCell ref="A46:B47"/>
    <mergeCell ref="C46:C47"/>
    <mergeCell ref="D46:D47"/>
    <mergeCell ref="E46:E47"/>
    <mergeCell ref="F46:F47"/>
    <mergeCell ref="G46:G47"/>
    <mergeCell ref="A33:A34"/>
    <mergeCell ref="A31:B32"/>
    <mergeCell ref="C31:C32"/>
    <mergeCell ref="D31:D32"/>
    <mergeCell ref="E31:E32"/>
    <mergeCell ref="F31:F32"/>
    <mergeCell ref="A35:A36"/>
    <mergeCell ref="A62:B62"/>
    <mergeCell ref="A63:B63"/>
    <mergeCell ref="A71:A72"/>
    <mergeCell ref="A50:B50"/>
    <mergeCell ref="AC37:AC38"/>
    <mergeCell ref="AC39:AC40"/>
    <mergeCell ref="A52:B52"/>
    <mergeCell ref="I56:I57"/>
    <mergeCell ref="C56:C57"/>
    <mergeCell ref="D56:D57"/>
    <mergeCell ref="H46:H47"/>
    <mergeCell ref="A43:B43"/>
    <mergeCell ref="F56:F57"/>
    <mergeCell ref="A48:B48"/>
    <mergeCell ref="G56:G57"/>
    <mergeCell ref="H56:H57"/>
    <mergeCell ref="AB79:AB80"/>
    <mergeCell ref="AH79:AH80"/>
    <mergeCell ref="AI79:AI80"/>
    <mergeCell ref="AJ79:AJ80"/>
    <mergeCell ref="AD41:AD42"/>
    <mergeCell ref="AE41:AE42"/>
    <mergeCell ref="AF41:AF42"/>
    <mergeCell ref="AG41:AG42"/>
    <mergeCell ref="AH41:AH42"/>
    <mergeCell ref="AB71:AB72"/>
    <mergeCell ref="AB73:AB74"/>
    <mergeCell ref="AC75:AC76"/>
    <mergeCell ref="AC71:AC72"/>
    <mergeCell ref="AD71:AD72"/>
    <mergeCell ref="AE71:AE72"/>
    <mergeCell ref="AF71:AF72"/>
    <mergeCell ref="AB75:AB76"/>
    <mergeCell ref="AB77:AB78"/>
    <mergeCell ref="AG71:AG72"/>
    <mergeCell ref="AC79:AC80"/>
    <mergeCell ref="AC41:AC42"/>
    <mergeCell ref="AB41:AB42"/>
    <mergeCell ref="AJ39:AJ40"/>
    <mergeCell ref="AD39:AD40"/>
    <mergeCell ref="AQ71:AQ72"/>
    <mergeCell ref="AK77:AK78"/>
    <mergeCell ref="AN77:AN78"/>
    <mergeCell ref="AQ77:AQ78"/>
    <mergeCell ref="AH71:AH72"/>
    <mergeCell ref="AI39:AI40"/>
    <mergeCell ref="AI33:AI34"/>
    <mergeCell ref="AI37:AI38"/>
    <mergeCell ref="AJ37:AJ38"/>
    <mergeCell ref="AF33:AF34"/>
    <mergeCell ref="AG33:AG34"/>
    <mergeCell ref="AH33:AH34"/>
    <mergeCell ref="AH37:AH38"/>
    <mergeCell ref="AE39:AE40"/>
    <mergeCell ref="AF39:AF40"/>
    <mergeCell ref="AG39:AG40"/>
    <mergeCell ref="AH39:AH40"/>
    <mergeCell ref="AI77:AI78"/>
    <mergeCell ref="AJ77:AJ78"/>
    <mergeCell ref="AF77:AF78"/>
    <mergeCell ref="AG77:AG78"/>
    <mergeCell ref="AH77:AH78"/>
    <mergeCell ref="AC33:AC34"/>
    <mergeCell ref="AD37:AD38"/>
    <mergeCell ref="AE37:AE38"/>
    <mergeCell ref="AF37:AF38"/>
    <mergeCell ref="AG37:AG38"/>
    <mergeCell ref="AN79:AN80"/>
    <mergeCell ref="AP71:AP72"/>
    <mergeCell ref="AP73:AP74"/>
    <mergeCell ref="AP75:AP76"/>
    <mergeCell ref="AP77:AP78"/>
    <mergeCell ref="AP79:AP80"/>
    <mergeCell ref="AK79:AK80"/>
    <mergeCell ref="AO71:AO72"/>
    <mergeCell ref="AO73:AO74"/>
    <mergeCell ref="AO75:AO76"/>
    <mergeCell ref="AK75:AK76"/>
    <mergeCell ref="AK71:AK72"/>
    <mergeCell ref="AL77:AL78"/>
    <mergeCell ref="AN71:AN72"/>
    <mergeCell ref="AL73:AL74"/>
    <mergeCell ref="AM73:AM74"/>
    <mergeCell ref="AM75:AM76"/>
    <mergeCell ref="AD33:AD34"/>
    <mergeCell ref="AE33:AE34"/>
    <mergeCell ref="AQ79:AQ80"/>
    <mergeCell ref="AN75:AN76"/>
    <mergeCell ref="AO77:AO78"/>
    <mergeCell ref="AO79:AO80"/>
    <mergeCell ref="AN73:AN74"/>
    <mergeCell ref="AL71:AL72"/>
    <mergeCell ref="AP31:AP32"/>
    <mergeCell ref="AI75:AI76"/>
    <mergeCell ref="AJ75:AJ76"/>
    <mergeCell ref="AI71:AI72"/>
    <mergeCell ref="AJ71:AJ72"/>
    <mergeCell ref="AP33:AP34"/>
    <mergeCell ref="AP35:AP36"/>
    <mergeCell ref="AP37:AP38"/>
    <mergeCell ref="AP39:AP40"/>
    <mergeCell ref="AP41:AP42"/>
    <mergeCell ref="AI41:AI42"/>
    <mergeCell ref="AJ41:AJ42"/>
    <mergeCell ref="AK41:AK42"/>
    <mergeCell ref="AL41:AL42"/>
    <mergeCell ref="AM41:AM42"/>
    <mergeCell ref="AN37:AN38"/>
    <mergeCell ref="AJ33:AJ34"/>
    <mergeCell ref="AM71:AM72"/>
    <mergeCell ref="AQ31:AQ32"/>
    <mergeCell ref="AP46:AP47"/>
    <mergeCell ref="AQ46:AQ47"/>
    <mergeCell ref="AQ33:AQ34"/>
    <mergeCell ref="AQ35:AQ36"/>
    <mergeCell ref="AQ37:AQ38"/>
    <mergeCell ref="M69:M70"/>
    <mergeCell ref="AO69:AO70"/>
    <mergeCell ref="AP69:AP70"/>
    <mergeCell ref="AQ69:AQ70"/>
    <mergeCell ref="AQ39:AQ40"/>
    <mergeCell ref="AQ41:AQ42"/>
    <mergeCell ref="AP56:AP57"/>
    <mergeCell ref="O31:AN31"/>
    <mergeCell ref="AN35:AN36"/>
    <mergeCell ref="AH35:AH36"/>
    <mergeCell ref="O46:AN46"/>
    <mergeCell ref="AI35:AI36"/>
    <mergeCell ref="AJ35:AJ36"/>
    <mergeCell ref="AK35:AK36"/>
    <mergeCell ref="AK39:AK40"/>
    <mergeCell ref="AL39:AL40"/>
    <mergeCell ref="M31:M32"/>
    <mergeCell ref="AM37:AM38"/>
    <mergeCell ref="AO31:AO32"/>
    <mergeCell ref="AO33:AO34"/>
    <mergeCell ref="AO35:AO36"/>
    <mergeCell ref="AO37:AO38"/>
    <mergeCell ref="AO39:AO40"/>
    <mergeCell ref="AO41:AO42"/>
    <mergeCell ref="AO46:AO47"/>
    <mergeCell ref="AO56:AO57"/>
    <mergeCell ref="AK33:AK34"/>
    <mergeCell ref="AL33:AL34"/>
    <mergeCell ref="AM33:AM34"/>
    <mergeCell ref="AN41:AN42"/>
    <mergeCell ref="AM39:AM40"/>
    <mergeCell ref="AL35:AL36"/>
    <mergeCell ref="AN39:AN40"/>
    <mergeCell ref="AC35:AC36"/>
    <mergeCell ref="M46:M47"/>
    <mergeCell ref="AM79:AM80"/>
    <mergeCell ref="AT108:AT109"/>
    <mergeCell ref="AT111:AT113"/>
    <mergeCell ref="M94:M95"/>
    <mergeCell ref="AO94:AO95"/>
    <mergeCell ref="AI73:AI74"/>
    <mergeCell ref="AJ73:AJ74"/>
    <mergeCell ref="AK73:AK74"/>
    <mergeCell ref="AE73:AE74"/>
    <mergeCell ref="AQ73:AQ74"/>
    <mergeCell ref="AQ75:AQ76"/>
    <mergeCell ref="AL79:AL80"/>
    <mergeCell ref="AD79:AD80"/>
    <mergeCell ref="AE79:AE80"/>
    <mergeCell ref="AF79:AF80"/>
    <mergeCell ref="AG79:AG80"/>
    <mergeCell ref="AM77:AM78"/>
    <mergeCell ref="AH75:AH76"/>
    <mergeCell ref="AO84:AO85"/>
    <mergeCell ref="AC77:AC78"/>
    <mergeCell ref="AD77:AD78"/>
    <mergeCell ref="AE77:AE78"/>
  </mergeCells>
  <phoneticPr fontId="23" type="noConversion"/>
  <pageMargins left="0" right="0" top="0.35433070866141736" bottom="0" header="0.31496062992125984" footer="0.31496062992125984"/>
  <pageSetup paperSize="9"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9"/>
  <sheetViews>
    <sheetView topLeftCell="A52" workbookViewId="0">
      <selection activeCell="R75" sqref="R75"/>
    </sheetView>
  </sheetViews>
  <sheetFormatPr defaultColWidth="8.88671875" defaultRowHeight="13.5"/>
  <cols>
    <col min="1" max="1" width="15.77734375" style="287" customWidth="1"/>
    <col min="2" max="2" width="14.77734375" style="361" customWidth="1"/>
    <col min="3" max="3" width="14.44140625" style="361" customWidth="1"/>
    <col min="4" max="4" width="11.77734375" style="361" customWidth="1"/>
    <col min="5" max="5" width="9.5546875" style="361" customWidth="1"/>
    <col min="6" max="6" width="11.5546875" style="361" bestFit="1" customWidth="1"/>
    <col min="7" max="7" width="8" style="361" customWidth="1"/>
    <col min="8" max="8" width="11.21875" style="361" hidden="1" customWidth="1"/>
    <col min="9" max="9" width="10" style="361" hidden="1" customWidth="1"/>
    <col min="10" max="10" width="10.44140625" style="361" hidden="1" customWidth="1"/>
    <col min="11" max="11" width="8.109375" style="361" hidden="1" customWidth="1"/>
    <col min="12" max="12" width="9.109375" style="361" hidden="1" customWidth="1"/>
    <col min="13" max="15" width="7.77734375" style="361" hidden="1" customWidth="1"/>
    <col min="16" max="16" width="7.77734375" style="361" bestFit="1" customWidth="1"/>
    <col min="17" max="17" width="11.21875" style="361" bestFit="1" customWidth="1"/>
    <col min="18" max="18" width="48.44140625" style="361" customWidth="1"/>
    <col min="19" max="19" width="9" style="361" bestFit="1" customWidth="1"/>
    <col min="20" max="16384" width="8.88671875" style="361"/>
  </cols>
  <sheetData>
    <row r="1" spans="1:19" s="100" customFormat="1" ht="16.5">
      <c r="A1" s="8256" t="s">
        <v>1692</v>
      </c>
      <c r="B1" s="8256"/>
      <c r="C1" s="8256"/>
      <c r="D1" s="8256"/>
      <c r="E1" s="8256"/>
      <c r="F1" s="8256"/>
      <c r="G1" s="8256"/>
      <c r="H1" s="8256"/>
      <c r="I1" s="8256"/>
    </row>
    <row r="2" spans="1:19" s="100" customFormat="1" ht="16.5">
      <c r="B2" s="4735" t="s">
        <v>1704</v>
      </c>
      <c r="C2" s="4735" t="s">
        <v>1890</v>
      </c>
      <c r="D2" s="364" t="s">
        <v>0</v>
      </c>
      <c r="E2" s="365" t="s">
        <v>108</v>
      </c>
      <c r="F2" s="365" t="s">
        <v>5</v>
      </c>
      <c r="G2" s="365" t="s">
        <v>6</v>
      </c>
      <c r="H2" s="365" t="s">
        <v>86</v>
      </c>
      <c r="I2" s="365" t="s">
        <v>8</v>
      </c>
      <c r="J2" s="365" t="s">
        <v>9</v>
      </c>
      <c r="K2" s="365" t="s">
        <v>89</v>
      </c>
      <c r="L2" s="365" t="s">
        <v>11</v>
      </c>
      <c r="M2" s="365" t="s">
        <v>12</v>
      </c>
      <c r="N2" s="365" t="s">
        <v>92</v>
      </c>
      <c r="O2" s="365" t="s">
        <v>14</v>
      </c>
      <c r="P2" s="365" t="s">
        <v>15</v>
      </c>
      <c r="Q2" s="365" t="s">
        <v>194</v>
      </c>
    </row>
    <row r="3" spans="1:19" s="100" customFormat="1" ht="16.5">
      <c r="B3" s="4251">
        <v>703832.22304679058</v>
      </c>
      <c r="C3" s="4251">
        <v>500580.29099999997</v>
      </c>
      <c r="D3" s="366" t="s">
        <v>202</v>
      </c>
      <c r="E3" s="4251">
        <f>$Q$3/12</f>
        <v>53035.042209447718</v>
      </c>
      <c r="F3" s="4251">
        <f t="shared" ref="F3:P3" si="0">$D$13/12+$D$17/12+$D$27/12+$D$36/12+$D$46/12+$D$57/12+$D$66/12</f>
        <v>53035.042209447718</v>
      </c>
      <c r="G3" s="4251">
        <f t="shared" si="0"/>
        <v>53035.042209447718</v>
      </c>
      <c r="H3" s="4251">
        <f t="shared" si="0"/>
        <v>53035.042209447718</v>
      </c>
      <c r="I3" s="4251">
        <f t="shared" si="0"/>
        <v>53035.042209447718</v>
      </c>
      <c r="J3" s="4251">
        <f t="shared" si="0"/>
        <v>53035.042209447718</v>
      </c>
      <c r="K3" s="4251">
        <f t="shared" si="0"/>
        <v>53035.042209447718</v>
      </c>
      <c r="L3" s="4251">
        <f t="shared" si="0"/>
        <v>53035.042209447718</v>
      </c>
      <c r="M3" s="4251">
        <f t="shared" si="0"/>
        <v>53035.042209447718</v>
      </c>
      <c r="N3" s="4251">
        <f t="shared" si="0"/>
        <v>53035.042209447718</v>
      </c>
      <c r="O3" s="4251">
        <f t="shared" si="0"/>
        <v>53035.042209447718</v>
      </c>
      <c r="P3" s="4251">
        <f t="shared" si="0"/>
        <v>53035.042209447718</v>
      </c>
      <c r="Q3" s="4251">
        <f>D13+D17+D27+D36+D46+D57+D66+D72</f>
        <v>636420.50651337265</v>
      </c>
    </row>
    <row r="4" spans="1:19" ht="16.5">
      <c r="B4" s="4252">
        <v>770398.26275869005</v>
      </c>
      <c r="C4" s="4252">
        <v>436419.02524436405</v>
      </c>
      <c r="D4" s="368" t="s">
        <v>1677</v>
      </c>
      <c r="E4" s="4252">
        <f t="shared" ref="E4:P4" si="1">E13+E17+E27+E36+E46+E57+E66</f>
        <v>33997.805018634943</v>
      </c>
      <c r="F4" s="4252">
        <f t="shared" si="1"/>
        <v>33990.453382256601</v>
      </c>
      <c r="G4" s="4252">
        <f t="shared" si="1"/>
        <v>12512.761739499303</v>
      </c>
      <c r="H4" s="4252" t="e">
        <f t="shared" si="1"/>
        <v>#DIV/0!</v>
      </c>
      <c r="I4" s="4252" t="e">
        <f t="shared" si="1"/>
        <v>#DIV/0!</v>
      </c>
      <c r="J4" s="4252" t="e">
        <f t="shared" si="1"/>
        <v>#DIV/0!</v>
      </c>
      <c r="K4" s="4252" t="e">
        <f t="shared" si="1"/>
        <v>#DIV/0!</v>
      </c>
      <c r="L4" s="4252" t="e">
        <f t="shared" si="1"/>
        <v>#DIV/0!</v>
      </c>
      <c r="M4" s="4252" t="e">
        <f t="shared" si="1"/>
        <v>#DIV/0!</v>
      </c>
      <c r="N4" s="4252" t="e">
        <f t="shared" si="1"/>
        <v>#DIV/0!</v>
      </c>
      <c r="O4" s="4252">
        <f t="shared" si="1"/>
        <v>0</v>
      </c>
      <c r="P4" s="4252">
        <f t="shared" si="1"/>
        <v>0</v>
      </c>
      <c r="Q4" s="4252" t="e">
        <f>SUM(E4:P4)</f>
        <v>#DIV/0!</v>
      </c>
    </row>
    <row r="5" spans="1:19" ht="16.5">
      <c r="B5" s="4253">
        <v>1.0945765731266814</v>
      </c>
      <c r="C5" s="4253">
        <v>0.87182622466525372</v>
      </c>
      <c r="D5" s="369" t="s">
        <v>221</v>
      </c>
      <c r="E5" s="4253">
        <f>E4/E3</f>
        <v>0.64104417762825006</v>
      </c>
      <c r="F5" s="4253">
        <f t="shared" ref="F5:Q5" si="2">F4/F3</f>
        <v>0.6409055591587991</v>
      </c>
      <c r="G5" s="4253">
        <f t="shared" si="2"/>
        <v>0.23593385086945903</v>
      </c>
      <c r="H5" s="4253" t="e">
        <f t="shared" si="2"/>
        <v>#DIV/0!</v>
      </c>
      <c r="I5" s="4253" t="e">
        <f t="shared" si="2"/>
        <v>#DIV/0!</v>
      </c>
      <c r="J5" s="4253" t="e">
        <f t="shared" si="2"/>
        <v>#DIV/0!</v>
      </c>
      <c r="K5" s="4253" t="e">
        <f t="shared" si="2"/>
        <v>#DIV/0!</v>
      </c>
      <c r="L5" s="4253" t="e">
        <f t="shared" si="2"/>
        <v>#DIV/0!</v>
      </c>
      <c r="M5" s="4253" t="e">
        <f t="shared" si="2"/>
        <v>#DIV/0!</v>
      </c>
      <c r="N5" s="4253" t="e">
        <f t="shared" si="2"/>
        <v>#DIV/0!</v>
      </c>
      <c r="O5" s="4253">
        <f t="shared" si="2"/>
        <v>0</v>
      </c>
      <c r="P5" s="4253">
        <f t="shared" si="2"/>
        <v>0</v>
      </c>
      <c r="Q5" s="4253" t="e">
        <f t="shared" si="2"/>
        <v>#DIV/0!</v>
      </c>
    </row>
    <row r="7" spans="1:19" s="100" customFormat="1" ht="16.5">
      <c r="A7" s="8257" t="s">
        <v>210</v>
      </c>
      <c r="B7" s="8257"/>
      <c r="C7" s="8257"/>
      <c r="D7" s="8257"/>
      <c r="E7" s="361"/>
      <c r="F7" s="361"/>
      <c r="G7" s="361"/>
      <c r="I7" s="370"/>
    </row>
    <row r="8" spans="1:19" s="100" customFormat="1" ht="16.5">
      <c r="A8" s="364" t="s">
        <v>201</v>
      </c>
      <c r="B8" s="4735" t="s">
        <v>1704</v>
      </c>
      <c r="C8" s="4735" t="s">
        <v>1890</v>
      </c>
      <c r="D8" s="364" t="s">
        <v>107</v>
      </c>
      <c r="E8" s="365" t="s">
        <v>108</v>
      </c>
      <c r="F8" s="365" t="s">
        <v>5</v>
      </c>
      <c r="G8" s="365" t="s">
        <v>6</v>
      </c>
      <c r="H8" s="365" t="s">
        <v>203</v>
      </c>
      <c r="I8" s="365" t="s">
        <v>8</v>
      </c>
      <c r="J8" s="365" t="s">
        <v>9</v>
      </c>
      <c r="K8" s="365" t="s">
        <v>204</v>
      </c>
      <c r="L8" s="365" t="s">
        <v>11</v>
      </c>
      <c r="M8" s="365" t="s">
        <v>12</v>
      </c>
      <c r="N8" s="365" t="s">
        <v>205</v>
      </c>
      <c r="O8" s="365" t="s">
        <v>14</v>
      </c>
      <c r="P8" s="365" t="s">
        <v>15</v>
      </c>
      <c r="Q8" s="365" t="s">
        <v>206</v>
      </c>
    </row>
    <row r="9" spans="1:19" s="100" customFormat="1" ht="16.5">
      <c r="A9" s="371" t="s">
        <v>222</v>
      </c>
      <c r="B9" s="4736">
        <v>64.347499999999997</v>
      </c>
      <c r="C9" s="4736">
        <v>63.73</v>
      </c>
      <c r="D9" s="2810">
        <v>62.7</v>
      </c>
      <c r="E9" s="372">
        <v>0</v>
      </c>
      <c r="F9" s="373">
        <v>0</v>
      </c>
      <c r="G9" s="373">
        <v>66.22</v>
      </c>
      <c r="H9" s="372"/>
      <c r="I9" s="372"/>
      <c r="J9" s="372"/>
      <c r="K9" s="372"/>
      <c r="L9" s="372"/>
      <c r="M9" s="372"/>
      <c r="N9" s="372"/>
      <c r="O9" s="372"/>
      <c r="P9" s="372"/>
      <c r="Q9" s="372">
        <f>AVERAGE(E9:P9)</f>
        <v>22.073333333333334</v>
      </c>
      <c r="R9" s="100" t="s">
        <v>1954</v>
      </c>
    </row>
    <row r="10" spans="1:19" s="100" customFormat="1" ht="16.5">
      <c r="A10" s="1329" t="s">
        <v>950</v>
      </c>
      <c r="B10" s="4737">
        <v>13394.227999999999</v>
      </c>
      <c r="C10" s="4737">
        <v>3393.143</v>
      </c>
      <c r="D10" s="6395">
        <f>(C9-D9)*604*12</f>
        <v>7465.4399999999569</v>
      </c>
      <c r="E10" s="376">
        <v>0</v>
      </c>
      <c r="F10" s="377">
        <v>0</v>
      </c>
      <c r="G10" s="377">
        <v>-1812.038</v>
      </c>
      <c r="H10" s="376"/>
      <c r="I10" s="376"/>
      <c r="J10" s="376"/>
      <c r="K10" s="376"/>
      <c r="L10" s="376"/>
      <c r="M10" s="376"/>
      <c r="N10" s="376"/>
      <c r="O10" s="376"/>
      <c r="P10" s="376"/>
      <c r="Q10" s="376">
        <f>SUM(E10:P10)</f>
        <v>-1812.038</v>
      </c>
      <c r="R10" s="100" t="s">
        <v>1114</v>
      </c>
    </row>
    <row r="11" spans="1:19" s="100" customFormat="1" ht="18" customHeight="1">
      <c r="A11" s="1330" t="s">
        <v>949</v>
      </c>
      <c r="B11" s="4737">
        <v>61146</v>
      </c>
      <c r="C11" s="4737">
        <v>27201</v>
      </c>
      <c r="D11" s="6395">
        <v>80200</v>
      </c>
      <c r="E11" s="376">
        <v>1600</v>
      </c>
      <c r="F11" s="377">
        <v>0</v>
      </c>
      <c r="G11" s="377">
        <v>9192</v>
      </c>
      <c r="H11" s="376"/>
      <c r="I11" s="376"/>
      <c r="J11" s="376"/>
      <c r="K11" s="376"/>
      <c r="L11" s="376"/>
      <c r="M11" s="376"/>
      <c r="N11" s="376"/>
      <c r="O11" s="376"/>
      <c r="P11" s="376"/>
      <c r="Q11" s="376">
        <f>SUM(E11:P11)</f>
        <v>10792</v>
      </c>
    </row>
    <row r="12" spans="1:19" s="2237" customFormat="1" ht="18" customHeight="1">
      <c r="A12" s="2238" t="s">
        <v>1137</v>
      </c>
      <c r="B12" s="4737">
        <v>20583</v>
      </c>
      <c r="C12" s="4737">
        <v>0</v>
      </c>
      <c r="D12" s="6396">
        <v>0</v>
      </c>
      <c r="E12" s="2568"/>
      <c r="F12" s="2568"/>
      <c r="G12" s="2568"/>
      <c r="H12" s="2568"/>
      <c r="I12" s="2568"/>
      <c r="J12" s="2568"/>
      <c r="K12" s="2568"/>
      <c r="L12" s="2568"/>
      <c r="M12" s="2568"/>
      <c r="N12" s="2568"/>
      <c r="O12" s="2568"/>
      <c r="P12" s="2568"/>
      <c r="Q12" s="376">
        <f>SUM(E12:P12)</f>
        <v>0</v>
      </c>
    </row>
    <row r="13" spans="1:19" s="100" customFormat="1" ht="16.5">
      <c r="A13" s="1331" t="s">
        <v>951</v>
      </c>
      <c r="B13" s="4738">
        <v>95123.228000000003</v>
      </c>
      <c r="C13" s="4738">
        <v>30594.143</v>
      </c>
      <c r="D13" s="2809">
        <f>D10+D11+D12</f>
        <v>87665.439999999959</v>
      </c>
      <c r="E13" s="4639">
        <f t="shared" ref="E13:J13" si="3">E10+E11</f>
        <v>1600</v>
      </c>
      <c r="F13" s="1332">
        <f t="shared" si="3"/>
        <v>0</v>
      </c>
      <c r="G13" s="1332">
        <f t="shared" si="3"/>
        <v>7379.9619999999995</v>
      </c>
      <c r="H13" s="1332">
        <f t="shared" si="3"/>
        <v>0</v>
      </c>
      <c r="I13" s="1332">
        <f t="shared" si="3"/>
        <v>0</v>
      </c>
      <c r="J13" s="1332">
        <f t="shared" si="3"/>
        <v>0</v>
      </c>
      <c r="K13" s="1332">
        <f t="shared" ref="K13:Q13" si="4">K10+K11+K12</f>
        <v>0</v>
      </c>
      <c r="L13" s="1332">
        <f t="shared" si="4"/>
        <v>0</v>
      </c>
      <c r="M13" s="1332">
        <f t="shared" si="4"/>
        <v>0</v>
      </c>
      <c r="N13" s="1332">
        <f t="shared" si="4"/>
        <v>0</v>
      </c>
      <c r="O13" s="1332">
        <f t="shared" si="4"/>
        <v>0</v>
      </c>
      <c r="P13" s="1332">
        <f t="shared" si="4"/>
        <v>0</v>
      </c>
      <c r="Q13" s="1332">
        <f t="shared" si="4"/>
        <v>8979.9619999999995</v>
      </c>
    </row>
    <row r="14" spans="1:19" ht="16.5">
      <c r="H14" s="378"/>
      <c r="R14" s="100"/>
      <c r="S14" s="100"/>
    </row>
    <row r="15" spans="1:19" s="100" customFormat="1" ht="16.5">
      <c r="A15" s="8257" t="s">
        <v>212</v>
      </c>
      <c r="B15" s="8257"/>
      <c r="C15" s="8257"/>
      <c r="D15" s="8257"/>
      <c r="E15" s="361"/>
      <c r="F15" s="361"/>
      <c r="G15" s="361"/>
    </row>
    <row r="16" spans="1:19" s="100" customFormat="1" ht="16.5">
      <c r="A16" s="364" t="s">
        <v>201</v>
      </c>
      <c r="B16" s="4735" t="s">
        <v>1704</v>
      </c>
      <c r="C16" s="4735" t="s">
        <v>1890</v>
      </c>
      <c r="D16" s="364" t="s">
        <v>107</v>
      </c>
      <c r="E16" s="365" t="s">
        <v>108</v>
      </c>
      <c r="F16" s="365" t="s">
        <v>5</v>
      </c>
      <c r="G16" s="365" t="s">
        <v>6</v>
      </c>
      <c r="H16" s="365" t="s">
        <v>203</v>
      </c>
      <c r="I16" s="365" t="s">
        <v>8</v>
      </c>
      <c r="J16" s="365" t="s">
        <v>9</v>
      </c>
      <c r="K16" s="365" t="s">
        <v>204</v>
      </c>
      <c r="L16" s="365" t="s">
        <v>11</v>
      </c>
      <c r="M16" s="365" t="s">
        <v>12</v>
      </c>
      <c r="N16" s="365" t="s">
        <v>205</v>
      </c>
      <c r="O16" s="365" t="s">
        <v>14</v>
      </c>
      <c r="P16" s="365" t="s">
        <v>15</v>
      </c>
      <c r="Q16" s="365" t="s">
        <v>206</v>
      </c>
    </row>
    <row r="17" spans="1:22" s="100" customFormat="1" ht="16.5">
      <c r="A17" s="374" t="s">
        <v>211</v>
      </c>
      <c r="B17" s="4737">
        <v>8538.0949999999975</v>
      </c>
      <c r="C17" s="4737">
        <v>34766</v>
      </c>
      <c r="D17" s="4745">
        <v>20614</v>
      </c>
      <c r="E17" s="376">
        <v>2195</v>
      </c>
      <c r="F17" s="376">
        <v>0</v>
      </c>
      <c r="G17" s="376">
        <v>2195</v>
      </c>
      <c r="H17" s="376"/>
      <c r="I17" s="376"/>
      <c r="J17" s="376"/>
      <c r="K17" s="376"/>
      <c r="L17" s="376"/>
      <c r="M17" s="376"/>
      <c r="N17" s="376"/>
      <c r="O17" s="376"/>
      <c r="P17" s="376"/>
      <c r="Q17" s="376">
        <f>SUM(E17:P17)</f>
        <v>4390</v>
      </c>
    </row>
    <row r="18" spans="1:22" ht="16.5">
      <c r="D18" s="4746"/>
      <c r="E18" s="287"/>
      <c r="F18" s="287"/>
      <c r="G18" s="287"/>
      <c r="H18" s="287"/>
      <c r="I18" s="694"/>
      <c r="R18" s="100"/>
      <c r="S18" s="100"/>
    </row>
    <row r="19" spans="1:22" s="100" customFormat="1" ht="16.5">
      <c r="A19" s="8257" t="s">
        <v>213</v>
      </c>
      <c r="B19" s="8257"/>
      <c r="C19" s="8257"/>
      <c r="D19" s="8257"/>
    </row>
    <row r="20" spans="1:22" s="100" customFormat="1" ht="16.5">
      <c r="A20" s="364" t="s">
        <v>201</v>
      </c>
      <c r="B20" s="4735" t="s">
        <v>1704</v>
      </c>
      <c r="C20" s="4735" t="s">
        <v>1890</v>
      </c>
      <c r="D20" s="364" t="s">
        <v>107</v>
      </c>
      <c r="E20" s="365" t="s">
        <v>108</v>
      </c>
      <c r="F20" s="365" t="s">
        <v>5</v>
      </c>
      <c r="G20" s="365" t="s">
        <v>6</v>
      </c>
      <c r="H20" s="365" t="s">
        <v>203</v>
      </c>
      <c r="I20" s="365" t="s">
        <v>8</v>
      </c>
      <c r="J20" s="365" t="s">
        <v>9</v>
      </c>
      <c r="K20" s="365" t="s">
        <v>204</v>
      </c>
      <c r="L20" s="365" t="s">
        <v>11</v>
      </c>
      <c r="M20" s="365" t="s">
        <v>12</v>
      </c>
      <c r="N20" s="365" t="s">
        <v>205</v>
      </c>
      <c r="O20" s="365" t="s">
        <v>14</v>
      </c>
      <c r="P20" s="365" t="s">
        <v>15</v>
      </c>
      <c r="Q20" s="365" t="s">
        <v>206</v>
      </c>
    </row>
    <row r="21" spans="1:22" s="100" customFormat="1" ht="16.5">
      <c r="A21" s="316" t="s">
        <v>466</v>
      </c>
      <c r="B21" s="4739">
        <v>16864</v>
      </c>
      <c r="C21" s="4739">
        <v>14982</v>
      </c>
      <c r="D21" s="316" t="s">
        <v>467</v>
      </c>
      <c r="E21" s="379">
        <v>1931</v>
      </c>
      <c r="F21" s="379">
        <v>2162</v>
      </c>
      <c r="G21" s="379">
        <v>1559</v>
      </c>
      <c r="H21" s="379"/>
      <c r="I21" s="379"/>
      <c r="J21" s="379"/>
      <c r="K21" s="379"/>
      <c r="L21" s="379"/>
      <c r="M21" s="2279"/>
      <c r="N21" s="379"/>
      <c r="O21" s="379"/>
      <c r="P21" s="379"/>
      <c r="Q21" s="2090">
        <f>SUM(E21:P21)</f>
        <v>5652</v>
      </c>
    </row>
    <row r="22" spans="1:22" s="382" customFormat="1" ht="16.5">
      <c r="A22" s="371" t="s">
        <v>217</v>
      </c>
      <c r="B22" s="3777">
        <v>101.16376724655071</v>
      </c>
      <c r="C22" s="3777">
        <v>89.874025194961021</v>
      </c>
      <c r="D22" s="364" t="s">
        <v>468</v>
      </c>
      <c r="E22" s="380">
        <f>E21/166.7</f>
        <v>11.583683263347332</v>
      </c>
      <c r="F22" s="380">
        <f>F21/166.7</f>
        <v>12.969406118776245</v>
      </c>
      <c r="G22" s="380">
        <f t="shared" ref="G22:P22" si="5">G21/166.7</f>
        <v>9.3521295740851844</v>
      </c>
      <c r="H22" s="380">
        <f t="shared" si="5"/>
        <v>0</v>
      </c>
      <c r="I22" s="380">
        <f t="shared" si="5"/>
        <v>0</v>
      </c>
      <c r="J22" s="380">
        <f t="shared" si="5"/>
        <v>0</v>
      </c>
      <c r="K22" s="380">
        <f t="shared" si="5"/>
        <v>0</v>
      </c>
      <c r="L22" s="380">
        <f t="shared" si="5"/>
        <v>0</v>
      </c>
      <c r="M22" s="380">
        <f t="shared" si="5"/>
        <v>0</v>
      </c>
      <c r="N22" s="380">
        <f t="shared" si="5"/>
        <v>0</v>
      </c>
      <c r="O22" s="380">
        <f t="shared" si="5"/>
        <v>0</v>
      </c>
      <c r="P22" s="380">
        <f t="shared" si="5"/>
        <v>0</v>
      </c>
      <c r="Q22" s="381">
        <f>SUM(E22:P22)</f>
        <v>33.905218956208763</v>
      </c>
      <c r="R22" s="100"/>
      <c r="S22" s="100"/>
      <c r="T22" s="100"/>
      <c r="U22" s="100"/>
      <c r="V22" s="100"/>
    </row>
    <row r="23" spans="1:22" s="382" customFormat="1" ht="16.5">
      <c r="A23" s="3774" t="s">
        <v>1558</v>
      </c>
      <c r="B23" s="4740"/>
      <c r="C23" s="4740">
        <v>23.779999999999998</v>
      </c>
      <c r="D23" s="3775" t="s">
        <v>1559</v>
      </c>
      <c r="E23" s="3776">
        <v>1.8</v>
      </c>
      <c r="F23" s="3776">
        <v>5.9</v>
      </c>
      <c r="G23" s="3776">
        <v>4.2</v>
      </c>
      <c r="H23" s="3776"/>
      <c r="I23" s="3776"/>
      <c r="J23" s="3776"/>
      <c r="K23" s="3776"/>
      <c r="L23" s="3776"/>
      <c r="M23" s="3776"/>
      <c r="N23" s="3776"/>
      <c r="O23" s="3776"/>
      <c r="P23" s="3776"/>
      <c r="Q23" s="381">
        <f>SUM(E23:P23)</f>
        <v>11.9</v>
      </c>
      <c r="R23" s="3766"/>
      <c r="S23" s="3766"/>
      <c r="T23" s="3766"/>
      <c r="U23" s="3766"/>
      <c r="V23" s="3766"/>
    </row>
    <row r="24" spans="1:22" s="382" customFormat="1" ht="16.5">
      <c r="A24" s="3774" t="s">
        <v>2106</v>
      </c>
      <c r="B24" s="4740"/>
      <c r="C24" s="4740"/>
      <c r="D24" s="3775"/>
      <c r="E24" s="3776"/>
      <c r="F24" s="3776"/>
      <c r="G24" s="3776"/>
      <c r="H24" s="3776"/>
      <c r="I24" s="3776"/>
      <c r="J24" s="3776"/>
      <c r="K24" s="3776"/>
      <c r="L24" s="3776"/>
      <c r="M24" s="3776"/>
      <c r="N24" s="3776"/>
      <c r="O24" s="3776"/>
      <c r="P24" s="3776"/>
      <c r="Q24" s="3777"/>
      <c r="R24" s="6452"/>
      <c r="S24" s="6452"/>
      <c r="T24" s="6452"/>
      <c r="U24" s="6452"/>
      <c r="V24" s="6452"/>
    </row>
    <row r="25" spans="1:22" s="382" customFormat="1" ht="16.5">
      <c r="A25" s="3774" t="s">
        <v>1973</v>
      </c>
      <c r="B25" s="4740"/>
      <c r="C25" s="4740"/>
      <c r="D25" s="6461">
        <v>10707.763000000001</v>
      </c>
      <c r="E25" s="3776"/>
      <c r="F25" s="3776"/>
      <c r="G25" s="3776"/>
      <c r="H25" s="3776"/>
      <c r="I25" s="3776"/>
      <c r="J25" s="3776"/>
      <c r="K25" s="3776"/>
      <c r="L25" s="3776"/>
      <c r="M25" s="3776"/>
      <c r="N25" s="3776"/>
      <c r="O25" s="3776"/>
      <c r="P25" s="3776"/>
      <c r="Q25" s="3777"/>
      <c r="R25" s="6436"/>
      <c r="S25" s="6436"/>
      <c r="T25" s="6436"/>
      <c r="U25" s="6436"/>
      <c r="V25" s="6436"/>
    </row>
    <row r="26" spans="1:22" s="382" customFormat="1" ht="16.5">
      <c r="A26" s="3774" t="s">
        <v>1974</v>
      </c>
      <c r="B26" s="4740"/>
      <c r="C26" s="4740"/>
      <c r="D26" s="6461">
        <v>8759.1229999999996</v>
      </c>
      <c r="E26" s="3776"/>
      <c r="F26" s="3776"/>
      <c r="G26" s="3776"/>
      <c r="H26" s="3776"/>
      <c r="I26" s="3776"/>
      <c r="J26" s="3776"/>
      <c r="K26" s="3776"/>
      <c r="L26" s="3776"/>
      <c r="M26" s="3776"/>
      <c r="N26" s="3776"/>
      <c r="O26" s="3776"/>
      <c r="P26" s="3776"/>
      <c r="Q26" s="3777"/>
      <c r="R26" s="6436"/>
      <c r="S26" s="6436"/>
      <c r="T26" s="6436"/>
      <c r="U26" s="6436"/>
      <c r="V26" s="6436"/>
    </row>
    <row r="27" spans="1:22" s="100" customFormat="1" ht="16.5">
      <c r="A27" s="374" t="s">
        <v>211</v>
      </c>
      <c r="B27" s="4740">
        <v>45220.203959208164</v>
      </c>
      <c r="C27" s="4740">
        <v>79919.010128542286</v>
      </c>
      <c r="D27" s="375">
        <f>49606.257+D25+D26</f>
        <v>69073.142999999996</v>
      </c>
      <c r="E27" s="376">
        <f>(E22+E23)*727.011</f>
        <v>9730.0849529694078</v>
      </c>
      <c r="F27" s="376">
        <f t="shared" ref="F27:P27" si="6">(F22+F23)*727.011</f>
        <v>13718.265811817637</v>
      </c>
      <c r="G27" s="376">
        <f t="shared" si="6"/>
        <v>9852.5472737852451</v>
      </c>
      <c r="H27" s="376">
        <f t="shared" si="6"/>
        <v>0</v>
      </c>
      <c r="I27" s="376">
        <f t="shared" si="6"/>
        <v>0</v>
      </c>
      <c r="J27" s="376">
        <f t="shared" si="6"/>
        <v>0</v>
      </c>
      <c r="K27" s="376">
        <f t="shared" si="6"/>
        <v>0</v>
      </c>
      <c r="L27" s="376">
        <f t="shared" si="6"/>
        <v>0</v>
      </c>
      <c r="M27" s="376">
        <f t="shared" si="6"/>
        <v>0</v>
      </c>
      <c r="N27" s="376">
        <f t="shared" si="6"/>
        <v>0</v>
      </c>
      <c r="O27" s="376">
        <f t="shared" si="6"/>
        <v>0</v>
      </c>
      <c r="P27" s="376">
        <f t="shared" si="6"/>
        <v>0</v>
      </c>
      <c r="Q27" s="383">
        <f>SUM(E27:P27)</f>
        <v>33300.89803857229</v>
      </c>
      <c r="R27" s="3335" t="s">
        <v>1975</v>
      </c>
    </row>
    <row r="28" spans="1:22" s="100" customFormat="1" ht="16.5">
      <c r="A28" s="384"/>
      <c r="B28" s="4734"/>
      <c r="C28" s="5654"/>
      <c r="D28" s="384"/>
      <c r="E28" s="384"/>
      <c r="F28" s="385"/>
      <c r="G28" s="385"/>
      <c r="H28" s="385"/>
      <c r="I28" s="385"/>
      <c r="J28" s="385"/>
      <c r="K28" s="385"/>
      <c r="L28" s="385"/>
      <c r="M28" s="385"/>
      <c r="N28" s="385"/>
      <c r="O28" s="385"/>
      <c r="P28" s="385"/>
      <c r="Q28" s="386"/>
    </row>
    <row r="29" spans="1:22" s="100" customFormat="1" ht="13.5" customHeight="1">
      <c r="A29" s="8257" t="s">
        <v>214</v>
      </c>
      <c r="B29" s="8257"/>
      <c r="C29" s="8257"/>
      <c r="D29" s="8257"/>
      <c r="E29" s="361"/>
      <c r="F29" s="361"/>
      <c r="G29" s="361"/>
    </row>
    <row r="30" spans="1:22" s="100" customFormat="1" ht="16.5">
      <c r="A30" s="364" t="s">
        <v>201</v>
      </c>
      <c r="B30" s="4735" t="s">
        <v>1704</v>
      </c>
      <c r="C30" s="4735" t="s">
        <v>1890</v>
      </c>
      <c r="D30" s="364" t="s">
        <v>107</v>
      </c>
      <c r="E30" s="365" t="s">
        <v>108</v>
      </c>
      <c r="F30" s="365" t="s">
        <v>5</v>
      </c>
      <c r="G30" s="365" t="s">
        <v>6</v>
      </c>
      <c r="H30" s="365" t="s">
        <v>203</v>
      </c>
      <c r="I30" s="365" t="s">
        <v>8</v>
      </c>
      <c r="J30" s="365" t="s">
        <v>9</v>
      </c>
      <c r="K30" s="365" t="s">
        <v>204</v>
      </c>
      <c r="L30" s="365" t="s">
        <v>11</v>
      </c>
      <c r="M30" s="365" t="s">
        <v>12</v>
      </c>
      <c r="N30" s="365" t="s">
        <v>205</v>
      </c>
      <c r="O30" s="365" t="s">
        <v>14</v>
      </c>
      <c r="P30" s="365" t="s">
        <v>15</v>
      </c>
      <c r="Q30" s="365" t="s">
        <v>206</v>
      </c>
    </row>
    <row r="31" spans="1:22" s="100" customFormat="1" ht="16.5">
      <c r="A31" s="316" t="s">
        <v>1560</v>
      </c>
      <c r="B31" s="3777"/>
      <c r="C31" s="3777">
        <v>25.022000000000006</v>
      </c>
      <c r="D31" s="316" t="s">
        <v>1676</v>
      </c>
      <c r="E31" s="4664">
        <v>4.2482286</v>
      </c>
      <c r="F31" s="4664">
        <f>4643.75538/1000</f>
        <v>4.64375538</v>
      </c>
      <c r="G31" s="4664">
        <v>5.32</v>
      </c>
      <c r="H31" s="4664"/>
      <c r="I31" s="4664"/>
      <c r="J31" s="4664"/>
      <c r="K31" s="4664"/>
      <c r="L31" s="4664"/>
      <c r="M31" s="4664"/>
      <c r="N31" s="4664"/>
      <c r="O31" s="4664"/>
      <c r="P31" s="4664"/>
      <c r="Q31" s="4666">
        <f>SUM(E31:P31)</f>
        <v>14.211983979999999</v>
      </c>
      <c r="R31" s="100" t="s">
        <v>2265</v>
      </c>
    </row>
    <row r="32" spans="1:22" s="3767" customFormat="1" ht="16.5">
      <c r="A32" s="3774" t="s">
        <v>1561</v>
      </c>
      <c r="B32" s="4744">
        <v>5808</v>
      </c>
      <c r="C32" s="4744">
        <v>6.4450000000000003</v>
      </c>
      <c r="D32" s="3774" t="s">
        <v>1676</v>
      </c>
      <c r="E32" s="4665">
        <v>0</v>
      </c>
      <c r="F32" s="4665">
        <v>0</v>
      </c>
      <c r="G32" s="4665">
        <v>0</v>
      </c>
      <c r="H32" s="4665"/>
      <c r="I32" s="4665"/>
      <c r="J32" s="4665"/>
      <c r="K32" s="4665"/>
      <c r="L32" s="4665"/>
      <c r="M32" s="4665"/>
      <c r="N32" s="4665"/>
      <c r="O32" s="4665"/>
      <c r="P32" s="4665"/>
      <c r="Q32" s="4666">
        <f>SUM(E32:P32)</f>
        <v>0</v>
      </c>
    </row>
    <row r="33" spans="1:32" s="382" customFormat="1" ht="16.5">
      <c r="A33" s="371" t="s">
        <v>217</v>
      </c>
      <c r="B33" s="4744">
        <v>34.843950128893148</v>
      </c>
      <c r="C33" s="4744">
        <v>31.466999999999999</v>
      </c>
      <c r="D33" s="364">
        <v>48</v>
      </c>
      <c r="E33" s="380">
        <f>E31+E32</f>
        <v>4.2482286</v>
      </c>
      <c r="F33" s="380">
        <f>F31+F32</f>
        <v>4.64375538</v>
      </c>
      <c r="G33" s="380">
        <f t="shared" ref="G33:P33" si="7">G31+G32</f>
        <v>5.32</v>
      </c>
      <c r="H33" s="380">
        <f t="shared" si="7"/>
        <v>0</v>
      </c>
      <c r="I33" s="380">
        <f t="shared" si="7"/>
        <v>0</v>
      </c>
      <c r="J33" s="380">
        <f t="shared" si="7"/>
        <v>0</v>
      </c>
      <c r="K33" s="380">
        <f t="shared" si="7"/>
        <v>0</v>
      </c>
      <c r="L33" s="380">
        <f t="shared" si="7"/>
        <v>0</v>
      </c>
      <c r="M33" s="380">
        <f t="shared" si="7"/>
        <v>0</v>
      </c>
      <c r="N33" s="380">
        <f t="shared" si="7"/>
        <v>0</v>
      </c>
      <c r="O33" s="380">
        <f t="shared" si="7"/>
        <v>0</v>
      </c>
      <c r="P33" s="380">
        <f t="shared" si="7"/>
        <v>0</v>
      </c>
      <c r="Q33" s="381">
        <f>SUM(E33:P33)</f>
        <v>14.211983979999999</v>
      </c>
      <c r="R33" s="100"/>
      <c r="S33" s="100"/>
      <c r="T33" s="100"/>
      <c r="U33" s="100"/>
      <c r="V33" s="100"/>
      <c r="W33" s="100"/>
      <c r="X33" s="100"/>
      <c r="Y33" s="100"/>
      <c r="Z33" s="100"/>
      <c r="AA33" s="100"/>
      <c r="AB33" s="100"/>
      <c r="AC33" s="100"/>
      <c r="AD33" s="100"/>
      <c r="AE33" s="100"/>
      <c r="AF33" s="100"/>
    </row>
    <row r="34" spans="1:32" s="382" customFormat="1" ht="16.5">
      <c r="A34" s="3774" t="s">
        <v>2105</v>
      </c>
      <c r="B34" s="4744"/>
      <c r="C34" s="4744"/>
      <c r="D34" s="6657">
        <f>D33*1263034/1000</f>
        <v>60625.631999999998</v>
      </c>
      <c r="E34" s="7603">
        <f>E33*년간!$C$217/1000</f>
        <v>5179.9252622683907</v>
      </c>
      <c r="F34" s="7603">
        <f>F33*년간!$C$217/1000</f>
        <v>5662.1966634885775</v>
      </c>
      <c r="G34" s="7603">
        <f>G33*년간!$C$217/1000</f>
        <v>6486.7513003579506</v>
      </c>
      <c r="H34" s="3776"/>
      <c r="I34" s="3776"/>
      <c r="J34" s="3776"/>
      <c r="K34" s="3776"/>
      <c r="L34" s="3776"/>
      <c r="M34" s="3776"/>
      <c r="N34" s="3776"/>
      <c r="O34" s="3776"/>
      <c r="P34" s="3776"/>
      <c r="Q34" s="3777">
        <f>SUM(E34:P34)</f>
        <v>17328.87322611492</v>
      </c>
      <c r="R34" s="6452"/>
      <c r="S34" s="6452"/>
      <c r="T34" s="6452"/>
      <c r="U34" s="6452"/>
      <c r="V34" s="6452"/>
      <c r="W34" s="6452"/>
      <c r="X34" s="6452"/>
      <c r="Y34" s="6452"/>
      <c r="Z34" s="6452"/>
      <c r="AA34" s="6452"/>
      <c r="AB34" s="6452"/>
      <c r="AC34" s="6452"/>
      <c r="AD34" s="6452"/>
      <c r="AE34" s="6452"/>
      <c r="AF34" s="6452"/>
    </row>
    <row r="35" spans="1:32" s="382" customFormat="1" ht="16.5">
      <c r="A35" s="3774" t="s">
        <v>2104</v>
      </c>
      <c r="B35" s="4744"/>
      <c r="C35" s="4744"/>
      <c r="D35" s="6657">
        <f>15026200/1000</f>
        <v>15026.2</v>
      </c>
      <c r="E35" s="3776"/>
      <c r="F35" s="3776"/>
      <c r="G35" s="3776"/>
      <c r="H35" s="3776"/>
      <c r="I35" s="3776"/>
      <c r="J35" s="3776"/>
      <c r="K35" s="3776"/>
      <c r="L35" s="3776"/>
      <c r="M35" s="3776"/>
      <c r="N35" s="3776"/>
      <c r="O35" s="3776"/>
      <c r="P35" s="3776"/>
      <c r="Q35" s="3777"/>
      <c r="R35" s="6452" t="s">
        <v>2107</v>
      </c>
      <c r="S35" s="6452"/>
      <c r="T35" s="6452"/>
      <c r="U35" s="6452"/>
      <c r="V35" s="6452"/>
      <c r="W35" s="6452"/>
      <c r="X35" s="6452"/>
      <c r="Y35" s="6452"/>
      <c r="Z35" s="6452"/>
      <c r="AA35" s="6452"/>
      <c r="AB35" s="6452"/>
      <c r="AC35" s="6452"/>
      <c r="AD35" s="6452"/>
      <c r="AE35" s="6452"/>
      <c r="AF35" s="6452"/>
    </row>
    <row r="36" spans="1:32" s="100" customFormat="1" ht="16.5">
      <c r="A36" s="374" t="s">
        <v>211</v>
      </c>
      <c r="B36" s="4744">
        <v>15575.245707615235</v>
      </c>
      <c r="C36" s="4744">
        <v>27198.438516000002</v>
      </c>
      <c r="D36" s="6658">
        <f>D34+D35</f>
        <v>75651.831999999995</v>
      </c>
      <c r="E36" s="376">
        <f t="shared" ref="E36:P36" si="8">E33*1263.034</f>
        <v>5365.6571615724006</v>
      </c>
      <c r="F36" s="376">
        <f t="shared" si="8"/>
        <v>5865.2209326229204</v>
      </c>
      <c r="G36" s="376">
        <f t="shared" si="8"/>
        <v>6719.3408800000007</v>
      </c>
      <c r="H36" s="376">
        <f t="shared" si="8"/>
        <v>0</v>
      </c>
      <c r="I36" s="376">
        <f t="shared" si="8"/>
        <v>0</v>
      </c>
      <c r="J36" s="376">
        <f t="shared" si="8"/>
        <v>0</v>
      </c>
      <c r="K36" s="376">
        <f t="shared" si="8"/>
        <v>0</v>
      </c>
      <c r="L36" s="376">
        <f t="shared" si="8"/>
        <v>0</v>
      </c>
      <c r="M36" s="376">
        <f t="shared" si="8"/>
        <v>0</v>
      </c>
      <c r="N36" s="376">
        <f t="shared" si="8"/>
        <v>0</v>
      </c>
      <c r="O36" s="376">
        <f t="shared" si="8"/>
        <v>0</v>
      </c>
      <c r="P36" s="376">
        <f t="shared" si="8"/>
        <v>0</v>
      </c>
      <c r="Q36" s="376">
        <f>SUM(E36:P36)</f>
        <v>17950.218974195323</v>
      </c>
      <c r="R36" s="996" t="s">
        <v>1976</v>
      </c>
    </row>
    <row r="37" spans="1:32" ht="16.5">
      <c r="B37" s="3340"/>
      <c r="C37" s="3340"/>
      <c r="E37" s="361">
        <f>E31/12</f>
        <v>0.35401905</v>
      </c>
      <c r="Q37" s="100"/>
      <c r="S37" s="100"/>
      <c r="T37" s="100"/>
      <c r="U37" s="100"/>
      <c r="V37" s="100"/>
      <c r="W37" s="100"/>
      <c r="X37" s="100"/>
      <c r="Y37" s="100"/>
      <c r="Z37" s="100"/>
      <c r="AA37" s="100"/>
      <c r="AB37" s="100"/>
      <c r="AC37" s="100"/>
      <c r="AD37" s="100"/>
      <c r="AE37" s="100"/>
      <c r="AF37" s="100"/>
    </row>
    <row r="38" spans="1:32" s="100" customFormat="1" ht="16.5">
      <c r="A38" s="8257" t="s">
        <v>215</v>
      </c>
      <c r="B38" s="8257"/>
      <c r="C38" s="8257"/>
      <c r="D38" s="8257"/>
      <c r="E38" s="361"/>
      <c r="F38" s="361"/>
      <c r="G38" s="361"/>
    </row>
    <row r="39" spans="1:32" s="100" customFormat="1" ht="16.5">
      <c r="A39" s="364" t="s">
        <v>201</v>
      </c>
      <c r="B39" s="4735" t="s">
        <v>1704</v>
      </c>
      <c r="C39" s="4735" t="s">
        <v>1890</v>
      </c>
      <c r="D39" s="364" t="s">
        <v>107</v>
      </c>
      <c r="E39" s="365" t="s">
        <v>108</v>
      </c>
      <c r="F39" s="365" t="s">
        <v>5</v>
      </c>
      <c r="G39" s="365" t="s">
        <v>6</v>
      </c>
      <c r="H39" s="365" t="s">
        <v>203</v>
      </c>
      <c r="I39" s="365" t="s">
        <v>8</v>
      </c>
      <c r="J39" s="365" t="s">
        <v>9</v>
      </c>
      <c r="K39" s="365" t="s">
        <v>204</v>
      </c>
      <c r="L39" s="365" t="s">
        <v>11</v>
      </c>
      <c r="M39" s="365" t="s">
        <v>12</v>
      </c>
      <c r="N39" s="365" t="s">
        <v>205</v>
      </c>
      <c r="O39" s="365" t="s">
        <v>14</v>
      </c>
      <c r="P39" s="365" t="s">
        <v>15</v>
      </c>
      <c r="Q39" s="365" t="s">
        <v>206</v>
      </c>
    </row>
    <row r="40" spans="1:32" s="4956" customFormat="1" ht="16.5">
      <c r="A40" s="4970" t="s">
        <v>1750</v>
      </c>
      <c r="B40" s="4972"/>
      <c r="C40" s="6417">
        <v>15345.905300798691</v>
      </c>
      <c r="D40" s="6418">
        <f>SSCL!AE7</f>
        <v>139952.86430998828</v>
      </c>
      <c r="E40" s="4979">
        <f>SSCL!S7</f>
        <v>-2363.4044156355417</v>
      </c>
      <c r="F40" s="4979">
        <f>SSCL!T7</f>
        <v>3543.1069929105647</v>
      </c>
      <c r="G40" s="4979">
        <f>SSCL!U7</f>
        <v>-5456.2441315949454</v>
      </c>
      <c r="H40" s="4979" t="e">
        <f>SSCL!V7</f>
        <v>#DIV/0!</v>
      </c>
      <c r="I40" s="4979" t="e">
        <f>SSCL!W7</f>
        <v>#DIV/0!</v>
      </c>
      <c r="J40" s="4979" t="e">
        <f>SSCL!X7</f>
        <v>#DIV/0!</v>
      </c>
      <c r="K40" s="4979" t="e">
        <f>SSCL!Y7</f>
        <v>#DIV/0!</v>
      </c>
      <c r="L40" s="4979" t="e">
        <f>SSCL!Z7</f>
        <v>#DIV/0!</v>
      </c>
      <c r="M40" s="4979" t="e">
        <f>SSCL!AA7</f>
        <v>#DIV/0!</v>
      </c>
      <c r="N40" s="4979" t="e">
        <f>SSCL!AB7</f>
        <v>#DIV/0!</v>
      </c>
      <c r="O40" s="4972"/>
      <c r="P40" s="4972"/>
      <c r="Q40" s="4979" t="e">
        <f t="shared" ref="Q40:Q46" si="9">SUM(E40:P40)</f>
        <v>#DIV/0!</v>
      </c>
    </row>
    <row r="41" spans="1:32" s="4956" customFormat="1" ht="16.5">
      <c r="A41" s="4970" t="s">
        <v>1751</v>
      </c>
      <c r="B41" s="4972"/>
      <c r="C41" s="6417">
        <v>660.51554072832892</v>
      </c>
      <c r="D41" s="6418">
        <f>SSCL!AE8</f>
        <v>12160.055474481047</v>
      </c>
      <c r="E41" s="4979">
        <f>SSCL!S8</f>
        <v>-569.74650222827529</v>
      </c>
      <c r="F41" s="4979">
        <f>SSCL!T8</f>
        <v>663.12500866416008</v>
      </c>
      <c r="G41" s="4979">
        <f>SSCL!U8</f>
        <v>723.76047206154158</v>
      </c>
      <c r="H41" s="4979">
        <f>SSCL!V8</f>
        <v>0</v>
      </c>
      <c r="I41" s="4979">
        <f>SSCL!W8</f>
        <v>0</v>
      </c>
      <c r="J41" s="4979">
        <f>SSCL!X8</f>
        <v>0</v>
      </c>
      <c r="K41" s="4979">
        <f>SSCL!Y8</f>
        <v>0</v>
      </c>
      <c r="L41" s="4979">
        <f>SSCL!Z8</f>
        <v>0</v>
      </c>
      <c r="M41" s="4979">
        <f>SSCL!AA8</f>
        <v>0</v>
      </c>
      <c r="N41" s="4979">
        <f>SSCL!AB8</f>
        <v>0</v>
      </c>
      <c r="O41" s="4972"/>
      <c r="P41" s="4972"/>
      <c r="Q41" s="4979">
        <f t="shared" si="9"/>
        <v>817.13897849742636</v>
      </c>
    </row>
    <row r="42" spans="1:32" s="4956" customFormat="1" ht="16.5">
      <c r="A42" s="4970" t="s">
        <v>1752</v>
      </c>
      <c r="B42" s="4972"/>
      <c r="C42" s="6417">
        <v>79788.468523315882</v>
      </c>
      <c r="D42" s="6418">
        <f>SSCL!AE9</f>
        <v>98530.256528903337</v>
      </c>
      <c r="E42" s="4979">
        <f>SSCL!S9</f>
        <v>-11127.779729043048</v>
      </c>
      <c r="F42" s="4979">
        <f>SSCL!T9</f>
        <v>-2056.5225937586752</v>
      </c>
      <c r="G42" s="4979">
        <f>SSCL!U9</f>
        <v>-11503.301236752541</v>
      </c>
      <c r="H42" s="4979">
        <f>SSCL!V9</f>
        <v>0</v>
      </c>
      <c r="I42" s="4979">
        <f>SSCL!W9</f>
        <v>0</v>
      </c>
      <c r="J42" s="4979">
        <f>SSCL!X9</f>
        <v>0</v>
      </c>
      <c r="K42" s="4979">
        <f>SSCL!Y9</f>
        <v>0</v>
      </c>
      <c r="L42" s="4979">
        <f>SSCL!Z9</f>
        <v>0</v>
      </c>
      <c r="M42" s="4979">
        <f>SSCL!AA9</f>
        <v>0</v>
      </c>
      <c r="N42" s="4979">
        <f>SSCL!AB9</f>
        <v>0</v>
      </c>
      <c r="O42" s="4972"/>
      <c r="P42" s="4972"/>
      <c r="Q42" s="4979">
        <f t="shared" si="9"/>
        <v>-24687.603559554263</v>
      </c>
    </row>
    <row r="43" spans="1:32" s="4956" customFormat="1" ht="16.5">
      <c r="A43" s="4970" t="s">
        <v>1763</v>
      </c>
      <c r="B43" s="4972"/>
      <c r="C43" s="6417">
        <v>-466.1061273225875</v>
      </c>
      <c r="D43" s="6418">
        <f>SSCL!AE16</f>
        <v>5833.5551999999907</v>
      </c>
      <c r="E43" s="4979">
        <f>SSCL!S17</f>
        <v>0</v>
      </c>
      <c r="F43" s="4979">
        <f>SSCL!T17</f>
        <v>0</v>
      </c>
      <c r="G43" s="4979">
        <f>SSCL!U17</f>
        <v>0</v>
      </c>
      <c r="H43" s="4979">
        <f>SSCL!V17</f>
        <v>0</v>
      </c>
      <c r="I43" s="4979">
        <f>SSCL!W17</f>
        <v>0</v>
      </c>
      <c r="J43" s="4979">
        <f>SSCL!X17</f>
        <v>0</v>
      </c>
      <c r="K43" s="4979">
        <f>SSCL!Y17</f>
        <v>0</v>
      </c>
      <c r="L43" s="4979">
        <f>SSCL!Z17</f>
        <v>0</v>
      </c>
      <c r="M43" s="4979">
        <f>SSCL!AA17</f>
        <v>0</v>
      </c>
      <c r="N43" s="4979">
        <f>SSCL!AB17</f>
        <v>0</v>
      </c>
      <c r="O43" s="4972"/>
      <c r="P43" s="4972"/>
      <c r="Q43" s="4979">
        <f t="shared" si="9"/>
        <v>0</v>
      </c>
    </row>
    <row r="44" spans="1:32" s="4956" customFormat="1" ht="16.5">
      <c r="A44" s="4970" t="s">
        <v>1764</v>
      </c>
      <c r="B44" s="4972"/>
      <c r="C44" s="6417">
        <v>-11745.509332900952</v>
      </c>
      <c r="D44" s="6418">
        <f>SSCL!AE18</f>
        <v>3252.48</v>
      </c>
      <c r="E44" s="4979">
        <f>SSCL!S18</f>
        <v>551.33946800000001</v>
      </c>
      <c r="F44" s="4979">
        <f>SSCL!T18</f>
        <v>3280.7396399999998</v>
      </c>
      <c r="G44" s="4979">
        <f>SSCL!U18</f>
        <v>1500.2087760000004</v>
      </c>
      <c r="H44" s="4979">
        <f>SSCL!V18</f>
        <v>0</v>
      </c>
      <c r="I44" s="4979">
        <f>SSCL!W18</f>
        <v>0</v>
      </c>
      <c r="J44" s="4979">
        <f>SSCL!X18</f>
        <v>0</v>
      </c>
      <c r="K44" s="4979">
        <f>SSCL!Y18</f>
        <v>0</v>
      </c>
      <c r="L44" s="4979">
        <f>SSCL!Z18</f>
        <v>0</v>
      </c>
      <c r="M44" s="4979">
        <f>SSCL!AA18</f>
        <v>0</v>
      </c>
      <c r="N44" s="4979">
        <f>SSCL!AB18</f>
        <v>0</v>
      </c>
      <c r="O44" s="4972"/>
      <c r="P44" s="4972"/>
      <c r="Q44" s="4979">
        <f t="shared" si="9"/>
        <v>5332.2878840000003</v>
      </c>
    </row>
    <row r="45" spans="1:32" s="4956" customFormat="1" ht="16.5">
      <c r="A45" s="4970" t="s">
        <v>1765</v>
      </c>
      <c r="B45" s="4972"/>
      <c r="C45" s="6417">
        <v>4333.8295585357646</v>
      </c>
      <c r="D45" s="6418">
        <f>SSCL!AE19</f>
        <v>5720.88</v>
      </c>
      <c r="E45" s="4979">
        <f>SSCL!S19</f>
        <v>1450.6540830000001</v>
      </c>
      <c r="F45" s="4979">
        <f>SSCL!T19</f>
        <v>-163.26241000000081</v>
      </c>
      <c r="G45" s="4979">
        <f>SSCL!U19</f>
        <v>3725.5477060000012</v>
      </c>
      <c r="H45" s="4979">
        <f>SSCL!V19</f>
        <v>0</v>
      </c>
      <c r="I45" s="4979">
        <f>SSCL!W19</f>
        <v>0</v>
      </c>
      <c r="J45" s="4979">
        <f>SSCL!X19</f>
        <v>0</v>
      </c>
      <c r="K45" s="4979">
        <f>SSCL!Y19</f>
        <v>0</v>
      </c>
      <c r="L45" s="4979">
        <f>SSCL!Z19</f>
        <v>0</v>
      </c>
      <c r="M45" s="4979">
        <f>SSCL!AA19</f>
        <v>0</v>
      </c>
      <c r="N45" s="4979">
        <f>SSCL!AB19</f>
        <v>0</v>
      </c>
      <c r="O45" s="4972"/>
      <c r="P45" s="4972"/>
      <c r="Q45" s="4979">
        <f t="shared" si="9"/>
        <v>5012.9393790000004</v>
      </c>
    </row>
    <row r="46" spans="1:32" s="100" customFormat="1" ht="16.5">
      <c r="A46" s="374" t="s">
        <v>211</v>
      </c>
      <c r="B46" s="4744">
        <v>9576.7700918666778</v>
      </c>
      <c r="C46" s="4744">
        <f t="shared" ref="C46:N46" si="10">SUM(C40:C45)</f>
        <v>87917.10346315513</v>
      </c>
      <c r="D46" s="6254">
        <f t="shared" si="10"/>
        <v>265450.09151337267</v>
      </c>
      <c r="E46" s="4980">
        <f t="shared" si="10"/>
        <v>-12058.937095906866</v>
      </c>
      <c r="F46" s="4980">
        <f t="shared" si="10"/>
        <v>5267.1866378160485</v>
      </c>
      <c r="G46" s="4980">
        <f t="shared" si="10"/>
        <v>-11010.028414285942</v>
      </c>
      <c r="H46" s="4980" t="e">
        <f t="shared" si="10"/>
        <v>#DIV/0!</v>
      </c>
      <c r="I46" s="4980" t="e">
        <f t="shared" si="10"/>
        <v>#DIV/0!</v>
      </c>
      <c r="J46" s="4980" t="e">
        <f t="shared" si="10"/>
        <v>#DIV/0!</v>
      </c>
      <c r="K46" s="4980" t="e">
        <f t="shared" si="10"/>
        <v>#DIV/0!</v>
      </c>
      <c r="L46" s="4980" t="e">
        <f t="shared" si="10"/>
        <v>#DIV/0!</v>
      </c>
      <c r="M46" s="4980" t="e">
        <f t="shared" si="10"/>
        <v>#DIV/0!</v>
      </c>
      <c r="N46" s="4980" t="e">
        <f t="shared" si="10"/>
        <v>#DIV/0!</v>
      </c>
      <c r="O46" s="389"/>
      <c r="P46" s="389"/>
      <c r="Q46" s="389" t="e">
        <f t="shared" si="9"/>
        <v>#DIV/0!</v>
      </c>
      <c r="R46" s="4732" t="s">
        <v>1703</v>
      </c>
    </row>
    <row r="47" spans="1:32" ht="16.5">
      <c r="B47" s="4971"/>
      <c r="C47" s="4971"/>
      <c r="S47" s="100"/>
      <c r="T47" s="100"/>
      <c r="U47" s="100"/>
      <c r="V47" s="100"/>
    </row>
    <row r="48" spans="1:32" s="100" customFormat="1" ht="17.25" thickBot="1">
      <c r="A48" s="8257" t="s">
        <v>216</v>
      </c>
      <c r="B48" s="8257"/>
      <c r="C48" s="8257"/>
      <c r="D48" s="8257"/>
      <c r="E48" s="361"/>
      <c r="F48" s="361"/>
      <c r="G48" s="361"/>
    </row>
    <row r="49" spans="1:20" s="100" customFormat="1" ht="17.25" thickBot="1">
      <c r="A49" s="7199" t="s">
        <v>201</v>
      </c>
      <c r="B49" s="7200" t="s">
        <v>1704</v>
      </c>
      <c r="C49" s="7200" t="s">
        <v>1890</v>
      </c>
      <c r="D49" s="7201" t="s">
        <v>1989</v>
      </c>
      <c r="E49" s="7200" t="s">
        <v>108</v>
      </c>
      <c r="F49" s="7200" t="s">
        <v>5</v>
      </c>
      <c r="G49" s="7200" t="s">
        <v>6</v>
      </c>
      <c r="H49" s="7200" t="s">
        <v>203</v>
      </c>
      <c r="I49" s="7200" t="s">
        <v>8</v>
      </c>
      <c r="J49" s="7200" t="s">
        <v>9</v>
      </c>
      <c r="K49" s="7200" t="s">
        <v>204</v>
      </c>
      <c r="L49" s="7200" t="s">
        <v>11</v>
      </c>
      <c r="M49" s="7200" t="s">
        <v>12</v>
      </c>
      <c r="N49" s="7200" t="s">
        <v>205</v>
      </c>
      <c r="O49" s="7200" t="s">
        <v>14</v>
      </c>
      <c r="P49" s="7200" t="s">
        <v>15</v>
      </c>
      <c r="Q49" s="7205" t="s">
        <v>206</v>
      </c>
      <c r="R49" s="7210" t="s">
        <v>2305</v>
      </c>
    </row>
    <row r="50" spans="1:20" s="7189" customFormat="1" ht="16.5">
      <c r="A50" s="8261" t="s">
        <v>2295</v>
      </c>
      <c r="B50" s="8250" t="s">
        <v>2298</v>
      </c>
      <c r="C50" s="8251"/>
      <c r="D50" s="7194">
        <v>4000</v>
      </c>
      <c r="E50" s="7195">
        <v>4000</v>
      </c>
      <c r="F50" s="7195">
        <v>0</v>
      </c>
      <c r="G50" s="7195">
        <v>0</v>
      </c>
      <c r="H50" s="7195"/>
      <c r="I50" s="7195"/>
      <c r="J50" s="7195"/>
      <c r="K50" s="7195"/>
      <c r="L50" s="7195"/>
      <c r="M50" s="7195"/>
      <c r="N50" s="7195"/>
      <c r="O50" s="7195"/>
      <c r="P50" s="7195"/>
      <c r="Q50" s="7206"/>
      <c r="R50" s="7211" t="s">
        <v>2306</v>
      </c>
    </row>
    <row r="51" spans="1:20" s="7189" customFormat="1" ht="16.5">
      <c r="A51" s="8262"/>
      <c r="B51" s="8254" t="s">
        <v>2299</v>
      </c>
      <c r="C51" s="8255"/>
      <c r="D51" s="7193">
        <v>9000</v>
      </c>
      <c r="E51" s="3544">
        <v>0</v>
      </c>
      <c r="F51" s="3544">
        <v>0</v>
      </c>
      <c r="G51" s="3544">
        <v>0</v>
      </c>
      <c r="H51" s="3544"/>
      <c r="I51" s="3544"/>
      <c r="J51" s="3544"/>
      <c r="K51" s="3544"/>
      <c r="L51" s="3544"/>
      <c r="M51" s="3544"/>
      <c r="N51" s="3544"/>
      <c r="O51" s="3544"/>
      <c r="P51" s="3544"/>
      <c r="Q51" s="7207"/>
      <c r="R51" s="7212" t="s">
        <v>2307</v>
      </c>
    </row>
    <row r="52" spans="1:20" s="7189" customFormat="1" ht="16.5">
      <c r="A52" s="8262"/>
      <c r="B52" s="8254" t="s">
        <v>2300</v>
      </c>
      <c r="C52" s="8255"/>
      <c r="D52" s="7193">
        <v>4000</v>
      </c>
      <c r="E52" s="3544">
        <v>0</v>
      </c>
      <c r="F52" s="3544">
        <v>0</v>
      </c>
      <c r="G52" s="3544">
        <v>0</v>
      </c>
      <c r="H52" s="3544"/>
      <c r="I52" s="3544"/>
      <c r="J52" s="3544"/>
      <c r="K52" s="3544"/>
      <c r="L52" s="3544"/>
      <c r="M52" s="3544"/>
      <c r="N52" s="3544"/>
      <c r="O52" s="3544"/>
      <c r="P52" s="3544"/>
      <c r="Q52" s="7207"/>
      <c r="R52" s="7212" t="s">
        <v>2308</v>
      </c>
    </row>
    <row r="53" spans="1:20" s="7189" customFormat="1" ht="16.5">
      <c r="A53" s="8263"/>
      <c r="B53" s="8254" t="s">
        <v>2301</v>
      </c>
      <c r="C53" s="8255"/>
      <c r="D53" s="7193">
        <v>13000</v>
      </c>
      <c r="E53" s="3544">
        <v>0</v>
      </c>
      <c r="F53" s="3544">
        <v>0</v>
      </c>
      <c r="G53" s="3544">
        <v>0</v>
      </c>
      <c r="H53" s="3544"/>
      <c r="I53" s="3544"/>
      <c r="J53" s="3544"/>
      <c r="K53" s="3544"/>
      <c r="L53" s="3544"/>
      <c r="M53" s="3544"/>
      <c r="N53" s="3544"/>
      <c r="O53" s="3544"/>
      <c r="P53" s="3544"/>
      <c r="Q53" s="7207"/>
      <c r="R53" s="7212" t="s">
        <v>2309</v>
      </c>
    </row>
    <row r="54" spans="1:20" s="7189" customFormat="1" ht="17.25" thickBot="1">
      <c r="A54" s="7196" t="s">
        <v>2296</v>
      </c>
      <c r="B54" s="8252" t="s">
        <v>2302</v>
      </c>
      <c r="C54" s="8253"/>
      <c r="D54" s="7197">
        <v>17000</v>
      </c>
      <c r="E54" s="7198">
        <v>17000</v>
      </c>
      <c r="F54" s="7198">
        <v>0</v>
      </c>
      <c r="G54" s="7198">
        <v>0</v>
      </c>
      <c r="H54" s="7198"/>
      <c r="I54" s="7198"/>
      <c r="J54" s="7198"/>
      <c r="K54" s="7198"/>
      <c r="L54" s="7198"/>
      <c r="M54" s="7198"/>
      <c r="N54" s="7198"/>
      <c r="O54" s="7198"/>
      <c r="P54" s="7198"/>
      <c r="Q54" s="7208"/>
      <c r="R54" s="7213" t="s">
        <v>2310</v>
      </c>
    </row>
    <row r="55" spans="1:20" s="7189" customFormat="1" ht="33">
      <c r="A55" s="8261" t="s">
        <v>2297</v>
      </c>
      <c r="B55" s="8250" t="s">
        <v>2303</v>
      </c>
      <c r="C55" s="8251"/>
      <c r="D55" s="7194"/>
      <c r="E55" s="7195">
        <v>0</v>
      </c>
      <c r="F55" s="7195">
        <v>2200</v>
      </c>
      <c r="G55" s="7195">
        <v>1980</v>
      </c>
      <c r="H55" s="7195"/>
      <c r="I55" s="7195"/>
      <c r="J55" s="7195"/>
      <c r="K55" s="7195"/>
      <c r="L55" s="7195"/>
      <c r="M55" s="7195"/>
      <c r="N55" s="7195"/>
      <c r="O55" s="7195"/>
      <c r="P55" s="7195"/>
      <c r="Q55" s="7206"/>
      <c r="R55" s="7215" t="s">
        <v>2312</v>
      </c>
    </row>
    <row r="56" spans="1:20" s="7189" customFormat="1" ht="16.5">
      <c r="A56" s="8263"/>
      <c r="B56" s="8254" t="s">
        <v>2304</v>
      </c>
      <c r="C56" s="8255"/>
      <c r="D56" s="7193"/>
      <c r="E56" s="3544">
        <v>0</v>
      </c>
      <c r="F56" s="3544">
        <f>3.53*210000/1000</f>
        <v>741.3</v>
      </c>
      <c r="G56" s="3544">
        <v>968.1</v>
      </c>
      <c r="H56" s="3544"/>
      <c r="I56" s="3544"/>
      <c r="J56" s="3544"/>
      <c r="K56" s="3544"/>
      <c r="L56" s="3544"/>
      <c r="M56" s="3544"/>
      <c r="N56" s="3544"/>
      <c r="O56" s="3544"/>
      <c r="P56" s="3544"/>
      <c r="Q56" s="7207"/>
      <c r="R56" s="7212" t="s">
        <v>2311</v>
      </c>
    </row>
    <row r="57" spans="1:20" s="100" customFormat="1" ht="17.25" thickBot="1">
      <c r="A57" s="7202" t="s">
        <v>211</v>
      </c>
      <c r="B57" s="7203">
        <v>53290.400000000001</v>
      </c>
      <c r="C57" s="7203">
        <v>30614</v>
      </c>
      <c r="D57" s="7204">
        <f>SUM(D50:D54)</f>
        <v>47000</v>
      </c>
      <c r="E57" s="7203">
        <f>SUM(E50:E56)</f>
        <v>21000</v>
      </c>
      <c r="F57" s="7203">
        <f t="shared" ref="F57:P57" si="11">SUM(F50:F56)</f>
        <v>2941.3</v>
      </c>
      <c r="G57" s="7203">
        <f t="shared" si="11"/>
        <v>2948.1</v>
      </c>
      <c r="H57" s="7203">
        <f t="shared" si="11"/>
        <v>0</v>
      </c>
      <c r="I57" s="7203">
        <f t="shared" si="11"/>
        <v>0</v>
      </c>
      <c r="J57" s="7203">
        <f t="shared" si="11"/>
        <v>0</v>
      </c>
      <c r="K57" s="7203">
        <f t="shared" si="11"/>
        <v>0</v>
      </c>
      <c r="L57" s="7203">
        <f t="shared" si="11"/>
        <v>0</v>
      </c>
      <c r="M57" s="7203">
        <f t="shared" si="11"/>
        <v>0</v>
      </c>
      <c r="N57" s="7203">
        <f t="shared" si="11"/>
        <v>0</v>
      </c>
      <c r="O57" s="7203">
        <f t="shared" si="11"/>
        <v>0</v>
      </c>
      <c r="P57" s="7203">
        <f t="shared" si="11"/>
        <v>0</v>
      </c>
      <c r="Q57" s="7209">
        <f>SUM(E57:P57)</f>
        <v>26889.399999999998</v>
      </c>
      <c r="R57" s="7214"/>
      <c r="S57" s="387"/>
    </row>
    <row r="58" spans="1:20" ht="16.5">
      <c r="B58" s="4971"/>
      <c r="C58" s="4971"/>
      <c r="E58" s="361">
        <v>360</v>
      </c>
      <c r="F58" s="361">
        <v>295</v>
      </c>
      <c r="G58" s="361">
        <v>332</v>
      </c>
      <c r="Q58" s="361">
        <f>AVERAGE(E58:P58)</f>
        <v>329</v>
      </c>
      <c r="R58" s="100"/>
      <c r="S58" s="382"/>
      <c r="T58" s="100"/>
    </row>
    <row r="59" spans="1:20" s="100" customFormat="1" ht="16.5">
      <c r="A59" s="8257" t="s">
        <v>218</v>
      </c>
      <c r="B59" s="8257"/>
      <c r="C59" s="8257"/>
      <c r="D59" s="8257"/>
      <c r="E59" s="361"/>
      <c r="F59" s="361"/>
      <c r="G59" s="361"/>
      <c r="S59" s="382"/>
    </row>
    <row r="60" spans="1:20" s="100" customFormat="1" ht="16.5">
      <c r="A60" s="364" t="s">
        <v>201</v>
      </c>
      <c r="B60" s="4735" t="s">
        <v>0</v>
      </c>
      <c r="C60" s="4735" t="s">
        <v>1990</v>
      </c>
      <c r="D60" s="364" t="s">
        <v>2132</v>
      </c>
      <c r="E60" s="365" t="s">
        <v>108</v>
      </c>
      <c r="F60" s="365" t="s">
        <v>5</v>
      </c>
      <c r="G60" s="365" t="s">
        <v>6</v>
      </c>
      <c r="H60" s="365" t="s">
        <v>203</v>
      </c>
      <c r="I60" s="365" t="s">
        <v>8</v>
      </c>
      <c r="J60" s="365" t="s">
        <v>9</v>
      </c>
      <c r="K60" s="365" t="s">
        <v>204</v>
      </c>
      <c r="L60" s="365" t="s">
        <v>11</v>
      </c>
      <c r="M60" s="365" t="s">
        <v>12</v>
      </c>
      <c r="N60" s="365" t="s">
        <v>205</v>
      </c>
      <c r="O60" s="365" t="s">
        <v>14</v>
      </c>
      <c r="P60" s="365" t="s">
        <v>15</v>
      </c>
      <c r="Q60" s="365" t="s">
        <v>206</v>
      </c>
      <c r="R60" s="1823" t="s">
        <v>1059</v>
      </c>
      <c r="S60" s="387"/>
    </row>
    <row r="61" spans="1:20" s="1910" customFormat="1" ht="55.9" customHeight="1">
      <c r="A61" s="6693" t="s">
        <v>2129</v>
      </c>
      <c r="B61" s="6690" t="s">
        <v>2134</v>
      </c>
      <c r="C61" s="4741"/>
      <c r="D61" s="1911">
        <v>54000</v>
      </c>
      <c r="E61" s="1912">
        <v>0</v>
      </c>
      <c r="F61" s="1912">
        <v>0</v>
      </c>
      <c r="G61" s="1912">
        <v>0</v>
      </c>
      <c r="H61" s="1912"/>
      <c r="I61" s="2196"/>
      <c r="J61" s="2196"/>
      <c r="K61" s="1912"/>
      <c r="L61" s="1912"/>
      <c r="M61" s="1912"/>
      <c r="N61" s="1912"/>
      <c r="O61" s="1912"/>
      <c r="P61" s="1912"/>
      <c r="Q61" s="388">
        <f>SUM(E61:P61)</f>
        <v>0</v>
      </c>
      <c r="R61" s="6691" t="s">
        <v>2135</v>
      </c>
      <c r="S61" s="387"/>
    </row>
    <row r="62" spans="1:20" s="6676" customFormat="1" ht="33.6" customHeight="1">
      <c r="A62" s="8259" t="s">
        <v>2130</v>
      </c>
      <c r="B62" s="6690" t="s">
        <v>2133</v>
      </c>
      <c r="C62" s="4741">
        <v>7093</v>
      </c>
      <c r="D62" s="6689">
        <v>354</v>
      </c>
      <c r="E62" s="4737">
        <f>(591-341)</f>
        <v>250</v>
      </c>
      <c r="F62" s="4737">
        <f>591-337</f>
        <v>254</v>
      </c>
      <c r="G62" s="4737">
        <f>591-459</f>
        <v>132</v>
      </c>
      <c r="H62" s="4737"/>
      <c r="I62" s="4737"/>
      <c r="J62" s="4737"/>
      <c r="K62" s="4737"/>
      <c r="L62" s="4737"/>
      <c r="M62" s="4737"/>
      <c r="N62" s="4737"/>
      <c r="O62" s="4737"/>
      <c r="P62" s="4737"/>
      <c r="Q62" s="388">
        <f>SUM(E62:P62)</f>
        <v>636</v>
      </c>
      <c r="R62" s="6691" t="s">
        <v>2291</v>
      </c>
      <c r="S62" s="387"/>
    </row>
    <row r="63" spans="1:20" s="6676" customFormat="1" ht="33.6" customHeight="1">
      <c r="A63" s="8260"/>
      <c r="B63" s="6690" t="s">
        <v>2136</v>
      </c>
      <c r="C63" s="4741">
        <v>96600</v>
      </c>
      <c r="D63" s="6689">
        <v>4822</v>
      </c>
      <c r="E63" s="4737">
        <f>(591-341)*13620/1000</f>
        <v>3405</v>
      </c>
      <c r="F63" s="4737">
        <f>(591-337)*13620/1000</f>
        <v>3459.48</v>
      </c>
      <c r="G63" s="4737">
        <f>G62*13620/1000</f>
        <v>1797.84</v>
      </c>
      <c r="H63" s="4737"/>
      <c r="I63" s="4737"/>
      <c r="J63" s="4737"/>
      <c r="K63" s="4737"/>
      <c r="L63" s="4737"/>
      <c r="M63" s="4737"/>
      <c r="N63" s="4737"/>
      <c r="O63" s="4737"/>
      <c r="P63" s="4737"/>
      <c r="Q63" s="388">
        <f>SUM(E63:P63)</f>
        <v>8662.32</v>
      </c>
      <c r="R63" s="6691" t="s">
        <v>2292</v>
      </c>
      <c r="S63" s="387"/>
    </row>
    <row r="64" spans="1:20" s="6676" customFormat="1" ht="33.6" customHeight="1">
      <c r="A64" s="8259" t="s">
        <v>2131</v>
      </c>
      <c r="B64" s="6690" t="s">
        <v>2294</v>
      </c>
      <c r="C64" s="4741">
        <v>230</v>
      </c>
      <c r="D64" s="6689">
        <v>46</v>
      </c>
      <c r="E64" s="4737">
        <f>230-104.5</f>
        <v>125.5</v>
      </c>
      <c r="F64" s="4737">
        <f>230-105.5</f>
        <v>124.5</v>
      </c>
      <c r="G64" s="4737">
        <f>250-585</f>
        <v>-335</v>
      </c>
      <c r="H64" s="4737"/>
      <c r="I64" s="4737"/>
      <c r="J64" s="4737"/>
      <c r="K64" s="4737"/>
      <c r="L64" s="4737"/>
      <c r="M64" s="4737"/>
      <c r="N64" s="4737"/>
      <c r="O64" s="4737"/>
      <c r="P64" s="4737"/>
      <c r="Q64" s="388">
        <f>SUM(E64:P64)</f>
        <v>-85</v>
      </c>
      <c r="R64" s="6691" t="s">
        <v>2293</v>
      </c>
      <c r="S64" s="387"/>
    </row>
    <row r="65" spans="1:19" s="6676" customFormat="1" ht="33.6" customHeight="1">
      <c r="A65" s="8260"/>
      <c r="B65" s="6690" t="s">
        <v>2136</v>
      </c>
      <c r="C65" s="4741">
        <v>60390</v>
      </c>
      <c r="D65" s="6689">
        <v>12144</v>
      </c>
      <c r="E65" s="4737">
        <f>(230-104.5)*22000/1000</f>
        <v>2761</v>
      </c>
      <c r="F65" s="4737">
        <f>(230-105.5)*22000/1000</f>
        <v>2739</v>
      </c>
      <c r="G65" s="4737">
        <f>G64*22000/1000</f>
        <v>-7370</v>
      </c>
      <c r="H65" s="4737"/>
      <c r="I65" s="4737"/>
      <c r="J65" s="4737"/>
      <c r="K65" s="4737"/>
      <c r="L65" s="4737"/>
      <c r="M65" s="4737"/>
      <c r="N65" s="4737"/>
      <c r="O65" s="4737"/>
      <c r="P65" s="4737"/>
      <c r="Q65" s="388">
        <f>SUM(E65:P65)</f>
        <v>-1870</v>
      </c>
      <c r="R65" s="6691" t="s">
        <v>2137</v>
      </c>
      <c r="S65" s="387"/>
    </row>
    <row r="66" spans="1:19" s="100" customFormat="1" ht="33.6" customHeight="1">
      <c r="A66" s="6622" t="s">
        <v>1677</v>
      </c>
      <c r="B66" s="4742"/>
      <c r="C66" s="4742">
        <f>C61+C63+C65</f>
        <v>156990</v>
      </c>
      <c r="D66" s="4742">
        <f>D61+D63+D65</f>
        <v>70966</v>
      </c>
      <c r="E66" s="4742">
        <f>E61+E63+E65</f>
        <v>6166</v>
      </c>
      <c r="F66" s="4742">
        <f t="shared" ref="F66:Q66" si="12">F61+F63+F65</f>
        <v>6198.48</v>
      </c>
      <c r="G66" s="4742">
        <f t="shared" si="12"/>
        <v>-5572.16</v>
      </c>
      <c r="H66" s="4742">
        <f t="shared" si="12"/>
        <v>0</v>
      </c>
      <c r="I66" s="4742">
        <f t="shared" si="12"/>
        <v>0</v>
      </c>
      <c r="J66" s="4742">
        <f t="shared" si="12"/>
        <v>0</v>
      </c>
      <c r="K66" s="4742">
        <f t="shared" si="12"/>
        <v>0</v>
      </c>
      <c r="L66" s="4742">
        <f t="shared" si="12"/>
        <v>0</v>
      </c>
      <c r="M66" s="4742">
        <f t="shared" si="12"/>
        <v>0</v>
      </c>
      <c r="N66" s="4742">
        <f t="shared" si="12"/>
        <v>0</v>
      </c>
      <c r="O66" s="4742">
        <f t="shared" si="12"/>
        <v>0</v>
      </c>
      <c r="P66" s="4742">
        <f t="shared" si="12"/>
        <v>0</v>
      </c>
      <c r="Q66" s="4742">
        <f t="shared" si="12"/>
        <v>6792.32</v>
      </c>
      <c r="R66" s="6692" t="s">
        <v>1106</v>
      </c>
      <c r="S66" s="382"/>
    </row>
    <row r="67" spans="1:19" ht="16.5">
      <c r="D67" s="361" t="s">
        <v>1338</v>
      </c>
      <c r="S67" s="382"/>
    </row>
    <row r="68" spans="1:19" s="100" customFormat="1" ht="16.5">
      <c r="A68" s="8258" t="s">
        <v>459</v>
      </c>
      <c r="B68" s="8258"/>
      <c r="C68" s="8258"/>
      <c r="D68" s="8258"/>
      <c r="E68" s="361"/>
      <c r="F68" s="361"/>
      <c r="G68" s="361"/>
      <c r="S68" s="382"/>
    </row>
    <row r="69" spans="1:19" s="100" customFormat="1" ht="16.5">
      <c r="A69" s="390" t="s">
        <v>460</v>
      </c>
      <c r="B69" s="4735" t="s">
        <v>1704</v>
      </c>
      <c r="C69" s="4735" t="s">
        <v>1890</v>
      </c>
      <c r="D69" s="390" t="s">
        <v>487</v>
      </c>
      <c r="E69" s="391" t="s">
        <v>108</v>
      </c>
      <c r="F69" s="391" t="s">
        <v>5</v>
      </c>
      <c r="G69" s="391" t="s">
        <v>6</v>
      </c>
      <c r="H69" s="391" t="s">
        <v>461</v>
      </c>
      <c r="I69" s="391" t="s">
        <v>8</v>
      </c>
      <c r="J69" s="391" t="s">
        <v>9</v>
      </c>
      <c r="K69" s="391" t="s">
        <v>462</v>
      </c>
      <c r="L69" s="391" t="s">
        <v>11</v>
      </c>
      <c r="M69" s="391" t="s">
        <v>12</v>
      </c>
      <c r="N69" s="391" t="s">
        <v>463</v>
      </c>
      <c r="O69" s="391" t="s">
        <v>14</v>
      </c>
      <c r="P69" s="391" t="s">
        <v>15</v>
      </c>
      <c r="Q69" s="391" t="s">
        <v>464</v>
      </c>
      <c r="S69" s="382"/>
    </row>
    <row r="70" spans="1:19" s="100" customFormat="1" ht="16.5">
      <c r="A70" s="316" t="s">
        <v>416</v>
      </c>
      <c r="B70" s="4741">
        <v>0</v>
      </c>
      <c r="C70" s="4741"/>
      <c r="D70" s="317"/>
      <c r="E70" s="392">
        <v>0</v>
      </c>
      <c r="F70" s="392"/>
      <c r="G70" s="392"/>
      <c r="H70" s="392"/>
      <c r="I70" s="392"/>
      <c r="J70" s="392"/>
      <c r="K70" s="392"/>
      <c r="L70" s="392"/>
      <c r="M70" s="392"/>
      <c r="N70" s="392"/>
      <c r="O70" s="392"/>
      <c r="P70" s="392"/>
      <c r="Q70" s="393">
        <f>SUM(E70:P70)</f>
        <v>0</v>
      </c>
      <c r="S70" s="382"/>
    </row>
    <row r="71" spans="1:19" s="100" customFormat="1" ht="16.5">
      <c r="A71" s="316" t="s">
        <v>602</v>
      </c>
      <c r="B71" s="4741">
        <v>0</v>
      </c>
      <c r="C71" s="4741"/>
      <c r="D71" s="317"/>
      <c r="E71" s="392">
        <v>0</v>
      </c>
      <c r="F71" s="392"/>
      <c r="G71" s="392"/>
      <c r="H71" s="392"/>
      <c r="I71" s="392"/>
      <c r="J71" s="392"/>
      <c r="K71" s="392"/>
      <c r="L71" s="392"/>
      <c r="M71" s="392"/>
      <c r="N71" s="392"/>
      <c r="O71" s="392"/>
      <c r="P71" s="392"/>
      <c r="Q71" s="393">
        <f>SUM(E71:K71)</f>
        <v>0</v>
      </c>
      <c r="S71" s="382"/>
    </row>
    <row r="72" spans="1:19" s="100" customFormat="1" ht="16.5">
      <c r="A72" s="390" t="s">
        <v>465</v>
      </c>
      <c r="B72" s="4743">
        <v>0</v>
      </c>
      <c r="C72" s="4743"/>
      <c r="D72" s="394">
        <f>SUM(D70:D71)</f>
        <v>0</v>
      </c>
      <c r="E72" s="394">
        <f>E70-E71</f>
        <v>0</v>
      </c>
      <c r="F72" s="394">
        <f t="shared" ref="F72:P72" si="13">F70-F71</f>
        <v>0</v>
      </c>
      <c r="G72" s="394">
        <f t="shared" si="13"/>
        <v>0</v>
      </c>
      <c r="H72" s="394">
        <f t="shared" si="13"/>
        <v>0</v>
      </c>
      <c r="I72" s="394">
        <f t="shared" si="13"/>
        <v>0</v>
      </c>
      <c r="J72" s="394">
        <f t="shared" si="13"/>
        <v>0</v>
      </c>
      <c r="K72" s="394">
        <f t="shared" si="13"/>
        <v>0</v>
      </c>
      <c r="L72" s="394">
        <f t="shared" si="13"/>
        <v>0</v>
      </c>
      <c r="M72" s="394">
        <f t="shared" si="13"/>
        <v>0</v>
      </c>
      <c r="N72" s="394">
        <f t="shared" si="13"/>
        <v>0</v>
      </c>
      <c r="O72" s="394">
        <f t="shared" si="13"/>
        <v>0</v>
      </c>
      <c r="P72" s="394">
        <f t="shared" si="13"/>
        <v>0</v>
      </c>
      <c r="Q72" s="394">
        <f>SUM(Q70:Q71)</f>
        <v>0</v>
      </c>
      <c r="S72" s="382"/>
    </row>
    <row r="74" spans="1:19">
      <c r="D74" s="734"/>
    </row>
    <row r="75" spans="1:19">
      <c r="D75" s="734"/>
    </row>
    <row r="76" spans="1:19">
      <c r="D76" s="734"/>
    </row>
    <row r="77" spans="1:19">
      <c r="D77" s="734"/>
    </row>
    <row r="78" spans="1:19">
      <c r="D78" s="734"/>
    </row>
    <row r="79" spans="1:19">
      <c r="D79" s="734"/>
    </row>
  </sheetData>
  <mergeCells count="20">
    <mergeCell ref="A1:I1"/>
    <mergeCell ref="A59:D59"/>
    <mergeCell ref="A68:D68"/>
    <mergeCell ref="A29:D29"/>
    <mergeCell ref="A7:D7"/>
    <mergeCell ref="A15:D15"/>
    <mergeCell ref="A19:D19"/>
    <mergeCell ref="A38:D38"/>
    <mergeCell ref="A48:D48"/>
    <mergeCell ref="A64:A65"/>
    <mergeCell ref="A62:A63"/>
    <mergeCell ref="A50:A53"/>
    <mergeCell ref="A55:A56"/>
    <mergeCell ref="B50:C50"/>
    <mergeCell ref="B56:C56"/>
    <mergeCell ref="B55:C55"/>
    <mergeCell ref="B54:C54"/>
    <mergeCell ref="B53:C53"/>
    <mergeCell ref="B52:C52"/>
    <mergeCell ref="B51:C51"/>
  </mergeCells>
  <phoneticPr fontId="23" type="noConversion"/>
  <pageMargins left="0.70866141732283472" right="0.70866141732283472" top="0.35433070866141736" bottom="0" header="0.31496062992125984" footer="0.31496062992125984"/>
  <pageSetup paperSize="9" scale="80"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44"/>
  <sheetViews>
    <sheetView zoomScale="85" zoomScaleNormal="85" workbookViewId="0">
      <selection activeCell="K7" sqref="K7"/>
    </sheetView>
  </sheetViews>
  <sheetFormatPr defaultColWidth="8.88671875" defaultRowHeight="17.25"/>
  <cols>
    <col min="1" max="1" width="6.5546875" style="288" customWidth="1"/>
    <col min="2" max="2" width="11.109375" style="288" customWidth="1"/>
    <col min="3" max="3" width="7.44140625" style="289" customWidth="1"/>
    <col min="4" max="5" width="8.21875" style="288" hidden="1" customWidth="1"/>
    <col min="6" max="6" width="8.77734375" style="288" hidden="1" customWidth="1"/>
    <col min="7" max="7" width="7.44140625" style="288" customWidth="1"/>
    <col min="8" max="8" width="7.5546875" style="288" customWidth="1"/>
    <col min="9" max="9" width="11.21875" style="288" customWidth="1"/>
    <col min="10" max="10" width="11" style="288" customWidth="1"/>
    <col min="11" max="11" width="8.21875" style="288" customWidth="1"/>
    <col min="12" max="12" width="10" style="288" hidden="1" customWidth="1"/>
    <col min="13" max="15" width="10" style="288" customWidth="1"/>
    <col min="16" max="19" width="9.21875" style="288" hidden="1" customWidth="1"/>
    <col min="20" max="21" width="10" style="288" hidden="1" customWidth="1"/>
    <col min="22" max="23" width="10.109375" style="289" hidden="1" customWidth="1"/>
    <col min="24" max="24" width="10.109375" style="289" customWidth="1"/>
    <col min="25" max="25" width="8.77734375" style="290" customWidth="1"/>
    <col min="26" max="26" width="39.33203125" style="290" customWidth="1"/>
    <col min="27" max="27" width="10.6640625" style="288" bestFit="1" customWidth="1"/>
    <col min="28" max="28" width="8.88671875" style="288"/>
    <col min="29" max="29" width="10" style="288" bestFit="1" customWidth="1"/>
    <col min="30" max="30" width="10.88671875" style="288" customWidth="1"/>
    <col min="31" max="31" width="10" style="288" bestFit="1" customWidth="1"/>
    <col min="32" max="33" width="8.88671875" style="288"/>
    <col min="34" max="34" width="9.33203125" style="288" customWidth="1"/>
    <col min="35" max="36" width="7.5546875" style="288" customWidth="1"/>
    <col min="37" max="37" width="10.6640625" style="288" customWidth="1"/>
    <col min="38" max="39" width="7.5546875" style="288" customWidth="1"/>
    <col min="40" max="40" width="10.6640625" style="288" customWidth="1"/>
    <col min="41" max="16384" width="8.88671875" style="288"/>
  </cols>
  <sheetData>
    <row r="1" spans="1:40" ht="21.75" customHeight="1" thickBot="1">
      <c r="A1" s="293" t="s">
        <v>1944</v>
      </c>
      <c r="AI1" s="8278">
        <v>2018</v>
      </c>
      <c r="AJ1" s="8279"/>
      <c r="AK1" s="8278">
        <v>2019</v>
      </c>
      <c r="AL1" s="8280"/>
      <c r="AM1" s="8279">
        <v>2020</v>
      </c>
      <c r="AN1" s="8280"/>
    </row>
    <row r="2" spans="1:40" s="298" customFormat="1" ht="38.450000000000003" customHeight="1" thickTop="1">
      <c r="A2" s="8281" t="s">
        <v>948</v>
      </c>
      <c r="B2" s="8282"/>
      <c r="C2" s="1130" t="s">
        <v>1063</v>
      </c>
      <c r="D2" s="1131" t="s">
        <v>497</v>
      </c>
      <c r="E2" s="1131" t="s">
        <v>502</v>
      </c>
      <c r="F2" s="1131" t="s">
        <v>503</v>
      </c>
      <c r="G2" s="1131" t="s">
        <v>1064</v>
      </c>
      <c r="H2" s="1132" t="s">
        <v>498</v>
      </c>
      <c r="I2" s="1132" t="s">
        <v>1065</v>
      </c>
      <c r="J2" s="1139" t="s">
        <v>1066</v>
      </c>
      <c r="K2" s="1133" t="s">
        <v>432</v>
      </c>
      <c r="L2" s="1133" t="s">
        <v>1707</v>
      </c>
      <c r="M2" s="1134" t="s">
        <v>420</v>
      </c>
      <c r="N2" s="1134" t="s">
        <v>421</v>
      </c>
      <c r="O2" s="1134" t="s">
        <v>422</v>
      </c>
      <c r="P2" s="1134" t="s">
        <v>423</v>
      </c>
      <c r="Q2" s="1134" t="s">
        <v>424</v>
      </c>
      <c r="R2" s="1134" t="s">
        <v>425</v>
      </c>
      <c r="S2" s="1134" t="s">
        <v>426</v>
      </c>
      <c r="T2" s="1134" t="s">
        <v>427</v>
      </c>
      <c r="U2" s="1134" t="s">
        <v>428</v>
      </c>
      <c r="V2" s="1134" t="s">
        <v>429</v>
      </c>
      <c r="W2" s="1134" t="s">
        <v>430</v>
      </c>
      <c r="X2" s="1134" t="s">
        <v>431</v>
      </c>
      <c r="Y2" s="1134" t="s">
        <v>2362</v>
      </c>
      <c r="Z2" s="1134" t="s">
        <v>469</v>
      </c>
      <c r="AA2" s="4755" t="s">
        <v>1708</v>
      </c>
      <c r="AG2" s="8287" t="s">
        <v>47</v>
      </c>
      <c r="AH2" s="8288"/>
      <c r="AI2" s="5830" t="s">
        <v>1064</v>
      </c>
      <c r="AJ2" s="5834" t="s">
        <v>1066</v>
      </c>
      <c r="AK2" s="5830" t="s">
        <v>1064</v>
      </c>
      <c r="AL2" s="5829" t="s">
        <v>1066</v>
      </c>
      <c r="AM2" s="5838" t="s">
        <v>1064</v>
      </c>
      <c r="AN2" s="5829" t="s">
        <v>1066</v>
      </c>
    </row>
    <row r="3" spans="1:40" s="298" customFormat="1" ht="52.9" customHeight="1">
      <c r="A3" s="8283" t="s">
        <v>1060</v>
      </c>
      <c r="B3" s="1276" t="s">
        <v>1621</v>
      </c>
      <c r="C3" s="1277">
        <v>20</v>
      </c>
      <c r="D3" s="1277"/>
      <c r="E3" s="1277"/>
      <c r="F3" s="1277"/>
      <c r="G3" s="1684">
        <f>Y29</f>
        <v>0</v>
      </c>
      <c r="H3" s="1278">
        <f>G3/C3</f>
        <v>0</v>
      </c>
      <c r="I3" s="6308">
        <f>CPL!AN39</f>
        <v>501565.44180308975</v>
      </c>
      <c r="J3" s="2088">
        <f t="shared" ref="J3:J12" si="0">M3+N3+O3</f>
        <v>17897.797002413383</v>
      </c>
      <c r="K3" s="4993">
        <f>J3/I3</f>
        <v>3.5683871955117477E-2</v>
      </c>
      <c r="L3" s="4994">
        <v>279723.97612545599</v>
      </c>
      <c r="M3" s="1989">
        <f>CPL!AB39</f>
        <v>0</v>
      </c>
      <c r="N3" s="1989">
        <f>CPL!AC39</f>
        <v>0</v>
      </c>
      <c r="O3" s="1989">
        <f>CPL!AD39</f>
        <v>17897.797002413383</v>
      </c>
      <c r="P3" s="4600" t="e">
        <f>CPL!AE39</f>
        <v>#DIV/0!</v>
      </c>
      <c r="Q3" s="1989" t="e">
        <f>CPL!AF39</f>
        <v>#DIV/0!</v>
      </c>
      <c r="R3" s="1989" t="e">
        <f>CPL!AG39</f>
        <v>#DIV/0!</v>
      </c>
      <c r="S3" s="1989" t="e">
        <f>CPL!AH39</f>
        <v>#DIV/0!</v>
      </c>
      <c r="T3" s="2283" t="e">
        <f>CPL!AI39</f>
        <v>#DIV/0!</v>
      </c>
      <c r="U3" s="2283" t="e">
        <f>CPL!AJ39</f>
        <v>#DIV/0!</v>
      </c>
      <c r="V3" s="4600" t="e">
        <f>CPL!AK39</f>
        <v>#DIV/0!</v>
      </c>
      <c r="W3" s="2283" t="e">
        <f>CPL!AL39</f>
        <v>#DIV/0!</v>
      </c>
      <c r="X3" s="294" t="e">
        <f>CPL!AM39</f>
        <v>#DIV/0!</v>
      </c>
      <c r="Y3" s="299">
        <v>0</v>
      </c>
      <c r="Z3" s="1956"/>
      <c r="AA3" s="329">
        <f>CPL!AN8+CPL!AN9+CPL!AN19+CPL!AN26+CPL!AN28+CPL!AN35+CPL!AN36</f>
        <v>357448.60062285961</v>
      </c>
      <c r="AG3" s="8289" t="s">
        <v>1060</v>
      </c>
      <c r="AH3" s="5823" t="s">
        <v>1621</v>
      </c>
      <c r="AI3" s="5831">
        <v>10</v>
      </c>
      <c r="AJ3" s="5835">
        <v>239950.27619365271</v>
      </c>
      <c r="AK3" s="5839">
        <v>15</v>
      </c>
      <c r="AL3" s="3385">
        <v>-781342.37821694056</v>
      </c>
      <c r="AM3" s="5652">
        <v>10</v>
      </c>
      <c r="AN3" s="3385">
        <v>538737.04518252995</v>
      </c>
    </row>
    <row r="4" spans="1:40" s="298" customFormat="1" ht="18" customHeight="1">
      <c r="A4" s="8284"/>
      <c r="B4" s="1279" t="s">
        <v>225</v>
      </c>
      <c r="C4" s="1280">
        <v>4</v>
      </c>
      <c r="D4" s="1280"/>
      <c r="E4" s="1280"/>
      <c r="F4" s="1280"/>
      <c r="G4" s="1281">
        <f>Y30</f>
        <v>0</v>
      </c>
      <c r="H4" s="1282">
        <f t="shared" ref="H4:H12" si="1">G4/C4</f>
        <v>0</v>
      </c>
      <c r="I4" s="6309">
        <f>협력사!D13</f>
        <v>87665.439999999959</v>
      </c>
      <c r="J4" s="2089">
        <f t="shared" si="0"/>
        <v>8979.9619999999995</v>
      </c>
      <c r="K4" s="1961">
        <f>J4/I4</f>
        <v>0.10243445991943922</v>
      </c>
      <c r="L4" s="4758">
        <v>18465.273000000001</v>
      </c>
      <c r="M4" s="1990">
        <f>협력사!E13</f>
        <v>1600</v>
      </c>
      <c r="N4" s="1990">
        <f>협력사!F13</f>
        <v>0</v>
      </c>
      <c r="O4" s="1990">
        <f>협력사!G13</f>
        <v>7379.9619999999995</v>
      </c>
      <c r="P4" s="295">
        <f>협력사!H13</f>
        <v>0</v>
      </c>
      <c r="Q4" s="1990">
        <f>협력사!I13</f>
        <v>0</v>
      </c>
      <c r="R4" s="1990">
        <f>협력사!J13</f>
        <v>0</v>
      </c>
      <c r="S4" s="1990">
        <f>협력사!K13</f>
        <v>0</v>
      </c>
      <c r="T4" s="2284">
        <f>협력사!L13</f>
        <v>0</v>
      </c>
      <c r="U4" s="2284">
        <f>협력사!M13</f>
        <v>0</v>
      </c>
      <c r="V4" s="295">
        <f>협력사!N13</f>
        <v>0</v>
      </c>
      <c r="W4" s="295">
        <f>협력사!O13</f>
        <v>0</v>
      </c>
      <c r="X4" s="295">
        <f>협력사!P13</f>
        <v>0</v>
      </c>
      <c r="Y4" s="300">
        <v>0</v>
      </c>
      <c r="Z4" s="1265"/>
      <c r="AA4" s="329">
        <f>I4</f>
        <v>87665.439999999959</v>
      </c>
      <c r="AG4" s="8267"/>
      <c r="AH4" s="5824" t="s">
        <v>225</v>
      </c>
      <c r="AI4" s="5831">
        <v>4</v>
      </c>
      <c r="AJ4" s="5835">
        <v>54468</v>
      </c>
      <c r="AK4" s="5839">
        <v>5</v>
      </c>
      <c r="AL4" s="3385">
        <v>94548.227999999988</v>
      </c>
      <c r="AM4" s="5652">
        <v>4</v>
      </c>
      <c r="AN4" s="3385">
        <v>30594.143</v>
      </c>
    </row>
    <row r="5" spans="1:40" s="298" customFormat="1" ht="18" customHeight="1">
      <c r="A5" s="8284"/>
      <c r="B5" s="1279" t="s">
        <v>3</v>
      </c>
      <c r="C5" s="1280">
        <v>18</v>
      </c>
      <c r="D5" s="1280"/>
      <c r="E5" s="1280"/>
      <c r="F5" s="1280"/>
      <c r="G5" s="1281">
        <f t="shared" ref="G5:G12" si="2">Y31</f>
        <v>0</v>
      </c>
      <c r="H5" s="3081">
        <f t="shared" si="1"/>
        <v>0</v>
      </c>
      <c r="I5" s="6309">
        <f>CRM!AN41</f>
        <v>290806.22022824886</v>
      </c>
      <c r="J5" s="2089">
        <f t="shared" si="0"/>
        <v>28273.175770319831</v>
      </c>
      <c r="K5" s="1961">
        <f t="shared" ref="K5:K11" si="3">J5/I5</f>
        <v>9.7223421659030182E-2</v>
      </c>
      <c r="L5" s="4758">
        <v>187234.67018017784</v>
      </c>
      <c r="M5" s="1990">
        <f>CRM!AB41</f>
        <v>0</v>
      </c>
      <c r="N5" s="1990">
        <f>CRM!AC41</f>
        <v>0</v>
      </c>
      <c r="O5" s="1990">
        <f>CRM!AD41</f>
        <v>28273.175770319831</v>
      </c>
      <c r="P5" s="295" t="e">
        <f>CRM!AE41</f>
        <v>#DIV/0!</v>
      </c>
      <c r="Q5" s="1990" t="e">
        <f>CRM!AF41</f>
        <v>#DIV/0!</v>
      </c>
      <c r="R5" s="1990" t="e">
        <f>CRM!AG41</f>
        <v>#DIV/0!</v>
      </c>
      <c r="S5" s="1990" t="e">
        <f>CRM!AH41</f>
        <v>#DIV/0!</v>
      </c>
      <c r="T5" s="2284" t="e">
        <f>CRM!AI41</f>
        <v>#DIV/0!</v>
      </c>
      <c r="U5" s="2284" t="e">
        <f>CRM!AJ41</f>
        <v>#DIV/0!</v>
      </c>
      <c r="V5" s="295" t="e">
        <f>CRM!AK41</f>
        <v>#DIV/0!</v>
      </c>
      <c r="W5" s="295" t="e">
        <f>CRM!AL41</f>
        <v>#DIV/0!</v>
      </c>
      <c r="X5" s="295" t="e">
        <f>CRM!AM41</f>
        <v>#DIV/0!</v>
      </c>
      <c r="Y5" s="300">
        <v>0</v>
      </c>
      <c r="Z5" s="1265"/>
      <c r="AA5" s="329">
        <f>CRM!AN8+CRM!AN9+CRM!AN10+CRM!AN27+CRM!AN29+CRM!AN37+CRM!AN38</f>
        <v>182127.69483762336</v>
      </c>
      <c r="AG5" s="8267"/>
      <c r="AH5" s="5824" t="s">
        <v>3</v>
      </c>
      <c r="AI5" s="5831">
        <v>16</v>
      </c>
      <c r="AJ5" s="5835">
        <v>1227525.9043047759</v>
      </c>
      <c r="AK5" s="5839">
        <v>18</v>
      </c>
      <c r="AL5" s="3385">
        <v>170486.50146244143</v>
      </c>
      <c r="AM5" s="5652">
        <v>6</v>
      </c>
      <c r="AN5" s="3385">
        <v>577464.42603823391</v>
      </c>
    </row>
    <row r="6" spans="1:40" s="298" customFormat="1" ht="52.9" customHeight="1">
      <c r="A6" s="8284"/>
      <c r="B6" s="1279" t="s">
        <v>417</v>
      </c>
      <c r="C6" s="1280">
        <v>3</v>
      </c>
      <c r="D6" s="1280"/>
      <c r="E6" s="1280"/>
      <c r="F6" s="1280"/>
      <c r="G6" s="1281">
        <f t="shared" si="2"/>
        <v>0</v>
      </c>
      <c r="H6" s="3081">
        <f t="shared" si="1"/>
        <v>0</v>
      </c>
      <c r="I6" s="6309">
        <f>협력사!D17</f>
        <v>20614</v>
      </c>
      <c r="J6" s="2089">
        <f t="shared" si="0"/>
        <v>4390</v>
      </c>
      <c r="K6" s="1961">
        <f t="shared" si="3"/>
        <v>0.2129620646162802</v>
      </c>
      <c r="L6" s="4758">
        <v>31317</v>
      </c>
      <c r="M6" s="1990">
        <f>협력사!E17</f>
        <v>2195</v>
      </c>
      <c r="N6" s="1990">
        <f>협력사!F17</f>
        <v>0</v>
      </c>
      <c r="O6" s="1990">
        <f>협력사!G17</f>
        <v>2195</v>
      </c>
      <c r="P6" s="295">
        <f>협력사!H17</f>
        <v>0</v>
      </c>
      <c r="Q6" s="1990">
        <f>협력사!I17</f>
        <v>0</v>
      </c>
      <c r="R6" s="1990">
        <f>협력사!J17</f>
        <v>0</v>
      </c>
      <c r="S6" s="1990">
        <f>협력사!K17</f>
        <v>0</v>
      </c>
      <c r="T6" s="2284">
        <f>협력사!L17</f>
        <v>0</v>
      </c>
      <c r="U6" s="2284">
        <f>협력사!M17</f>
        <v>0</v>
      </c>
      <c r="V6" s="5546">
        <f>협력사!N17</f>
        <v>0</v>
      </c>
      <c r="W6" s="295">
        <f>협력사!O17</f>
        <v>0</v>
      </c>
      <c r="X6" s="295">
        <f>협력사!P17</f>
        <v>0</v>
      </c>
      <c r="Y6" s="300">
        <v>0</v>
      </c>
      <c r="Z6" s="1265"/>
      <c r="AA6" s="329">
        <f>I6</f>
        <v>20614</v>
      </c>
      <c r="AG6" s="8267"/>
      <c r="AH6" s="5824" t="s">
        <v>417</v>
      </c>
      <c r="AI6" s="5831">
        <v>5</v>
      </c>
      <c r="AJ6" s="5835">
        <v>15201.934999999999</v>
      </c>
      <c r="AK6" s="5839">
        <v>3</v>
      </c>
      <c r="AL6" s="3385">
        <v>8538.0949999999975</v>
      </c>
      <c r="AM6" s="5652">
        <v>3</v>
      </c>
      <c r="AN6" s="3385">
        <v>34766</v>
      </c>
    </row>
    <row r="7" spans="1:40" s="298" customFormat="1" ht="16.5">
      <c r="A7" s="8284"/>
      <c r="B7" s="1279" t="s">
        <v>4</v>
      </c>
      <c r="C7" s="1280">
        <v>35</v>
      </c>
      <c r="D7" s="1280"/>
      <c r="E7" s="1280"/>
      <c r="F7" s="1280"/>
      <c r="G7" s="1281">
        <f t="shared" si="2"/>
        <v>0</v>
      </c>
      <c r="H7" s="3081">
        <f t="shared" si="1"/>
        <v>0</v>
      </c>
      <c r="I7" s="6309">
        <f>CGL!AN45</f>
        <v>465923.1343153129</v>
      </c>
      <c r="J7" s="2089">
        <f t="shared" si="0"/>
        <v>0</v>
      </c>
      <c r="K7" s="1961">
        <f t="shared" si="3"/>
        <v>0</v>
      </c>
      <c r="L7" s="4758">
        <v>560131.54803857743</v>
      </c>
      <c r="M7" s="1990">
        <f>CGL!AB45</f>
        <v>0</v>
      </c>
      <c r="N7" s="1990">
        <f>CGL!AC45</f>
        <v>0</v>
      </c>
      <c r="O7" s="1990">
        <v>0</v>
      </c>
      <c r="P7" s="1990" t="e">
        <f>CGL!AE45</f>
        <v>#DIV/0!</v>
      </c>
      <c r="Q7" s="1990" t="e">
        <f>CGL!AF45</f>
        <v>#DIV/0!</v>
      </c>
      <c r="R7" s="1990" t="e">
        <f>CGL!AG45</f>
        <v>#DIV/0!</v>
      </c>
      <c r="S7" s="1990" t="e">
        <f>CGL!AH45</f>
        <v>#DIV/0!</v>
      </c>
      <c r="T7" s="1990" t="e">
        <f>CGL!AI45</f>
        <v>#DIV/0!</v>
      </c>
      <c r="U7" s="1990" t="e">
        <f>CGL!AJ45</f>
        <v>#DIV/0!</v>
      </c>
      <c r="V7" s="1990" t="e">
        <f>CGL!AK45</f>
        <v>#DIV/0!</v>
      </c>
      <c r="W7" s="1990" t="e">
        <f>CGL!AL45</f>
        <v>#DIV/0!</v>
      </c>
      <c r="X7" s="1990" t="e">
        <f>CGL!AM45</f>
        <v>#DIV/0!</v>
      </c>
      <c r="Y7" s="300">
        <v>0</v>
      </c>
      <c r="Z7" s="1265"/>
      <c r="AA7" s="329">
        <f>CGL!AN8+CGL!AN9+CGL!AN25+CGL!AN26+CGL!AN27+CGL!AN29+CGL!AN31+CGL!AN32+CGL!AN33+CGL!N39+CGL!N40+CGL!N41+CGL!AN42</f>
        <v>149629.13540848874</v>
      </c>
      <c r="AG7" s="8267"/>
      <c r="AH7" s="5824" t="s">
        <v>4</v>
      </c>
      <c r="AI7" s="5831">
        <v>10</v>
      </c>
      <c r="AJ7" s="5835">
        <v>1766066.6837757656</v>
      </c>
      <c r="AK7" s="5839">
        <v>7</v>
      </c>
      <c r="AL7" s="3385">
        <v>82785.042955935234</v>
      </c>
      <c r="AM7" s="5652">
        <v>8</v>
      </c>
      <c r="AN7" s="3385">
        <v>1052964.4624756929</v>
      </c>
    </row>
    <row r="8" spans="1:40" s="298" customFormat="1" ht="18" customHeight="1">
      <c r="A8" s="8284"/>
      <c r="B8" s="1279" t="s">
        <v>190</v>
      </c>
      <c r="C8" s="1280">
        <v>23</v>
      </c>
      <c r="D8" s="1280"/>
      <c r="E8" s="1280"/>
      <c r="F8" s="1280"/>
      <c r="G8" s="1281">
        <f>Y34</f>
        <v>1</v>
      </c>
      <c r="H8" s="3081">
        <f t="shared" si="1"/>
        <v>4.3478260869565216E-2</v>
      </c>
      <c r="I8" s="6309">
        <f>'#1CCL'!AN46</f>
        <v>1117582.8945204872</v>
      </c>
      <c r="J8" s="2089">
        <f t="shared" si="0"/>
        <v>-374887.66057869536</v>
      </c>
      <c r="K8" s="7367">
        <f t="shared" si="3"/>
        <v>-0.33544505952692266</v>
      </c>
      <c r="L8" s="4758">
        <v>460785.10261008114</v>
      </c>
      <c r="M8" s="1990">
        <f>'#1CCL'!AB46</f>
        <v>-70514.893545581901</v>
      </c>
      <c r="N8" s="1990">
        <f>'#1CCL'!AC46</f>
        <v>-106116.01255072007</v>
      </c>
      <c r="O8" s="1990">
        <f>'#1CCL'!AD46</f>
        <v>-198256.75448239336</v>
      </c>
      <c r="P8" s="1990" t="e">
        <f>'#1CCL'!AE46</f>
        <v>#DIV/0!</v>
      </c>
      <c r="Q8" s="1990" t="e">
        <f>'#1CCL'!AF46</f>
        <v>#DIV/0!</v>
      </c>
      <c r="R8" s="1990" t="e">
        <f>'#1CCL'!AG46</f>
        <v>#DIV/0!</v>
      </c>
      <c r="S8" s="1990" t="e">
        <f>'#1CCL'!AH46</f>
        <v>#DIV/0!</v>
      </c>
      <c r="T8" s="1990" t="e">
        <f>'#1CCL'!AI46</f>
        <v>#DIV/0!</v>
      </c>
      <c r="U8" s="1990" t="e">
        <f>'#1CCL'!AJ46</f>
        <v>#DIV/0!</v>
      </c>
      <c r="V8" s="1990" t="e">
        <f>'#1CCL'!AK46</f>
        <v>#DIV/0!</v>
      </c>
      <c r="W8" s="1990" t="e">
        <f>'#1CCL'!AL46</f>
        <v>#DIV/0!</v>
      </c>
      <c r="X8" s="1990" t="e">
        <f>'#1CCL'!AM46</f>
        <v>#DIV/0!</v>
      </c>
      <c r="Y8" s="300">
        <v>0</v>
      </c>
      <c r="Z8" s="2275"/>
      <c r="AA8" s="329">
        <f>'#1CCL'!AN8+'#1CCL'!AN9+'#1CCL'!AN10+'#1CCL'!AN31+'#1CCL'!AN39+'#1CCL'!AN40+'#1CCL'!AN42</f>
        <v>479054.10753333621</v>
      </c>
      <c r="AB8" s="1245" t="s">
        <v>1682</v>
      </c>
      <c r="AC8" s="1233"/>
      <c r="AD8" s="1233"/>
      <c r="AE8" s="1233"/>
      <c r="AF8" s="1233"/>
      <c r="AG8" s="8267"/>
      <c r="AH8" s="5824" t="s">
        <v>190</v>
      </c>
      <c r="AI8" s="5831">
        <v>16</v>
      </c>
      <c r="AJ8" s="5835">
        <v>1662468.3140091116</v>
      </c>
      <c r="AK8" s="5839">
        <v>16</v>
      </c>
      <c r="AL8" s="3385">
        <v>257254.93852279166</v>
      </c>
      <c r="AM8" s="5652">
        <v>9</v>
      </c>
      <c r="AN8" s="3385">
        <v>873105.90297422651</v>
      </c>
    </row>
    <row r="9" spans="1:40" s="298" customFormat="1" ht="18" customHeight="1">
      <c r="A9" s="8284"/>
      <c r="B9" s="1279" t="s">
        <v>418</v>
      </c>
      <c r="C9" s="1280">
        <v>1</v>
      </c>
      <c r="D9" s="1280"/>
      <c r="E9" s="1280"/>
      <c r="F9" s="1280"/>
      <c r="G9" s="1281">
        <f t="shared" si="2"/>
        <v>0</v>
      </c>
      <c r="H9" s="3081">
        <f t="shared" si="1"/>
        <v>0</v>
      </c>
      <c r="I9" s="6309">
        <f>협력사!D27</f>
        <v>69073.142999999996</v>
      </c>
      <c r="J9" s="2089">
        <f t="shared" si="0"/>
        <v>33300.89803857229</v>
      </c>
      <c r="K9" s="1961">
        <f t="shared" si="3"/>
        <v>0.48211065245101548</v>
      </c>
      <c r="L9" s="4758">
        <v>60683.063424283144</v>
      </c>
      <c r="M9" s="1990">
        <f>협력사!E27</f>
        <v>9730.0849529694078</v>
      </c>
      <c r="N9" s="1990">
        <f>협력사!F27</f>
        <v>13718.265811817637</v>
      </c>
      <c r="O9" s="1990">
        <f>협력사!G27</f>
        <v>9852.5472737852451</v>
      </c>
      <c r="P9" s="295">
        <f>협력사!H27</f>
        <v>0</v>
      </c>
      <c r="Q9" s="1990">
        <f>협력사!I27</f>
        <v>0</v>
      </c>
      <c r="R9" s="1990">
        <f>협력사!J27</f>
        <v>0</v>
      </c>
      <c r="S9" s="1990">
        <f>협력사!K27</f>
        <v>0</v>
      </c>
      <c r="T9" s="2284">
        <f>협력사!L27</f>
        <v>0</v>
      </c>
      <c r="U9" s="2284">
        <f>협력사!M27</f>
        <v>0</v>
      </c>
      <c r="V9" s="295">
        <f>협력사!N27</f>
        <v>0</v>
      </c>
      <c r="W9" s="295">
        <f>협력사!O27</f>
        <v>0</v>
      </c>
      <c r="X9" s="295">
        <f>협력사!P27</f>
        <v>0</v>
      </c>
      <c r="Y9" s="300">
        <v>0</v>
      </c>
      <c r="Z9" s="1267"/>
      <c r="AA9" s="329">
        <f>I9</f>
        <v>69073.142999999996</v>
      </c>
      <c r="AG9" s="8267"/>
      <c r="AH9" s="5824" t="s">
        <v>418</v>
      </c>
      <c r="AI9" s="5831">
        <v>1</v>
      </c>
      <c r="AJ9" s="5835">
        <v>33124.389322135568</v>
      </c>
      <c r="AK9" s="5839">
        <v>1</v>
      </c>
      <c r="AL9" s="3385">
        <v>45220.203959208164</v>
      </c>
      <c r="AM9" s="5652">
        <v>1</v>
      </c>
      <c r="AN9" s="3385">
        <v>79919.010128542286</v>
      </c>
    </row>
    <row r="10" spans="1:40" s="298" customFormat="1" ht="18" customHeight="1">
      <c r="A10" s="8284"/>
      <c r="B10" s="1279" t="s">
        <v>17</v>
      </c>
      <c r="C10" s="1280">
        <v>12</v>
      </c>
      <c r="D10" s="1280"/>
      <c r="E10" s="1280"/>
      <c r="F10" s="1280"/>
      <c r="G10" s="1281">
        <f t="shared" si="2"/>
        <v>3</v>
      </c>
      <c r="H10" s="3081">
        <f t="shared" si="1"/>
        <v>0.25</v>
      </c>
      <c r="I10" s="6309">
        <f>'#2CCL'!AN45</f>
        <v>499659.55936402315</v>
      </c>
      <c r="J10" s="2089">
        <f t="shared" si="0"/>
        <v>257059.28115057398</v>
      </c>
      <c r="K10" s="1961">
        <f t="shared" si="3"/>
        <v>0.51446885450918678</v>
      </c>
      <c r="L10" s="4759">
        <v>997015.42717807624</v>
      </c>
      <c r="M10" s="1990">
        <f>'#2CCL'!AB45</f>
        <v>3759.1547300704751</v>
      </c>
      <c r="N10" s="1990">
        <f>'#2CCL'!AC45</f>
        <v>76265.291707336495</v>
      </c>
      <c r="O10" s="1990">
        <f>'#2CCL'!AD45</f>
        <v>177034.83471316702</v>
      </c>
      <c r="P10" s="1990" t="e">
        <f>'#2CCL'!AE45</f>
        <v>#DIV/0!</v>
      </c>
      <c r="Q10" s="1990" t="e">
        <f>'#2CCL'!AF45</f>
        <v>#DIV/0!</v>
      </c>
      <c r="R10" s="1990" t="e">
        <f>'#2CCL'!AG45</f>
        <v>#DIV/0!</v>
      </c>
      <c r="S10" s="1990" t="e">
        <f>'#2CCL'!AH45</f>
        <v>#DIV/0!</v>
      </c>
      <c r="T10" s="1990" t="e">
        <f>'#2CCL'!AI45</f>
        <v>#DIV/0!</v>
      </c>
      <c r="U10" s="1990" t="e">
        <f>'#2CCL'!AJ45</f>
        <v>#DIV/0!</v>
      </c>
      <c r="V10" s="1990" t="e">
        <f>'#2CCL'!AK45</f>
        <v>#DIV/0!</v>
      </c>
      <c r="W10" s="1990" t="e">
        <f>'#2CCL'!AL45</f>
        <v>#DIV/0!</v>
      </c>
      <c r="X10" s="1990" t="e">
        <f>'#2CCL'!AM45</f>
        <v>#DIV/0!</v>
      </c>
      <c r="Y10" s="300">
        <v>0</v>
      </c>
      <c r="Z10" s="1958"/>
      <c r="AA10" s="329">
        <f>'#2CCL'!AN8+'#2CCL'!AN9+'#2CCL'!AN10+'#2CCL'!AN31+'#2CCL'!AN37+'#2CCL'!AN39+'#2CCL'!AN42</f>
        <v>313337.90409476706</v>
      </c>
      <c r="AG10" s="8267"/>
      <c r="AH10" s="5824" t="s">
        <v>17</v>
      </c>
      <c r="AI10" s="5831">
        <v>10</v>
      </c>
      <c r="AJ10" s="5835">
        <v>459053.92602107511</v>
      </c>
      <c r="AK10" s="5839">
        <v>14</v>
      </c>
      <c r="AL10" s="3385">
        <v>-519639.30847224372</v>
      </c>
      <c r="AM10" s="5652">
        <v>11</v>
      </c>
      <c r="AN10" s="3385">
        <v>1091742.7862893781</v>
      </c>
    </row>
    <row r="11" spans="1:40" s="298" customFormat="1" ht="18" customHeight="1">
      <c r="A11" s="8284"/>
      <c r="B11" s="1279" t="s">
        <v>419</v>
      </c>
      <c r="C11" s="1280">
        <v>1</v>
      </c>
      <c r="D11" s="1280"/>
      <c r="E11" s="1280"/>
      <c r="F11" s="1280"/>
      <c r="G11" s="1281">
        <f t="shared" si="2"/>
        <v>0</v>
      </c>
      <c r="H11" s="3081">
        <f t="shared" si="1"/>
        <v>0</v>
      </c>
      <c r="I11" s="6309">
        <f>협력사!D36</f>
        <v>75651.831999999995</v>
      </c>
      <c r="J11" s="2089">
        <f t="shared" si="0"/>
        <v>17950.218974195323</v>
      </c>
      <c r="K11" s="1961">
        <f t="shared" si="3"/>
        <v>0.23727408179877685</v>
      </c>
      <c r="L11" s="4758">
        <v>23537.060388000002</v>
      </c>
      <c r="M11" s="1990">
        <f>협력사!E36</f>
        <v>5365.6571615724006</v>
      </c>
      <c r="N11" s="1990">
        <f>협력사!F36</f>
        <v>5865.2209326229204</v>
      </c>
      <c r="O11" s="1990">
        <f>협력사!G36</f>
        <v>6719.3408800000007</v>
      </c>
      <c r="P11" s="295">
        <f>협력사!H36</f>
        <v>0</v>
      </c>
      <c r="Q11" s="1990">
        <f>협력사!I36</f>
        <v>0</v>
      </c>
      <c r="R11" s="1990">
        <f>협력사!J36</f>
        <v>0</v>
      </c>
      <c r="S11" s="1990">
        <f>협력사!K36</f>
        <v>0</v>
      </c>
      <c r="T11" s="2284">
        <f>협력사!L36</f>
        <v>0</v>
      </c>
      <c r="U11" s="2284">
        <f>협력사!M36</f>
        <v>0</v>
      </c>
      <c r="V11" s="295">
        <f>협력사!N36</f>
        <v>0</v>
      </c>
      <c r="W11" s="295">
        <f>협력사!O36</f>
        <v>0</v>
      </c>
      <c r="X11" s="295">
        <f>협력사!P36</f>
        <v>0</v>
      </c>
      <c r="Y11" s="300">
        <v>0</v>
      </c>
      <c r="Z11" s="1267"/>
      <c r="AA11" s="329">
        <f>I11</f>
        <v>75651.831999999995</v>
      </c>
      <c r="AG11" s="8267"/>
      <c r="AH11" s="5824" t="s">
        <v>419</v>
      </c>
      <c r="AI11" s="5831">
        <v>1</v>
      </c>
      <c r="AJ11" s="5835">
        <v>15269.887384685228</v>
      </c>
      <c r="AK11" s="5839">
        <v>1</v>
      </c>
      <c r="AL11" s="3385">
        <v>15575.245707615235</v>
      </c>
      <c r="AM11" s="5652">
        <v>1</v>
      </c>
      <c r="AN11" s="3385">
        <v>27198.438516000002</v>
      </c>
    </row>
    <row r="12" spans="1:40" s="298" customFormat="1" ht="18" customHeight="1">
      <c r="A12" s="8284"/>
      <c r="B12" s="1279" t="s">
        <v>193</v>
      </c>
      <c r="C12" s="1280">
        <v>4</v>
      </c>
      <c r="D12" s="1280"/>
      <c r="E12" s="1280"/>
      <c r="F12" s="1280"/>
      <c r="G12" s="1281">
        <f t="shared" si="2"/>
        <v>0</v>
      </c>
      <c r="H12" s="3081">
        <f t="shared" si="1"/>
        <v>0</v>
      </c>
      <c r="I12" s="6309">
        <f>협력사!D46</f>
        <v>265450.09151337267</v>
      </c>
      <c r="J12" s="2089">
        <f t="shared" si="0"/>
        <v>-17801.778872376759</v>
      </c>
      <c r="K12" s="7367">
        <f t="shared" ref="K12:K19" si="4">J12/I12</f>
        <v>-6.7062620965342379E-2</v>
      </c>
      <c r="L12" s="4758">
        <v>106429.16837609126</v>
      </c>
      <c r="M12" s="1990">
        <f>협력사!E46</f>
        <v>-12058.937095906866</v>
      </c>
      <c r="N12" s="1990">
        <f>협력사!F46</f>
        <v>5267.1866378160485</v>
      </c>
      <c r="O12" s="1990">
        <f>협력사!G46</f>
        <v>-11010.028414285942</v>
      </c>
      <c r="P12" s="2284" t="e">
        <f>협력사!H46</f>
        <v>#DIV/0!</v>
      </c>
      <c r="Q12" s="1990" t="e">
        <f>협력사!I46</f>
        <v>#DIV/0!</v>
      </c>
      <c r="R12" s="1990" t="e">
        <f>협력사!J46</f>
        <v>#DIV/0!</v>
      </c>
      <c r="S12" s="1990" t="e">
        <f>협력사!K46</f>
        <v>#DIV/0!</v>
      </c>
      <c r="T12" s="2284" t="e">
        <f>협력사!L46</f>
        <v>#DIV/0!</v>
      </c>
      <c r="U12" s="2284" t="e">
        <f>협력사!M46</f>
        <v>#DIV/0!</v>
      </c>
      <c r="V12" s="295" t="e">
        <f>협력사!N46</f>
        <v>#DIV/0!</v>
      </c>
      <c r="W12" s="295">
        <f>협력사!O46</f>
        <v>0</v>
      </c>
      <c r="X12" s="295">
        <f>협력사!P46</f>
        <v>0</v>
      </c>
      <c r="Y12" s="300">
        <v>0</v>
      </c>
      <c r="Z12" s="1266"/>
      <c r="AA12" s="329">
        <f>I12</f>
        <v>265450.09151337267</v>
      </c>
      <c r="AG12" s="8267"/>
      <c r="AH12" s="5824" t="s">
        <v>193</v>
      </c>
      <c r="AI12" s="5831">
        <v>3</v>
      </c>
      <c r="AJ12" s="5835">
        <v>78007.823000000004</v>
      </c>
      <c r="AK12" s="5839">
        <v>0</v>
      </c>
      <c r="AL12" s="3385">
        <v>9576.7700918666778</v>
      </c>
      <c r="AM12" s="5652">
        <v>0</v>
      </c>
      <c r="AN12" s="3385">
        <v>137348.26693315513</v>
      </c>
    </row>
    <row r="13" spans="1:40" s="298" customFormat="1" ht="21.75" customHeight="1">
      <c r="A13" s="8284"/>
      <c r="B13" s="1283" t="s">
        <v>197</v>
      </c>
      <c r="C13" s="1284">
        <f>SUM(C3:C12)</f>
        <v>121</v>
      </c>
      <c r="D13" s="1284">
        <f>SUM(D3:D12)</f>
        <v>0</v>
      </c>
      <c r="E13" s="1284">
        <f>SUM(E3:E12)</f>
        <v>0</v>
      </c>
      <c r="F13" s="1284">
        <f>SUM(F3:F12)</f>
        <v>0</v>
      </c>
      <c r="G13" s="1284">
        <f>SUM(G3:G12)</f>
        <v>4</v>
      </c>
      <c r="H13" s="1285">
        <f t="shared" ref="H13:H20" si="5">G13/C13</f>
        <v>3.3057851239669422E-2</v>
      </c>
      <c r="I13" s="6310">
        <f>SUM(I3:I12)</f>
        <v>3393991.7567445342</v>
      </c>
      <c r="J13" s="1298">
        <f>SUM(J3:J12)</f>
        <v>-24838.10651499734</v>
      </c>
      <c r="K13" s="7368">
        <f t="shared" si="4"/>
        <v>-7.3182577611271742E-3</v>
      </c>
      <c r="L13" s="4760">
        <f>SUM(L3:L12)</f>
        <v>2725322.2893207436</v>
      </c>
      <c r="M13" s="2523">
        <f>SUM(M3:M12)</f>
        <v>-59923.933796876474</v>
      </c>
      <c r="N13" s="2523">
        <f t="shared" ref="N13:X13" si="6">SUM(N3:N12)</f>
        <v>-5000.0474611269747</v>
      </c>
      <c r="O13" s="1286">
        <f t="shared" si="6"/>
        <v>40085.874743006192</v>
      </c>
      <c r="P13" s="1286" t="e">
        <f t="shared" si="6"/>
        <v>#DIV/0!</v>
      </c>
      <c r="Q13" s="2120" t="e">
        <f t="shared" si="6"/>
        <v>#DIV/0!</v>
      </c>
      <c r="R13" s="2120" t="e">
        <f t="shared" si="6"/>
        <v>#DIV/0!</v>
      </c>
      <c r="S13" s="2120" t="e">
        <f t="shared" si="6"/>
        <v>#DIV/0!</v>
      </c>
      <c r="T13" s="1286" t="e">
        <f t="shared" si="6"/>
        <v>#DIV/0!</v>
      </c>
      <c r="U13" s="2285" t="e">
        <f t="shared" si="6"/>
        <v>#DIV/0!</v>
      </c>
      <c r="V13" s="1286" t="e">
        <f t="shared" si="6"/>
        <v>#DIV/0!</v>
      </c>
      <c r="W13" s="2523" t="e">
        <f t="shared" si="6"/>
        <v>#DIV/0!</v>
      </c>
      <c r="X13" s="1286" t="e">
        <f t="shared" si="6"/>
        <v>#DIV/0!</v>
      </c>
      <c r="Y13" s="1286">
        <f>SUM(Y3:Y12)</f>
        <v>0</v>
      </c>
      <c r="Z13" s="1287">
        <f>Y13/C13</f>
        <v>0</v>
      </c>
      <c r="AA13" s="4753"/>
      <c r="AG13" s="8267"/>
      <c r="AH13" s="5825" t="s">
        <v>197</v>
      </c>
      <c r="AI13" s="5657">
        <v>76</v>
      </c>
      <c r="AJ13" s="5836">
        <v>5551137.1390112014</v>
      </c>
      <c r="AK13" s="5656">
        <v>80</v>
      </c>
      <c r="AL13" s="4234">
        <v>-616996.66098932584</v>
      </c>
      <c r="AM13" s="4088">
        <v>53</v>
      </c>
      <c r="AN13" s="4234">
        <v>4443840.4815377593</v>
      </c>
    </row>
    <row r="14" spans="1:40" s="298" customFormat="1" ht="16.5">
      <c r="A14" s="8284" t="s">
        <v>1061</v>
      </c>
      <c r="B14" s="1279" t="s">
        <v>226</v>
      </c>
      <c r="C14" s="300">
        <f>고장!M138</f>
        <v>10</v>
      </c>
      <c r="D14" s="1288"/>
      <c r="E14" s="1280"/>
      <c r="F14" s="1280"/>
      <c r="G14" s="1281">
        <f>Y39</f>
        <v>2</v>
      </c>
      <c r="H14" s="3081">
        <f>G14/(C14+E14)</f>
        <v>0.2</v>
      </c>
      <c r="I14" s="6309">
        <f>년간!E168/1000-고장!AB149</f>
        <v>808502.39288326935</v>
      </c>
      <c r="J14" s="1140">
        <f>M14+N14+O14</f>
        <v>46130.939294396027</v>
      </c>
      <c r="K14" s="1961">
        <f t="shared" si="4"/>
        <v>5.7057269960432089E-2</v>
      </c>
      <c r="L14" s="8291" t="s">
        <v>1709</v>
      </c>
      <c r="M14" s="1990">
        <f>고장!AC43+고장!AC53+고장!AC63</f>
        <v>32621.790703128194</v>
      </c>
      <c r="N14" s="1990">
        <f>고장!AD43+고장!AD53+고장!AD63</f>
        <v>1068.5555122541473</v>
      </c>
      <c r="O14" s="1990">
        <f>고장!AE43+고장!AE53+고장!AE63</f>
        <v>12440.593079013681</v>
      </c>
      <c r="P14" s="295" t="e">
        <f>고장!AF43+고장!AF53+고장!AF63</f>
        <v>#DIV/0!</v>
      </c>
      <c r="Q14" s="1990" t="e">
        <f>고장!AG43+고장!AG53+고장!AG63</f>
        <v>#DIV/0!</v>
      </c>
      <c r="R14" s="1990" t="e">
        <f>고장!AH43+고장!AH53+고장!AH63</f>
        <v>#DIV/0!</v>
      </c>
      <c r="S14" s="1990" t="e">
        <f>고장!AI43+고장!AI53+고장!AI63</f>
        <v>#DIV/0!</v>
      </c>
      <c r="T14" s="1990" t="e">
        <f>고장!AJ43+고장!AJ53+고장!AJ63</f>
        <v>#DIV/0!</v>
      </c>
      <c r="U14" s="1990" t="e">
        <f>고장!AK43+고장!AK53+고장!AK63</f>
        <v>#DIV/0!</v>
      </c>
      <c r="V14" s="5546" t="e">
        <f>고장!AL43+고장!AL53+고장!AL63</f>
        <v>#DIV/0!</v>
      </c>
      <c r="W14" s="295" t="e">
        <f>고장!AM43+고장!AM53+고장!AM63</f>
        <v>#DIV/0!</v>
      </c>
      <c r="X14" s="295" t="e">
        <f>고장!AN43+고장!AN53+고장!AN63</f>
        <v>#DIV/0!</v>
      </c>
      <c r="Y14" s="300">
        <v>0</v>
      </c>
      <c r="Z14" s="2276"/>
      <c r="AA14" s="4753"/>
      <c r="AB14" s="298" t="s">
        <v>1705</v>
      </c>
      <c r="AC14" s="695">
        <f>I3+I4+I5+I6+I7</f>
        <v>1366574.2363466516</v>
      </c>
      <c r="AD14" s="695">
        <f>J3+J4+J5+J6+J7</f>
        <v>59540.934772733213</v>
      </c>
      <c r="AE14" s="1426">
        <f>AD14/AC14</f>
        <v>4.3569484327399384E-2</v>
      </c>
      <c r="AG14" s="8267" t="s">
        <v>1061</v>
      </c>
      <c r="AH14" s="5824" t="s">
        <v>226</v>
      </c>
      <c r="AI14" s="5831">
        <v>44</v>
      </c>
      <c r="AJ14" s="5835">
        <v>1064058.7849852052</v>
      </c>
      <c r="AK14" s="5839">
        <v>26</v>
      </c>
      <c r="AL14" s="3385">
        <v>551703.11027910688</v>
      </c>
      <c r="AM14" s="5652">
        <v>18.3</v>
      </c>
      <c r="AN14" s="3385">
        <v>187062.72848999727</v>
      </c>
    </row>
    <row r="15" spans="1:40" s="298" customFormat="1" ht="18" customHeight="1">
      <c r="A15" s="8284"/>
      <c r="B15" s="1279" t="s">
        <v>227</v>
      </c>
      <c r="C15" s="1280">
        <f>고장!M114+고장!M126</f>
        <v>11</v>
      </c>
      <c r="D15" s="1280"/>
      <c r="E15" s="1280"/>
      <c r="F15" s="1280"/>
      <c r="G15" s="1281">
        <f>Y40</f>
        <v>4</v>
      </c>
      <c r="H15" s="1282">
        <f>G15/(C15+E15)</f>
        <v>0.36363636363636365</v>
      </c>
      <c r="I15" s="6309">
        <f>년간!E172/1000</f>
        <v>217433.36409292754</v>
      </c>
      <c r="J15" s="1140">
        <f>M15+N15+O15</f>
        <v>952.57027586052482</v>
      </c>
      <c r="K15" s="1961">
        <f t="shared" si="4"/>
        <v>4.3809756604483727E-3</v>
      </c>
      <c r="L15" s="8292"/>
      <c r="M15" s="1990">
        <f>고장!AC81+고장!AC91+고장!AC102</f>
        <v>5654.201282678333</v>
      </c>
      <c r="N15" s="1990">
        <f>고장!AD81+고장!AD91+고장!AD102</f>
        <v>2073.6040658926631</v>
      </c>
      <c r="O15" s="1990">
        <f>고장!AE81+고장!AE91+고장!AE102</f>
        <v>-6775.2350727104713</v>
      </c>
      <c r="P15" s="295" t="e">
        <f>고장!AF81+고장!AF91+고장!AF102</f>
        <v>#DIV/0!</v>
      </c>
      <c r="Q15" s="1990" t="e">
        <f>고장!AG81+고장!AG91+고장!AG102</f>
        <v>#DIV/0!</v>
      </c>
      <c r="R15" s="1990" t="e">
        <f>고장!AH81+고장!AH91+고장!AH102</f>
        <v>#DIV/0!</v>
      </c>
      <c r="S15" s="1990" t="e">
        <f>고장!AI81+고장!AI91+고장!AI102</f>
        <v>#DIV/0!</v>
      </c>
      <c r="T15" s="1990" t="e">
        <f>고장!AJ81+고장!AJ91+고장!AJ102</f>
        <v>#DIV/0!</v>
      </c>
      <c r="U15" s="1990" t="e">
        <f>고장!AK81+고장!AK91+고장!AK102</f>
        <v>#DIV/0!</v>
      </c>
      <c r="V15" s="295" t="e">
        <f>고장!AL81+고장!AL91+고장!AL102</f>
        <v>#DIV/0!</v>
      </c>
      <c r="W15" s="295" t="e">
        <f>고장!AM81+고장!AM91+고장!AM102</f>
        <v>#DIV/0!</v>
      </c>
      <c r="X15" s="295" t="e">
        <f>고장!AN81+고장!AN91+고장!AN102</f>
        <v>#DIV/0!</v>
      </c>
      <c r="Y15" s="300">
        <v>3</v>
      </c>
      <c r="Z15" s="2277"/>
      <c r="AA15" s="4753"/>
      <c r="AB15" s="298" t="s">
        <v>1706</v>
      </c>
      <c r="AC15" s="695">
        <f>I8+I9+I10+I11+I12</f>
        <v>2027417.5203978829</v>
      </c>
      <c r="AD15" s="695">
        <f>J8+J9+J10+J11+J12</f>
        <v>-84379.041287730535</v>
      </c>
      <c r="AE15" s="1426">
        <f>AD15/AC15</f>
        <v>-4.1618976081044742E-2</v>
      </c>
      <c r="AG15" s="8267"/>
      <c r="AH15" s="5824" t="s">
        <v>227</v>
      </c>
      <c r="AI15" s="5831">
        <v>39</v>
      </c>
      <c r="AJ15" s="5835">
        <v>211134.0617994722</v>
      </c>
      <c r="AK15" s="5839">
        <v>37</v>
      </c>
      <c r="AL15" s="3385">
        <v>242378.01117178207</v>
      </c>
      <c r="AM15" s="5652">
        <v>24.8</v>
      </c>
      <c r="AN15" s="3385">
        <v>168699.90865424159</v>
      </c>
    </row>
    <row r="16" spans="1:40" s="298" customFormat="1" ht="16.5">
      <c r="A16" s="8284"/>
      <c r="B16" s="1279" t="s">
        <v>229</v>
      </c>
      <c r="C16" s="1280">
        <f>고장!M149</f>
        <v>7</v>
      </c>
      <c r="D16" s="1280"/>
      <c r="E16" s="1280"/>
      <c r="F16" s="1280"/>
      <c r="G16" s="1281">
        <f>Y41</f>
        <v>3</v>
      </c>
      <c r="H16" s="1282">
        <f>G16/(C16+E16)</f>
        <v>0.42857142857142855</v>
      </c>
      <c r="I16" s="6309">
        <f>고장!AB149</f>
        <v>236004.40900000001</v>
      </c>
      <c r="J16" s="1140">
        <f>M16+N16+O16</f>
        <v>53748</v>
      </c>
      <c r="K16" s="1961">
        <f t="shared" si="4"/>
        <v>0.22774150799869167</v>
      </c>
      <c r="L16" s="8292"/>
      <c r="M16" s="1990">
        <f>고장!AC149</f>
        <v>24500</v>
      </c>
      <c r="N16" s="1990">
        <f>고장!AD149</f>
        <v>0</v>
      </c>
      <c r="O16" s="1990">
        <f>고장!AE149</f>
        <v>29248</v>
      </c>
      <c r="P16" s="295">
        <f>고장!AF149</f>
        <v>0</v>
      </c>
      <c r="Q16" s="1990">
        <f>고장!AG149</f>
        <v>0</v>
      </c>
      <c r="R16" s="1990">
        <f>고장!AH149</f>
        <v>0</v>
      </c>
      <c r="S16" s="1990">
        <f>고장!AI149</f>
        <v>0</v>
      </c>
      <c r="T16" s="1990">
        <f>고장!AJ149</f>
        <v>0</v>
      </c>
      <c r="U16" s="1990">
        <f>고장!AK149</f>
        <v>0</v>
      </c>
      <c r="V16" s="295">
        <f>고장!AL149</f>
        <v>0</v>
      </c>
      <c r="W16" s="295">
        <f>고장!AM149</f>
        <v>0</v>
      </c>
      <c r="X16" s="295">
        <f>고장!AN149</f>
        <v>0</v>
      </c>
      <c r="Y16" s="300">
        <v>0</v>
      </c>
      <c r="Z16" s="1326"/>
      <c r="AA16" s="4753"/>
      <c r="AG16" s="8267"/>
      <c r="AH16" s="5824" t="s">
        <v>229</v>
      </c>
      <c r="AI16" s="5831">
        <v>28</v>
      </c>
      <c r="AJ16" s="5835">
        <v>71521</v>
      </c>
      <c r="AK16" s="5839">
        <v>9</v>
      </c>
      <c r="AL16" s="3385">
        <v>169870</v>
      </c>
      <c r="AM16" s="5652">
        <v>14</v>
      </c>
      <c r="AN16" s="3385">
        <v>49918</v>
      </c>
    </row>
    <row r="17" spans="1:40" s="298" customFormat="1" ht="21.75" customHeight="1">
      <c r="A17" s="8284"/>
      <c r="B17" s="1283" t="s">
        <v>197</v>
      </c>
      <c r="C17" s="1284">
        <f>SUM(C14:C16)</f>
        <v>28</v>
      </c>
      <c r="D17" s="1284">
        <f>SUM(D14:D16)</f>
        <v>0</v>
      </c>
      <c r="E17" s="1284">
        <f>SUM(E14:E16)</f>
        <v>0</v>
      </c>
      <c r="F17" s="1284">
        <f>SUM(F14:F16)</f>
        <v>0</v>
      </c>
      <c r="G17" s="5547">
        <f>SUM(G14:G16)</f>
        <v>9</v>
      </c>
      <c r="H17" s="1285">
        <f>G17/(C17+E17)</f>
        <v>0.32142857142857145</v>
      </c>
      <c r="I17" s="6310">
        <f>SUM(I14:I16)</f>
        <v>1261940.165976197</v>
      </c>
      <c r="J17" s="1298">
        <f>SUM(J14:J16)</f>
        <v>100831.50957025654</v>
      </c>
      <c r="K17" s="1296">
        <f t="shared" si="4"/>
        <v>7.9901973396857909E-2</v>
      </c>
      <c r="L17" s="8293"/>
      <c r="M17" s="1286">
        <f>SUM(M14:M16)</f>
        <v>62775.991985806526</v>
      </c>
      <c r="N17" s="1286">
        <f t="shared" ref="N17:X17" si="7">SUM(N14:N16)</f>
        <v>3142.1595781468104</v>
      </c>
      <c r="O17" s="1286">
        <f t="shared" si="7"/>
        <v>34913.358006303213</v>
      </c>
      <c r="P17" s="1286" t="e">
        <f t="shared" si="7"/>
        <v>#DIV/0!</v>
      </c>
      <c r="Q17" s="2120" t="e">
        <f t="shared" si="7"/>
        <v>#DIV/0!</v>
      </c>
      <c r="R17" s="2120" t="e">
        <f t="shared" si="7"/>
        <v>#DIV/0!</v>
      </c>
      <c r="S17" s="2120" t="e">
        <f t="shared" si="7"/>
        <v>#DIV/0!</v>
      </c>
      <c r="T17" s="2120" t="e">
        <f t="shared" si="7"/>
        <v>#DIV/0!</v>
      </c>
      <c r="U17" s="2120" t="e">
        <f t="shared" si="7"/>
        <v>#DIV/0!</v>
      </c>
      <c r="V17" s="2285" t="e">
        <f t="shared" si="7"/>
        <v>#DIV/0!</v>
      </c>
      <c r="W17" s="1286" t="e">
        <f t="shared" si="7"/>
        <v>#DIV/0!</v>
      </c>
      <c r="X17" s="1286" t="e">
        <f t="shared" si="7"/>
        <v>#DIV/0!</v>
      </c>
      <c r="Y17" s="1286">
        <f>SUM(Y14:Y16)</f>
        <v>3</v>
      </c>
      <c r="Z17" s="1287">
        <f>Y17/C17</f>
        <v>0.10714285714285714</v>
      </c>
      <c r="AA17" s="4753"/>
      <c r="AB17" s="1451" t="s">
        <v>1705</v>
      </c>
      <c r="AC17" s="298">
        <f>C3+C4+C5+C6+C7</f>
        <v>80</v>
      </c>
      <c r="AD17" s="4754">
        <f>G3+G4+G5+G6+G7</f>
        <v>0</v>
      </c>
      <c r="AE17" s="1426">
        <f>AD17/AC17</f>
        <v>0</v>
      </c>
      <c r="AG17" s="8267"/>
      <c r="AH17" s="5825" t="s">
        <v>197</v>
      </c>
      <c r="AI17" s="5832">
        <v>111</v>
      </c>
      <c r="AJ17" s="5836">
        <v>1346713.8467846774</v>
      </c>
      <c r="AK17" s="5656">
        <v>72</v>
      </c>
      <c r="AL17" s="4234">
        <v>963951.12145088892</v>
      </c>
      <c r="AM17" s="4088">
        <v>57.1</v>
      </c>
      <c r="AN17" s="4234">
        <v>405680.63714423886</v>
      </c>
    </row>
    <row r="18" spans="1:40" s="298" customFormat="1" ht="18" customHeight="1">
      <c r="A18" s="8284" t="s">
        <v>1062</v>
      </c>
      <c r="B18" s="1289" t="s">
        <v>228</v>
      </c>
      <c r="C18" s="1290">
        <v>4</v>
      </c>
      <c r="D18" s="1280"/>
      <c r="E18" s="1280"/>
      <c r="F18" s="1280"/>
      <c r="G18" s="1281">
        <f>Y42</f>
        <v>1</v>
      </c>
      <c r="H18" s="1282">
        <f t="shared" si="5"/>
        <v>0.25</v>
      </c>
      <c r="I18" s="6311">
        <f>협력사!D57</f>
        <v>47000</v>
      </c>
      <c r="J18" s="1140">
        <f>M18+N18+O18</f>
        <v>26889.399999999998</v>
      </c>
      <c r="K18" s="7369">
        <f t="shared" si="4"/>
        <v>0.57211489361702128</v>
      </c>
      <c r="L18" s="4758">
        <f>J18</f>
        <v>26889.399999999998</v>
      </c>
      <c r="M18" s="1991">
        <f>협력사!E57</f>
        <v>21000</v>
      </c>
      <c r="N18" s="1991">
        <f>협력사!F57</f>
        <v>2941.3</v>
      </c>
      <c r="O18" s="1991">
        <f>협력사!G57</f>
        <v>2948.1</v>
      </c>
      <c r="P18" s="296">
        <f>협력사!H57</f>
        <v>0</v>
      </c>
      <c r="Q18" s="1991">
        <f>협력사!I57</f>
        <v>0</v>
      </c>
      <c r="R18" s="1991">
        <f>협력사!J57</f>
        <v>0</v>
      </c>
      <c r="S18" s="1991">
        <f>협력사!K57</f>
        <v>0</v>
      </c>
      <c r="T18" s="1991">
        <f>협력사!L57</f>
        <v>0</v>
      </c>
      <c r="U18" s="1991">
        <f>협력사!M57</f>
        <v>0</v>
      </c>
      <c r="V18" s="296">
        <f>협력사!N57</f>
        <v>0</v>
      </c>
      <c r="W18" s="296">
        <f>협력사!O57</f>
        <v>0</v>
      </c>
      <c r="X18" s="296">
        <f>협력사!P57</f>
        <v>0</v>
      </c>
      <c r="Y18" s="300">
        <v>0</v>
      </c>
      <c r="Z18" s="301"/>
      <c r="AA18" s="418">
        <f>I18</f>
        <v>47000</v>
      </c>
      <c r="AB18" s="1451" t="s">
        <v>1706</v>
      </c>
      <c r="AC18" s="298">
        <f>C8+C9+C10+C11+C12</f>
        <v>41</v>
      </c>
      <c r="AD18" s="4754">
        <f>G8+G9+G10+G11+G12</f>
        <v>4</v>
      </c>
      <c r="AE18" s="1426">
        <f>AD18/AC18</f>
        <v>9.7560975609756101E-2</v>
      </c>
      <c r="AG18" s="8267" t="s">
        <v>1062</v>
      </c>
      <c r="AH18" s="5826" t="s">
        <v>228</v>
      </c>
      <c r="AI18" s="5831">
        <v>4</v>
      </c>
      <c r="AJ18" s="5835">
        <v>133317</v>
      </c>
      <c r="AK18" s="5839">
        <v>4</v>
      </c>
      <c r="AL18" s="3385">
        <v>60581.4</v>
      </c>
      <c r="AM18" s="5652">
        <v>3</v>
      </c>
      <c r="AN18" s="3385">
        <v>30614</v>
      </c>
    </row>
    <row r="19" spans="1:40" s="1451" customFormat="1" ht="16.5">
      <c r="A19" s="8285"/>
      <c r="B19" s="1673" t="s">
        <v>1015</v>
      </c>
      <c r="C19" s="1674">
        <v>4</v>
      </c>
      <c r="D19" s="1675"/>
      <c r="E19" s="1675"/>
      <c r="F19" s="1675"/>
      <c r="G19" s="1676">
        <f>Y43</f>
        <v>0</v>
      </c>
      <c r="H19" s="1282">
        <f t="shared" si="5"/>
        <v>0</v>
      </c>
      <c r="I19" s="6312">
        <f>협력사!D66</f>
        <v>70966</v>
      </c>
      <c r="J19" s="1140">
        <f>M19+N19+O19</f>
        <v>6792.32</v>
      </c>
      <c r="K19" s="1961">
        <f t="shared" si="4"/>
        <v>9.571231293859031E-2</v>
      </c>
      <c r="L19" s="4763"/>
      <c r="M19" s="1992">
        <f>협력사!E66</f>
        <v>6166</v>
      </c>
      <c r="N19" s="1992">
        <f>협력사!F66</f>
        <v>6198.48</v>
      </c>
      <c r="O19" s="1992">
        <f>협력사!G66</f>
        <v>-5572.16</v>
      </c>
      <c r="P19" s="1677">
        <f>협력사!H66</f>
        <v>0</v>
      </c>
      <c r="Q19" s="1992">
        <f>협력사!I66</f>
        <v>0</v>
      </c>
      <c r="R19" s="1992">
        <f>협력사!J66</f>
        <v>0</v>
      </c>
      <c r="S19" s="1992">
        <f>협력사!K66</f>
        <v>0</v>
      </c>
      <c r="T19" s="1992">
        <f>협력사!L66</f>
        <v>0</v>
      </c>
      <c r="U19" s="1992">
        <f>협력사!M66</f>
        <v>0</v>
      </c>
      <c r="V19" s="1677">
        <f>협력사!N66</f>
        <v>0</v>
      </c>
      <c r="W19" s="1677">
        <f>협력사!O66</f>
        <v>0</v>
      </c>
      <c r="X19" s="1677">
        <f>협력사!P66</f>
        <v>0</v>
      </c>
      <c r="Y19" s="1678">
        <v>0</v>
      </c>
      <c r="Z19" s="1679"/>
      <c r="AA19" s="418"/>
      <c r="AG19" s="8268"/>
      <c r="AH19" s="5827" t="s">
        <v>1015</v>
      </c>
      <c r="AI19" s="5831">
        <v>0</v>
      </c>
      <c r="AJ19" s="5835">
        <v>0</v>
      </c>
      <c r="AK19" s="5839">
        <v>4</v>
      </c>
      <c r="AL19" s="3385">
        <v>543649.31999999995</v>
      </c>
      <c r="AM19" s="5652">
        <v>0</v>
      </c>
      <c r="AN19" s="3385">
        <v>95979.166666666701</v>
      </c>
    </row>
    <row r="20" spans="1:40" s="298" customFormat="1" ht="21.75" customHeight="1">
      <c r="A20" s="8286"/>
      <c r="B20" s="1291" t="s">
        <v>197</v>
      </c>
      <c r="C20" s="1291">
        <f>SUM(C18:C19)</f>
        <v>8</v>
      </c>
      <c r="D20" s="1291">
        <f>SUM(D18:D19)</f>
        <v>0</v>
      </c>
      <c r="E20" s="1291">
        <f>SUM(E18:E19)</f>
        <v>0</v>
      </c>
      <c r="F20" s="1291">
        <f>SUM(F18:F19)</f>
        <v>0</v>
      </c>
      <c r="G20" s="1291">
        <f>SUM(G18:G19)</f>
        <v>1</v>
      </c>
      <c r="H20" s="1292">
        <f t="shared" si="5"/>
        <v>0.125</v>
      </c>
      <c r="I20" s="6313">
        <f>SUM(I18:I19)</f>
        <v>117966</v>
      </c>
      <c r="J20" s="1299">
        <f>SUM(J18:J19)</f>
        <v>33681.72</v>
      </c>
      <c r="K20" s="1297">
        <f>J20/I20</f>
        <v>0.28552057372463252</v>
      </c>
      <c r="L20" s="4761">
        <f>L18+L19</f>
        <v>26889.399999999998</v>
      </c>
      <c r="M20" s="1293">
        <f>SUM(M18:M19)</f>
        <v>27166</v>
      </c>
      <c r="N20" s="1293">
        <f t="shared" ref="N20:S20" si="8">SUM(N18:N19)</f>
        <v>9139.7799999999988</v>
      </c>
      <c r="O20" s="2265">
        <f t="shared" si="8"/>
        <v>-2624.06</v>
      </c>
      <c r="P20" s="1293">
        <f t="shared" si="8"/>
        <v>0</v>
      </c>
      <c r="Q20" s="1293">
        <f t="shared" si="8"/>
        <v>0</v>
      </c>
      <c r="R20" s="1293">
        <f t="shared" si="8"/>
        <v>0</v>
      </c>
      <c r="S20" s="2245">
        <f t="shared" si="8"/>
        <v>0</v>
      </c>
      <c r="T20" s="2245">
        <f>SUM(T18:T19)</f>
        <v>0</v>
      </c>
      <c r="U20" s="2245">
        <f>SUM(U18:U19)</f>
        <v>0</v>
      </c>
      <c r="V20" s="1293">
        <f>SUM(V18:V19)</f>
        <v>0</v>
      </c>
      <c r="W20" s="1293">
        <f>SUM(W18:W19)</f>
        <v>0</v>
      </c>
      <c r="X20" s="1293">
        <f>SUM(X18:X19)</f>
        <v>0</v>
      </c>
      <c r="Y20" s="1294">
        <f>SUM(Y18:Y18)</f>
        <v>0</v>
      </c>
      <c r="Z20" s="1295">
        <f>Y20/C20</f>
        <v>0</v>
      </c>
      <c r="AA20" s="4753"/>
      <c r="AG20" s="8269"/>
      <c r="AH20" s="5828" t="s">
        <v>197</v>
      </c>
      <c r="AI20" s="5657">
        <v>4</v>
      </c>
      <c r="AJ20" s="5836">
        <v>133317</v>
      </c>
      <c r="AK20" s="5656">
        <v>8</v>
      </c>
      <c r="AL20" s="4234">
        <v>604230.72</v>
      </c>
      <c r="AM20" s="4088">
        <v>3</v>
      </c>
      <c r="AN20" s="4234">
        <v>126593.1666666667</v>
      </c>
    </row>
    <row r="21" spans="1:40" s="298" customFormat="1" ht="24" customHeight="1" thickBot="1">
      <c r="A21" s="8277" t="s">
        <v>803</v>
      </c>
      <c r="B21" s="8277"/>
      <c r="C21" s="1135">
        <f>C20+C17+C13</f>
        <v>157</v>
      </c>
      <c r="D21" s="1136">
        <f>D13+D17+D20</f>
        <v>0</v>
      </c>
      <c r="E21" s="1136">
        <f>E13+E17+E20</f>
        <v>0</v>
      </c>
      <c r="F21" s="1136">
        <f>F13+F17+F20</f>
        <v>0</v>
      </c>
      <c r="G21" s="5548">
        <f>G13+G17+G20</f>
        <v>14</v>
      </c>
      <c r="H21" s="1137">
        <f>G21/C21</f>
        <v>8.9171974522292988E-2</v>
      </c>
      <c r="I21" s="6314">
        <f>I17+I13+I20</f>
        <v>4773897.9227207312</v>
      </c>
      <c r="J21" s="2390">
        <f>J20+J17+J13</f>
        <v>109675.1230552592</v>
      </c>
      <c r="K21" s="4599">
        <f>J21/I21</f>
        <v>2.297391457267552E-2</v>
      </c>
      <c r="L21" s="4762">
        <f>L13+L20</f>
        <v>2752211.6893207435</v>
      </c>
      <c r="M21" s="1988">
        <f t="shared" ref="M21:X21" si="9">M20+M17+M13</f>
        <v>30018.058188930052</v>
      </c>
      <c r="N21" s="1988">
        <f t="shared" si="9"/>
        <v>7281.8921170198337</v>
      </c>
      <c r="O21" s="1988">
        <f t="shared" si="9"/>
        <v>72375.172749309408</v>
      </c>
      <c r="P21" s="1988" t="e">
        <f t="shared" si="9"/>
        <v>#DIV/0!</v>
      </c>
      <c r="Q21" s="2121" t="e">
        <f t="shared" si="9"/>
        <v>#DIV/0!</v>
      </c>
      <c r="R21" s="2121" t="e">
        <f t="shared" si="9"/>
        <v>#DIV/0!</v>
      </c>
      <c r="S21" s="2121" t="e">
        <f t="shared" si="9"/>
        <v>#DIV/0!</v>
      </c>
      <c r="T21" s="2121" t="e">
        <f t="shared" si="9"/>
        <v>#DIV/0!</v>
      </c>
      <c r="U21" s="2121" t="e">
        <f t="shared" si="9"/>
        <v>#DIV/0!</v>
      </c>
      <c r="V21" s="1138" t="e">
        <f t="shared" si="9"/>
        <v>#DIV/0!</v>
      </c>
      <c r="W21" s="1988" t="e">
        <f t="shared" si="9"/>
        <v>#DIV/0!</v>
      </c>
      <c r="X21" s="1138" t="e">
        <f t="shared" si="9"/>
        <v>#DIV/0!</v>
      </c>
      <c r="Y21" s="1138">
        <f>Y20+Y17+Y13</f>
        <v>3</v>
      </c>
      <c r="Z21" s="1960">
        <f>Y21/C21</f>
        <v>1.9108280254777069E-2</v>
      </c>
      <c r="AA21" s="329">
        <f>SUM(AA3:AA20)</f>
        <v>2047051.9490104474</v>
      </c>
      <c r="AB21" s="4852">
        <f>AA21/J21</f>
        <v>18.664687961909571</v>
      </c>
      <c r="AG21" s="8270" t="s">
        <v>803</v>
      </c>
      <c r="AH21" s="8290"/>
      <c r="AI21" s="5833">
        <v>191</v>
      </c>
      <c r="AJ21" s="5837">
        <v>7031167.9857958788</v>
      </c>
      <c r="AK21" s="5840">
        <v>160</v>
      </c>
      <c r="AL21" s="5841">
        <v>951185.18046156305</v>
      </c>
      <c r="AM21" s="5842">
        <v>113.1</v>
      </c>
      <c r="AN21" s="5841">
        <v>4976114.285348665</v>
      </c>
    </row>
    <row r="22" spans="1:40" ht="18" thickTop="1">
      <c r="B22" s="2173" t="s">
        <v>2266</v>
      </c>
      <c r="C22" s="2173">
        <v>185</v>
      </c>
      <c r="D22" s="2173"/>
      <c r="E22" s="2173"/>
      <c r="F22" s="2173"/>
      <c r="G22" s="2173" t="s">
        <v>1125</v>
      </c>
      <c r="H22" s="2173"/>
      <c r="I22" s="2173">
        <v>1200</v>
      </c>
      <c r="M22" s="4553">
        <f>M21/$I$21</f>
        <v>6.2879556024989774E-3</v>
      </c>
      <c r="N22" s="4553">
        <f>N21/$I$21</f>
        <v>1.52535563912304E-3</v>
      </c>
      <c r="O22" s="4553">
        <f>O21/$I$21</f>
        <v>1.5160603331053521E-2</v>
      </c>
      <c r="P22" s="4553" t="e">
        <f>P21/$I$21</f>
        <v>#DIV/0!</v>
      </c>
      <c r="Q22" s="4553" t="e">
        <f>Q21/$I$21</f>
        <v>#DIV/0!</v>
      </c>
      <c r="Z22" s="738"/>
    </row>
    <row r="23" spans="1:40" ht="7.5" customHeight="1" thickBot="1">
      <c r="T23" s="302"/>
    </row>
    <row r="24" spans="1:40" ht="30.6" customHeight="1">
      <c r="AG24" s="8272" t="s">
        <v>47</v>
      </c>
      <c r="AH24" s="8273"/>
      <c r="AI24" s="7835">
        <v>2020</v>
      </c>
      <c r="AJ24" s="7835"/>
      <c r="AK24" s="7835"/>
      <c r="AL24" s="8276"/>
      <c r="AM24" s="8264">
        <v>2021</v>
      </c>
      <c r="AN24" s="8265"/>
    </row>
    <row r="25" spans="1:40" ht="33.75" thickBot="1">
      <c r="AG25" s="8274"/>
      <c r="AH25" s="8275"/>
      <c r="AI25" s="6801" t="s">
        <v>2159</v>
      </c>
      <c r="AJ25" s="6802" t="s">
        <v>2160</v>
      </c>
      <c r="AK25" s="6801" t="s">
        <v>1619</v>
      </c>
      <c r="AL25" s="6809" t="s">
        <v>2161</v>
      </c>
      <c r="AM25" s="6812" t="s">
        <v>2166</v>
      </c>
      <c r="AN25" s="6813" t="s">
        <v>2167</v>
      </c>
    </row>
    <row r="26" spans="1:40" ht="18.75" thickTop="1" thickBot="1">
      <c r="J26" s="289"/>
      <c r="K26" s="289" t="s">
        <v>867</v>
      </c>
      <c r="L26" s="289"/>
      <c r="M26" s="289" t="s">
        <v>864</v>
      </c>
      <c r="N26" s="289" t="s">
        <v>5</v>
      </c>
      <c r="O26" s="289" t="s">
        <v>6</v>
      </c>
      <c r="P26" s="289" t="s">
        <v>7</v>
      </c>
      <c r="Q26" s="289" t="s">
        <v>8</v>
      </c>
      <c r="R26" s="289" t="s">
        <v>9</v>
      </c>
      <c r="S26" s="289" t="s">
        <v>10</v>
      </c>
      <c r="T26" s="289" t="s">
        <v>11</v>
      </c>
      <c r="U26" s="289" t="s">
        <v>12</v>
      </c>
      <c r="V26" s="289" t="s">
        <v>13</v>
      </c>
      <c r="W26" s="289" t="s">
        <v>14</v>
      </c>
      <c r="X26" s="289" t="s">
        <v>15</v>
      </c>
      <c r="Y26" s="290" t="s">
        <v>868</v>
      </c>
      <c r="AG26" s="8266" t="s">
        <v>2162</v>
      </c>
      <c r="AH26" s="6799" t="s">
        <v>39</v>
      </c>
      <c r="AI26" s="6800">
        <v>10</v>
      </c>
      <c r="AJ26" s="6803">
        <v>0.625</v>
      </c>
      <c r="AK26" s="6678">
        <v>538006.45332628</v>
      </c>
      <c r="AL26" s="6810">
        <v>0.750236234042579</v>
      </c>
      <c r="AM26" s="6814">
        <v>20</v>
      </c>
      <c r="AN26" s="6815">
        <v>508494.43854474195</v>
      </c>
    </row>
    <row r="27" spans="1:40">
      <c r="J27" s="1227" t="s">
        <v>866</v>
      </c>
      <c r="K27" s="1228">
        <v>82.392632449909797</v>
      </c>
      <c r="L27" s="1228"/>
      <c r="M27" s="1246">
        <f t="shared" ref="M27:X27" si="10">M21</f>
        <v>30018.058188930052</v>
      </c>
      <c r="N27" s="1246">
        <f t="shared" si="10"/>
        <v>7281.8921170198337</v>
      </c>
      <c r="O27" s="1246">
        <f t="shared" si="10"/>
        <v>72375.172749309408</v>
      </c>
      <c r="P27" s="1246" t="e">
        <f t="shared" si="10"/>
        <v>#DIV/0!</v>
      </c>
      <c r="Q27" s="1246" t="e">
        <f t="shared" si="10"/>
        <v>#DIV/0!</v>
      </c>
      <c r="R27" s="1246" t="e">
        <f t="shared" si="10"/>
        <v>#DIV/0!</v>
      </c>
      <c r="S27" s="1246" t="e">
        <f t="shared" si="10"/>
        <v>#DIV/0!</v>
      </c>
      <c r="T27" s="1246" t="e">
        <f t="shared" si="10"/>
        <v>#DIV/0!</v>
      </c>
      <c r="U27" s="1246" t="e">
        <f t="shared" si="10"/>
        <v>#DIV/0!</v>
      </c>
      <c r="V27" s="1246" t="e">
        <f t="shared" si="10"/>
        <v>#DIV/0!</v>
      </c>
      <c r="W27" s="1246" t="e">
        <f t="shared" si="10"/>
        <v>#DIV/0!</v>
      </c>
      <c r="X27" s="1246" t="e">
        <f t="shared" si="10"/>
        <v>#DIV/0!</v>
      </c>
      <c r="Y27" s="1247" t="e">
        <f>M27+N27+O27+P27+Q27+R27+S27</f>
        <v>#DIV/0!</v>
      </c>
      <c r="AG27" s="8267"/>
      <c r="AH27" s="6736" t="s">
        <v>225</v>
      </c>
      <c r="AI27" s="1281">
        <v>4</v>
      </c>
      <c r="AJ27" s="6804">
        <v>1</v>
      </c>
      <c r="AK27" s="6679">
        <v>30594.143</v>
      </c>
      <c r="AL27" s="6791">
        <v>0.92788253669780418</v>
      </c>
      <c r="AM27" s="6816">
        <v>4</v>
      </c>
      <c r="AN27" s="6817">
        <v>88129.312000000005</v>
      </c>
    </row>
    <row r="28" spans="1:40" ht="18" thickBot="1">
      <c r="J28" s="1229" t="s">
        <v>865</v>
      </c>
      <c r="K28" s="1129">
        <f>SUM(K29:K43)</f>
        <v>157</v>
      </c>
      <c r="L28" s="4757"/>
      <c r="M28" s="1129">
        <f>SUM(M29:M43)</f>
        <v>7</v>
      </c>
      <c r="N28" s="1129">
        <f>SUM(N29:N43)</f>
        <v>2</v>
      </c>
      <c r="O28" s="1129">
        <f t="shared" ref="O28:X28" si="11">SUM(O29:O43)</f>
        <v>5</v>
      </c>
      <c r="P28" s="1129">
        <f t="shared" si="11"/>
        <v>0</v>
      </c>
      <c r="Q28" s="1129">
        <f t="shared" si="11"/>
        <v>0</v>
      </c>
      <c r="R28" s="1129">
        <f t="shared" si="11"/>
        <v>0</v>
      </c>
      <c r="S28" s="1129">
        <f t="shared" si="11"/>
        <v>0</v>
      </c>
      <c r="T28" s="1129">
        <f t="shared" si="11"/>
        <v>0</v>
      </c>
      <c r="U28" s="1129">
        <f t="shared" si="11"/>
        <v>0</v>
      </c>
      <c r="V28" s="1129">
        <f t="shared" si="11"/>
        <v>0</v>
      </c>
      <c r="W28" s="1129">
        <f t="shared" si="11"/>
        <v>0</v>
      </c>
      <c r="X28" s="1129">
        <f t="shared" si="11"/>
        <v>0</v>
      </c>
      <c r="Y28" s="1959">
        <f>SUM(Y29:Y43)</f>
        <v>14</v>
      </c>
      <c r="AG28" s="8267"/>
      <c r="AH28" s="6736" t="s">
        <v>3</v>
      </c>
      <c r="AI28" s="1281">
        <v>6</v>
      </c>
      <c r="AJ28" s="6805">
        <v>0.66666666666666663</v>
      </c>
      <c r="AK28" s="6679">
        <v>577464.49944351148</v>
      </c>
      <c r="AL28" s="6792">
        <v>2.0641704562070311</v>
      </c>
      <c r="AM28" s="6816">
        <v>18</v>
      </c>
      <c r="AN28" s="6817">
        <v>285513.08140000439</v>
      </c>
    </row>
    <row r="29" spans="1:40">
      <c r="J29" s="1128" t="s">
        <v>2</v>
      </c>
      <c r="K29" s="1128">
        <f>C3</f>
        <v>20</v>
      </c>
      <c r="L29" s="1128"/>
      <c r="M29" s="1128">
        <f>CPL!O37</f>
        <v>0</v>
      </c>
      <c r="N29" s="1128">
        <f>CPL!P37</f>
        <v>0</v>
      </c>
      <c r="O29" s="1128">
        <f>CPL!Q37</f>
        <v>0</v>
      </c>
      <c r="P29" s="1128">
        <f>CPL!R37</f>
        <v>0</v>
      </c>
      <c r="Q29" s="1128">
        <f>CPL!S37</f>
        <v>0</v>
      </c>
      <c r="R29" s="1128">
        <f>CPL!T37</f>
        <v>0</v>
      </c>
      <c r="S29" s="1128">
        <f>CPL!U37</f>
        <v>0</v>
      </c>
      <c r="T29" s="1128">
        <f>CPL!V37</f>
        <v>0</v>
      </c>
      <c r="U29" s="1128">
        <f>CPL!W37</f>
        <v>0</v>
      </c>
      <c r="V29" s="1128">
        <f>CPL!X37</f>
        <v>0</v>
      </c>
      <c r="W29" s="1128">
        <f>CPL!Y37</f>
        <v>0</v>
      </c>
      <c r="X29" s="1128">
        <f>CPL!Z37</f>
        <v>0</v>
      </c>
      <c r="Y29" s="1230">
        <f t="shared" ref="Y29:Y43" si="12">SUM(M29:X29)</f>
        <v>0</v>
      </c>
      <c r="AG29" s="8267"/>
      <c r="AH29" s="6736" t="s">
        <v>417</v>
      </c>
      <c r="AI29" s="1281">
        <v>3</v>
      </c>
      <c r="AJ29" s="6805">
        <v>0.6</v>
      </c>
      <c r="AK29" s="6679">
        <v>39251</v>
      </c>
      <c r="AL29" s="6791">
        <v>0.91845807056741902</v>
      </c>
      <c r="AM29" s="6816">
        <v>3</v>
      </c>
      <c r="AN29" s="6817">
        <v>20614</v>
      </c>
    </row>
    <row r="30" spans="1:40">
      <c r="J30" s="1127" t="s">
        <v>225</v>
      </c>
      <c r="K30" s="1128">
        <f t="shared" ref="K30:K38" si="13">C4</f>
        <v>4</v>
      </c>
      <c r="L30" s="1128"/>
      <c r="M30" s="1128">
        <v>0</v>
      </c>
      <c r="N30" s="1128">
        <v>0</v>
      </c>
      <c r="O30" s="1128">
        <v>0</v>
      </c>
      <c r="P30" s="1128">
        <v>0</v>
      </c>
      <c r="Q30" s="1128">
        <v>0</v>
      </c>
      <c r="R30" s="1128">
        <v>0</v>
      </c>
      <c r="S30" s="1128">
        <v>0</v>
      </c>
      <c r="T30" s="1128">
        <v>0</v>
      </c>
      <c r="U30" s="1128">
        <v>0</v>
      </c>
      <c r="V30" s="1128">
        <v>0</v>
      </c>
      <c r="W30" s="1128">
        <v>0</v>
      </c>
      <c r="X30" s="1127">
        <v>0</v>
      </c>
      <c r="Y30" s="1231">
        <f t="shared" si="12"/>
        <v>0</v>
      </c>
      <c r="AG30" s="8267"/>
      <c r="AH30" s="6736" t="s">
        <v>4</v>
      </c>
      <c r="AI30" s="1281">
        <v>8</v>
      </c>
      <c r="AJ30" s="6805">
        <v>0.44444444444444442</v>
      </c>
      <c r="AK30" s="6679">
        <v>1052964.4624756929</v>
      </c>
      <c r="AL30" s="6791">
        <v>0.64095931458465782</v>
      </c>
      <c r="AM30" s="6816">
        <v>35</v>
      </c>
      <c r="AN30" s="6817">
        <v>515325.40222848818</v>
      </c>
    </row>
    <row r="31" spans="1:40">
      <c r="J31" s="1127" t="s">
        <v>3</v>
      </c>
      <c r="K31" s="1128">
        <f t="shared" si="13"/>
        <v>18</v>
      </c>
      <c r="L31" s="1128"/>
      <c r="M31" s="1128">
        <f>CRM!O39</f>
        <v>0</v>
      </c>
      <c r="N31" s="1128">
        <f>CRM!P39</f>
        <v>0</v>
      </c>
      <c r="O31" s="1128">
        <f>CRM!Q39</f>
        <v>0</v>
      </c>
      <c r="P31" s="1128">
        <f>CRM!R39</f>
        <v>0</v>
      </c>
      <c r="Q31" s="1128">
        <f>CRM!S39</f>
        <v>0</v>
      </c>
      <c r="R31" s="1128">
        <f>CRM!T39</f>
        <v>0</v>
      </c>
      <c r="S31" s="1128">
        <f>CRM!U39</f>
        <v>0</v>
      </c>
      <c r="T31" s="1128">
        <f>CRM!V39</f>
        <v>0</v>
      </c>
      <c r="U31" s="1128">
        <f>CRM!W39</f>
        <v>0</v>
      </c>
      <c r="V31" s="1128">
        <f>CRM!X39</f>
        <v>0</v>
      </c>
      <c r="W31" s="1128">
        <f>CRM!Y39</f>
        <v>0</v>
      </c>
      <c r="X31" s="1128">
        <f>CRM!Z39</f>
        <v>0</v>
      </c>
      <c r="Y31" s="1231">
        <f t="shared" si="12"/>
        <v>0</v>
      </c>
      <c r="AG31" s="8267"/>
      <c r="AH31" s="6736" t="s">
        <v>190</v>
      </c>
      <c r="AI31" s="1281">
        <v>12</v>
      </c>
      <c r="AJ31" s="6805">
        <v>0.8</v>
      </c>
      <c r="AK31" s="6679">
        <v>792250.82699531515</v>
      </c>
      <c r="AL31" s="6791">
        <v>0.58255763460707521</v>
      </c>
      <c r="AM31" s="6816">
        <v>23</v>
      </c>
      <c r="AN31" s="6817">
        <v>1140063.186490058</v>
      </c>
    </row>
    <row r="32" spans="1:40">
      <c r="J32" s="1127" t="s">
        <v>417</v>
      </c>
      <c r="K32" s="1128">
        <f t="shared" si="13"/>
        <v>3</v>
      </c>
      <c r="L32" s="1128"/>
      <c r="M32" s="1128">
        <v>0</v>
      </c>
      <c r="N32" s="1128">
        <v>0</v>
      </c>
      <c r="O32" s="1128">
        <v>0</v>
      </c>
      <c r="P32" s="1128">
        <v>0</v>
      </c>
      <c r="Q32" s="1128">
        <v>0</v>
      </c>
      <c r="R32" s="1128">
        <v>0</v>
      </c>
      <c r="S32" s="1128">
        <v>0</v>
      </c>
      <c r="T32" s="1128">
        <v>0</v>
      </c>
      <c r="U32" s="1128">
        <v>0</v>
      </c>
      <c r="V32" s="1128">
        <v>0</v>
      </c>
      <c r="W32" s="1128">
        <v>0</v>
      </c>
      <c r="X32" s="1127">
        <v>0</v>
      </c>
      <c r="Y32" s="1231">
        <f t="shared" si="12"/>
        <v>0</v>
      </c>
      <c r="AG32" s="8267"/>
      <c r="AH32" s="6736" t="s">
        <v>418</v>
      </c>
      <c r="AI32" s="1281">
        <v>1</v>
      </c>
      <c r="AJ32" s="6805">
        <v>1</v>
      </c>
      <c r="AK32" s="6679">
        <v>103447.12666087582</v>
      </c>
      <c r="AL32" s="6791">
        <v>1.021623008731587</v>
      </c>
      <c r="AM32" s="6816">
        <v>1</v>
      </c>
      <c r="AN32" s="6817">
        <v>69073.142999999996</v>
      </c>
    </row>
    <row r="33" spans="10:40">
      <c r="J33" s="1127" t="s">
        <v>4</v>
      </c>
      <c r="K33" s="1128">
        <f t="shared" si="13"/>
        <v>35</v>
      </c>
      <c r="L33" s="1128"/>
      <c r="M33" s="3780">
        <f>CGL!O43</f>
        <v>0</v>
      </c>
      <c r="N33" s="3780">
        <f>CGL!P43</f>
        <v>0</v>
      </c>
      <c r="O33" s="3780">
        <f>CGL!Q43</f>
        <v>0</v>
      </c>
      <c r="P33" s="3780">
        <f>CGL!R43</f>
        <v>0</v>
      </c>
      <c r="Q33" s="3780">
        <f>CGL!S43</f>
        <v>0</v>
      </c>
      <c r="R33" s="3780">
        <f>CGL!T43</f>
        <v>0</v>
      </c>
      <c r="S33" s="3780">
        <f>CGL!U43</f>
        <v>0</v>
      </c>
      <c r="T33" s="3780">
        <f>CGL!V43</f>
        <v>0</v>
      </c>
      <c r="U33" s="3780">
        <f>CGL!W43</f>
        <v>0</v>
      </c>
      <c r="V33" s="3780">
        <f>CGL!X43</f>
        <v>0</v>
      </c>
      <c r="W33" s="3780">
        <f>CGL!Y43</f>
        <v>0</v>
      </c>
      <c r="X33" s="3780">
        <f>CGL!Z43</f>
        <v>0</v>
      </c>
      <c r="Y33" s="1231">
        <f t="shared" si="12"/>
        <v>0</v>
      </c>
      <c r="AG33" s="8267"/>
      <c r="AH33" s="6736" t="s">
        <v>17</v>
      </c>
      <c r="AI33" s="1281">
        <v>12</v>
      </c>
      <c r="AJ33" s="6805">
        <v>1</v>
      </c>
      <c r="AK33" s="6679">
        <v>915745.62864473672</v>
      </c>
      <c r="AL33" s="6792">
        <v>2.2408898948990577</v>
      </c>
      <c r="AM33" s="6816">
        <v>12</v>
      </c>
      <c r="AN33" s="6817">
        <v>509219.60451191739</v>
      </c>
    </row>
    <row r="34" spans="10:40">
      <c r="J34" s="1127" t="s">
        <v>190</v>
      </c>
      <c r="K34" s="1128">
        <f t="shared" si="13"/>
        <v>23</v>
      </c>
      <c r="L34" s="1128"/>
      <c r="M34" s="1128">
        <f>'#1CCL'!O44</f>
        <v>0</v>
      </c>
      <c r="N34" s="1128">
        <f>'#1CCL'!P44</f>
        <v>1</v>
      </c>
      <c r="O34" s="1128">
        <f>'#1CCL'!Q44</f>
        <v>0</v>
      </c>
      <c r="P34" s="1128">
        <f>'#1CCL'!R44</f>
        <v>0</v>
      </c>
      <c r="Q34" s="1128">
        <f>'#1CCL'!S44</f>
        <v>0</v>
      </c>
      <c r="R34" s="1128">
        <f>'#1CCL'!T44</f>
        <v>0</v>
      </c>
      <c r="S34" s="1128">
        <f>'#1CCL'!U44</f>
        <v>0</v>
      </c>
      <c r="T34" s="1128">
        <f>'#1CCL'!V44</f>
        <v>0</v>
      </c>
      <c r="U34" s="1128">
        <f>'#1CCL'!W44</f>
        <v>0</v>
      </c>
      <c r="V34" s="1128">
        <f>'#1CCL'!X44</f>
        <v>0</v>
      </c>
      <c r="W34" s="1128">
        <f>'#1CCL'!Y44</f>
        <v>0</v>
      </c>
      <c r="X34" s="1128">
        <f>'#1CCL'!Z44</f>
        <v>0</v>
      </c>
      <c r="Y34" s="1231">
        <f t="shared" si="12"/>
        <v>1</v>
      </c>
      <c r="AG34" s="8267"/>
      <c r="AH34" s="6736" t="s">
        <v>419</v>
      </c>
      <c r="AI34" s="1281">
        <v>1</v>
      </c>
      <c r="AJ34" s="6805">
        <v>1</v>
      </c>
      <c r="AK34" s="6679">
        <v>33218.622336</v>
      </c>
      <c r="AL34" s="6792">
        <v>1.5482206532438476</v>
      </c>
      <c r="AM34" s="6816">
        <v>1</v>
      </c>
      <c r="AN34" s="6817">
        <v>75651.831999999995</v>
      </c>
    </row>
    <row r="35" spans="10:40">
      <c r="J35" s="1127" t="s">
        <v>418</v>
      </c>
      <c r="K35" s="1128">
        <f t="shared" si="13"/>
        <v>1</v>
      </c>
      <c r="L35" s="1128"/>
      <c r="M35" s="1128">
        <v>0</v>
      </c>
      <c r="N35" s="1128">
        <v>0</v>
      </c>
      <c r="O35" s="1128">
        <v>0</v>
      </c>
      <c r="P35" s="1128">
        <v>0</v>
      </c>
      <c r="Q35" s="1128">
        <v>0</v>
      </c>
      <c r="R35" s="1128">
        <v>0</v>
      </c>
      <c r="S35" s="1128">
        <v>0</v>
      </c>
      <c r="T35" s="1128">
        <v>0</v>
      </c>
      <c r="U35" s="1128">
        <v>0</v>
      </c>
      <c r="V35" s="1128">
        <v>0</v>
      </c>
      <c r="W35" s="1128">
        <v>0</v>
      </c>
      <c r="X35" s="1127">
        <v>0</v>
      </c>
      <c r="Y35" s="1231">
        <f t="shared" si="12"/>
        <v>0</v>
      </c>
      <c r="AG35" s="8267"/>
      <c r="AH35" s="6736" t="s">
        <v>193</v>
      </c>
      <c r="AI35" s="1281">
        <v>0</v>
      </c>
      <c r="AJ35" s="6805">
        <v>0</v>
      </c>
      <c r="AK35" s="6679">
        <v>157603.01320758389</v>
      </c>
      <c r="AL35" s="6791">
        <v>0.98967119643103685</v>
      </c>
      <c r="AM35" s="6816">
        <v>3</v>
      </c>
      <c r="AN35" s="6817">
        <v>133307.5847679966</v>
      </c>
    </row>
    <row r="36" spans="10:40">
      <c r="J36" s="1127" t="s">
        <v>17</v>
      </c>
      <c r="K36" s="1128">
        <f t="shared" si="13"/>
        <v>12</v>
      </c>
      <c r="L36" s="1128"/>
      <c r="M36" s="1128">
        <f>'#2CCL'!O43</f>
        <v>1</v>
      </c>
      <c r="N36" s="1128">
        <f>'#2CCL'!P43</f>
        <v>1</v>
      </c>
      <c r="O36" s="1128">
        <f>'#2CCL'!Q43</f>
        <v>1</v>
      </c>
      <c r="P36" s="1128">
        <f>'#2CCL'!R43</f>
        <v>0</v>
      </c>
      <c r="Q36" s="1128">
        <f>'#2CCL'!S43</f>
        <v>0</v>
      </c>
      <c r="R36" s="1128">
        <f>'#2CCL'!T43</f>
        <v>0</v>
      </c>
      <c r="S36" s="1128">
        <f>'#2CCL'!U43</f>
        <v>0</v>
      </c>
      <c r="T36" s="1128">
        <f>'#2CCL'!V43</f>
        <v>0</v>
      </c>
      <c r="U36" s="1128">
        <f>'#2CCL'!W43</f>
        <v>0</v>
      </c>
      <c r="V36" s="1128">
        <f>'#2CCL'!X43</f>
        <v>0</v>
      </c>
      <c r="W36" s="1128">
        <f>'#2CCL'!Y43</f>
        <v>0</v>
      </c>
      <c r="X36" s="1128">
        <f>'#2CCL'!Z43</f>
        <v>0</v>
      </c>
      <c r="Y36" s="1231">
        <f t="shared" si="12"/>
        <v>3</v>
      </c>
      <c r="AG36" s="8267"/>
      <c r="AH36" s="1283" t="s">
        <v>197</v>
      </c>
      <c r="AI36" s="1284">
        <v>57</v>
      </c>
      <c r="AJ36" s="6806">
        <v>0.6785714285714286</v>
      </c>
      <c r="AK36" s="6680">
        <v>4240545.7760899961</v>
      </c>
      <c r="AL36" s="6793">
        <v>0.88976036579414008</v>
      </c>
      <c r="AM36" s="6818">
        <v>120</v>
      </c>
      <c r="AN36" s="6819">
        <v>3345391.584943207</v>
      </c>
    </row>
    <row r="37" spans="10:40">
      <c r="J37" s="1127" t="s">
        <v>419</v>
      </c>
      <c r="K37" s="1128">
        <f t="shared" si="13"/>
        <v>1</v>
      </c>
      <c r="L37" s="1128"/>
      <c r="M37" s="1128">
        <v>0</v>
      </c>
      <c r="N37" s="1128">
        <v>0</v>
      </c>
      <c r="O37" s="1128">
        <v>0</v>
      </c>
      <c r="P37" s="1128">
        <v>0</v>
      </c>
      <c r="Q37" s="1128">
        <v>0</v>
      </c>
      <c r="R37" s="1128">
        <v>0</v>
      </c>
      <c r="S37" s="1128">
        <v>0</v>
      </c>
      <c r="T37" s="1128">
        <v>0</v>
      </c>
      <c r="U37" s="1128">
        <v>0</v>
      </c>
      <c r="V37" s="1128">
        <v>0</v>
      </c>
      <c r="W37" s="1128">
        <v>0</v>
      </c>
      <c r="X37" s="1127">
        <v>0</v>
      </c>
      <c r="Y37" s="1231">
        <f t="shared" si="12"/>
        <v>0</v>
      </c>
      <c r="AG37" s="8267" t="s">
        <v>2163</v>
      </c>
      <c r="AH37" s="6736" t="s">
        <v>226</v>
      </c>
      <c r="AI37" s="1281">
        <v>18.3</v>
      </c>
      <c r="AJ37" s="6805">
        <v>1.5250000000000001</v>
      </c>
      <c r="AK37" s="6681">
        <v>185074.11643943394</v>
      </c>
      <c r="AL37" s="6794">
        <v>0.35737678715903476</v>
      </c>
      <c r="AM37" s="6820">
        <v>10</v>
      </c>
      <c r="AN37" s="6817">
        <v>808502.39288326935</v>
      </c>
    </row>
    <row r="38" spans="10:40">
      <c r="J38" s="1127" t="s">
        <v>193</v>
      </c>
      <c r="K38" s="1128">
        <f t="shared" si="13"/>
        <v>4</v>
      </c>
      <c r="L38" s="1128"/>
      <c r="M38" s="1128">
        <v>0</v>
      </c>
      <c r="N38" s="1128">
        <v>0</v>
      </c>
      <c r="O38" s="1128">
        <v>0</v>
      </c>
      <c r="P38" s="1128">
        <v>0</v>
      </c>
      <c r="Q38" s="1128">
        <v>0</v>
      </c>
      <c r="R38" s="1128">
        <v>0</v>
      </c>
      <c r="S38" s="1128">
        <v>0</v>
      </c>
      <c r="T38" s="1128">
        <v>0</v>
      </c>
      <c r="U38" s="1128">
        <v>0</v>
      </c>
      <c r="V38" s="1128">
        <v>0</v>
      </c>
      <c r="W38" s="1128">
        <v>0</v>
      </c>
      <c r="X38" s="1127">
        <v>0</v>
      </c>
      <c r="Y38" s="1231">
        <f t="shared" si="12"/>
        <v>0</v>
      </c>
      <c r="Z38" s="290" t="s">
        <v>2318</v>
      </c>
      <c r="AG38" s="8267"/>
      <c r="AH38" s="6736" t="s">
        <v>227</v>
      </c>
      <c r="AI38" s="1281">
        <v>24.8</v>
      </c>
      <c r="AJ38" s="6804">
        <v>1.55</v>
      </c>
      <c r="AK38" s="6681">
        <v>167641.19083483092</v>
      </c>
      <c r="AL38" s="6794">
        <v>0.4682653334240004</v>
      </c>
      <c r="AM38" s="6816">
        <v>11</v>
      </c>
      <c r="AN38" s="6817">
        <v>217433.36409292754</v>
      </c>
    </row>
    <row r="39" spans="10:40">
      <c r="J39" s="1127" t="s">
        <v>226</v>
      </c>
      <c r="K39" s="1127">
        <f>C14</f>
        <v>10</v>
      </c>
      <c r="L39" s="1128"/>
      <c r="M39" s="1128">
        <f>고장!O138</f>
        <v>1</v>
      </c>
      <c r="N39" s="1128">
        <f>고장!P138</f>
        <v>0</v>
      </c>
      <c r="O39" s="1128">
        <f>고장!Q138</f>
        <v>1</v>
      </c>
      <c r="P39" s="1128">
        <f>고장!R138</f>
        <v>0</v>
      </c>
      <c r="Q39" s="1128">
        <f>고장!S138</f>
        <v>0</v>
      </c>
      <c r="R39" s="1128">
        <f>고장!T138</f>
        <v>0</v>
      </c>
      <c r="S39" s="1128">
        <f>고장!U138</f>
        <v>0</v>
      </c>
      <c r="T39" s="1128">
        <f>고장!V138</f>
        <v>0</v>
      </c>
      <c r="U39" s="1128">
        <f>고장!W138</f>
        <v>0</v>
      </c>
      <c r="V39" s="1128">
        <f>고장!X138</f>
        <v>0</v>
      </c>
      <c r="W39" s="1128">
        <f>고장!Y138</f>
        <v>0</v>
      </c>
      <c r="X39" s="1128">
        <f>고장!Z138</f>
        <v>0</v>
      </c>
      <c r="Y39" s="2278">
        <f>SUM(M39:X39)</f>
        <v>2</v>
      </c>
      <c r="AG39" s="8267"/>
      <c r="AH39" s="6736" t="s">
        <v>229</v>
      </c>
      <c r="AI39" s="1281">
        <v>14</v>
      </c>
      <c r="AJ39" s="6804">
        <v>1.75</v>
      </c>
      <c r="AK39" s="6681">
        <v>49918</v>
      </c>
      <c r="AL39" s="6791">
        <v>0.94188459941884595</v>
      </c>
      <c r="AM39" s="6816">
        <v>7</v>
      </c>
      <c r="AN39" s="6817">
        <v>236004.40900000001</v>
      </c>
    </row>
    <row r="40" spans="10:40">
      <c r="J40" s="1127" t="s">
        <v>227</v>
      </c>
      <c r="K40" s="1127">
        <f>C15</f>
        <v>11</v>
      </c>
      <c r="L40" s="1128"/>
      <c r="M40" s="1128">
        <f>고장!O102</f>
        <v>3</v>
      </c>
      <c r="N40" s="1128">
        <f>고장!P102</f>
        <v>0</v>
      </c>
      <c r="O40" s="1128">
        <f>고장!Q102</f>
        <v>1</v>
      </c>
      <c r="P40" s="1128">
        <f>고장!R102</f>
        <v>0</v>
      </c>
      <c r="Q40" s="1128">
        <f>고장!S102</f>
        <v>0</v>
      </c>
      <c r="R40" s="1128">
        <f>고장!T102</f>
        <v>0</v>
      </c>
      <c r="S40" s="1128">
        <f>고장!U102</f>
        <v>0</v>
      </c>
      <c r="T40" s="1128">
        <f>고장!V102</f>
        <v>0</v>
      </c>
      <c r="U40" s="1128">
        <f>고장!W102</f>
        <v>0</v>
      </c>
      <c r="V40" s="1128">
        <f>고장!X102</f>
        <v>0</v>
      </c>
      <c r="W40" s="1128">
        <f>고장!Y102</f>
        <v>0</v>
      </c>
      <c r="X40" s="1128">
        <f>고장!Z102</f>
        <v>0</v>
      </c>
      <c r="Y40" s="2278">
        <f t="shared" si="12"/>
        <v>4</v>
      </c>
      <c r="AG40" s="8267"/>
      <c r="AH40" s="1283" t="s">
        <v>197</v>
      </c>
      <c r="AI40" s="5547">
        <v>57.1</v>
      </c>
      <c r="AJ40" s="6806">
        <v>1.5861111111111112</v>
      </c>
      <c r="AK40" s="6680">
        <v>402633.30727426487</v>
      </c>
      <c r="AL40" s="6795">
        <v>0.43346524754103632</v>
      </c>
      <c r="AM40" s="6818">
        <v>28</v>
      </c>
      <c r="AN40" s="6819">
        <v>1261940.165976197</v>
      </c>
    </row>
    <row r="41" spans="10:40">
      <c r="J41" s="1127" t="s">
        <v>229</v>
      </c>
      <c r="K41" s="1127">
        <f>C16</f>
        <v>7</v>
      </c>
      <c r="L41" s="1128"/>
      <c r="M41" s="1128">
        <f>고장!O149</f>
        <v>1</v>
      </c>
      <c r="N41" s="1128">
        <f>고장!P149</f>
        <v>0</v>
      </c>
      <c r="O41" s="1128">
        <f>고장!Q149</f>
        <v>2</v>
      </c>
      <c r="P41" s="1128">
        <f>고장!R149</f>
        <v>0</v>
      </c>
      <c r="Q41" s="1128">
        <f>고장!S149</f>
        <v>0</v>
      </c>
      <c r="R41" s="1128">
        <f>고장!T149</f>
        <v>0</v>
      </c>
      <c r="S41" s="1128">
        <f>고장!U149</f>
        <v>0</v>
      </c>
      <c r="T41" s="1128">
        <f>고장!V149</f>
        <v>0</v>
      </c>
      <c r="U41" s="1128">
        <f>고장!W149</f>
        <v>0</v>
      </c>
      <c r="V41" s="1128">
        <f>고장!X149</f>
        <v>0</v>
      </c>
      <c r="W41" s="1128">
        <f>고장!Y149</f>
        <v>0</v>
      </c>
      <c r="X41" s="1128">
        <f>고장!Z149</f>
        <v>0</v>
      </c>
      <c r="Y41" s="2278">
        <f t="shared" si="12"/>
        <v>3</v>
      </c>
      <c r="AG41" s="8267" t="s">
        <v>2164</v>
      </c>
      <c r="AH41" s="1289" t="s">
        <v>228</v>
      </c>
      <c r="AI41" s="1281">
        <v>3</v>
      </c>
      <c r="AJ41" s="6804">
        <v>0.75</v>
      </c>
      <c r="AK41" s="6681">
        <v>35807</v>
      </c>
      <c r="AL41" s="6791">
        <v>1.2909913271716773</v>
      </c>
      <c r="AM41" s="6821">
        <v>4</v>
      </c>
      <c r="AN41" s="6822">
        <v>30000</v>
      </c>
    </row>
    <row r="42" spans="10:40">
      <c r="J42" s="1127" t="s">
        <v>228</v>
      </c>
      <c r="K42" s="1127">
        <f>C18</f>
        <v>4</v>
      </c>
      <c r="L42" s="1128"/>
      <c r="M42" s="1128">
        <v>1</v>
      </c>
      <c r="N42" s="1128">
        <v>0</v>
      </c>
      <c r="O42" s="1128">
        <v>0</v>
      </c>
      <c r="P42" s="1128">
        <v>0</v>
      </c>
      <c r="Q42" s="1128">
        <v>0</v>
      </c>
      <c r="R42" s="1128">
        <v>0</v>
      </c>
      <c r="S42" s="1128">
        <v>0</v>
      </c>
      <c r="T42" s="1128">
        <v>0</v>
      </c>
      <c r="U42" s="1128">
        <v>0</v>
      </c>
      <c r="V42" s="1128">
        <v>0</v>
      </c>
      <c r="W42" s="1128">
        <v>0</v>
      </c>
      <c r="X42" s="1127">
        <v>0</v>
      </c>
      <c r="Y42" s="1231">
        <f t="shared" si="12"/>
        <v>1</v>
      </c>
      <c r="AG42" s="8268"/>
      <c r="AH42" s="1673" t="s">
        <v>1015</v>
      </c>
      <c r="AI42" s="1676">
        <v>2</v>
      </c>
      <c r="AJ42" s="6804">
        <v>1</v>
      </c>
      <c r="AK42" s="6681">
        <v>115175.00000000004</v>
      </c>
      <c r="AL42" s="6791">
        <v>1.0000000000000004</v>
      </c>
      <c r="AM42" s="6823">
        <v>4</v>
      </c>
      <c r="AN42" s="6824">
        <v>70966</v>
      </c>
    </row>
    <row r="43" spans="10:40">
      <c r="J43" s="1908" t="s">
        <v>1056</v>
      </c>
      <c r="K43" s="1908">
        <v>4</v>
      </c>
      <c r="L43" s="1128"/>
      <c r="M43" s="1128">
        <v>0</v>
      </c>
      <c r="N43" s="1128">
        <v>0</v>
      </c>
      <c r="O43" s="1128">
        <v>0</v>
      </c>
      <c r="P43" s="1128">
        <v>0</v>
      </c>
      <c r="Q43" s="1128">
        <v>0</v>
      </c>
      <c r="R43" s="1128">
        <v>0</v>
      </c>
      <c r="S43" s="1128">
        <v>0</v>
      </c>
      <c r="T43" s="1128">
        <v>0</v>
      </c>
      <c r="U43" s="1128">
        <v>0</v>
      </c>
      <c r="V43" s="1128">
        <v>0</v>
      </c>
      <c r="W43" s="1128">
        <v>0</v>
      </c>
      <c r="X43" s="1908">
        <v>0</v>
      </c>
      <c r="Y43" s="1909">
        <f t="shared" si="12"/>
        <v>0</v>
      </c>
      <c r="Z43" s="290" t="s">
        <v>2319</v>
      </c>
      <c r="AG43" s="8269"/>
      <c r="AH43" s="1291" t="s">
        <v>197</v>
      </c>
      <c r="AI43" s="1291">
        <v>5</v>
      </c>
      <c r="AJ43" s="6807">
        <v>0.83333333333333337</v>
      </c>
      <c r="AK43" s="6682">
        <v>150982.00000000006</v>
      </c>
      <c r="AL43" s="6796">
        <v>1.0564753390308173</v>
      </c>
      <c r="AM43" s="6825">
        <v>8</v>
      </c>
      <c r="AN43" s="6826">
        <v>100966</v>
      </c>
    </row>
    <row r="44" spans="10:40" ht="18" thickBot="1">
      <c r="X44" s="289" t="s">
        <v>869</v>
      </c>
      <c r="Y44" s="1232">
        <f>SUM(Y29:Y43)</f>
        <v>14</v>
      </c>
      <c r="AG44" s="8270" t="s">
        <v>2165</v>
      </c>
      <c r="AH44" s="8271"/>
      <c r="AI44" s="6797">
        <v>119.1</v>
      </c>
      <c r="AJ44" s="6798">
        <v>0.94523809523809521</v>
      </c>
      <c r="AK44" s="6808">
        <v>4794161.0833642613</v>
      </c>
      <c r="AL44" s="6811">
        <v>0.82123812391275874</v>
      </c>
      <c r="AM44" s="6827">
        <v>156</v>
      </c>
      <c r="AN44" s="6828">
        <v>4708297.7509194035</v>
      </c>
    </row>
  </sheetData>
  <mergeCells count="21">
    <mergeCell ref="AM1:AN1"/>
    <mergeCell ref="AG2:AH2"/>
    <mergeCell ref="AG3:AG13"/>
    <mergeCell ref="AG21:AH21"/>
    <mergeCell ref="L14:L17"/>
    <mergeCell ref="A21:B21"/>
    <mergeCell ref="AI1:AJ1"/>
    <mergeCell ref="AK1:AL1"/>
    <mergeCell ref="A2:B2"/>
    <mergeCell ref="A3:A13"/>
    <mergeCell ref="A14:A17"/>
    <mergeCell ref="A18:A20"/>
    <mergeCell ref="AG14:AG17"/>
    <mergeCell ref="AG18:AG20"/>
    <mergeCell ref="AM24:AN24"/>
    <mergeCell ref="AG26:AG36"/>
    <mergeCell ref="AG37:AG40"/>
    <mergeCell ref="AG41:AG43"/>
    <mergeCell ref="AG44:AH44"/>
    <mergeCell ref="AG24:AH25"/>
    <mergeCell ref="AI24:AL24"/>
  </mergeCells>
  <phoneticPr fontId="23" type="noConversion"/>
  <pageMargins left="0" right="0" top="0.15748031496062992" bottom="0" header="0.31496062992125984" footer="0.31496062992125984"/>
  <pageSetup paperSize="9" scale="90" orientation="landscape"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9"/>
  <sheetViews>
    <sheetView workbookViewId="0">
      <selection activeCell="AE32" sqref="AE32"/>
    </sheetView>
  </sheetViews>
  <sheetFormatPr defaultRowHeight="13.5"/>
  <cols>
    <col min="5" max="5" width="8.77734375" style="286"/>
    <col min="7" max="10" width="8.77734375" customWidth="1"/>
    <col min="11" max="17" width="8.77734375" hidden="1" customWidth="1"/>
    <col min="18" max="18" width="8.77734375" customWidth="1"/>
    <col min="19" max="19" width="10" customWidth="1"/>
    <col min="20" max="20" width="9.77734375" customWidth="1"/>
    <col min="21" max="22" width="10.77734375" customWidth="1"/>
    <col min="23" max="23" width="10.77734375" hidden="1" customWidth="1"/>
    <col min="24" max="25" width="9.77734375" hidden="1" customWidth="1"/>
    <col min="26" max="29" width="8.77734375" hidden="1" customWidth="1"/>
    <col min="30" max="30" width="8.77734375" customWidth="1"/>
    <col min="31" max="31" width="11" bestFit="1" customWidth="1"/>
    <col min="34" max="34" width="13.109375" customWidth="1"/>
    <col min="35" max="35" width="14.109375" bestFit="1" customWidth="1"/>
    <col min="36" max="36" width="12.44140625" customWidth="1"/>
    <col min="38" max="38" width="9.44140625" bestFit="1" customWidth="1"/>
  </cols>
  <sheetData>
    <row r="1" spans="1:38" ht="17.25" thickBot="1">
      <c r="A1" s="8311" t="s">
        <v>278</v>
      </c>
      <c r="B1" s="8313" t="s">
        <v>279</v>
      </c>
      <c r="C1" s="8315" t="s">
        <v>280</v>
      </c>
      <c r="D1" s="6294" t="s">
        <v>1766</v>
      </c>
      <c r="E1" s="6121" t="s">
        <v>1937</v>
      </c>
      <c r="F1" s="6298" t="s">
        <v>282</v>
      </c>
      <c r="G1" s="8317" t="s">
        <v>491</v>
      </c>
      <c r="H1" s="8318"/>
      <c r="I1" s="8318"/>
      <c r="J1" s="8317"/>
      <c r="K1" s="8317"/>
      <c r="L1" s="8317"/>
      <c r="M1" s="8317"/>
      <c r="N1" s="8317"/>
      <c r="O1" s="8317"/>
      <c r="P1" s="8317"/>
      <c r="Q1" s="8317"/>
      <c r="R1" s="8317"/>
      <c r="S1" s="8317"/>
      <c r="T1" s="8317"/>
      <c r="U1" s="8317"/>
      <c r="V1" s="8317"/>
      <c r="W1" s="8317"/>
      <c r="X1" s="8317"/>
      <c r="Y1" s="8317"/>
      <c r="Z1" s="8317"/>
      <c r="AA1" s="8317"/>
      <c r="AB1" s="8317"/>
      <c r="AC1" s="8317"/>
      <c r="AD1" s="8319"/>
      <c r="AE1" s="8308" t="s">
        <v>1912</v>
      </c>
      <c r="AF1" s="8302" t="s">
        <v>458</v>
      </c>
      <c r="AG1" s="8302" t="s">
        <v>361</v>
      </c>
      <c r="AH1" s="8306" t="s">
        <v>283</v>
      </c>
    </row>
    <row r="2" spans="1:38" ht="17.25" thickTop="1">
      <c r="A2" s="8312"/>
      <c r="B2" s="8314"/>
      <c r="C2" s="8316"/>
      <c r="D2" s="6295" t="s">
        <v>1759</v>
      </c>
      <c r="E2" s="6122" t="s">
        <v>1938</v>
      </c>
      <c r="F2" s="6299" t="s">
        <v>1939</v>
      </c>
      <c r="G2" s="7338" t="s">
        <v>366</v>
      </c>
      <c r="H2" s="7628" t="s">
        <v>368</v>
      </c>
      <c r="I2" s="7340" t="s">
        <v>369</v>
      </c>
      <c r="J2" s="4982" t="s">
        <v>370</v>
      </c>
      <c r="K2" s="331" t="s">
        <v>371</v>
      </c>
      <c r="L2" s="331" t="s">
        <v>372</v>
      </c>
      <c r="M2" s="331" t="s">
        <v>373</v>
      </c>
      <c r="N2" s="331" t="s">
        <v>374</v>
      </c>
      <c r="O2" s="331" t="s">
        <v>375</v>
      </c>
      <c r="P2" s="331" t="s">
        <v>376</v>
      </c>
      <c r="Q2" s="331" t="s">
        <v>377</v>
      </c>
      <c r="R2" s="331" t="s">
        <v>378</v>
      </c>
      <c r="S2" s="716" t="s">
        <v>367</v>
      </c>
      <c r="T2" s="716" t="s">
        <v>379</v>
      </c>
      <c r="U2" s="716" t="s">
        <v>380</v>
      </c>
      <c r="V2" s="716" t="s">
        <v>381</v>
      </c>
      <c r="W2" s="716" t="s">
        <v>382</v>
      </c>
      <c r="X2" s="716" t="s">
        <v>383</v>
      </c>
      <c r="Y2" s="716" t="s">
        <v>384</v>
      </c>
      <c r="Z2" s="716" t="s">
        <v>385</v>
      </c>
      <c r="AA2" s="716" t="s">
        <v>386</v>
      </c>
      <c r="AB2" s="716" t="s">
        <v>387</v>
      </c>
      <c r="AC2" s="716" t="s">
        <v>388</v>
      </c>
      <c r="AD2" s="716" t="s">
        <v>389</v>
      </c>
      <c r="AE2" s="8238"/>
      <c r="AF2" s="8303"/>
      <c r="AG2" s="8303"/>
      <c r="AH2" s="8307"/>
    </row>
    <row r="3" spans="1:38" ht="16.5">
      <c r="A3" s="8299" t="s">
        <v>284</v>
      </c>
      <c r="B3" s="8309" t="s">
        <v>1047</v>
      </c>
      <c r="C3" s="4981" t="s">
        <v>1760</v>
      </c>
      <c r="D3" s="4987">
        <v>18312.150000000001</v>
      </c>
      <c r="E3" s="4459">
        <v>17437</v>
      </c>
      <c r="F3" s="6300">
        <v>24000</v>
      </c>
      <c r="G3" s="4608">
        <v>1734.1990000000001</v>
      </c>
      <c r="H3" s="7629">
        <f>'L D'!F17</f>
        <v>2005.5039999999999</v>
      </c>
      <c r="I3" s="7341">
        <v>2389.902</v>
      </c>
      <c r="J3" s="4983"/>
      <c r="K3" s="349"/>
      <c r="L3" s="349"/>
      <c r="M3" s="349"/>
      <c r="N3" s="349"/>
      <c r="O3" s="349"/>
      <c r="P3" s="349"/>
      <c r="Q3" s="349"/>
      <c r="R3" s="349"/>
      <c r="S3" s="4975"/>
      <c r="T3" s="4976"/>
      <c r="U3" s="4976"/>
      <c r="V3" s="4976"/>
      <c r="W3" s="4976"/>
      <c r="X3" s="4976"/>
      <c r="Y3" s="4976"/>
      <c r="Z3" s="4976"/>
      <c r="AA3" s="4976"/>
      <c r="AB3" s="4976"/>
      <c r="AC3" s="4976"/>
      <c r="AD3" s="4976"/>
      <c r="AE3" s="7646"/>
      <c r="AF3" s="7642"/>
      <c r="AG3" s="7643"/>
      <c r="AH3" s="332"/>
    </row>
    <row r="4" spans="1:38" s="286" customFormat="1" ht="16.5">
      <c r="A4" s="8299"/>
      <c r="B4" s="8310"/>
      <c r="C4" s="4981" t="s">
        <v>1048</v>
      </c>
      <c r="D4" s="4987">
        <v>5317.89</v>
      </c>
      <c r="E4" s="4459">
        <v>3051</v>
      </c>
      <c r="F4" s="6300">
        <v>3600</v>
      </c>
      <c r="G4" s="4608">
        <v>243.39599999999999</v>
      </c>
      <c r="H4" s="7629">
        <f>'L D'!F18</f>
        <v>240.08</v>
      </c>
      <c r="I4" s="7341">
        <v>95.441999999999993</v>
      </c>
      <c r="J4" s="4983"/>
      <c r="K4" s="1560"/>
      <c r="L4" s="1560"/>
      <c r="M4" s="1560"/>
      <c r="N4" s="1560"/>
      <c r="O4" s="1560"/>
      <c r="P4" s="1560"/>
      <c r="Q4" s="1560"/>
      <c r="R4" s="1560"/>
      <c r="S4" s="4977"/>
      <c r="T4" s="4978"/>
      <c r="U4" s="4978"/>
      <c r="V4" s="4978"/>
      <c r="W4" s="4978"/>
      <c r="X4" s="4978"/>
      <c r="Y4" s="4978"/>
      <c r="Z4" s="4978"/>
      <c r="AA4" s="4978"/>
      <c r="AB4" s="4978"/>
      <c r="AC4" s="4978"/>
      <c r="AD4" s="4978"/>
      <c r="AE4" s="1534"/>
      <c r="AF4" s="7647"/>
      <c r="AG4" s="1536"/>
      <c r="AH4" s="1537"/>
      <c r="AJ4" s="286" t="s">
        <v>1767</v>
      </c>
    </row>
    <row r="5" spans="1:38" s="286" customFormat="1" ht="16.5">
      <c r="A5" s="8299"/>
      <c r="B5" s="8310"/>
      <c r="C5" s="4981" t="s">
        <v>1940</v>
      </c>
      <c r="D5" s="4987">
        <v>0</v>
      </c>
      <c r="E5" s="4459">
        <v>471</v>
      </c>
      <c r="F5" s="6300">
        <v>1440</v>
      </c>
      <c r="G5" s="4608">
        <v>61.143999999999998</v>
      </c>
      <c r="H5" s="7629">
        <v>77.885999999999996</v>
      </c>
      <c r="I5" s="7341">
        <v>113.95399999999999</v>
      </c>
      <c r="J5" s="4983"/>
      <c r="K5" s="3697"/>
      <c r="L5" s="3697"/>
      <c r="M5" s="3697"/>
      <c r="N5" s="3697"/>
      <c r="O5" s="3697"/>
      <c r="P5" s="3697"/>
      <c r="Q5" s="3697"/>
      <c r="R5" s="3697"/>
      <c r="S5" s="4977"/>
      <c r="T5" s="4978"/>
      <c r="U5" s="4978"/>
      <c r="V5" s="4978"/>
      <c r="W5" s="4978"/>
      <c r="X5" s="4978"/>
      <c r="Y5" s="4978"/>
      <c r="Z5" s="4978"/>
      <c r="AA5" s="4978"/>
      <c r="AB5" s="4978"/>
      <c r="AC5" s="4978"/>
      <c r="AD5" s="4978"/>
      <c r="AE5" s="7648"/>
      <c r="AF5" s="4977"/>
      <c r="AG5" s="3698"/>
      <c r="AH5" s="3331"/>
    </row>
    <row r="6" spans="1:38" s="286" customFormat="1" ht="16.5">
      <c r="A6" s="8299"/>
      <c r="B6" s="8301"/>
      <c r="C6" s="4981" t="s">
        <v>1049</v>
      </c>
      <c r="D6" s="4987">
        <f>SUM(D3:D5)</f>
        <v>23630.04</v>
      </c>
      <c r="E6" s="4459">
        <f>SUM(E3:E5)</f>
        <v>20959</v>
      </c>
      <c r="F6" s="6300">
        <f>SUM(F3:F5)</f>
        <v>29040</v>
      </c>
      <c r="G6" s="4608">
        <v>2038.739</v>
      </c>
      <c r="H6" s="7629">
        <v>2323.4699999999998</v>
      </c>
      <c r="I6" s="7341">
        <v>2599.2980000000002</v>
      </c>
      <c r="J6" s="4983"/>
      <c r="K6" s="1560"/>
      <c r="L6" s="1560"/>
      <c r="M6" s="1560"/>
      <c r="N6" s="1560"/>
      <c r="O6" s="1560"/>
      <c r="P6" s="1560"/>
      <c r="Q6" s="1560"/>
      <c r="R6" s="1560"/>
      <c r="S6" s="4977"/>
      <c r="T6" s="4978"/>
      <c r="U6" s="4978"/>
      <c r="V6" s="4978"/>
      <c r="W6" s="4978"/>
      <c r="X6" s="4978"/>
      <c r="Y6" s="4978"/>
      <c r="Z6" s="4978"/>
      <c r="AA6" s="4978"/>
      <c r="AB6" s="4978"/>
      <c r="AC6" s="4978"/>
      <c r="AD6" s="4978"/>
      <c r="AE6" s="1534"/>
      <c r="AF6" s="7647"/>
      <c r="AG6" s="1536"/>
      <c r="AH6" s="1537"/>
      <c r="AJ6" s="286">
        <v>1000</v>
      </c>
    </row>
    <row r="7" spans="1:38" ht="16.5">
      <c r="A7" s="8299"/>
      <c r="B7" s="4989" t="s">
        <v>287</v>
      </c>
      <c r="C7" s="4981" t="s">
        <v>306</v>
      </c>
      <c r="D7" s="3843">
        <v>5.82</v>
      </c>
      <c r="E7" s="3230">
        <v>6.14</v>
      </c>
      <c r="F7" s="6301">
        <v>7.2</v>
      </c>
      <c r="G7" s="3290">
        <v>5.93</v>
      </c>
      <c r="H7" s="7542">
        <v>6.44</v>
      </c>
      <c r="I7" s="7304">
        <v>5.77</v>
      </c>
      <c r="J7" s="4984"/>
      <c r="K7" s="352"/>
      <c r="L7" s="352"/>
      <c r="M7" s="352"/>
      <c r="N7" s="352"/>
      <c r="O7" s="352"/>
      <c r="P7" s="352"/>
      <c r="Q7" s="352"/>
      <c r="R7" s="352"/>
      <c r="S7" s="4973">
        <f t="shared" ref="S7:AD7" si="0">(G6/$E$7-G6/G7)*$T$21/1000</f>
        <v>-2363.4044156355417</v>
      </c>
      <c r="T7" s="4973">
        <f t="shared" si="0"/>
        <v>3543.1069929105647</v>
      </c>
      <c r="U7" s="4973">
        <f t="shared" si="0"/>
        <v>-5456.2441315949454</v>
      </c>
      <c r="V7" s="4973" t="e">
        <f t="shared" si="0"/>
        <v>#DIV/0!</v>
      </c>
      <c r="W7" s="4973" t="e">
        <f t="shared" si="0"/>
        <v>#DIV/0!</v>
      </c>
      <c r="X7" s="4973" t="e">
        <f t="shared" si="0"/>
        <v>#DIV/0!</v>
      </c>
      <c r="Y7" s="4973" t="e">
        <f t="shared" si="0"/>
        <v>#DIV/0!</v>
      </c>
      <c r="Z7" s="4973" t="e">
        <f t="shared" si="0"/>
        <v>#DIV/0!</v>
      </c>
      <c r="AA7" s="4973" t="e">
        <f t="shared" si="0"/>
        <v>#DIV/0!</v>
      </c>
      <c r="AB7" s="4973" t="e">
        <f t="shared" si="0"/>
        <v>#DIV/0!</v>
      </c>
      <c r="AC7" s="4973" t="e">
        <f t="shared" si="0"/>
        <v>#DIV/0!</v>
      </c>
      <c r="AD7" s="4973" t="e">
        <f t="shared" si="0"/>
        <v>#DIV/0!</v>
      </c>
      <c r="AE7" s="4973">
        <f>(F6/E7-F6/F7)*AI22/1000</f>
        <v>139952.86430998828</v>
      </c>
      <c r="AF7" s="350">
        <f>S7+T7+U7</f>
        <v>-4276.5415543199224</v>
      </c>
      <c r="AG7" s="351">
        <f>AF7/AE7</f>
        <v>-3.0557013430233242E-2</v>
      </c>
      <c r="AH7" s="332" t="s">
        <v>2112</v>
      </c>
      <c r="AI7" s="3377">
        <v>60683.969923995704</v>
      </c>
      <c r="AJ7" s="3377">
        <f>AI7*$AJ$6</f>
        <v>60683969.923995703</v>
      </c>
    </row>
    <row r="8" spans="1:38" ht="16.5">
      <c r="A8" s="8299"/>
      <c r="B8" s="4989" t="s">
        <v>261</v>
      </c>
      <c r="C8" s="4981" t="s">
        <v>290</v>
      </c>
      <c r="D8" s="3843">
        <v>98.17</v>
      </c>
      <c r="E8" s="3230">
        <v>97</v>
      </c>
      <c r="F8" s="6301">
        <v>98.5</v>
      </c>
      <c r="G8" s="3290">
        <v>96.03</v>
      </c>
      <c r="H8" s="7542">
        <v>98.06</v>
      </c>
      <c r="I8" s="7304">
        <v>97.87</v>
      </c>
      <c r="J8" s="4984"/>
      <c r="K8" s="352"/>
      <c r="L8" s="352"/>
      <c r="M8" s="352"/>
      <c r="N8" s="352"/>
      <c r="O8" s="352"/>
      <c r="P8" s="352"/>
      <c r="Q8" s="352"/>
      <c r="R8" s="352"/>
      <c r="S8" s="4973">
        <f t="shared" ref="S8:AD8" si="1">(G8-$E$8)/100*S24*$T$21/1000</f>
        <v>-569.74650222827529</v>
      </c>
      <c r="T8" s="4973">
        <f t="shared" si="1"/>
        <v>663.12500866416008</v>
      </c>
      <c r="U8" s="4973">
        <f t="shared" si="1"/>
        <v>723.76047206154158</v>
      </c>
      <c r="V8" s="4973">
        <f t="shared" si="1"/>
        <v>0</v>
      </c>
      <c r="W8" s="4973">
        <f t="shared" si="1"/>
        <v>0</v>
      </c>
      <c r="X8" s="4973">
        <f t="shared" si="1"/>
        <v>0</v>
      </c>
      <c r="Y8" s="4973">
        <f t="shared" si="1"/>
        <v>0</v>
      </c>
      <c r="Z8" s="4973">
        <f t="shared" si="1"/>
        <v>0</v>
      </c>
      <c r="AA8" s="4973">
        <f t="shared" si="1"/>
        <v>0</v>
      </c>
      <c r="AB8" s="4973">
        <f t="shared" si="1"/>
        <v>0</v>
      </c>
      <c r="AC8" s="4973">
        <f t="shared" si="1"/>
        <v>0</v>
      </c>
      <c r="AD8" s="4973">
        <f t="shared" si="1"/>
        <v>0</v>
      </c>
      <c r="AE8" s="4990">
        <f>(F8-E8)/100*(F6/F7)*AI22/1000</f>
        <v>12160.055474481047</v>
      </c>
      <c r="AF8" s="350">
        <f>S8+T8+U8</f>
        <v>817.13897849742636</v>
      </c>
      <c r="AG8" s="351">
        <f t="shared" ref="AG8:AG19" si="2">AF8/AE8</f>
        <v>6.7198622589532173E-2</v>
      </c>
      <c r="AH8" s="332" t="s">
        <v>2111</v>
      </c>
      <c r="AI8" s="3377">
        <v>5272.6354999999994</v>
      </c>
      <c r="AJ8" s="3377">
        <f t="shared" ref="AJ8:AJ20" si="3">AI8*$AJ$6</f>
        <v>5272635.4999999991</v>
      </c>
    </row>
    <row r="9" spans="1:38" ht="16.5">
      <c r="A9" s="8304" t="s">
        <v>292</v>
      </c>
      <c r="B9" s="8300" t="s">
        <v>527</v>
      </c>
      <c r="C9" s="4981" t="s">
        <v>1941</v>
      </c>
      <c r="D9" s="3843">
        <v>98.61</v>
      </c>
      <c r="E9" s="3230">
        <v>98.77</v>
      </c>
      <c r="F9" s="6301">
        <v>99</v>
      </c>
      <c r="G9" s="3290">
        <v>98.4</v>
      </c>
      <c r="H9" s="7542">
        <v>98.71</v>
      </c>
      <c r="I9" s="7304">
        <v>98.47</v>
      </c>
      <c r="J9" s="4984"/>
      <c r="K9" s="352"/>
      <c r="L9" s="352"/>
      <c r="M9" s="352"/>
      <c r="N9" s="352"/>
      <c r="O9" s="352"/>
      <c r="P9" s="352"/>
      <c r="Q9" s="352"/>
      <c r="R9" s="352"/>
      <c r="S9" s="4973">
        <f t="shared" ref="S9:AD9" si="4">(G9-$E$9)/100*G6*$T$22/1000</f>
        <v>-11127.779729043048</v>
      </c>
      <c r="T9" s="4973">
        <f t="shared" ref="T9" si="5">(H9-$E$9)/100*H6*$T$22/1000</f>
        <v>-2056.5225937586752</v>
      </c>
      <c r="U9" s="4973">
        <f t="shared" ref="U9" si="6">(I9-$E$9)/100*I6*$T$22/1000</f>
        <v>-11503.301236752541</v>
      </c>
      <c r="V9" s="4973">
        <f t="shared" si="4"/>
        <v>0</v>
      </c>
      <c r="W9" s="4973">
        <f t="shared" si="4"/>
        <v>0</v>
      </c>
      <c r="X9" s="4973">
        <f t="shared" si="4"/>
        <v>0</v>
      </c>
      <c r="Y9" s="4973">
        <f t="shared" si="4"/>
        <v>0</v>
      </c>
      <c r="Z9" s="4973">
        <f t="shared" si="4"/>
        <v>0</v>
      </c>
      <c r="AA9" s="4973">
        <f t="shared" si="4"/>
        <v>0</v>
      </c>
      <c r="AB9" s="4973">
        <f t="shared" si="4"/>
        <v>0</v>
      </c>
      <c r="AC9" s="4973">
        <f t="shared" si="4"/>
        <v>0</v>
      </c>
      <c r="AD9" s="4973">
        <f t="shared" si="4"/>
        <v>0</v>
      </c>
      <c r="AE9" s="4990">
        <f>(F9-E9)/100*F6*AI21/1000</f>
        <v>98530.256528903337</v>
      </c>
      <c r="AF9" s="350">
        <f>S9+T9+U9</f>
        <v>-24687.603559554263</v>
      </c>
      <c r="AG9" s="351">
        <f t="shared" si="2"/>
        <v>-0.25055860432386357</v>
      </c>
      <c r="AH9" s="332" t="s">
        <v>717</v>
      </c>
      <c r="AI9" s="3377">
        <v>52544.064144000913</v>
      </c>
      <c r="AJ9" s="3377">
        <f t="shared" si="3"/>
        <v>52544064.14400091</v>
      </c>
      <c r="AL9">
        <f>(F9-E9)/100*F6*AI21</f>
        <v>98530256.528903335</v>
      </c>
    </row>
    <row r="10" spans="1:38" s="286" customFormat="1" ht="16.5">
      <c r="A10" s="8305"/>
      <c r="B10" s="8310"/>
      <c r="C10" s="4981" t="s">
        <v>1942</v>
      </c>
      <c r="D10" s="3843">
        <v>97.22</v>
      </c>
      <c r="E10" s="3230">
        <v>98.02</v>
      </c>
      <c r="F10" s="6301">
        <v>98.5</v>
      </c>
      <c r="G10" s="3290">
        <v>99.53</v>
      </c>
      <c r="H10" s="7542">
        <v>96.52</v>
      </c>
      <c r="I10" s="7304">
        <v>95.75</v>
      </c>
      <c r="J10" s="4984"/>
      <c r="K10" s="3701"/>
      <c r="L10" s="3701"/>
      <c r="M10" s="3701"/>
      <c r="N10" s="3701"/>
      <c r="O10" s="3701"/>
      <c r="P10" s="3701"/>
      <c r="Q10" s="3701"/>
      <c r="R10" s="3701"/>
      <c r="S10" s="4974"/>
      <c r="T10" s="4974"/>
      <c r="U10" s="4974"/>
      <c r="V10" s="4974"/>
      <c r="W10" s="4974"/>
      <c r="X10" s="4974"/>
      <c r="Y10" s="4974"/>
      <c r="Z10" s="4974"/>
      <c r="AA10" s="4974"/>
      <c r="AB10" s="4974"/>
      <c r="AC10" s="4974"/>
      <c r="AD10" s="4974"/>
      <c r="AE10" s="7645"/>
      <c r="AF10" s="4977"/>
      <c r="AG10" s="3698"/>
      <c r="AH10" s="3331"/>
      <c r="AI10" s="3377"/>
      <c r="AJ10" s="3377"/>
    </row>
    <row r="11" spans="1:38" s="286" customFormat="1" ht="16.5">
      <c r="A11" s="8305"/>
      <c r="B11" s="8310"/>
      <c r="C11" s="4981" t="s">
        <v>1940</v>
      </c>
      <c r="D11" s="3843"/>
      <c r="E11" s="3230">
        <v>97.32</v>
      </c>
      <c r="F11" s="6301">
        <v>97.4</v>
      </c>
      <c r="G11" s="3290">
        <v>98.15</v>
      </c>
      <c r="H11" s="7542">
        <v>95.39</v>
      </c>
      <c r="I11" s="7304">
        <v>95.78</v>
      </c>
      <c r="J11" s="4984"/>
      <c r="K11" s="3701"/>
      <c r="L11" s="3701"/>
      <c r="M11" s="3701"/>
      <c r="N11" s="3701"/>
      <c r="O11" s="3701"/>
      <c r="P11" s="3701"/>
      <c r="Q11" s="3701"/>
      <c r="R11" s="3701"/>
      <c r="S11" s="4974"/>
      <c r="T11" s="4974"/>
      <c r="U11" s="4974"/>
      <c r="V11" s="4974"/>
      <c r="W11" s="4974"/>
      <c r="X11" s="4974"/>
      <c r="Y11" s="4974"/>
      <c r="Z11" s="4974"/>
      <c r="AA11" s="4974"/>
      <c r="AB11" s="4974"/>
      <c r="AC11" s="4974"/>
      <c r="AD11" s="4974"/>
      <c r="AE11" s="7645"/>
      <c r="AF11" s="4977"/>
      <c r="AG11" s="3698"/>
      <c r="AH11" s="3331"/>
      <c r="AI11" s="3377"/>
      <c r="AJ11" s="3377">
        <f>F6/F7</f>
        <v>4033.333333333333</v>
      </c>
    </row>
    <row r="12" spans="1:38" s="286" customFormat="1" ht="16.5">
      <c r="A12" s="8305"/>
      <c r="B12" s="8301"/>
      <c r="C12" s="4981" t="s">
        <v>16</v>
      </c>
      <c r="D12" s="3843">
        <v>98.26</v>
      </c>
      <c r="E12" s="3230">
        <v>98.62</v>
      </c>
      <c r="F12" s="6301">
        <v>98.92</v>
      </c>
      <c r="G12" s="3290">
        <v>98.53</v>
      </c>
      <c r="H12" s="7542">
        <v>98.36</v>
      </c>
      <c r="I12" s="7304">
        <v>98.25</v>
      </c>
      <c r="J12" s="4984"/>
      <c r="K12" s="3701"/>
      <c r="L12" s="3701"/>
      <c r="M12" s="3701"/>
      <c r="N12" s="3701"/>
      <c r="O12" s="3701"/>
      <c r="P12" s="3701"/>
      <c r="Q12" s="3701"/>
      <c r="R12" s="3701"/>
      <c r="S12" s="4974"/>
      <c r="T12" s="4974"/>
      <c r="U12" s="4974"/>
      <c r="V12" s="4974"/>
      <c r="W12" s="4974"/>
      <c r="X12" s="4974"/>
      <c r="Y12" s="4974"/>
      <c r="Z12" s="4974"/>
      <c r="AA12" s="4974"/>
      <c r="AB12" s="4974"/>
      <c r="AC12" s="4974"/>
      <c r="AD12" s="4974"/>
      <c r="AE12" s="7645"/>
      <c r="AF12" s="4977"/>
      <c r="AG12" s="3698"/>
      <c r="AH12" s="3331"/>
      <c r="AI12" s="3377"/>
      <c r="AJ12" s="3377"/>
    </row>
    <row r="13" spans="1:38" ht="16.5">
      <c r="A13" s="8305"/>
      <c r="B13" s="4989" t="s">
        <v>514</v>
      </c>
      <c r="C13" s="4981" t="s">
        <v>305</v>
      </c>
      <c r="D13" s="4988">
        <v>5.99</v>
      </c>
      <c r="E13" s="4460">
        <v>0</v>
      </c>
      <c r="F13" s="6302">
        <v>0</v>
      </c>
      <c r="G13" s="7339">
        <v>0</v>
      </c>
      <c r="H13" s="7630">
        <v>0</v>
      </c>
      <c r="I13" s="7342">
        <v>0</v>
      </c>
      <c r="J13" s="4985"/>
      <c r="K13" s="618"/>
      <c r="L13" s="618"/>
      <c r="M13" s="618"/>
      <c r="N13" s="618"/>
      <c r="O13" s="618"/>
      <c r="P13" s="618"/>
      <c r="Q13" s="618"/>
      <c r="R13" s="618"/>
      <c r="S13" s="4973">
        <f>(($E$13/12)-G13)*$T$22/1000</f>
        <v>0</v>
      </c>
      <c r="T13" s="4973">
        <f t="shared" ref="T13:AD13" si="7">(($E$13/12)-H13)*$T$22/1000</f>
        <v>0</v>
      </c>
      <c r="U13" s="4973">
        <f t="shared" si="7"/>
        <v>0</v>
      </c>
      <c r="V13" s="4973">
        <f t="shared" si="7"/>
        <v>0</v>
      </c>
      <c r="W13" s="4973">
        <f t="shared" si="7"/>
        <v>0</v>
      </c>
      <c r="X13" s="4973">
        <f t="shared" si="7"/>
        <v>0</v>
      </c>
      <c r="Y13" s="4973">
        <f t="shared" si="7"/>
        <v>0</v>
      </c>
      <c r="Z13" s="4973">
        <f t="shared" si="7"/>
        <v>0</v>
      </c>
      <c r="AA13" s="4973">
        <f t="shared" si="7"/>
        <v>0</v>
      </c>
      <c r="AB13" s="4973">
        <f t="shared" si="7"/>
        <v>0</v>
      </c>
      <c r="AC13" s="4973">
        <f t="shared" si="7"/>
        <v>0</v>
      </c>
      <c r="AD13" s="4973">
        <f t="shared" si="7"/>
        <v>0</v>
      </c>
      <c r="AE13" s="4991">
        <f>(F13-E13)*AI21</f>
        <v>0</v>
      </c>
      <c r="AF13" s="350">
        <f>S13+T13+U13</f>
        <v>0</v>
      </c>
      <c r="AG13" s="7643"/>
      <c r="AH13" s="332" t="s">
        <v>295</v>
      </c>
      <c r="AI13" s="3377">
        <v>0</v>
      </c>
      <c r="AJ13" s="3377">
        <f t="shared" si="3"/>
        <v>0</v>
      </c>
    </row>
    <row r="14" spans="1:38" ht="16.5">
      <c r="A14" s="8304" t="s">
        <v>535</v>
      </c>
      <c r="B14" s="4989" t="s">
        <v>1754</v>
      </c>
      <c r="C14" s="4981" t="s">
        <v>1943</v>
      </c>
      <c r="D14" s="3843">
        <v>483.46</v>
      </c>
      <c r="E14" s="3230">
        <v>349</v>
      </c>
      <c r="F14" s="6301">
        <v>465</v>
      </c>
      <c r="G14" s="4611">
        <v>35.65</v>
      </c>
      <c r="H14" s="7631">
        <f>스크!AB20+스크!AC20</f>
        <v>34.72</v>
      </c>
      <c r="I14" s="7343">
        <v>33.26</v>
      </c>
      <c r="J14" s="4986"/>
      <c r="K14" s="509"/>
      <c r="L14" s="509"/>
      <c r="M14" s="509"/>
      <c r="N14" s="509"/>
      <c r="O14" s="509"/>
      <c r="P14" s="509"/>
      <c r="Q14" s="509"/>
      <c r="R14" s="509"/>
      <c r="S14" s="4973">
        <f t="shared" ref="S14:AD14" si="8">($E$14/12-G14)*$T$22/1000</f>
        <v>-9687.0186729915877</v>
      </c>
      <c r="T14" s="4973">
        <f t="shared" si="8"/>
        <v>-8315.1008000146066</v>
      </c>
      <c r="U14" s="4973">
        <f t="shared" si="8"/>
        <v>-6161.337257491602</v>
      </c>
      <c r="V14" s="4973">
        <f t="shared" si="8"/>
        <v>42903.166457792686</v>
      </c>
      <c r="W14" s="4973">
        <f t="shared" si="8"/>
        <v>42903.166457792686</v>
      </c>
      <c r="X14" s="4973">
        <f t="shared" si="8"/>
        <v>42903.166457792686</v>
      </c>
      <c r="Y14" s="4973">
        <f t="shared" si="8"/>
        <v>42903.166457792686</v>
      </c>
      <c r="Z14" s="4973">
        <f t="shared" si="8"/>
        <v>42903.166457792686</v>
      </c>
      <c r="AA14" s="4973">
        <f t="shared" si="8"/>
        <v>42903.166457792686</v>
      </c>
      <c r="AB14" s="4973">
        <f t="shared" si="8"/>
        <v>42903.166457792686</v>
      </c>
      <c r="AC14" s="4973">
        <f t="shared" si="8"/>
        <v>42903.166457792686</v>
      </c>
      <c r="AD14" s="4973">
        <f t="shared" si="8"/>
        <v>42903.166457792686</v>
      </c>
      <c r="AE14" s="7641"/>
      <c r="AF14" s="7642"/>
      <c r="AG14" s="7643"/>
      <c r="AH14" s="332" t="s">
        <v>2113</v>
      </c>
      <c r="AI14" s="3377"/>
      <c r="AJ14" s="3377">
        <f t="shared" si="3"/>
        <v>0</v>
      </c>
    </row>
    <row r="15" spans="1:38" ht="16.5">
      <c r="A15" s="8305"/>
      <c r="B15" s="4989" t="s">
        <v>1755</v>
      </c>
      <c r="C15" s="4981" t="s">
        <v>436</v>
      </c>
      <c r="D15" s="4988">
        <v>118.08</v>
      </c>
      <c r="E15" s="4460">
        <v>94</v>
      </c>
      <c r="F15" s="6302">
        <v>96</v>
      </c>
      <c r="G15" s="3290">
        <v>3.64</v>
      </c>
      <c r="H15" s="7542">
        <v>3.13</v>
      </c>
      <c r="I15" s="7304">
        <v>1.29</v>
      </c>
      <c r="J15" s="4984"/>
      <c r="K15" s="617"/>
      <c r="L15" s="617"/>
      <c r="M15" s="617"/>
      <c r="N15" s="617"/>
      <c r="O15" s="617"/>
      <c r="P15" s="617"/>
      <c r="Q15" s="617"/>
      <c r="R15" s="617"/>
      <c r="S15" s="4973">
        <f t="shared" ref="S15:AD15" si="9">($E$15/12-G15)*$T$22/1000</f>
        <v>6185.9235993012262</v>
      </c>
      <c r="T15" s="4973">
        <f t="shared" si="9"/>
        <v>6938.2656586756993</v>
      </c>
      <c r="U15" s="4973">
        <f t="shared" si="9"/>
        <v>9652.5977944581136</v>
      </c>
      <c r="V15" s="4973">
        <f t="shared" si="9"/>
        <v>11555.580650522959</v>
      </c>
      <c r="W15" s="4973">
        <f t="shared" si="9"/>
        <v>11555.580650522959</v>
      </c>
      <c r="X15" s="4973">
        <f t="shared" si="9"/>
        <v>11555.580650522959</v>
      </c>
      <c r="Y15" s="4973">
        <f t="shared" si="9"/>
        <v>11555.580650522959</v>
      </c>
      <c r="Z15" s="4973">
        <f t="shared" si="9"/>
        <v>11555.580650522959</v>
      </c>
      <c r="AA15" s="4973">
        <f t="shared" si="9"/>
        <v>11555.580650522959</v>
      </c>
      <c r="AB15" s="4973">
        <f t="shared" si="9"/>
        <v>11555.580650522959</v>
      </c>
      <c r="AC15" s="4973">
        <f t="shared" si="9"/>
        <v>11555.580650522959</v>
      </c>
      <c r="AD15" s="4973">
        <f t="shared" si="9"/>
        <v>11555.580650522959</v>
      </c>
      <c r="AE15" s="7644"/>
      <c r="AF15" s="7642"/>
      <c r="AG15" s="7643"/>
      <c r="AH15" s="703"/>
      <c r="AI15" s="3377"/>
      <c r="AJ15" s="3377">
        <f t="shared" si="3"/>
        <v>0</v>
      </c>
    </row>
    <row r="16" spans="1:38" ht="16.5">
      <c r="A16" s="8299" t="s">
        <v>296</v>
      </c>
      <c r="B16" s="8300" t="s">
        <v>1753</v>
      </c>
      <c r="C16" s="4981" t="s">
        <v>453</v>
      </c>
      <c r="D16" s="3700">
        <v>8.1999999999999993</v>
      </c>
      <c r="E16" s="3252">
        <v>8.36</v>
      </c>
      <c r="F16" s="6303">
        <v>8</v>
      </c>
      <c r="G16" s="3290">
        <v>9.02</v>
      </c>
      <c r="H16" s="7542">
        <v>5.43</v>
      </c>
      <c r="I16" s="7304">
        <v>9.4499999999999993</v>
      </c>
      <c r="J16" s="4984"/>
      <c r="K16" s="352"/>
      <c r="L16" s="352"/>
      <c r="M16" s="352"/>
      <c r="N16" s="352"/>
      <c r="O16" s="352"/>
      <c r="P16" s="352"/>
      <c r="Q16" s="352"/>
      <c r="R16" s="352"/>
      <c r="S16" s="7640">
        <f>($E$16-G16)*G6*558/1000</f>
        <v>-750.82679892000021</v>
      </c>
      <c r="T16" s="7640">
        <f t="shared" ref="T16:AD16" si="10">($E$16-H16)*H6*558/1000</f>
        <v>3798.7340417999994</v>
      </c>
      <c r="U16" s="7640">
        <f t="shared" si="10"/>
        <v>-1580.9450295599997</v>
      </c>
      <c r="V16" s="7640">
        <f t="shared" si="10"/>
        <v>0</v>
      </c>
      <c r="W16" s="7640">
        <f t="shared" si="10"/>
        <v>0</v>
      </c>
      <c r="X16" s="7640">
        <f t="shared" si="10"/>
        <v>0</v>
      </c>
      <c r="Y16" s="7640">
        <f t="shared" si="10"/>
        <v>0</v>
      </c>
      <c r="Z16" s="7640">
        <f t="shared" si="10"/>
        <v>0</v>
      </c>
      <c r="AA16" s="7640">
        <f t="shared" si="10"/>
        <v>0</v>
      </c>
      <c r="AB16" s="7640">
        <f t="shared" si="10"/>
        <v>0</v>
      </c>
      <c r="AC16" s="7640">
        <f t="shared" si="10"/>
        <v>0</v>
      </c>
      <c r="AD16" s="7640">
        <f t="shared" si="10"/>
        <v>0</v>
      </c>
      <c r="AE16" s="4990">
        <f>(E16-F16)*F6*558/1000</f>
        <v>5833.5551999999907</v>
      </c>
      <c r="AF16" s="350">
        <f>S16+T16+U16</f>
        <v>1466.9622133199994</v>
      </c>
      <c r="AG16" s="351">
        <f t="shared" si="2"/>
        <v>0.25146967209978605</v>
      </c>
      <c r="AH16" s="332" t="s">
        <v>528</v>
      </c>
      <c r="AI16" s="3377">
        <v>5833.5551999999907</v>
      </c>
      <c r="AJ16" s="3377">
        <f t="shared" si="3"/>
        <v>5833555.1999999909</v>
      </c>
    </row>
    <row r="17" spans="1:36" ht="16.5">
      <c r="A17" s="8299"/>
      <c r="B17" s="8301"/>
      <c r="C17" s="4981" t="s">
        <v>276</v>
      </c>
      <c r="D17" s="3721">
        <v>706</v>
      </c>
      <c r="E17" s="3258">
        <v>714</v>
      </c>
      <c r="F17" s="6304">
        <v>683</v>
      </c>
      <c r="G17" s="3290">
        <v>1273.9704235238355</v>
      </c>
      <c r="H17" s="7542">
        <v>820.26413766159931</v>
      </c>
      <c r="I17" s="7304">
        <v>1188.0816422724226</v>
      </c>
      <c r="J17" s="4984"/>
      <c r="K17" s="352"/>
      <c r="L17" s="352"/>
      <c r="M17" s="352"/>
      <c r="N17" s="352"/>
      <c r="O17" s="352"/>
      <c r="P17" s="352"/>
      <c r="Q17" s="352"/>
      <c r="R17" s="352"/>
      <c r="S17" s="4974"/>
      <c r="T17" s="4974"/>
      <c r="U17" s="4974"/>
      <c r="V17" s="4974"/>
      <c r="W17" s="4974"/>
      <c r="X17" s="4974"/>
      <c r="Y17" s="4974"/>
      <c r="Z17" s="4974"/>
      <c r="AA17" s="4974"/>
      <c r="AB17" s="4974"/>
      <c r="AC17" s="4974"/>
      <c r="AD17" s="4974"/>
      <c r="AE17" s="7641"/>
      <c r="AF17" s="7642"/>
      <c r="AG17" s="7643"/>
      <c r="AH17" s="332" t="s">
        <v>526</v>
      </c>
      <c r="AI17" s="3377"/>
      <c r="AJ17" s="3377">
        <f t="shared" si="3"/>
        <v>0</v>
      </c>
    </row>
    <row r="18" spans="1:36" ht="16.5">
      <c r="A18" s="8299" t="s">
        <v>1758</v>
      </c>
      <c r="B18" s="4989" t="s">
        <v>1756</v>
      </c>
      <c r="C18" s="4981" t="s">
        <v>276</v>
      </c>
      <c r="D18" s="3721">
        <v>808</v>
      </c>
      <c r="E18" s="3258">
        <v>1412</v>
      </c>
      <c r="F18" s="6305">
        <v>1300</v>
      </c>
      <c r="G18" s="3290">
        <v>1141.5683910495654</v>
      </c>
      <c r="H18" s="7542">
        <v>0</v>
      </c>
      <c r="I18" s="7304">
        <v>834.8407916291244</v>
      </c>
      <c r="J18" s="4984"/>
      <c r="K18" s="352"/>
      <c r="L18" s="352"/>
      <c r="M18" s="352"/>
      <c r="N18" s="352"/>
      <c r="O18" s="352"/>
      <c r="P18" s="352"/>
      <c r="Q18" s="352"/>
      <c r="R18" s="352"/>
      <c r="S18" s="4973">
        <f>($E$18-G18)*G6/1000</f>
        <v>551.33946800000001</v>
      </c>
      <c r="T18" s="4973">
        <f t="shared" ref="T18:AD18" si="11">($E$18-H18)*H6/1000</f>
        <v>3280.7396399999998</v>
      </c>
      <c r="U18" s="4973">
        <f t="shared" si="11"/>
        <v>1500.2087760000004</v>
      </c>
      <c r="V18" s="4973">
        <f t="shared" si="11"/>
        <v>0</v>
      </c>
      <c r="W18" s="4973">
        <f t="shared" si="11"/>
        <v>0</v>
      </c>
      <c r="X18" s="4973">
        <f t="shared" si="11"/>
        <v>0</v>
      </c>
      <c r="Y18" s="4973">
        <f t="shared" si="11"/>
        <v>0</v>
      </c>
      <c r="Z18" s="4973">
        <f t="shared" si="11"/>
        <v>0</v>
      </c>
      <c r="AA18" s="4973">
        <f t="shared" si="11"/>
        <v>0</v>
      </c>
      <c r="AB18" s="4973">
        <f t="shared" si="11"/>
        <v>0</v>
      </c>
      <c r="AC18" s="4973">
        <f t="shared" si="11"/>
        <v>0</v>
      </c>
      <c r="AD18" s="4973">
        <f t="shared" si="11"/>
        <v>0</v>
      </c>
      <c r="AE18" s="4990">
        <f>(E18-F18)*F6/1000</f>
        <v>3252.48</v>
      </c>
      <c r="AF18" s="350">
        <f>S18+T18+U18</f>
        <v>5332.2878840000003</v>
      </c>
      <c r="AG18" s="351">
        <f t="shared" si="2"/>
        <v>1.6394529356060608</v>
      </c>
      <c r="AH18" s="332" t="s">
        <v>323</v>
      </c>
      <c r="AI18" s="3377">
        <v>3252.48</v>
      </c>
      <c r="AJ18" s="3377">
        <f t="shared" si="3"/>
        <v>3252480</v>
      </c>
    </row>
    <row r="19" spans="1:36" ht="17.25" thickBot="1">
      <c r="A19" s="8299"/>
      <c r="B19" s="4989" t="s">
        <v>1757</v>
      </c>
      <c r="C19" s="4981" t="s">
        <v>276</v>
      </c>
      <c r="D19" s="6296">
        <v>3836</v>
      </c>
      <c r="E19" s="6297">
        <v>3697</v>
      </c>
      <c r="F19" s="6306">
        <v>3500</v>
      </c>
      <c r="G19" s="3290">
        <v>2985.4552250189945</v>
      </c>
      <c r="H19" s="7542">
        <v>3767.2666313746254</v>
      </c>
      <c r="I19" s="7304">
        <v>2263.7100478667699</v>
      </c>
      <c r="J19" s="4984"/>
      <c r="K19" s="352"/>
      <c r="L19" s="352"/>
      <c r="M19" s="352"/>
      <c r="N19" s="352"/>
      <c r="O19" s="352"/>
      <c r="P19" s="352"/>
      <c r="Q19" s="352"/>
      <c r="R19" s="352"/>
      <c r="S19" s="4973">
        <f>($E$19-G19)*G6/1000</f>
        <v>1450.6540830000001</v>
      </c>
      <c r="T19" s="4973">
        <f t="shared" ref="T19:AD19" si="12">($E$19-H19)*H6/1000</f>
        <v>-163.26241000000081</v>
      </c>
      <c r="U19" s="4973">
        <f t="shared" si="12"/>
        <v>3725.5477060000012</v>
      </c>
      <c r="V19" s="4973">
        <f t="shared" si="12"/>
        <v>0</v>
      </c>
      <c r="W19" s="4973">
        <f t="shared" si="12"/>
        <v>0</v>
      </c>
      <c r="X19" s="4973">
        <f t="shared" si="12"/>
        <v>0</v>
      </c>
      <c r="Y19" s="4973">
        <f t="shared" si="12"/>
        <v>0</v>
      </c>
      <c r="Z19" s="4973">
        <f t="shared" si="12"/>
        <v>0</v>
      </c>
      <c r="AA19" s="4973">
        <f t="shared" si="12"/>
        <v>0</v>
      </c>
      <c r="AB19" s="4973">
        <f t="shared" si="12"/>
        <v>0</v>
      </c>
      <c r="AC19" s="4973">
        <f t="shared" si="12"/>
        <v>0</v>
      </c>
      <c r="AD19" s="4973">
        <f t="shared" si="12"/>
        <v>0</v>
      </c>
      <c r="AE19" s="4990">
        <f>(E19-F19)*F6/1000</f>
        <v>5720.88</v>
      </c>
      <c r="AF19" s="350">
        <f>S19+T19+U19</f>
        <v>5012.9393790000004</v>
      </c>
      <c r="AG19" s="351">
        <f t="shared" si="2"/>
        <v>0.87625319513781097</v>
      </c>
      <c r="AH19" s="332" t="s">
        <v>529</v>
      </c>
      <c r="AI19" s="3377">
        <v>5720.88</v>
      </c>
      <c r="AJ19" s="3377">
        <f t="shared" si="3"/>
        <v>5720880</v>
      </c>
    </row>
    <row r="20" spans="1:36" ht="17.25" thickBot="1">
      <c r="A20" s="8294" t="s">
        <v>334</v>
      </c>
      <c r="B20" s="8295"/>
      <c r="C20" s="8295"/>
      <c r="D20" s="8296"/>
      <c r="E20" s="8297"/>
      <c r="F20" s="8298"/>
      <c r="G20" s="7344">
        <f>S20</f>
        <v>-12809.763894826865</v>
      </c>
      <c r="H20" s="7632">
        <f>T20</f>
        <v>9065.920679616047</v>
      </c>
      <c r="I20" s="7627">
        <f>U20</f>
        <v>-12590.973443845942</v>
      </c>
      <c r="J20" s="7345" t="e">
        <f>V20</f>
        <v>#DIV/0!</v>
      </c>
      <c r="K20" s="7346" t="e">
        <f t="shared" ref="K20:R20" si="13">W20</f>
        <v>#DIV/0!</v>
      </c>
      <c r="L20" s="7346" t="e">
        <f t="shared" si="13"/>
        <v>#DIV/0!</v>
      </c>
      <c r="M20" s="7346" t="e">
        <f t="shared" si="13"/>
        <v>#DIV/0!</v>
      </c>
      <c r="N20" s="7346" t="e">
        <f t="shared" si="13"/>
        <v>#DIV/0!</v>
      </c>
      <c r="O20" s="7346" t="e">
        <f t="shared" si="13"/>
        <v>#DIV/0!</v>
      </c>
      <c r="P20" s="7346" t="e">
        <f t="shared" si="13"/>
        <v>#DIV/0!</v>
      </c>
      <c r="Q20" s="7346" t="e">
        <f t="shared" si="13"/>
        <v>#DIV/0!</v>
      </c>
      <c r="R20" s="7346" t="e">
        <f t="shared" si="13"/>
        <v>#DIV/0!</v>
      </c>
      <c r="S20" s="4974">
        <f>SUM(S7:S9)+S13+SUM(S16:S19)</f>
        <v>-12809.763894826865</v>
      </c>
      <c r="T20" s="4974">
        <f t="shared" ref="T20:AD20" si="14">SUM(T7:T9)+T13+SUM(T16:T19)</f>
        <v>9065.920679616047</v>
      </c>
      <c r="U20" s="4974">
        <f t="shared" si="14"/>
        <v>-12590.973443845942</v>
      </c>
      <c r="V20" s="4974" t="e">
        <f t="shared" si="14"/>
        <v>#DIV/0!</v>
      </c>
      <c r="W20" s="4974" t="e">
        <f t="shared" si="14"/>
        <v>#DIV/0!</v>
      </c>
      <c r="X20" s="4974" t="e">
        <f t="shared" si="14"/>
        <v>#DIV/0!</v>
      </c>
      <c r="Y20" s="4974" t="e">
        <f t="shared" si="14"/>
        <v>#DIV/0!</v>
      </c>
      <c r="Z20" s="4974" t="e">
        <f t="shared" si="14"/>
        <v>#DIV/0!</v>
      </c>
      <c r="AA20" s="4974" t="e">
        <f t="shared" si="14"/>
        <v>#DIV/0!</v>
      </c>
      <c r="AB20" s="4974" t="e">
        <f t="shared" si="14"/>
        <v>#DIV/0!</v>
      </c>
      <c r="AC20" s="4974" t="e">
        <f t="shared" si="14"/>
        <v>#DIV/0!</v>
      </c>
      <c r="AD20" s="4974" t="e">
        <f t="shared" si="14"/>
        <v>#DIV/0!</v>
      </c>
      <c r="AE20" s="4992">
        <f>SUM(AE7:AE9)+SUM(AE16:AE19)</f>
        <v>265450.09151337267</v>
      </c>
      <c r="AF20" s="7117">
        <f>SUM(AF7:AF19)</f>
        <v>-16334.81665905676</v>
      </c>
      <c r="AG20" s="7639">
        <f>AF20/AE20</f>
        <v>-6.1536300725795211E-2</v>
      </c>
      <c r="AH20" s="282"/>
      <c r="AI20" s="3377">
        <v>133307.5847679966</v>
      </c>
      <c r="AJ20" s="3377">
        <f t="shared" si="3"/>
        <v>133307584.76799659</v>
      </c>
    </row>
    <row r="21" spans="1:36" ht="16.5">
      <c r="A21" s="715"/>
      <c r="B21" s="715"/>
      <c r="C21" s="715"/>
      <c r="D21" s="715"/>
      <c r="E21" s="6120"/>
      <c r="F21" s="715"/>
      <c r="G21" s="340"/>
      <c r="H21" s="340"/>
      <c r="I21" s="340"/>
      <c r="J21" s="340"/>
      <c r="K21" s="340"/>
      <c r="L21" s="340"/>
      <c r="M21" s="340"/>
      <c r="N21" s="340"/>
      <c r="O21" s="340"/>
      <c r="P21" s="340"/>
      <c r="Q21" s="340"/>
      <c r="R21" s="340"/>
      <c r="S21" s="673" t="s">
        <v>308</v>
      </c>
      <c r="T21" s="2232">
        <v>200992.65247076112</v>
      </c>
      <c r="U21" s="286"/>
      <c r="V21" s="286"/>
      <c r="W21" s="286"/>
      <c r="X21" s="286"/>
      <c r="Y21" s="286"/>
      <c r="Z21" s="340"/>
      <c r="AA21" s="340"/>
      <c r="AB21" s="340"/>
      <c r="AC21" s="340"/>
      <c r="AD21" s="340"/>
      <c r="AE21" s="329"/>
      <c r="AF21" s="329"/>
      <c r="AG21" s="340"/>
      <c r="AH21" s="7108" t="s">
        <v>2260</v>
      </c>
      <c r="AI21" s="7109">
        <v>1475180.508577399</v>
      </c>
      <c r="AJ21">
        <v>786682</v>
      </c>
    </row>
    <row r="22" spans="1:36" ht="16.5">
      <c r="A22" s="298"/>
      <c r="B22" s="485"/>
      <c r="C22" s="485"/>
      <c r="S22" s="673" t="s">
        <v>1761</v>
      </c>
      <c r="T22" s="2232">
        <v>1475180.508577399</v>
      </c>
      <c r="U22" s="286"/>
      <c r="V22" s="286"/>
      <c r="W22" s="286"/>
      <c r="X22" s="286"/>
      <c r="Y22" s="286"/>
      <c r="AH22" s="7110" t="s">
        <v>2261</v>
      </c>
      <c r="AI22" s="7109">
        <v>200992.65247076112</v>
      </c>
      <c r="AJ22">
        <v>87151</v>
      </c>
    </row>
    <row r="23" spans="1:36">
      <c r="S23" s="286" t="s">
        <v>1762</v>
      </c>
      <c r="T23" s="286" t="s">
        <v>5</v>
      </c>
      <c r="U23" s="286" t="s">
        <v>6</v>
      </c>
      <c r="V23" s="286" t="s">
        <v>7</v>
      </c>
      <c r="W23" s="286" t="s">
        <v>8</v>
      </c>
      <c r="X23" s="286" t="s">
        <v>9</v>
      </c>
      <c r="Y23" s="286" t="s">
        <v>10</v>
      </c>
      <c r="Z23" t="s">
        <v>11</v>
      </c>
      <c r="AA23" t="s">
        <v>12</v>
      </c>
      <c r="AB23" t="s">
        <v>13</v>
      </c>
      <c r="AI23" s="673" t="s">
        <v>2262</v>
      </c>
      <c r="AJ23" s="673" t="s">
        <v>2263</v>
      </c>
    </row>
    <row r="24" spans="1:36">
      <c r="R24" t="s">
        <v>2361</v>
      </c>
      <c r="S24" s="286">
        <f>17534/60</f>
        <v>292.23333333333335</v>
      </c>
      <c r="T24" s="286">
        <f>18675/60</f>
        <v>311.25</v>
      </c>
      <c r="U24" s="286">
        <f>24834/60</f>
        <v>413.9</v>
      </c>
      <c r="V24" s="286"/>
      <c r="W24" s="286"/>
      <c r="X24" s="286"/>
      <c r="Y24" s="286"/>
    </row>
    <row r="25" spans="1:36">
      <c r="S25" s="286"/>
      <c r="T25" s="286"/>
      <c r="U25" s="286"/>
      <c r="V25" s="286"/>
      <c r="W25" s="286"/>
      <c r="X25" s="286"/>
      <c r="Y25" s="286"/>
    </row>
    <row r="26" spans="1:36">
      <c r="S26" s="3441">
        <v>0</v>
      </c>
      <c r="T26" s="3441">
        <v>720000</v>
      </c>
      <c r="U26" s="3441">
        <v>1800000</v>
      </c>
      <c r="V26" s="3441">
        <v>240000</v>
      </c>
      <c r="W26" s="3441">
        <v>2530000</v>
      </c>
      <c r="X26" s="3441">
        <v>106000</v>
      </c>
      <c r="Y26" s="3441">
        <v>0</v>
      </c>
    </row>
    <row r="27" spans="1:36">
      <c r="S27" s="3441">
        <v>4712353</v>
      </c>
      <c r="T27" s="3441">
        <v>5957683</v>
      </c>
      <c r="U27" s="3441">
        <v>10132432</v>
      </c>
      <c r="V27" s="3441">
        <v>11846169</v>
      </c>
      <c r="W27" s="3441">
        <v>11312945</v>
      </c>
      <c r="X27" s="3441">
        <v>4065618</v>
      </c>
      <c r="Y27" s="3441">
        <v>7483295</v>
      </c>
    </row>
    <row r="28" spans="1:36">
      <c r="S28" s="2208">
        <f t="shared" ref="S28:Y28" si="15">S26/G6</f>
        <v>0</v>
      </c>
      <c r="T28" s="2208">
        <f t="shared" si="15"/>
        <v>309.88134126973881</v>
      </c>
      <c r="U28" s="2208">
        <f t="shared" si="15"/>
        <v>692.49466586747644</v>
      </c>
      <c r="V28" s="2208" t="e">
        <f t="shared" si="15"/>
        <v>#DIV/0!</v>
      </c>
      <c r="W28" s="2208" t="e">
        <f t="shared" si="15"/>
        <v>#DIV/0!</v>
      </c>
      <c r="X28" s="2208" t="e">
        <f t="shared" si="15"/>
        <v>#DIV/0!</v>
      </c>
      <c r="Y28" s="2208" t="e">
        <f t="shared" si="15"/>
        <v>#DIV/0!</v>
      </c>
    </row>
    <row r="29" spans="1:36">
      <c r="S29" s="2208">
        <f t="shared" ref="S29:Y29" si="16">S27/G6</f>
        <v>2311.4057267752273</v>
      </c>
      <c r="T29" s="2208">
        <f t="shared" si="16"/>
        <v>2564.1316651387797</v>
      </c>
      <c r="U29" s="2208">
        <f t="shared" si="16"/>
        <v>3898.14172903607</v>
      </c>
      <c r="V29" s="2208" t="e">
        <f t="shared" si="16"/>
        <v>#DIV/0!</v>
      </c>
      <c r="W29" s="2208" t="e">
        <f t="shared" si="16"/>
        <v>#DIV/0!</v>
      </c>
      <c r="X29" s="2208" t="e">
        <f t="shared" si="16"/>
        <v>#DIV/0!</v>
      </c>
      <c r="Y29" s="2208" t="e">
        <f t="shared" si="16"/>
        <v>#DIV/0!</v>
      </c>
    </row>
    <row r="34" spans="1:3" ht="16.5">
      <c r="A34" s="298"/>
      <c r="B34" s="297"/>
      <c r="C34" s="297"/>
    </row>
    <row r="35" spans="1:3" ht="16.5">
      <c r="A35" s="298"/>
      <c r="B35" s="484"/>
      <c r="C35" s="484"/>
    </row>
    <row r="36" spans="1:3" ht="16.5">
      <c r="A36" s="298"/>
      <c r="B36" s="484"/>
      <c r="C36" s="484"/>
    </row>
    <row r="37" spans="1:3" ht="16.5">
      <c r="A37" s="298"/>
      <c r="B37" s="484"/>
      <c r="C37" s="484"/>
    </row>
    <row r="38" spans="1:3" ht="16.5">
      <c r="A38" s="298"/>
      <c r="B38" s="484"/>
      <c r="C38" s="484"/>
    </row>
    <row r="39" spans="1:3" ht="16.5">
      <c r="A39" s="298"/>
      <c r="B39" s="484"/>
      <c r="C39" s="484"/>
    </row>
  </sheetData>
  <mergeCells count="17">
    <mergeCell ref="AG1:AG2"/>
    <mergeCell ref="AH1:AH2"/>
    <mergeCell ref="A3:A8"/>
    <mergeCell ref="A9:A13"/>
    <mergeCell ref="AE1:AE2"/>
    <mergeCell ref="B3:B6"/>
    <mergeCell ref="A1:A2"/>
    <mergeCell ref="B1:B2"/>
    <mergeCell ref="C1:C2"/>
    <mergeCell ref="G1:AD1"/>
    <mergeCell ref="B9:B12"/>
    <mergeCell ref="A20:F20"/>
    <mergeCell ref="A16:A17"/>
    <mergeCell ref="A18:A19"/>
    <mergeCell ref="B16:B17"/>
    <mergeCell ref="AF1:AF2"/>
    <mergeCell ref="A14:A15"/>
  </mergeCells>
  <phoneticPr fontId="23"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Q53"/>
  <sheetViews>
    <sheetView workbookViewId="0">
      <selection activeCell="J33" sqref="J33"/>
    </sheetView>
  </sheetViews>
  <sheetFormatPr defaultColWidth="8.88671875" defaultRowHeight="13.5"/>
  <cols>
    <col min="1" max="1" width="8.88671875" style="69"/>
    <col min="2" max="2" width="9.88671875" style="69" bestFit="1" customWidth="1"/>
    <col min="3" max="3" width="9.88671875" style="69" customWidth="1"/>
    <col min="4" max="4" width="9.88671875" style="121" bestFit="1" customWidth="1"/>
    <col min="5" max="5" width="8.88671875" style="121"/>
    <col min="6" max="6" width="15.44140625" style="121" bestFit="1" customWidth="1"/>
    <col min="7" max="7" width="8.88671875" style="121"/>
    <col min="8" max="8" width="9.88671875" style="121" bestFit="1" customWidth="1"/>
    <col min="9" max="9" width="8.88671875" style="121"/>
    <col min="10" max="10" width="9.88671875" style="121" bestFit="1" customWidth="1"/>
    <col min="11" max="11" width="8.88671875" style="69"/>
    <col min="12" max="12" width="9.88671875" style="69" bestFit="1" customWidth="1"/>
    <col min="13" max="13" width="8.88671875" style="69"/>
    <col min="14" max="14" width="9.88671875" style="69" bestFit="1" customWidth="1"/>
    <col min="15" max="16384" width="8.88671875" style="69"/>
  </cols>
  <sheetData>
    <row r="1" spans="1:17">
      <c r="A1" s="8320" t="s">
        <v>152</v>
      </c>
      <c r="B1" s="8320"/>
      <c r="C1" s="8320" t="s">
        <v>153</v>
      </c>
      <c r="D1" s="8320"/>
      <c r="E1" s="8320" t="s">
        <v>157</v>
      </c>
      <c r="F1" s="8320"/>
      <c r="G1" s="8320" t="s">
        <v>154</v>
      </c>
      <c r="H1" s="8320"/>
      <c r="I1" s="8320" t="s">
        <v>158</v>
      </c>
      <c r="J1" s="8320"/>
    </row>
    <row r="2" spans="1:17">
      <c r="A2" s="118" t="s">
        <v>141</v>
      </c>
      <c r="B2" s="118" t="s">
        <v>140</v>
      </c>
      <c r="C2" s="118" t="s">
        <v>141</v>
      </c>
      <c r="D2" s="118" t="s">
        <v>140</v>
      </c>
      <c r="E2" s="118" t="s">
        <v>141</v>
      </c>
      <c r="F2" s="118" t="s">
        <v>140</v>
      </c>
      <c r="G2" s="118" t="s">
        <v>141</v>
      </c>
      <c r="H2" s="118" t="s">
        <v>140</v>
      </c>
      <c r="I2" s="118" t="s">
        <v>141</v>
      </c>
      <c r="J2" s="118" t="s">
        <v>140</v>
      </c>
    </row>
    <row r="3" spans="1:17">
      <c r="A3" s="118" t="s">
        <v>142</v>
      </c>
      <c r="B3" s="119">
        <v>165000</v>
      </c>
      <c r="C3" s="119" t="s">
        <v>150</v>
      </c>
      <c r="D3" s="119">
        <v>70000</v>
      </c>
      <c r="E3" s="119" t="s">
        <v>139</v>
      </c>
      <c r="F3" s="119">
        <v>160000</v>
      </c>
      <c r="G3" s="119" t="s">
        <v>155</v>
      </c>
      <c r="H3" s="119">
        <v>160000</v>
      </c>
      <c r="I3" s="119" t="s">
        <v>159</v>
      </c>
      <c r="J3" s="119">
        <v>150000</v>
      </c>
    </row>
    <row r="4" spans="1:17">
      <c r="A4" s="118" t="s">
        <v>143</v>
      </c>
      <c r="B4" s="119">
        <v>165000</v>
      </c>
      <c r="C4" s="119" t="s">
        <v>17</v>
      </c>
      <c r="D4" s="119">
        <v>164000</v>
      </c>
      <c r="E4" s="119" t="s">
        <v>17</v>
      </c>
      <c r="F4" s="119">
        <v>140000</v>
      </c>
      <c r="G4" s="119" t="s">
        <v>156</v>
      </c>
      <c r="H4" s="119">
        <v>100000</v>
      </c>
      <c r="I4" s="119" t="s">
        <v>17</v>
      </c>
      <c r="J4" s="119">
        <v>80000</v>
      </c>
    </row>
    <row r="5" spans="1:17" ht="16.5">
      <c r="A5" s="118" t="s">
        <v>144</v>
      </c>
      <c r="B5" s="119">
        <v>54000</v>
      </c>
      <c r="C5" s="119" t="s">
        <v>143</v>
      </c>
      <c r="D5" s="119">
        <v>189000</v>
      </c>
      <c r="E5" s="119" t="s">
        <v>143</v>
      </c>
      <c r="F5" s="119">
        <v>70000</v>
      </c>
      <c r="G5" s="119"/>
      <c r="H5" s="119"/>
      <c r="I5" s="119"/>
      <c r="J5" s="119"/>
      <c r="N5" s="298" t="s">
        <v>1</v>
      </c>
      <c r="O5" s="297" t="s">
        <v>395</v>
      </c>
      <c r="P5" s="297" t="s">
        <v>541</v>
      </c>
      <c r="Q5" s="297" t="s">
        <v>542</v>
      </c>
    </row>
    <row r="6" spans="1:17" ht="16.5">
      <c r="A6" s="118" t="s">
        <v>145</v>
      </c>
      <c r="B6" s="119">
        <v>78000</v>
      </c>
      <c r="C6" s="119" t="s">
        <v>151</v>
      </c>
      <c r="D6" s="119">
        <v>62000</v>
      </c>
      <c r="E6" s="119"/>
      <c r="F6" s="119"/>
      <c r="G6" s="119"/>
      <c r="H6" s="119"/>
      <c r="I6" s="119"/>
      <c r="J6" s="119"/>
      <c r="N6" s="298" t="s">
        <v>2</v>
      </c>
      <c r="O6" s="329">
        <v>329750</v>
      </c>
      <c r="P6" s="329">
        <v>335590.99199999997</v>
      </c>
      <c r="Q6" s="329">
        <v>322600</v>
      </c>
    </row>
    <row r="7" spans="1:17" ht="16.5">
      <c r="A7" s="118" t="s">
        <v>146</v>
      </c>
      <c r="B7" s="119">
        <v>60000</v>
      </c>
      <c r="C7" s="119"/>
      <c r="D7" s="119"/>
      <c r="E7" s="119"/>
      <c r="F7" s="119"/>
      <c r="G7" s="119"/>
      <c r="H7" s="119"/>
      <c r="I7" s="119"/>
      <c r="J7" s="119"/>
      <c r="N7" s="298" t="s">
        <v>3</v>
      </c>
      <c r="O7" s="329">
        <v>307400</v>
      </c>
      <c r="P7" s="329">
        <v>318997.34759999998</v>
      </c>
      <c r="Q7" s="329">
        <v>317600</v>
      </c>
    </row>
    <row r="8" spans="1:17" ht="16.5">
      <c r="A8" s="118" t="s">
        <v>147</v>
      </c>
      <c r="B8" s="119">
        <v>60000</v>
      </c>
      <c r="C8" s="119"/>
      <c r="D8" s="119"/>
      <c r="E8" s="119"/>
      <c r="F8" s="119"/>
      <c r="G8" s="119"/>
      <c r="H8" s="119"/>
      <c r="I8" s="119"/>
      <c r="J8" s="119"/>
      <c r="N8" s="298" t="s">
        <v>4</v>
      </c>
      <c r="O8" s="329">
        <v>310450</v>
      </c>
      <c r="P8" s="329">
        <v>311217.81818181818</v>
      </c>
      <c r="Q8" s="329">
        <v>310150</v>
      </c>
    </row>
    <row r="9" spans="1:17" ht="16.5">
      <c r="A9" s="118" t="s">
        <v>148</v>
      </c>
      <c r="B9" s="119">
        <v>35000</v>
      </c>
      <c r="C9" s="119"/>
      <c r="D9" s="119"/>
      <c r="E9" s="119"/>
      <c r="F9" s="119"/>
      <c r="G9" s="119"/>
      <c r="H9" s="119"/>
      <c r="I9" s="119"/>
      <c r="J9" s="119"/>
      <c r="N9" s="298" t="s">
        <v>484</v>
      </c>
      <c r="O9" s="329">
        <v>94760</v>
      </c>
      <c r="P9" s="329">
        <v>118140.6109090909</v>
      </c>
      <c r="Q9" s="329">
        <v>148000</v>
      </c>
    </row>
    <row r="10" spans="1:17" ht="16.5">
      <c r="A10" s="118" t="s">
        <v>149</v>
      </c>
      <c r="B10" s="120">
        <f>SUM(B3:B9)</f>
        <v>617000</v>
      </c>
      <c r="C10" s="120"/>
      <c r="D10" s="119">
        <f t="shared" ref="D10:J10" si="0">SUM(D3:D9)</f>
        <v>485000</v>
      </c>
      <c r="E10" s="119">
        <f t="shared" si="0"/>
        <v>0</v>
      </c>
      <c r="F10" s="119">
        <f t="shared" si="0"/>
        <v>370000</v>
      </c>
      <c r="G10" s="119">
        <f>SUM(G3:G9)</f>
        <v>0</v>
      </c>
      <c r="H10" s="119">
        <f>SUM(H3:H9)</f>
        <v>260000</v>
      </c>
      <c r="I10" s="119">
        <f t="shared" si="0"/>
        <v>0</v>
      </c>
      <c r="J10" s="119">
        <f t="shared" si="0"/>
        <v>230000</v>
      </c>
      <c r="N10" s="298" t="s">
        <v>209</v>
      </c>
      <c r="O10" s="329">
        <v>69460</v>
      </c>
      <c r="P10" s="329">
        <v>63000</v>
      </c>
      <c r="Q10" s="329">
        <v>40130</v>
      </c>
    </row>
    <row r="11" spans="1:17" ht="16.5">
      <c r="N11" s="298" t="s">
        <v>1</v>
      </c>
      <c r="O11" s="297" t="s">
        <v>395</v>
      </c>
      <c r="P11" s="297" t="s">
        <v>541</v>
      </c>
      <c r="Q11" s="297" t="s">
        <v>542</v>
      </c>
    </row>
    <row r="12" spans="1:17" ht="16.5">
      <c r="A12" s="8320" t="s">
        <v>160</v>
      </c>
      <c r="B12" s="8320"/>
      <c r="C12" s="8320" t="s">
        <v>161</v>
      </c>
      <c r="D12" s="8320"/>
      <c r="E12" s="8320" t="s">
        <v>163</v>
      </c>
      <c r="F12" s="8320"/>
      <c r="G12" s="8320" t="s">
        <v>164</v>
      </c>
      <c r="H12" s="8320"/>
      <c r="I12" s="8320" t="s">
        <v>165</v>
      </c>
      <c r="J12" s="8320"/>
      <c r="N12" s="298" t="s">
        <v>2</v>
      </c>
      <c r="O12" s="485">
        <v>60</v>
      </c>
      <c r="P12" s="485">
        <v>53.78</v>
      </c>
      <c r="Q12" s="485">
        <v>60</v>
      </c>
    </row>
    <row r="13" spans="1:17" ht="16.5">
      <c r="A13" s="118" t="s">
        <v>141</v>
      </c>
      <c r="B13" s="118" t="s">
        <v>140</v>
      </c>
      <c r="C13" s="118" t="s">
        <v>141</v>
      </c>
      <c r="D13" s="118" t="s">
        <v>140</v>
      </c>
      <c r="E13" s="118" t="s">
        <v>141</v>
      </c>
      <c r="F13" s="118" t="s">
        <v>140</v>
      </c>
      <c r="G13" s="118" t="s">
        <v>141</v>
      </c>
      <c r="H13" s="118" t="s">
        <v>140</v>
      </c>
      <c r="I13" s="118" t="s">
        <v>141</v>
      </c>
      <c r="J13" s="118" t="s">
        <v>140</v>
      </c>
      <c r="N13" s="298" t="s">
        <v>3</v>
      </c>
      <c r="O13" s="485">
        <v>46.2</v>
      </c>
      <c r="P13" s="485">
        <v>44.21</v>
      </c>
      <c r="Q13" s="485">
        <v>46</v>
      </c>
    </row>
    <row r="14" spans="1:17" ht="16.5">
      <c r="A14" s="118" t="s">
        <v>150</v>
      </c>
      <c r="B14" s="118">
        <v>80000</v>
      </c>
      <c r="C14" s="118" t="s">
        <v>162</v>
      </c>
      <c r="D14" s="119">
        <v>120000</v>
      </c>
      <c r="E14" s="119" t="s">
        <v>166</v>
      </c>
      <c r="F14" s="119">
        <v>80000</v>
      </c>
      <c r="G14" s="119" t="s">
        <v>168</v>
      </c>
      <c r="H14" s="119">
        <v>100000</v>
      </c>
      <c r="I14" s="119" t="s">
        <v>168</v>
      </c>
      <c r="J14" s="119">
        <v>80000</v>
      </c>
      <c r="K14" s="121"/>
      <c r="N14" s="298" t="s">
        <v>4</v>
      </c>
      <c r="O14" s="485">
        <v>40</v>
      </c>
      <c r="P14" s="485">
        <v>39.299999999999997</v>
      </c>
      <c r="Q14" s="485">
        <v>40.5</v>
      </c>
    </row>
    <row r="15" spans="1:17" ht="16.5">
      <c r="A15" s="118" t="s">
        <v>17</v>
      </c>
      <c r="B15" s="118">
        <v>120000</v>
      </c>
      <c r="C15" s="118"/>
      <c r="D15" s="119"/>
      <c r="E15" s="119" t="s">
        <v>167</v>
      </c>
      <c r="F15" s="119">
        <v>140000</v>
      </c>
      <c r="G15" s="119"/>
      <c r="H15" s="119"/>
      <c r="I15" s="119"/>
      <c r="J15" s="119"/>
      <c r="K15" s="121"/>
      <c r="N15" s="298" t="s">
        <v>484</v>
      </c>
      <c r="O15" s="485">
        <v>20.100000000000001</v>
      </c>
      <c r="P15" s="485">
        <v>19.95</v>
      </c>
      <c r="Q15" s="485">
        <v>22</v>
      </c>
    </row>
    <row r="16" spans="1:17" ht="16.5">
      <c r="A16" s="118"/>
      <c r="B16" s="118"/>
      <c r="C16" s="118"/>
      <c r="D16" s="119"/>
      <c r="E16" s="119"/>
      <c r="F16" s="119"/>
      <c r="G16" s="119"/>
      <c r="H16" s="119"/>
      <c r="I16" s="119"/>
      <c r="J16" s="119"/>
      <c r="K16" s="121"/>
      <c r="N16" s="298" t="s">
        <v>209</v>
      </c>
      <c r="O16" s="485">
        <v>12</v>
      </c>
      <c r="P16" s="485">
        <v>11.04</v>
      </c>
      <c r="Q16" s="485">
        <v>9</v>
      </c>
    </row>
    <row r="17" spans="1:17" ht="16.5">
      <c r="A17" s="118"/>
      <c r="B17" s="118"/>
      <c r="C17" s="118"/>
      <c r="D17" s="119"/>
      <c r="E17" s="119"/>
      <c r="F17" s="119"/>
      <c r="G17" s="119"/>
      <c r="H17" s="119"/>
      <c r="I17" s="119"/>
      <c r="J17" s="119"/>
      <c r="K17" s="121"/>
      <c r="N17" s="298" t="s">
        <v>1</v>
      </c>
      <c r="O17" s="297" t="s">
        <v>395</v>
      </c>
      <c r="P17" s="297" t="s">
        <v>541</v>
      </c>
      <c r="Q17" s="297" t="s">
        <v>542</v>
      </c>
    </row>
    <row r="18" spans="1:17" ht="16.5">
      <c r="A18" s="118"/>
      <c r="B18" s="118"/>
      <c r="C18" s="118"/>
      <c r="D18" s="119"/>
      <c r="E18" s="119"/>
      <c r="F18" s="119"/>
      <c r="G18" s="119"/>
      <c r="H18" s="119"/>
      <c r="I18" s="119"/>
      <c r="J18" s="119"/>
      <c r="K18" s="121"/>
      <c r="N18" s="298" t="s">
        <v>2</v>
      </c>
      <c r="O18" s="484">
        <v>0.97599999999999998</v>
      </c>
      <c r="P18" s="484">
        <v>0.97989999999999999</v>
      </c>
      <c r="Q18" s="484">
        <v>0.98</v>
      </c>
    </row>
    <row r="19" spans="1:17" ht="16.5">
      <c r="A19" s="118"/>
      <c r="B19" s="118"/>
      <c r="C19" s="118"/>
      <c r="D19" s="119"/>
      <c r="E19" s="119"/>
      <c r="F19" s="119"/>
      <c r="G19" s="119"/>
      <c r="H19" s="119"/>
      <c r="I19" s="119"/>
      <c r="J19" s="119"/>
      <c r="K19" s="121"/>
      <c r="N19" s="298" t="s">
        <v>3</v>
      </c>
      <c r="O19" s="484">
        <v>0.99950000000000006</v>
      </c>
      <c r="P19" s="484">
        <v>0.99939999999999996</v>
      </c>
      <c r="Q19" s="484">
        <v>0.99980000000000002</v>
      </c>
    </row>
    <row r="20" spans="1:17" ht="16.5">
      <c r="A20" s="118"/>
      <c r="B20" s="118"/>
      <c r="C20" s="118"/>
      <c r="D20" s="119"/>
      <c r="E20" s="119"/>
      <c r="F20" s="119"/>
      <c r="G20" s="119"/>
      <c r="H20" s="119"/>
      <c r="I20" s="119"/>
      <c r="J20" s="119"/>
      <c r="K20" s="121"/>
      <c r="N20" s="298" t="s">
        <v>4</v>
      </c>
      <c r="O20" s="484">
        <v>0.99</v>
      </c>
      <c r="P20" s="484">
        <v>0.99080000000000001</v>
      </c>
      <c r="Q20" s="484">
        <v>0.995</v>
      </c>
    </row>
    <row r="21" spans="1:17" ht="16.5">
      <c r="A21" s="119">
        <f t="shared" ref="A21:J21" si="1">SUM(A14:A20)</f>
        <v>0</v>
      </c>
      <c r="B21" s="119">
        <f t="shared" si="1"/>
        <v>200000</v>
      </c>
      <c r="C21" s="119">
        <f t="shared" si="1"/>
        <v>0</v>
      </c>
      <c r="D21" s="119">
        <f t="shared" si="1"/>
        <v>120000</v>
      </c>
      <c r="E21" s="119">
        <f t="shared" si="1"/>
        <v>0</v>
      </c>
      <c r="F21" s="119">
        <f t="shared" si="1"/>
        <v>220000</v>
      </c>
      <c r="G21" s="119">
        <f t="shared" si="1"/>
        <v>0</v>
      </c>
      <c r="H21" s="119">
        <f t="shared" si="1"/>
        <v>100000</v>
      </c>
      <c r="I21" s="119">
        <f t="shared" si="1"/>
        <v>0</v>
      </c>
      <c r="J21" s="119">
        <f t="shared" si="1"/>
        <v>80000</v>
      </c>
      <c r="K21" s="121"/>
      <c r="N21" s="298" t="s">
        <v>484</v>
      </c>
      <c r="O21" s="484">
        <v>1.0009999999999999</v>
      </c>
      <c r="P21" s="484">
        <v>1.0005369360660397</v>
      </c>
      <c r="Q21" s="484">
        <v>1.004</v>
      </c>
    </row>
    <row r="22" spans="1:17" ht="16.5">
      <c r="N22" s="298" t="s">
        <v>209</v>
      </c>
      <c r="O22" s="484">
        <v>1.0015000000000001</v>
      </c>
      <c r="P22" s="484">
        <v>0.99993385966617732</v>
      </c>
      <c r="Q22" s="484">
        <v>1</v>
      </c>
    </row>
    <row r="23" spans="1:17">
      <c r="A23" s="8320" t="s">
        <v>169</v>
      </c>
      <c r="B23" s="8320"/>
      <c r="C23" s="8320" t="s">
        <v>170</v>
      </c>
      <c r="D23" s="8320"/>
      <c r="E23" s="8320" t="s">
        <v>171</v>
      </c>
      <c r="F23" s="8320"/>
    </row>
    <row r="24" spans="1:17">
      <c r="A24" s="118" t="s">
        <v>141</v>
      </c>
      <c r="B24" s="118" t="s">
        <v>140</v>
      </c>
      <c r="C24" s="118" t="s">
        <v>141</v>
      </c>
      <c r="D24" s="118" t="s">
        <v>140</v>
      </c>
      <c r="E24" s="118" t="s">
        <v>172</v>
      </c>
      <c r="F24" s="120">
        <f>B10+D10+F10+H10+J10+B21+D21+F21+H21+J21+B32+D32</f>
        <v>2792000</v>
      </c>
    </row>
    <row r="25" spans="1:17">
      <c r="A25" s="118" t="s">
        <v>150</v>
      </c>
      <c r="B25" s="118">
        <v>60000</v>
      </c>
      <c r="C25" s="118" t="s">
        <v>162</v>
      </c>
      <c r="D25" s="119">
        <v>50000</v>
      </c>
      <c r="E25" s="119"/>
      <c r="F25" s="119"/>
    </row>
    <row r="26" spans="1:17">
      <c r="A26" s="118"/>
      <c r="B26" s="118"/>
      <c r="C26" s="118"/>
      <c r="D26" s="119"/>
      <c r="E26" s="119"/>
      <c r="F26" s="119"/>
    </row>
    <row r="27" spans="1:17">
      <c r="A27" s="118"/>
      <c r="B27" s="118"/>
      <c r="C27" s="118"/>
      <c r="D27" s="119"/>
      <c r="E27" s="119"/>
      <c r="F27" s="119"/>
    </row>
    <row r="28" spans="1:17">
      <c r="A28" s="118"/>
      <c r="B28" s="118"/>
      <c r="C28" s="118"/>
      <c r="D28" s="119"/>
      <c r="E28" s="119"/>
      <c r="F28" s="119"/>
    </row>
    <row r="29" spans="1:17">
      <c r="A29" s="118"/>
      <c r="B29" s="118"/>
      <c r="C29" s="118"/>
      <c r="D29" s="119"/>
      <c r="E29" s="119"/>
      <c r="F29" s="119"/>
    </row>
    <row r="30" spans="1:17">
      <c r="A30" s="118"/>
      <c r="B30" s="118"/>
      <c r="C30" s="118"/>
      <c r="D30" s="119"/>
      <c r="E30" s="119"/>
      <c r="F30" s="119"/>
    </row>
    <row r="31" spans="1:17">
      <c r="A31" s="118"/>
      <c r="B31" s="118"/>
      <c r="C31" s="118"/>
      <c r="D31" s="119"/>
      <c r="E31" s="119"/>
      <c r="F31" s="119"/>
    </row>
    <row r="32" spans="1:17">
      <c r="A32" s="119">
        <f>SUM(A25:A31)</f>
        <v>0</v>
      </c>
      <c r="B32" s="119">
        <f>SUM(B25:B31)</f>
        <v>60000</v>
      </c>
      <c r="C32" s="119">
        <f>SUM(C25:C31)</f>
        <v>0</v>
      </c>
      <c r="D32" s="119">
        <f>SUM(D25:D31)</f>
        <v>50000</v>
      </c>
      <c r="E32" s="119"/>
      <c r="F32" s="119"/>
    </row>
    <row r="35" spans="1:10">
      <c r="A35" s="8333" t="s">
        <v>0</v>
      </c>
      <c r="B35" s="8333"/>
      <c r="C35" s="131" t="s">
        <v>138</v>
      </c>
      <c r="D35" s="119" t="s">
        <v>177</v>
      </c>
      <c r="E35" s="131" t="s">
        <v>176</v>
      </c>
      <c r="F35" s="119" t="s">
        <v>178</v>
      </c>
      <c r="H35" s="7894"/>
      <c r="I35" s="7895"/>
      <c r="J35" s="122"/>
    </row>
    <row r="36" spans="1:10">
      <c r="A36" s="8321" t="s">
        <v>49</v>
      </c>
      <c r="B36" s="60" t="s">
        <v>27</v>
      </c>
      <c r="C36" s="42">
        <v>0.97896618006376324</v>
      </c>
      <c r="D36" s="42">
        <v>0.97565053601879559</v>
      </c>
      <c r="E36" s="42">
        <v>0.97799999999999998</v>
      </c>
      <c r="F36" s="133">
        <v>182074329.74668536</v>
      </c>
      <c r="H36" s="8323"/>
      <c r="I36" s="44"/>
    </row>
    <row r="37" spans="1:10">
      <c r="A37" s="8321"/>
      <c r="B37" s="60" t="s">
        <v>28</v>
      </c>
      <c r="C37" s="42">
        <v>0.99928302515212208</v>
      </c>
      <c r="D37" s="42">
        <v>0.99925949420532567</v>
      </c>
      <c r="E37" s="42">
        <v>0.99950000000000006</v>
      </c>
      <c r="F37" s="133">
        <v>17038084.997746371</v>
      </c>
      <c r="H37" s="8324"/>
      <c r="I37" s="29"/>
    </row>
    <row r="38" spans="1:10">
      <c r="A38" s="8321"/>
      <c r="B38" s="60" t="s">
        <v>29</v>
      </c>
      <c r="C38" s="42">
        <v>0.98904868508912702</v>
      </c>
      <c r="D38" s="42">
        <v>0.98291116807300061</v>
      </c>
      <c r="E38" s="42">
        <v>0.99</v>
      </c>
      <c r="F38" s="133">
        <v>507332664.09913713</v>
      </c>
      <c r="H38" s="8324"/>
      <c r="I38" s="29"/>
    </row>
    <row r="39" spans="1:10">
      <c r="A39" s="8321"/>
      <c r="B39" s="60" t="s">
        <v>23</v>
      </c>
      <c r="C39" s="42">
        <v>1.0048700808760374</v>
      </c>
      <c r="D39" s="42">
        <v>1.0018199721673695</v>
      </c>
      <c r="E39" s="42">
        <v>1.0052000000000001</v>
      </c>
      <c r="F39" s="133">
        <v>203283354.18686834</v>
      </c>
      <c r="H39" s="8324"/>
      <c r="I39" s="29"/>
    </row>
    <row r="40" spans="1:10">
      <c r="A40" s="8321"/>
      <c r="B40" s="60" t="s">
        <v>17</v>
      </c>
      <c r="C40" s="42">
        <v>1.0031599113687713</v>
      </c>
      <c r="D40" s="42">
        <v>1.0008238823894333</v>
      </c>
      <c r="E40" s="42">
        <v>1.0044999999999999</v>
      </c>
      <c r="F40" s="133">
        <v>112948997.20747194</v>
      </c>
      <c r="H40" s="8325"/>
      <c r="I40" s="45"/>
    </row>
    <row r="41" spans="1:10">
      <c r="A41" s="8322" t="s">
        <v>50</v>
      </c>
      <c r="B41" s="8322"/>
      <c r="C41" s="42">
        <f>C39*C38*C37*C36</f>
        <v>0.97226305732371743</v>
      </c>
      <c r="D41" s="42">
        <v>0.96001169987083834</v>
      </c>
      <c r="E41" s="42">
        <f>E39*E38*E37*E36</f>
        <v>0.97276811662800011</v>
      </c>
      <c r="F41" s="119">
        <f>SUM(F36:F40)</f>
        <v>1022677430.2379091</v>
      </c>
      <c r="H41" s="8326"/>
      <c r="I41" s="28"/>
    </row>
    <row r="42" spans="1:10">
      <c r="A42" s="8321" t="s">
        <v>52</v>
      </c>
      <c r="B42" s="60" t="s">
        <v>27</v>
      </c>
      <c r="C42" s="42">
        <v>0.98189062379816938</v>
      </c>
      <c r="D42" s="42">
        <v>0.9837366436203645</v>
      </c>
      <c r="E42" s="42">
        <v>0.9837366436203645</v>
      </c>
      <c r="F42" s="133">
        <v>0</v>
      </c>
      <c r="H42" s="8327"/>
      <c r="I42" s="29"/>
    </row>
    <row r="43" spans="1:10">
      <c r="A43" s="8321"/>
      <c r="B43" s="60" t="s">
        <v>28</v>
      </c>
      <c r="C43" s="42">
        <v>0.92555098139317638</v>
      </c>
      <c r="D43" s="42">
        <v>0.92237702587432469</v>
      </c>
      <c r="E43" s="42">
        <v>0.92600000000000005</v>
      </c>
      <c r="F43" s="133">
        <v>8618131.711281104</v>
      </c>
      <c r="H43" s="8327"/>
      <c r="I43" s="29"/>
    </row>
    <row r="44" spans="1:10">
      <c r="A44" s="8321"/>
      <c r="B44" s="60" t="s">
        <v>29</v>
      </c>
      <c r="C44" s="42">
        <v>0.9781230596250986</v>
      </c>
      <c r="D44" s="42">
        <v>0.97410682176118257</v>
      </c>
      <c r="E44" s="42">
        <v>0.98499999999999999</v>
      </c>
      <c r="F44" s="133">
        <v>50951341.86270602</v>
      </c>
      <c r="H44" s="8327"/>
      <c r="I44" s="29"/>
    </row>
    <row r="45" spans="1:10">
      <c r="A45" s="8321"/>
      <c r="B45" s="60" t="s">
        <v>23</v>
      </c>
      <c r="C45" s="42">
        <v>0.79320000000000002</v>
      </c>
      <c r="D45" s="42">
        <v>0.79320000000000002</v>
      </c>
      <c r="E45" s="42">
        <v>0.8</v>
      </c>
      <c r="F45" s="133">
        <v>69585240.496528074</v>
      </c>
      <c r="H45" s="8328"/>
      <c r="I45" s="30"/>
    </row>
    <row r="46" spans="1:10">
      <c r="A46" s="8321"/>
      <c r="B46" s="60" t="s">
        <v>17</v>
      </c>
      <c r="C46" s="42">
        <v>0.75019999999999998</v>
      </c>
      <c r="D46" s="42">
        <v>0.75019999999999998</v>
      </c>
      <c r="E46" s="42">
        <v>0.76</v>
      </c>
      <c r="F46" s="133">
        <v>100284611.30381976</v>
      </c>
      <c r="H46" s="8329"/>
      <c r="I46" s="8330"/>
    </row>
    <row r="47" spans="1:10">
      <c r="A47" s="8322" t="s">
        <v>53</v>
      </c>
      <c r="B47" s="8322"/>
      <c r="C47" s="42">
        <v>0.88579293296328887</v>
      </c>
      <c r="D47" s="42">
        <v>0.88472409825117437</v>
      </c>
      <c r="E47" s="42">
        <v>0.8909473287240729</v>
      </c>
      <c r="F47" s="119">
        <f>SUM(F42:F46)</f>
        <v>229439325.37433496</v>
      </c>
      <c r="H47" s="8326"/>
      <c r="I47" s="28"/>
    </row>
    <row r="48" spans="1:10">
      <c r="A48" s="8321" t="s">
        <v>40</v>
      </c>
      <c r="B48" s="60" t="s">
        <v>27</v>
      </c>
      <c r="C48" s="43">
        <v>62.015666590419848</v>
      </c>
      <c r="D48" s="43">
        <v>58.658997912079137</v>
      </c>
      <c r="E48" s="132">
        <v>60</v>
      </c>
      <c r="F48" s="133">
        <v>32415038.582055278</v>
      </c>
      <c r="H48" s="8327"/>
      <c r="I48" s="29"/>
    </row>
    <row r="49" spans="1:9">
      <c r="A49" s="8321"/>
      <c r="B49" s="60" t="s">
        <v>28</v>
      </c>
      <c r="C49" s="43">
        <v>44.830401999788748</v>
      </c>
      <c r="D49" s="43">
        <v>45.676570710423981</v>
      </c>
      <c r="E49" s="132">
        <v>45.676570710423981</v>
      </c>
      <c r="F49" s="130">
        <v>0</v>
      </c>
      <c r="H49" s="8327"/>
      <c r="I49" s="29"/>
    </row>
    <row r="50" spans="1:9">
      <c r="A50" s="8321"/>
      <c r="B50" s="60" t="s">
        <v>29</v>
      </c>
      <c r="C50" s="43">
        <v>40.28819407956113</v>
      </c>
      <c r="D50" s="43">
        <v>40.724110450535314</v>
      </c>
      <c r="E50" s="132">
        <v>40.724110450535314</v>
      </c>
      <c r="F50" s="133">
        <v>0</v>
      </c>
      <c r="H50" s="8327"/>
      <c r="I50" s="29"/>
    </row>
    <row r="51" spans="1:9">
      <c r="A51" s="8321"/>
      <c r="B51" s="60" t="s">
        <v>23</v>
      </c>
      <c r="C51" s="43">
        <v>21.2</v>
      </c>
      <c r="D51" s="43">
        <v>21.2</v>
      </c>
      <c r="E51" s="132">
        <v>21.5</v>
      </c>
      <c r="F51" s="133">
        <v>63444767.441860653</v>
      </c>
      <c r="H51" s="8328"/>
      <c r="I51" s="30"/>
    </row>
    <row r="52" spans="1:9">
      <c r="A52" s="8321"/>
      <c r="B52" s="60" t="s">
        <v>17</v>
      </c>
      <c r="C52" s="43">
        <v>10.65</v>
      </c>
      <c r="D52" s="43">
        <v>10.65</v>
      </c>
      <c r="E52" s="132">
        <v>10.72</v>
      </c>
      <c r="F52" s="133">
        <v>30172508.934202164</v>
      </c>
      <c r="H52" s="8331"/>
      <c r="I52" s="8332"/>
    </row>
    <row r="53" spans="1:9">
      <c r="A53" s="8322" t="s">
        <v>54</v>
      </c>
      <c r="B53" s="8322"/>
      <c r="C53" s="43">
        <v>35.796852533953945</v>
      </c>
      <c r="D53" s="43">
        <v>35.381935814607687</v>
      </c>
      <c r="E53" s="43">
        <v>35.72413623219186</v>
      </c>
      <c r="F53" s="119">
        <f>SUM(F48:F52)</f>
        <v>126032314.9581181</v>
      </c>
    </row>
  </sheetData>
  <mergeCells count="26">
    <mergeCell ref="A48:A52"/>
    <mergeCell ref="A53:B53"/>
    <mergeCell ref="H35:I35"/>
    <mergeCell ref="H36:H40"/>
    <mergeCell ref="H41:H45"/>
    <mergeCell ref="H46:I46"/>
    <mergeCell ref="H47:H51"/>
    <mergeCell ref="H52:I52"/>
    <mergeCell ref="A35:B35"/>
    <mergeCell ref="A36:A40"/>
    <mergeCell ref="A41:B41"/>
    <mergeCell ref="A42:A46"/>
    <mergeCell ref="A47:B47"/>
    <mergeCell ref="G1:H1"/>
    <mergeCell ref="G12:H12"/>
    <mergeCell ref="I12:J12"/>
    <mergeCell ref="I1:J1"/>
    <mergeCell ref="A23:B23"/>
    <mergeCell ref="C23:D23"/>
    <mergeCell ref="E23:F23"/>
    <mergeCell ref="A1:B1"/>
    <mergeCell ref="C1:D1"/>
    <mergeCell ref="E1:F1"/>
    <mergeCell ref="A12:B12"/>
    <mergeCell ref="C12:D12"/>
    <mergeCell ref="E12:F12"/>
  </mergeCells>
  <phoneticPr fontId="23"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04"/>
  <sheetViews>
    <sheetView workbookViewId="0">
      <selection activeCell="M13" sqref="M13"/>
    </sheetView>
  </sheetViews>
  <sheetFormatPr defaultRowHeight="13.5"/>
  <cols>
    <col min="1" max="2" width="10" customWidth="1"/>
    <col min="3" max="7" width="18.5546875" customWidth="1"/>
    <col min="8" max="8" width="11" customWidth="1"/>
    <col min="10" max="10" width="10.21875" bestFit="1" customWidth="1"/>
  </cols>
  <sheetData>
    <row r="3" s="286" customFormat="1"/>
    <row r="4" s="286" customFormat="1"/>
    <row r="5" s="286" customFormat="1"/>
    <row r="6" s="286" customFormat="1"/>
    <row r="7" s="286" customFormat="1"/>
    <row r="8" s="286" customFormat="1"/>
    <row r="9" s="286" customFormat="1"/>
    <row r="10" s="286" customFormat="1"/>
    <row r="11" s="286" customFormat="1"/>
    <row r="14" s="286" customFormat="1"/>
    <row r="15" s="286" customFormat="1"/>
    <row r="16" s="286" customFormat="1"/>
    <row r="17" spans="1:10" s="286" customFormat="1"/>
    <row r="18" spans="1:10" s="286" customFormat="1"/>
    <row r="19" spans="1:10" s="286" customFormat="1"/>
    <row r="21" spans="1:10" s="286" customFormat="1"/>
    <row r="22" spans="1:10" s="286" customFormat="1"/>
    <row r="23" spans="1:10" s="286" customFormat="1"/>
    <row r="24" spans="1:10" s="286" customFormat="1"/>
    <row r="25" spans="1:10" s="286" customFormat="1"/>
    <row r="26" spans="1:10" s="286" customFormat="1"/>
    <row r="27" spans="1:10" s="286" customFormat="1"/>
    <row r="28" spans="1:10" s="286" customFormat="1" ht="14.25" thickBot="1"/>
    <row r="29" spans="1:10" s="286" customFormat="1" ht="30" customHeight="1" thickBot="1">
      <c r="A29" s="8334" t="s">
        <v>1481</v>
      </c>
      <c r="B29" s="8335"/>
      <c r="C29" s="6890" t="s">
        <v>1489</v>
      </c>
      <c r="D29" s="6891" t="s">
        <v>1490</v>
      </c>
      <c r="E29" s="6891" t="s">
        <v>1493</v>
      </c>
      <c r="F29" s="6892" t="s">
        <v>1494</v>
      </c>
      <c r="G29" s="6893" t="s">
        <v>1495</v>
      </c>
      <c r="H29" s="6894" t="s">
        <v>247</v>
      </c>
    </row>
    <row r="30" spans="1:10" s="286" customFormat="1" ht="24" customHeight="1" thickTop="1" thickBot="1">
      <c r="A30" s="8336" t="s">
        <v>1482</v>
      </c>
      <c r="B30" s="8337"/>
      <c r="C30" s="3397">
        <v>13000</v>
      </c>
      <c r="D30" s="6898">
        <v>80.599999999999994</v>
      </c>
      <c r="E30" s="6903">
        <v>0.10067357989298295</v>
      </c>
      <c r="F30" s="6904">
        <f>E30/D30*100</f>
        <v>0.12490518597144287</v>
      </c>
      <c r="G30" s="3402" t="s">
        <v>2197</v>
      </c>
      <c r="H30" s="3405" t="s">
        <v>236</v>
      </c>
      <c r="J30" s="3402">
        <v>17200</v>
      </c>
    </row>
    <row r="31" spans="1:10" s="286" customFormat="1" ht="24" customHeight="1">
      <c r="A31" s="8338" t="s">
        <v>1483</v>
      </c>
      <c r="B31" s="6895" t="s">
        <v>1484</v>
      </c>
      <c r="C31" s="3398">
        <v>100000</v>
      </c>
      <c r="D31" s="6899">
        <v>776</v>
      </c>
      <c r="E31" s="6905">
        <v>-3.8395042869488161</v>
      </c>
      <c r="F31" s="6906">
        <f t="shared" ref="F31:F37" si="0">E31/D31*100</f>
        <v>-0.49478148027690927</v>
      </c>
      <c r="G31" s="3403" t="s">
        <v>2198</v>
      </c>
      <c r="H31" s="3406" t="s">
        <v>182</v>
      </c>
      <c r="J31" s="3403">
        <v>21013</v>
      </c>
    </row>
    <row r="32" spans="1:10" s="286" customFormat="1" ht="24" customHeight="1">
      <c r="A32" s="8339"/>
      <c r="B32" s="6896" t="s">
        <v>1485</v>
      </c>
      <c r="C32" s="3399">
        <v>15000</v>
      </c>
      <c r="D32" s="6900">
        <v>125.28688150000001</v>
      </c>
      <c r="E32" s="6907">
        <v>0.26662121409823714</v>
      </c>
      <c r="F32" s="6908">
        <f t="shared" si="0"/>
        <v>0.21280856455688626</v>
      </c>
      <c r="G32" s="3403" t="s">
        <v>2199</v>
      </c>
      <c r="H32" s="3406" t="s">
        <v>29</v>
      </c>
      <c r="J32" s="3403">
        <v>55151</v>
      </c>
    </row>
    <row r="33" spans="1:10" s="286" customFormat="1" ht="24" customHeight="1" thickBot="1">
      <c r="A33" s="8340"/>
      <c r="B33" s="6897" t="s">
        <v>1486</v>
      </c>
      <c r="C33" s="3400">
        <f>SUM(C31:C32)</f>
        <v>115000</v>
      </c>
      <c r="D33" s="6901">
        <f>SUM(D31:D32)</f>
        <v>901.28688150000005</v>
      </c>
      <c r="E33" s="6909">
        <f>SUM(E31:E32)</f>
        <v>-3.5728830728505789</v>
      </c>
      <c r="F33" s="6910">
        <f t="shared" si="0"/>
        <v>-0.39642017943324287</v>
      </c>
      <c r="G33" s="3403" t="s">
        <v>2320</v>
      </c>
      <c r="H33" s="3406" t="s">
        <v>1491</v>
      </c>
      <c r="J33" s="3403">
        <v>65152</v>
      </c>
    </row>
    <row r="34" spans="1:10" s="286" customFormat="1" ht="24" customHeight="1" thickBot="1">
      <c r="A34" s="8338" t="s">
        <v>1487</v>
      </c>
      <c r="B34" s="6895" t="s">
        <v>1484</v>
      </c>
      <c r="C34" s="3398">
        <v>158000</v>
      </c>
      <c r="D34" s="6899">
        <v>2003.4374600000001</v>
      </c>
      <c r="E34" s="6905">
        <v>105.82017398668923</v>
      </c>
      <c r="F34" s="6906">
        <f t="shared" si="0"/>
        <v>5.2819304869486281</v>
      </c>
      <c r="G34" s="3404" t="s">
        <v>2321</v>
      </c>
      <c r="H34" s="3407" t="s">
        <v>1492</v>
      </c>
      <c r="J34" s="3404">
        <v>195000</v>
      </c>
    </row>
    <row r="35" spans="1:10" s="286" customFormat="1" ht="24" customHeight="1">
      <c r="A35" s="8339"/>
      <c r="B35" s="6896" t="s">
        <v>1485</v>
      </c>
      <c r="C35" s="3399">
        <v>64000</v>
      </c>
      <c r="D35" s="6900">
        <v>714.73325</v>
      </c>
      <c r="E35" s="6907">
        <v>-2.3453526923142936</v>
      </c>
      <c r="F35" s="6908">
        <f t="shared" si="0"/>
        <v>-0.32814377843961978</v>
      </c>
      <c r="G35" s="8341"/>
      <c r="H35" s="8342"/>
    </row>
    <row r="36" spans="1:10" s="286" customFormat="1" ht="24" customHeight="1" thickBot="1">
      <c r="A36" s="8340"/>
      <c r="B36" s="6897" t="s">
        <v>1486</v>
      </c>
      <c r="C36" s="3400">
        <f>SUM(C34:C35)</f>
        <v>222000</v>
      </c>
      <c r="D36" s="6901">
        <f>SUM(D34:D35)</f>
        <v>2718.1707100000003</v>
      </c>
      <c r="E36" s="6909">
        <f>SUM(E34:E35)</f>
        <v>103.47482129437493</v>
      </c>
      <c r="F36" s="6910">
        <f t="shared" si="0"/>
        <v>3.8067815576739448</v>
      </c>
      <c r="G36" s="8343"/>
      <c r="H36" s="8344"/>
    </row>
    <row r="37" spans="1:10" s="286" customFormat="1" ht="24" customHeight="1" thickBot="1">
      <c r="A37" s="8347" t="s">
        <v>1488</v>
      </c>
      <c r="B37" s="8348"/>
      <c r="C37" s="3401">
        <f>C30+C33+C36</f>
        <v>350000</v>
      </c>
      <c r="D37" s="6902">
        <f>D30+D33+D36</f>
        <v>3700.0575915000004</v>
      </c>
      <c r="E37" s="6911">
        <f>E30+E33+E36</f>
        <v>100.00261180141734</v>
      </c>
      <c r="F37" s="6912">
        <f t="shared" si="0"/>
        <v>2.7027312231882412</v>
      </c>
      <c r="G37" s="8345"/>
      <c r="H37" s="8346"/>
    </row>
    <row r="39" spans="1:10" s="286" customFormat="1"/>
    <row r="40" spans="1:10" s="286" customFormat="1"/>
    <row r="41" spans="1:10" s="286" customFormat="1"/>
    <row r="42" spans="1:10" s="286" customFormat="1"/>
    <row r="43" spans="1:10" s="286" customFormat="1"/>
    <row r="44" spans="1:10" s="286" customFormat="1"/>
    <row r="45" spans="1:10" s="286" customFormat="1"/>
    <row r="46" spans="1:10" s="286" customFormat="1"/>
    <row r="47" spans="1:10" s="286" customFormat="1"/>
    <row r="48" spans="1:10" s="286" customFormat="1"/>
    <row r="49" s="286" customFormat="1"/>
    <row r="50" s="286" customFormat="1"/>
    <row r="51" s="286" customFormat="1"/>
    <row r="52" s="286" customFormat="1"/>
    <row r="53" s="286" customFormat="1"/>
    <row r="54" s="286" customFormat="1"/>
    <row r="55" s="286" customFormat="1"/>
    <row r="56" s="286" customFormat="1"/>
    <row r="57" s="286" customFormat="1"/>
    <row r="58" s="286" customFormat="1"/>
    <row r="59" s="286" customFormat="1"/>
    <row r="60" s="286" customFormat="1"/>
    <row r="61" s="286" customFormat="1"/>
    <row r="62" s="286" customFormat="1"/>
    <row r="63" s="286" customFormat="1"/>
    <row r="64" s="286" customFormat="1"/>
    <row r="65" spans="1:8" s="286" customFormat="1"/>
    <row r="66" spans="1:8" s="286" customFormat="1"/>
    <row r="67" spans="1:8" s="286" customFormat="1"/>
    <row r="68" spans="1:8" s="286" customFormat="1" ht="14.25" thickBot="1"/>
    <row r="69" spans="1:8" s="286" customFormat="1" ht="30" customHeight="1" thickBot="1">
      <c r="A69" s="8334" t="s">
        <v>411</v>
      </c>
      <c r="B69" s="8335"/>
      <c r="C69" s="6890" t="s">
        <v>1489</v>
      </c>
      <c r="D69" s="6891" t="s">
        <v>1490</v>
      </c>
      <c r="E69" s="6891" t="s">
        <v>1493</v>
      </c>
      <c r="F69" s="6892" t="s">
        <v>1494</v>
      </c>
      <c r="G69" s="6893" t="s">
        <v>1495</v>
      </c>
      <c r="H69" s="6894" t="s">
        <v>247</v>
      </c>
    </row>
    <row r="70" spans="1:8" s="286" customFormat="1" ht="24" customHeight="1" thickTop="1" thickBot="1">
      <c r="A70" s="8336" t="s">
        <v>1482</v>
      </c>
      <c r="B70" s="8337"/>
      <c r="C70" s="3397">
        <v>13000</v>
      </c>
      <c r="D70" s="6898">
        <v>80.599999999999994</v>
      </c>
      <c r="E70" s="6903">
        <v>0.10067357989298295</v>
      </c>
      <c r="F70" s="6904">
        <f>E70/D70*100</f>
        <v>0.12490518597144287</v>
      </c>
      <c r="G70" s="3402" t="s">
        <v>2197</v>
      </c>
      <c r="H70" s="3405" t="s">
        <v>236</v>
      </c>
    </row>
    <row r="71" spans="1:8" s="286" customFormat="1" ht="24" customHeight="1">
      <c r="A71" s="8338" t="s">
        <v>1377</v>
      </c>
      <c r="B71" s="6895" t="s">
        <v>1484</v>
      </c>
      <c r="C71" s="3398">
        <v>100000</v>
      </c>
      <c r="D71" s="6899">
        <v>776</v>
      </c>
      <c r="E71" s="6905">
        <v>-3.8395042869488161</v>
      </c>
      <c r="F71" s="6906">
        <f t="shared" ref="F71:F77" si="1">E71/D71*100</f>
        <v>-0.49478148027690927</v>
      </c>
      <c r="G71" s="3403" t="s">
        <v>2198</v>
      </c>
      <c r="H71" s="3406" t="s">
        <v>28</v>
      </c>
    </row>
    <row r="72" spans="1:8" s="286" customFormat="1" ht="24" customHeight="1">
      <c r="A72" s="8339"/>
      <c r="B72" s="6896" t="s">
        <v>1485</v>
      </c>
      <c r="C72" s="3399">
        <v>15000</v>
      </c>
      <c r="D72" s="6900">
        <v>125.28688150000001</v>
      </c>
      <c r="E72" s="6907">
        <v>0.26662121409823714</v>
      </c>
      <c r="F72" s="6908">
        <f t="shared" si="1"/>
        <v>0.21280856455688626</v>
      </c>
      <c r="G72" s="3403" t="s">
        <v>2199</v>
      </c>
      <c r="H72" s="3406" t="s">
        <v>29</v>
      </c>
    </row>
    <row r="73" spans="1:8" s="286" customFormat="1" ht="24" customHeight="1" thickBot="1">
      <c r="A73" s="8340"/>
      <c r="B73" s="6897" t="s">
        <v>31</v>
      </c>
      <c r="C73" s="3400">
        <f>SUM(C71:C72)</f>
        <v>115000</v>
      </c>
      <c r="D73" s="6901">
        <f>SUM(D71:D72)</f>
        <v>901.28688150000005</v>
      </c>
      <c r="E73" s="6909">
        <f>SUM(E71:E72)</f>
        <v>-3.5728830728505789</v>
      </c>
      <c r="F73" s="6910">
        <f t="shared" si="1"/>
        <v>-0.39642017943324287</v>
      </c>
      <c r="G73" s="3403" t="s">
        <v>2320</v>
      </c>
      <c r="H73" s="3406" t="s">
        <v>501</v>
      </c>
    </row>
    <row r="74" spans="1:8" s="286" customFormat="1" ht="24" customHeight="1" thickBot="1">
      <c r="A74" s="8338" t="s">
        <v>1487</v>
      </c>
      <c r="B74" s="6895" t="s">
        <v>1484</v>
      </c>
      <c r="C74" s="3398">
        <v>158000</v>
      </c>
      <c r="D74" s="6899">
        <v>2003.4374600000001</v>
      </c>
      <c r="E74" s="6905">
        <v>105.82017398668923</v>
      </c>
      <c r="F74" s="6906">
        <f t="shared" si="1"/>
        <v>5.2819304869486281</v>
      </c>
      <c r="G74" s="3404" t="s">
        <v>2321</v>
      </c>
      <c r="H74" s="3407" t="s">
        <v>488</v>
      </c>
    </row>
    <row r="75" spans="1:8" s="286" customFormat="1" ht="24" customHeight="1">
      <c r="A75" s="8339"/>
      <c r="B75" s="6896" t="s">
        <v>1485</v>
      </c>
      <c r="C75" s="3399">
        <v>64000</v>
      </c>
      <c r="D75" s="6900">
        <v>714.73325</v>
      </c>
      <c r="E75" s="6907">
        <v>-2.3453526923142936</v>
      </c>
      <c r="F75" s="6908">
        <f t="shared" si="1"/>
        <v>-0.32814377843961978</v>
      </c>
      <c r="G75" s="8341"/>
      <c r="H75" s="8342"/>
    </row>
    <row r="76" spans="1:8" s="286" customFormat="1" ht="24" customHeight="1" thickBot="1">
      <c r="A76" s="8340"/>
      <c r="B76" s="6897" t="s">
        <v>31</v>
      </c>
      <c r="C76" s="3400">
        <f>SUM(C74:C75)</f>
        <v>222000</v>
      </c>
      <c r="D76" s="6901">
        <f>SUM(D74:D75)</f>
        <v>2718.1707100000003</v>
      </c>
      <c r="E76" s="6909">
        <f>SUM(E74:E75)</f>
        <v>103.47482129437493</v>
      </c>
      <c r="F76" s="6910">
        <f t="shared" si="1"/>
        <v>3.8067815576739448</v>
      </c>
      <c r="G76" s="8343"/>
      <c r="H76" s="8344"/>
    </row>
    <row r="77" spans="1:8" s="286" customFormat="1" ht="24" customHeight="1" thickBot="1">
      <c r="A77" s="8347" t="s">
        <v>946</v>
      </c>
      <c r="B77" s="8348"/>
      <c r="C77" s="3401">
        <f>C70+C73+C76</f>
        <v>350000</v>
      </c>
      <c r="D77" s="6902">
        <f>D70+D73+D76</f>
        <v>3700.0575915000004</v>
      </c>
      <c r="E77" s="6911">
        <f>E70+E73+E76</f>
        <v>100.00261180141734</v>
      </c>
      <c r="F77" s="6912">
        <f t="shared" si="1"/>
        <v>2.7027312231882412</v>
      </c>
      <c r="G77" s="8345"/>
      <c r="H77" s="8346"/>
    </row>
    <row r="78" spans="1:8" s="286" customFormat="1"/>
    <row r="79" spans="1:8" s="286" customFormat="1"/>
    <row r="80" spans="1:8" s="286" customFormat="1"/>
    <row r="81" s="286" customFormat="1"/>
    <row r="82" s="286" customFormat="1"/>
    <row r="83" s="286" customFormat="1"/>
    <row r="84" s="286" customFormat="1"/>
    <row r="85" s="286" customFormat="1"/>
    <row r="86" s="286" customFormat="1"/>
    <row r="87" s="286" customFormat="1"/>
    <row r="88" s="286" customFormat="1"/>
    <row r="89" s="286" customFormat="1"/>
    <row r="90" s="286" customFormat="1"/>
    <row r="91" s="286" customFormat="1"/>
    <row r="92" s="286" customFormat="1"/>
    <row r="93" s="286" customFormat="1"/>
    <row r="94" s="286" customFormat="1"/>
    <row r="95" s="286" customFormat="1"/>
    <row r="96" s="286" customFormat="1"/>
    <row r="97" s="286" customFormat="1"/>
    <row r="98" s="286" customFormat="1"/>
    <row r="99" s="286" customFormat="1"/>
    <row r="100" s="286" customFormat="1"/>
    <row r="101" s="286" customFormat="1"/>
    <row r="102" s="286" customFormat="1"/>
    <row r="103" s="286" customFormat="1"/>
    <row r="104" s="286" customFormat="1" ht="15" customHeight="1"/>
  </sheetData>
  <mergeCells count="12">
    <mergeCell ref="A29:B29"/>
    <mergeCell ref="A34:A36"/>
    <mergeCell ref="A31:A33"/>
    <mergeCell ref="A30:B30"/>
    <mergeCell ref="G35:H37"/>
    <mergeCell ref="A37:B37"/>
    <mergeCell ref="A69:B69"/>
    <mergeCell ref="A70:B70"/>
    <mergeCell ref="A71:A73"/>
    <mergeCell ref="A74:A76"/>
    <mergeCell ref="G75:H77"/>
    <mergeCell ref="A77:B77"/>
  </mergeCells>
  <phoneticPr fontId="23" type="noConversion"/>
  <pageMargins left="0.7" right="0.7" top="0.75" bottom="0.75" header="0.3" footer="0.3"/>
  <pageSetup paperSize="9" scale="60"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10"/>
  <sheetViews>
    <sheetView topLeftCell="A37" zoomScale="70" zoomScaleNormal="70" workbookViewId="0">
      <selection activeCell="K24" sqref="K24"/>
    </sheetView>
  </sheetViews>
  <sheetFormatPr defaultRowHeight="13.5"/>
  <cols>
    <col min="1" max="1" width="20.5546875" customWidth="1"/>
    <col min="2" max="2" width="17.21875" hidden="1" customWidth="1"/>
    <col min="3" max="3" width="9.6640625" hidden="1" customWidth="1"/>
    <col min="4" max="4" width="15.6640625" hidden="1" customWidth="1"/>
    <col min="5" max="5" width="13.21875" hidden="1" customWidth="1"/>
    <col min="6" max="6" width="8.77734375" hidden="1" customWidth="1"/>
    <col min="7" max="7" width="15.44140625" bestFit="1" customWidth="1"/>
    <col min="8" max="8" width="13.5546875" style="286" customWidth="1"/>
    <col min="9" max="21" width="13.77734375" customWidth="1"/>
    <col min="23" max="23" width="14.44140625" bestFit="1" customWidth="1"/>
    <col min="24" max="24" width="11.33203125" customWidth="1"/>
    <col min="25" max="25" width="12.33203125" customWidth="1"/>
  </cols>
  <sheetData>
    <row r="1" spans="1:21" ht="24" customHeight="1" thickBot="1">
      <c r="A1" s="3765" t="s">
        <v>1509</v>
      </c>
      <c r="B1" t="s">
        <v>1505</v>
      </c>
    </row>
    <row r="2" spans="1:21" ht="24" customHeight="1" thickBot="1">
      <c r="A2" s="3650" t="s">
        <v>1499</v>
      </c>
      <c r="B2" s="3651"/>
      <c r="C2" s="3651"/>
      <c r="D2" s="3651" t="s">
        <v>1508</v>
      </c>
      <c r="E2" s="3651" t="s">
        <v>26</v>
      </c>
      <c r="F2" s="3651" t="s">
        <v>55</v>
      </c>
      <c r="G2" s="3652" t="s">
        <v>1525</v>
      </c>
      <c r="H2" s="3653" t="s">
        <v>1500</v>
      </c>
      <c r="I2" s="3654" t="s">
        <v>1501</v>
      </c>
      <c r="J2" s="3652" t="s">
        <v>5</v>
      </c>
      <c r="K2" s="3652" t="s">
        <v>6</v>
      </c>
      <c r="L2" s="3652" t="s">
        <v>7</v>
      </c>
      <c r="M2" s="3652" t="s">
        <v>8</v>
      </c>
      <c r="N2" s="3652" t="s">
        <v>9</v>
      </c>
      <c r="O2" s="3652" t="s">
        <v>10</v>
      </c>
      <c r="P2" s="3652" t="s">
        <v>11</v>
      </c>
      <c r="Q2" s="3652" t="s">
        <v>12</v>
      </c>
      <c r="R2" s="3652" t="s">
        <v>13</v>
      </c>
      <c r="S2" s="3652" t="s">
        <v>14</v>
      </c>
      <c r="T2" s="5588" t="s">
        <v>15</v>
      </c>
      <c r="U2" s="5594" t="s">
        <v>1502</v>
      </c>
    </row>
    <row r="3" spans="1:21" ht="24" customHeight="1">
      <c r="A3" s="3645" t="s">
        <v>2</v>
      </c>
      <c r="B3" s="3506"/>
      <c r="C3" s="3506"/>
      <c r="D3" s="3506">
        <v>247047.16899999997</v>
      </c>
      <c r="E3" s="3506">
        <v>252574.53500000003</v>
      </c>
      <c r="F3" s="3506">
        <f>D3/E3</f>
        <v>0.97811590151002326</v>
      </c>
      <c r="G3" s="3646">
        <v>0.97811590151002303</v>
      </c>
      <c r="H3" s="3647">
        <v>0.97899999999999998</v>
      </c>
      <c r="I3" s="3648" t="e">
        <f>년간!F87</f>
        <v>#DIV/0!</v>
      </c>
      <c r="J3" s="3649" t="e">
        <f>년간!G87</f>
        <v>#DIV/0!</v>
      </c>
      <c r="K3" s="3649">
        <f>년간!H87</f>
        <v>0.97712159552613309</v>
      </c>
      <c r="L3" s="3649" t="e">
        <f>년간!I87</f>
        <v>#DIV/0!</v>
      </c>
      <c r="M3" s="3649" t="e">
        <f>년간!J87</f>
        <v>#DIV/0!</v>
      </c>
      <c r="N3" s="3649" t="e">
        <f>년간!K87</f>
        <v>#DIV/0!</v>
      </c>
      <c r="O3" s="3649" t="e">
        <f>년간!L87</f>
        <v>#DIV/0!</v>
      </c>
      <c r="P3" s="3649" t="e">
        <f>년간!M87</f>
        <v>#DIV/0!</v>
      </c>
      <c r="Q3" s="3649" t="e">
        <f>년간!N87</f>
        <v>#DIV/0!</v>
      </c>
      <c r="R3" s="3649" t="e">
        <f>년간!O87</f>
        <v>#DIV/0!</v>
      </c>
      <c r="S3" s="3649" t="e">
        <f>년간!P87</f>
        <v>#DIV/0!</v>
      </c>
      <c r="T3" s="5589" t="e">
        <f>년간!Q87</f>
        <v>#DIV/0!</v>
      </c>
      <c r="U3" s="5595">
        <f>년간!V87</f>
        <v>0.97712159552613309</v>
      </c>
    </row>
    <row r="4" spans="1:21" ht="24" customHeight="1">
      <c r="A4" s="3512" t="s">
        <v>3</v>
      </c>
      <c r="B4" s="3506"/>
      <c r="C4" s="3506"/>
      <c r="D4" s="3506">
        <v>237725.05900000001</v>
      </c>
      <c r="E4" s="3506">
        <v>237762.83900000001</v>
      </c>
      <c r="F4" s="3506">
        <f>D4/E4</f>
        <v>0.99984110216651645</v>
      </c>
      <c r="G4" s="3533">
        <v>0.999841102166516</v>
      </c>
      <c r="H4" s="3534">
        <v>0.99985000000000002</v>
      </c>
      <c r="I4" s="3509" t="e">
        <f>년간!F88</f>
        <v>#DIV/0!</v>
      </c>
      <c r="J4" s="3440" t="e">
        <f>년간!G88</f>
        <v>#DIV/0!</v>
      </c>
      <c r="K4" s="3440">
        <f>년간!H88</f>
        <v>1</v>
      </c>
      <c r="L4" s="3440" t="e">
        <f>년간!I88</f>
        <v>#DIV/0!</v>
      </c>
      <c r="M4" s="3440" t="e">
        <f>년간!J88</f>
        <v>#DIV/0!</v>
      </c>
      <c r="N4" s="3440" t="e">
        <f>년간!K88</f>
        <v>#DIV/0!</v>
      </c>
      <c r="O4" s="3440" t="e">
        <f>년간!L88</f>
        <v>#DIV/0!</v>
      </c>
      <c r="P4" s="3440" t="e">
        <f>년간!M88</f>
        <v>#DIV/0!</v>
      </c>
      <c r="Q4" s="3440" t="e">
        <f>년간!N88</f>
        <v>#DIV/0!</v>
      </c>
      <c r="R4" s="3440" t="e">
        <f>년간!O88</f>
        <v>#DIV/0!</v>
      </c>
      <c r="S4" s="3440" t="e">
        <f>년간!P88</f>
        <v>#DIV/0!</v>
      </c>
      <c r="T4" s="5590" t="e">
        <f>년간!Q88</f>
        <v>#DIV/0!</v>
      </c>
      <c r="U4" s="5596">
        <f>년간!V88</f>
        <v>1</v>
      </c>
    </row>
    <row r="5" spans="1:21" ht="24" customHeight="1">
      <c r="A5" s="3512" t="s">
        <v>4</v>
      </c>
      <c r="B5" s="3506"/>
      <c r="C5" s="3506"/>
      <c r="D5" s="3506">
        <v>239334.82</v>
      </c>
      <c r="E5" s="3506">
        <v>239027.54900000003</v>
      </c>
      <c r="F5" s="3506">
        <f>D5/E5</f>
        <v>1.0012855045424074</v>
      </c>
      <c r="G5" s="3533">
        <v>1.0012855045424098</v>
      </c>
      <c r="H5" s="3534">
        <v>1.0024</v>
      </c>
      <c r="I5" s="3509" t="e">
        <f>년간!F89</f>
        <v>#DIV/0!</v>
      </c>
      <c r="J5" s="3440" t="e">
        <f>년간!G89</f>
        <v>#DIV/0!</v>
      </c>
      <c r="K5" s="3440">
        <f>년간!H89</f>
        <v>0.99912348904799342</v>
      </c>
      <c r="L5" s="3440" t="e">
        <f>년간!I89</f>
        <v>#DIV/0!</v>
      </c>
      <c r="M5" s="3440" t="e">
        <f>년간!J89</f>
        <v>#DIV/0!</v>
      </c>
      <c r="N5" s="3440" t="e">
        <f>년간!K89</f>
        <v>#DIV/0!</v>
      </c>
      <c r="O5" s="3440" t="e">
        <f>년간!L89</f>
        <v>#DIV/0!</v>
      </c>
      <c r="P5" s="3440" t="e">
        <f>년간!M89</f>
        <v>#DIV/0!</v>
      </c>
      <c r="Q5" s="3440" t="e">
        <f>년간!N89</f>
        <v>#DIV/0!</v>
      </c>
      <c r="R5" s="3440" t="e">
        <f>년간!O89</f>
        <v>#DIV/0!</v>
      </c>
      <c r="S5" s="3440" t="e">
        <f>년간!P89</f>
        <v>#DIV/0!</v>
      </c>
      <c r="T5" s="5590" t="e">
        <f>년간!Q89</f>
        <v>#DIV/0!</v>
      </c>
      <c r="U5" s="5596">
        <f>년간!V89</f>
        <v>0.99912348904799342</v>
      </c>
    </row>
    <row r="6" spans="1:21" ht="24" customHeight="1">
      <c r="A6" s="3557" t="s">
        <v>484</v>
      </c>
      <c r="B6" s="3506"/>
      <c r="C6" s="3506"/>
      <c r="D6" s="3506">
        <v>123891.56800000001</v>
      </c>
      <c r="E6" s="3506">
        <v>123422.84299999998</v>
      </c>
      <c r="F6" s="3506">
        <f>D6/E6</f>
        <v>1.0037977167646353</v>
      </c>
      <c r="G6" s="3533">
        <v>1.0037977167646401</v>
      </c>
      <c r="H6" s="3534">
        <f>1.0039</f>
        <v>1.0039</v>
      </c>
      <c r="I6" s="3509">
        <f>년간!F90</f>
        <v>1.0038500733750388</v>
      </c>
      <c r="J6" s="3440">
        <f>년간!G90</f>
        <v>1.0052442303626457</v>
      </c>
      <c r="K6" s="3440">
        <f>년간!H90</f>
        <v>1.005099429497128</v>
      </c>
      <c r="L6" s="3440" t="e">
        <f>년간!I90</f>
        <v>#DIV/0!</v>
      </c>
      <c r="M6" s="3440" t="e">
        <f>년간!J90</f>
        <v>#DIV/0!</v>
      </c>
      <c r="N6" s="3440" t="e">
        <f>년간!K90</f>
        <v>#DIV/0!</v>
      </c>
      <c r="O6" s="3440" t="e">
        <f>년간!L90</f>
        <v>#DIV/0!</v>
      </c>
      <c r="P6" s="3440" t="e">
        <f>년간!M90</f>
        <v>#DIV/0!</v>
      </c>
      <c r="Q6" s="3440" t="e">
        <f>년간!N90</f>
        <v>#DIV/0!</v>
      </c>
      <c r="R6" s="3440" t="e">
        <f>년간!O90</f>
        <v>#DIV/0!</v>
      </c>
      <c r="S6" s="3440" t="e">
        <f>년간!P90</f>
        <v>#DIV/0!</v>
      </c>
      <c r="T6" s="5590" t="e">
        <f>년간!Q90</f>
        <v>#DIV/0!</v>
      </c>
      <c r="U6" s="5596">
        <f>년간!V90</f>
        <v>1.004731014370178</v>
      </c>
    </row>
    <row r="7" spans="1:21" ht="24" customHeight="1" thickBot="1">
      <c r="A7" s="3558" t="s">
        <v>209</v>
      </c>
      <c r="B7" s="3506"/>
      <c r="C7" s="3506"/>
      <c r="D7" s="3506">
        <v>42256.114999999991</v>
      </c>
      <c r="E7" s="3506">
        <v>42107.368000000002</v>
      </c>
      <c r="F7" s="3506">
        <f>D7/E7</f>
        <v>1.0035325646570925</v>
      </c>
      <c r="G7" s="3559">
        <v>1.0035325646570898</v>
      </c>
      <c r="H7" s="3560">
        <v>1.004</v>
      </c>
      <c r="I7" s="3561">
        <f>년간!F91</f>
        <v>1.0034082893798044</v>
      </c>
      <c r="J7" s="3562">
        <f>년간!G91</f>
        <v>1.0028494718498875</v>
      </c>
      <c r="K7" s="3562">
        <f>년간!H91</f>
        <v>1.0050867800872563</v>
      </c>
      <c r="L7" s="3562" t="e">
        <f>년간!I91</f>
        <v>#DIV/0!</v>
      </c>
      <c r="M7" s="3562" t="e">
        <f>년간!J91</f>
        <v>#DIV/0!</v>
      </c>
      <c r="N7" s="3562" t="e">
        <f>년간!K91</f>
        <v>#DIV/0!</v>
      </c>
      <c r="O7" s="3562" t="e">
        <f>년간!L91</f>
        <v>#DIV/0!</v>
      </c>
      <c r="P7" s="3562" t="e">
        <f>년간!M91</f>
        <v>#DIV/0!</v>
      </c>
      <c r="Q7" s="3562" t="e">
        <f>년간!N91</f>
        <v>#DIV/0!</v>
      </c>
      <c r="R7" s="3562" t="e">
        <f>년간!O91</f>
        <v>#DIV/0!</v>
      </c>
      <c r="S7" s="3562" t="e">
        <f>년간!P91</f>
        <v>#DIV/0!</v>
      </c>
      <c r="T7" s="5591" t="e">
        <f>년간!Q91</f>
        <v>#DIV/0!</v>
      </c>
      <c r="U7" s="5597">
        <f>년간!V91</f>
        <v>1.003842945000992</v>
      </c>
    </row>
    <row r="8" spans="1:21" ht="24" customHeight="1">
      <c r="A8" s="3511" t="s">
        <v>1503</v>
      </c>
      <c r="B8" s="3508"/>
      <c r="C8" s="3508"/>
      <c r="D8" s="3508"/>
      <c r="E8" s="3508"/>
      <c r="F8" s="3508"/>
      <c r="G8" s="3563">
        <v>0.98280662414021702</v>
      </c>
      <c r="H8" s="3564">
        <f>H3*H4*H5*((H6+H7)/2)</f>
        <v>0.98507814703036201</v>
      </c>
      <c r="I8" s="3565" t="e">
        <f>I3*I4*I5*((I6+I7)/2)</f>
        <v>#DIV/0!</v>
      </c>
      <c r="J8" s="3563" t="e">
        <f t="shared" ref="J8:S8" si="0">J3*J4*J5*((J6+J7)/2)</f>
        <v>#DIV/0!</v>
      </c>
      <c r="K8" s="3563">
        <f t="shared" si="0"/>
        <v>0.98123735839771775</v>
      </c>
      <c r="L8" s="3563" t="e">
        <f t="shared" si="0"/>
        <v>#DIV/0!</v>
      </c>
      <c r="M8" s="3563" t="e">
        <f t="shared" si="0"/>
        <v>#DIV/0!</v>
      </c>
      <c r="N8" s="3563" t="e">
        <f t="shared" si="0"/>
        <v>#DIV/0!</v>
      </c>
      <c r="O8" s="3563" t="e">
        <f t="shared" si="0"/>
        <v>#DIV/0!</v>
      </c>
      <c r="P8" s="5056" t="e">
        <f t="shared" si="0"/>
        <v>#DIV/0!</v>
      </c>
      <c r="Q8" s="3563" t="e">
        <f t="shared" si="0"/>
        <v>#DIV/0!</v>
      </c>
      <c r="R8" s="3563" t="e">
        <f t="shared" si="0"/>
        <v>#DIV/0!</v>
      </c>
      <c r="S8" s="3563" t="e">
        <f t="shared" si="0"/>
        <v>#DIV/0!</v>
      </c>
      <c r="T8" s="5592" t="e">
        <f>T3*T4*T5*((T6+T7)/2)</f>
        <v>#DIV/0!</v>
      </c>
      <c r="U8" s="5598">
        <f>U3*U4*U5*((U6+U7)/2)</f>
        <v>0.98045036655947526</v>
      </c>
    </row>
    <row r="9" spans="1:21" ht="24" customHeight="1" thickBot="1">
      <c r="A9" s="3513" t="s">
        <v>1504</v>
      </c>
      <c r="B9" s="3507"/>
      <c r="C9" s="3507"/>
      <c r="D9" s="3507"/>
      <c r="E9" s="3507"/>
      <c r="F9" s="3507"/>
      <c r="G9" s="3491">
        <f>IF(G8="측정불가","측정불가",IF(G8&lt;0.5,1,IF(G8&lt;0.65,2,IF(G8&lt;0.8,3,IF(G8&lt;0.95,4,IF(G8&gt;=0.95,5,))))))</f>
        <v>5</v>
      </c>
      <c r="H9" s="3492">
        <f>IF(H8="측정불가","측정불가",IF(H8&lt;0.5,1,IF(H8&lt;0.65,2,IF(H8&lt;0.8,3,IF(H8&lt;0.95,4,IF(H8&gt;=0.95,5,))))))</f>
        <v>5</v>
      </c>
      <c r="I9" s="3510" t="e">
        <f t="shared" ref="I9:U9" si="1">IF(I8="측정불가","측정불가",IF(I8&lt;0.5,1,IF(I8&lt;0.65,2,IF(I8&lt;0.8,3,IF(I8&lt;0.95,4,IF(I8&gt;=0.95,5,))))))</f>
        <v>#DIV/0!</v>
      </c>
      <c r="J9" s="3491" t="e">
        <f t="shared" si="1"/>
        <v>#DIV/0!</v>
      </c>
      <c r="K9" s="3491">
        <f t="shared" si="1"/>
        <v>5</v>
      </c>
      <c r="L9" s="3491" t="e">
        <f t="shared" si="1"/>
        <v>#DIV/0!</v>
      </c>
      <c r="M9" s="3491" t="e">
        <f t="shared" si="1"/>
        <v>#DIV/0!</v>
      </c>
      <c r="N9" s="3491" t="e">
        <f t="shared" si="1"/>
        <v>#DIV/0!</v>
      </c>
      <c r="O9" s="3491" t="e">
        <f t="shared" si="1"/>
        <v>#DIV/0!</v>
      </c>
      <c r="P9" s="3491" t="e">
        <f t="shared" si="1"/>
        <v>#DIV/0!</v>
      </c>
      <c r="Q9" s="3491" t="e">
        <f t="shared" si="1"/>
        <v>#DIV/0!</v>
      </c>
      <c r="R9" s="3491" t="e">
        <f t="shared" si="1"/>
        <v>#DIV/0!</v>
      </c>
      <c r="S9" s="3491" t="e">
        <f t="shared" si="1"/>
        <v>#DIV/0!</v>
      </c>
      <c r="T9" s="5593" t="e">
        <f t="shared" si="1"/>
        <v>#DIV/0!</v>
      </c>
      <c r="U9" s="5599">
        <f t="shared" si="1"/>
        <v>5</v>
      </c>
    </row>
    <row r="10" spans="1:21" ht="24" customHeight="1" thickBot="1">
      <c r="A10" s="3452" t="s">
        <v>1510</v>
      </c>
      <c r="B10" s="3451"/>
    </row>
    <row r="11" spans="1:21" ht="24" customHeight="1" thickBot="1">
      <c r="A11" s="8376" t="s">
        <v>0</v>
      </c>
      <c r="B11" s="8378" t="s">
        <v>1506</v>
      </c>
      <c r="C11" s="8379"/>
      <c r="D11" s="8379"/>
      <c r="E11" s="8379"/>
      <c r="F11" s="8380"/>
      <c r="G11" s="8397" t="s">
        <v>1213</v>
      </c>
      <c r="H11" s="8381" t="s">
        <v>1251</v>
      </c>
      <c r="I11" s="8388" t="s">
        <v>1549</v>
      </c>
      <c r="J11" s="8389"/>
      <c r="K11" s="8389"/>
      <c r="L11" s="8389"/>
      <c r="M11" s="8389"/>
      <c r="N11" s="8389"/>
      <c r="O11" s="8389"/>
      <c r="P11" s="8389"/>
      <c r="Q11" s="8389"/>
      <c r="R11" s="8389"/>
      <c r="S11" s="8389"/>
      <c r="T11" s="8389"/>
      <c r="U11" s="8390"/>
    </row>
    <row r="12" spans="1:21" ht="24" customHeight="1" thickBot="1">
      <c r="A12" s="8377"/>
      <c r="B12" s="3639" t="s">
        <v>1507</v>
      </c>
      <c r="C12" s="3640" t="s">
        <v>595</v>
      </c>
      <c r="D12" s="3640" t="s">
        <v>1033</v>
      </c>
      <c r="E12" s="3640" t="s">
        <v>219</v>
      </c>
      <c r="F12" s="3641"/>
      <c r="G12" s="8398"/>
      <c r="H12" s="8382"/>
      <c r="I12" s="3642" t="s">
        <v>18</v>
      </c>
      <c r="J12" s="3643" t="s">
        <v>5</v>
      </c>
      <c r="K12" s="3643" t="s">
        <v>6</v>
      </c>
      <c r="L12" s="3643" t="s">
        <v>7</v>
      </c>
      <c r="M12" s="3643" t="s">
        <v>8</v>
      </c>
      <c r="N12" s="3643" t="s">
        <v>9</v>
      </c>
      <c r="O12" s="3643" t="s">
        <v>10</v>
      </c>
      <c r="P12" s="3643" t="s">
        <v>11</v>
      </c>
      <c r="Q12" s="3643" t="s">
        <v>12</v>
      </c>
      <c r="R12" s="3643" t="s">
        <v>13</v>
      </c>
      <c r="S12" s="3643" t="s">
        <v>14</v>
      </c>
      <c r="T12" s="3644" t="s">
        <v>15</v>
      </c>
      <c r="U12" s="5600" t="s">
        <v>194</v>
      </c>
    </row>
    <row r="13" spans="1:21" ht="24" customHeight="1">
      <c r="A13" s="3632" t="s">
        <v>27</v>
      </c>
      <c r="B13" s="3633">
        <v>3851.02</v>
      </c>
      <c r="C13" s="3634">
        <v>0</v>
      </c>
      <c r="D13" s="3634">
        <v>764.09999999999991</v>
      </c>
      <c r="E13" s="3635">
        <v>247068.53899999996</v>
      </c>
      <c r="F13" s="3506"/>
      <c r="G13" s="3636">
        <f t="shared" ref="G13:G18" si="2">(B13+C13+D13)*1000/E13</f>
        <v>18.679513056091697</v>
      </c>
      <c r="H13" s="3637">
        <v>18.679513056091697</v>
      </c>
      <c r="I13" s="3638" t="e">
        <f>(CPL!O11+CPL!O12+CRM!O15)*1000/CPL!O5</f>
        <v>#DIV/0!</v>
      </c>
      <c r="J13" s="3061" t="e">
        <f>(CPL!P11+CPL!P12+CRM!P15)*1000/CPL!P5</f>
        <v>#DIV/0!</v>
      </c>
      <c r="K13" s="3061">
        <f>(CPL!Q11+CPL!Q12+CRM!Q15)*1000/CPL!Q5</f>
        <v>15.181211596498022</v>
      </c>
      <c r="L13" s="3061" t="e">
        <f>(CPL!R11+CPL!R12+CRM!R15)*1000/CPL!R5</f>
        <v>#DIV/0!</v>
      </c>
      <c r="M13" s="3061" t="e">
        <f>(CPL!S11+CPL!S12+CRM!S15)*1000/CPL!S5</f>
        <v>#DIV/0!</v>
      </c>
      <c r="N13" s="3061" t="e">
        <f>(CPL!T11+CPL!T12+CRM!T15)*1000/CPL!T5</f>
        <v>#DIV/0!</v>
      </c>
      <c r="O13" s="3061" t="e">
        <f>(CPL!U11+CPL!U12+CRM!U15)*1000/CPL!U5</f>
        <v>#DIV/0!</v>
      </c>
      <c r="P13" s="5059" t="e">
        <f>(CPL!V11+CPL!V12+CRM!V15)*1000/CPL!V5</f>
        <v>#DIV/0!</v>
      </c>
      <c r="Q13" s="3061" t="e">
        <f>(CPL!W11+CPL!W12+CRM!W15)*1000/CPL!W5</f>
        <v>#DIV/0!</v>
      </c>
      <c r="R13" s="3061" t="e">
        <f>(CPL!X11+CPL!X12+CRM!X15)*1000/CPL!X5</f>
        <v>#DIV/0!</v>
      </c>
      <c r="S13" s="3061" t="e">
        <f>(CPL!Y11+CPL!Y12+CRM!Y15)*1000/CPL!Y5</f>
        <v>#DIV/0!</v>
      </c>
      <c r="T13" s="3062" t="e">
        <f>(CPL!Z11+CPL!Z12+CRM!Z15)*1000/CPL!Z5</f>
        <v>#DIV/0!</v>
      </c>
      <c r="U13" s="3063">
        <f>(CPL!AA11+CPL!AA12+CRM!AA15)*1000/CPL!AA5</f>
        <v>16.629251123553953</v>
      </c>
    </row>
    <row r="14" spans="1:21" ht="24" customHeight="1">
      <c r="A14" s="3514" t="s">
        <v>28</v>
      </c>
      <c r="B14" s="3442">
        <v>3.4250000000000003</v>
      </c>
      <c r="C14" s="3443">
        <v>43.739999999999995</v>
      </c>
      <c r="D14" s="3443">
        <v>3993.1100000000006</v>
      </c>
      <c r="E14" s="3444">
        <v>239665.66999999998</v>
      </c>
      <c r="F14" s="3506"/>
      <c r="G14" s="3461">
        <f t="shared" si="2"/>
        <v>16.857963011556894</v>
      </c>
      <c r="H14" s="3446">
        <v>16.857963011556894</v>
      </c>
      <c r="I14" s="3524" t="e">
        <f>(CRM!O12+CRM!O14+CGL!O15)*1000/CGL!O5</f>
        <v>#DIV/0!</v>
      </c>
      <c r="J14" s="3525" t="e">
        <f>(CRM!P12+CRM!P14+CGL!P15)*1000/CGL!P5</f>
        <v>#DIV/0!</v>
      </c>
      <c r="K14" s="3525">
        <f>(CRM!Q12+CRM!Q14+CGL!Q15)*1000/CGL!Q5</f>
        <v>14.355320879396842</v>
      </c>
      <c r="L14" s="3525" t="e">
        <f>(CRM!R12+CRM!R14+CGL!R15)*1000/CGL!R5</f>
        <v>#DIV/0!</v>
      </c>
      <c r="M14" s="3525" t="e">
        <f>(CRM!S12+CRM!S14+CGL!S15)*1000/CGL!S5</f>
        <v>#DIV/0!</v>
      </c>
      <c r="N14" s="3525" t="e">
        <f>(CRM!T12+CRM!T14+CGL!T15)*1000/CGL!T5</f>
        <v>#DIV/0!</v>
      </c>
      <c r="O14" s="3525" t="e">
        <f>(CRM!U12+CRM!U14+CGL!U15)*1000/CGL!U5</f>
        <v>#DIV/0!</v>
      </c>
      <c r="P14" s="3525" t="e">
        <f>(CRM!V12+CRM!V14+CGL!V15)*1000/CGL!V5</f>
        <v>#DIV/0!</v>
      </c>
      <c r="Q14" s="3525" t="e">
        <f>(CRM!W12+CRM!W14+CGL!W15)*1000/CGL!W5</f>
        <v>#DIV/0!</v>
      </c>
      <c r="R14" s="3525" t="e">
        <f>(CRM!X12+CRM!X14+CGL!X15)*1000/CGL!X5</f>
        <v>#DIV/0!</v>
      </c>
      <c r="S14" s="3525" t="e">
        <f>(CRM!Y12+CRM!Y14+CGL!Y15)*1000/CGL!Y5</f>
        <v>#DIV/0!</v>
      </c>
      <c r="T14" s="3526" t="e">
        <f>(CRM!Z12+CRM!Z14+CGL!Z15)*1000/CGL!Z5</f>
        <v>#DIV/0!</v>
      </c>
      <c r="U14" s="5601">
        <f>(CRM!AA12+CRM!AA14+CGL!AA15)*1000/CGL!AA5</f>
        <v>14.523759211061105</v>
      </c>
    </row>
    <row r="15" spans="1:21" ht="24" customHeight="1">
      <c r="A15" s="3514" t="s">
        <v>29</v>
      </c>
      <c r="B15" s="3442">
        <v>486.08799999999997</v>
      </c>
      <c r="C15" s="3443">
        <v>54.575000000000003</v>
      </c>
      <c r="D15" s="3443">
        <v>277.82999999999993</v>
      </c>
      <c r="E15" s="3444">
        <v>239665.66999999998</v>
      </c>
      <c r="F15" s="3506"/>
      <c r="G15" s="3461">
        <f t="shared" si="2"/>
        <v>3.4151449391980084</v>
      </c>
      <c r="H15" s="3446">
        <v>3.4151449391980084</v>
      </c>
      <c r="I15" s="3524" t="e">
        <f>(CGL!O11+CGL!O12+종합!M48)*1000/CGL!O5</f>
        <v>#DIV/0!</v>
      </c>
      <c r="J15" s="3525" t="e">
        <f>(CGL!P11+CGL!P12+종합!N48)*1000/CGL!P5</f>
        <v>#DIV/0!</v>
      </c>
      <c r="K15" s="3525">
        <f>(CGL!Q11+CGL!Q12+종합!O48)*1000/CGL!Q5</f>
        <v>7.1654103792137489</v>
      </c>
      <c r="L15" s="3525" t="e">
        <f>(CGL!R11+CGL!R12+종합!P48)*1000/CGL!R5</f>
        <v>#DIV/0!</v>
      </c>
      <c r="M15" s="3525" t="e">
        <f>(CGL!S11+CGL!S12+종합!Q48)*1000/CGL!S5</f>
        <v>#DIV/0!</v>
      </c>
      <c r="N15" s="3525" t="e">
        <f>(CGL!T11+CGL!T12+종합!R48)*1000/CGL!T5</f>
        <v>#DIV/0!</v>
      </c>
      <c r="O15" s="3525" t="e">
        <f>(CGL!U11+CGL!U12+종합!S48)*1000/CGL!U5</f>
        <v>#DIV/0!</v>
      </c>
      <c r="P15" s="3525" t="e">
        <f>(CGL!V11+CGL!V12+종합!T48)*1000/CGL!V5</f>
        <v>#DIV/0!</v>
      </c>
      <c r="Q15" s="3525" t="e">
        <f>(CGL!W11+CGL!W12+종합!U48)*1000/CGL!W5</f>
        <v>#DIV/0!</v>
      </c>
      <c r="R15" s="3525" t="e">
        <f>(CGL!X11+CGL!X12+종합!V48)*1000/CGL!X5</f>
        <v>#DIV/0!</v>
      </c>
      <c r="S15" s="3525" t="e">
        <f>(CGL!Y11+CGL!Y12+종합!W48)*1000/CGL!Y5</f>
        <v>#DIV/0!</v>
      </c>
      <c r="T15" s="3526" t="e">
        <f>(CGL!Z11+CGL!Z12+종합!X48)*1000/CGL!Z5</f>
        <v>#DIV/0!</v>
      </c>
      <c r="U15" s="5601">
        <f>(CGL!AA11+CGL!AA12+종합!Y48)*1000/CGL!AA5</f>
        <v>7.3316612000771757</v>
      </c>
    </row>
    <row r="16" spans="1:21" ht="24" customHeight="1">
      <c r="A16" s="3514" t="s">
        <v>501</v>
      </c>
      <c r="B16" s="3442">
        <v>414.67</v>
      </c>
      <c r="C16" s="3445"/>
      <c r="D16" s="3443">
        <v>369.63500000000005</v>
      </c>
      <c r="E16" s="3444">
        <v>123961.10800000001</v>
      </c>
      <c r="F16" s="3506"/>
      <c r="G16" s="3461">
        <f t="shared" si="2"/>
        <v>6.3270247632830134</v>
      </c>
      <c r="H16" s="3446">
        <v>6.3270247632830134</v>
      </c>
      <c r="I16" s="3524">
        <f>('#1CCL'!O12+'#1CCL'!O21)*1000/'#1CCL'!O5</f>
        <v>3.0013180647423723</v>
      </c>
      <c r="J16" s="3525">
        <f>('#1CCL'!P12+'#1CCL'!P21)*1000/'#1CCL'!P5</f>
        <v>0</v>
      </c>
      <c r="K16" s="3525">
        <f>('#1CCL'!Q12+'#1CCL'!Q21)*1000/'#1CCL'!Q5</f>
        <v>0</v>
      </c>
      <c r="L16" s="3525" t="e">
        <f>('#1CCL'!R12+'#1CCL'!R21)*1000/'#1CCL'!R5</f>
        <v>#DIV/0!</v>
      </c>
      <c r="M16" s="3525" t="e">
        <f>('#1CCL'!S12+'#1CCL'!S21)*1000/'#1CCL'!S5</f>
        <v>#DIV/0!</v>
      </c>
      <c r="N16" s="3525" t="e">
        <f>('#1CCL'!T12+'#1CCL'!T21)*1000/'#1CCL'!T5</f>
        <v>#DIV/0!</v>
      </c>
      <c r="O16" s="3525" t="e">
        <f>('#1CCL'!U12+'#1CCL'!U21)*1000/'#1CCL'!U5</f>
        <v>#DIV/0!</v>
      </c>
      <c r="P16" s="3525" t="e">
        <f>('#1CCL'!V12+'#1CCL'!V21)*1000/'#1CCL'!V5</f>
        <v>#DIV/0!</v>
      </c>
      <c r="Q16" s="3525" t="e">
        <f>('#1CCL'!W12+'#1CCL'!W21)*1000/'#1CCL'!W5</f>
        <v>#DIV/0!</v>
      </c>
      <c r="R16" s="3525" t="e">
        <f>('#1CCL'!X12+'#1CCL'!X21)*1000/'#1CCL'!X5</f>
        <v>#DIV/0!</v>
      </c>
      <c r="S16" s="3525" t="e">
        <f>('#1CCL'!Y12+'#1CCL'!Y21)*1000/'#1CCL'!Y5</f>
        <v>#DIV/0!</v>
      </c>
      <c r="T16" s="3526" t="e">
        <f>('#1CCL'!Z12+'#1CCL'!Z21)*1000/'#1CCL'!Z5</f>
        <v>#DIV/0!</v>
      </c>
      <c r="U16" s="5601">
        <f>('#1CCL'!AA12+'#1CCL'!AA21)*1000/'#1CCL'!AA5</f>
        <v>0.99575300511195997</v>
      </c>
    </row>
    <row r="17" spans="1:21" ht="24" customHeight="1" thickBot="1">
      <c r="A17" s="3566" t="s">
        <v>488</v>
      </c>
      <c r="B17" s="3567">
        <v>404.91</v>
      </c>
      <c r="C17" s="3568"/>
      <c r="D17" s="3569">
        <v>221.62</v>
      </c>
      <c r="E17" s="3570">
        <v>42325.625</v>
      </c>
      <c r="F17" s="3506"/>
      <c r="G17" s="3571">
        <f t="shared" si="2"/>
        <v>14.802616618183428</v>
      </c>
      <c r="H17" s="3572">
        <v>14.802616618183428</v>
      </c>
      <c r="I17" s="3573">
        <f>('#2CCL'!O12+'#2CCL'!O21)*1000/'#2CCL'!O5</f>
        <v>15.439429928741093</v>
      </c>
      <c r="J17" s="3574">
        <f>('#2CCL'!P12+'#2CCL'!P21)*1000/'#2CCL'!P5</f>
        <v>12.020423350421696</v>
      </c>
      <c r="K17" s="3574">
        <f>('#2CCL'!Q12+'#2CCL'!Q21)*1000/'#2CCL'!Q5</f>
        <v>23.140429531054295</v>
      </c>
      <c r="L17" s="3574" t="e">
        <f>('#2CCL'!R12+'#2CCL'!R21)*1000/'#2CCL'!R5</f>
        <v>#DIV/0!</v>
      </c>
      <c r="M17" s="3574" t="e">
        <f>('#2CCL'!S12+'#2CCL'!S21)*1000/'#2CCL'!S5</f>
        <v>#DIV/0!</v>
      </c>
      <c r="N17" s="3574" t="e">
        <f>('#2CCL'!T12+'#2CCL'!T21)*1000/'#2CCL'!T5</f>
        <v>#DIV/0!</v>
      </c>
      <c r="O17" s="3574" t="e">
        <f>('#2CCL'!U12+'#2CCL'!U21)*1000/'#2CCL'!U5</f>
        <v>#DIV/0!</v>
      </c>
      <c r="P17" s="3574" t="e">
        <f>('#2CCL'!V12+'#2CCL'!V21)*1000/'#2CCL'!V5</f>
        <v>#DIV/0!</v>
      </c>
      <c r="Q17" s="3574" t="e">
        <f>('#2CCL'!W12+'#2CCL'!W21)*1000/'#2CCL'!W5</f>
        <v>#DIV/0!</v>
      </c>
      <c r="R17" s="3574" t="e">
        <f>('#2CCL'!X12+'#2CCL'!X21)*1000/'#2CCL'!X5</f>
        <v>#DIV/0!</v>
      </c>
      <c r="S17" s="3574" t="e">
        <f>('#2CCL'!Y12+'#2CCL'!Y21)*1000/'#2CCL'!Y5</f>
        <v>#DIV/0!</v>
      </c>
      <c r="T17" s="3575" t="e">
        <f>('#2CCL'!Z12+'#2CCL'!Z21)*1000/'#2CCL'!Z5</f>
        <v>#DIV/0!</v>
      </c>
      <c r="U17" s="3056">
        <f>('#2CCL'!AA12+'#2CCL'!AA21)*1000/'#2CCL'!AA5</f>
        <v>17.313018950934278</v>
      </c>
    </row>
    <row r="18" spans="1:21" ht="24" customHeight="1">
      <c r="A18" s="3576" t="s">
        <v>16</v>
      </c>
      <c r="B18" s="3577">
        <f>SUM(B13:B17)</f>
        <v>5160.1130000000003</v>
      </c>
      <c r="C18" s="3578">
        <f>SUM(C13:C17)</f>
        <v>98.314999999999998</v>
      </c>
      <c r="D18" s="3578">
        <f>SUM(D13:D17)</f>
        <v>5626.295000000001</v>
      </c>
      <c r="E18" s="3578">
        <f>SUM(E13:E17)</f>
        <v>892686.61199999996</v>
      </c>
      <c r="F18" s="3508"/>
      <c r="G18" s="3579">
        <f t="shared" si="2"/>
        <v>12.193218598421192</v>
      </c>
      <c r="H18" s="3580">
        <v>11.375029438034272</v>
      </c>
      <c r="I18" s="4386">
        <f>((CPL!O11+CPL!O12+CPL!O13)+(CRM!O12+CRM!O13)+(CGL!O11+CGL!O12+CGL!O15+종합!M48)+('#1CCL'!O13+'#1CCL'!O14+'#1CCL'!O15+'#1CCL'!O16+'#1CCL'!O18+'#1CCL'!O19)+('#2CCL'!O13+'#2CCL'!O14+'#2CCL'!O15+'#2CCL'!O16+'#2CCL'!O18+'#2CCL'!O20))/('#2CCL'!O5+'#1CCL'!O5+CGL!O5+CGL!O5+CPL!O5)*1000</f>
        <v>10.774990238582314</v>
      </c>
      <c r="J18" s="3581">
        <f>((CPL!P11+CPL!P12+CPL!P13)+(CRM!P12+CRM!P13)+(CGL!P11+CGL!P12+CGL!P15+종합!N48)+('#1CCL'!P13+'#1CCL'!P14+'#1CCL'!P15+'#1CCL'!P16+'#1CCL'!P18+'#1CCL'!P19)+('#2CCL'!P13+'#2CCL'!P14+'#2CCL'!P15+'#2CCL'!P16+'#2CCL'!P18+'#2CCL'!P20))/('#2CCL'!P5+'#1CCL'!P5+CGL!P5+CGL!P5+CPL!P5)*1000</f>
        <v>13.519475615726289</v>
      </c>
      <c r="K18" s="3581">
        <f>((CPL!Q11+CPL!Q12+CPL!Q13)+(CRM!Q12+CRM!Q13)+(CGL!Q11+CGL!Q12+CGL!Q15+종합!O48)+('#1CCL'!Q13+'#1CCL'!Q14+'#1CCL'!Q15+'#1CCL'!Q16+'#1CCL'!Q18+'#1CCL'!Q19)+('#2CCL'!Q13+'#2CCL'!Q14+'#2CCL'!Q15+'#2CCL'!Q16+'#2CCL'!Q18+'#2CCL'!Q20))/('#2CCL'!Q5+'#1CCL'!Q5+CGL!Q5+CGL!Q5+CPL!Q5)*1000</f>
        <v>11.852368323238611</v>
      </c>
      <c r="L18" s="5569" t="e">
        <f>((CPL!R11+CPL!R12+CPL!R13)+(CRM!R12+CRM!R13)+(CGL!R11+CGL!R12+CGL!R15+종합!P48)+('#1CCL'!R13+'#1CCL'!R14+'#1CCL'!R15+'#1CCL'!R16+'#1CCL'!R18+'#1CCL'!R19)+('#2CCL'!R13+'#2CCL'!R14+'#2CCL'!R15+'#2CCL'!R16+'#2CCL'!R18+'#2CCL'!R20))/('#2CCL'!R5+'#1CCL'!R5+CGL!R5+CGL!R5+CPL!R5)*1000</f>
        <v>#DIV/0!</v>
      </c>
      <c r="M18" s="3581" t="e">
        <f>((CPL!S11+CPL!S12+CPL!S13)+(CRM!S12+CRM!S13)+(CGL!S11+CGL!S12+CGL!S15+종합!Q48)+('#1CCL'!S13+'#1CCL'!S14+'#1CCL'!S15+'#1CCL'!S16+'#1CCL'!S18+'#1CCL'!S19)+('#2CCL'!S13+'#2CCL'!S14+'#2CCL'!S15+'#2CCL'!S16+'#2CCL'!S18+'#2CCL'!S20))/('#2CCL'!S5+'#1CCL'!S5+CGL!S5+CGL!S5+CPL!S5)*1000</f>
        <v>#DIV/0!</v>
      </c>
      <c r="N18" s="5570" t="e">
        <f>((CPL!T11+CPL!T12+CPL!T13)+(CRM!T12+CRM!T13)+(CGL!T11+CGL!T12+CGL!T15+종합!R48)+('#1CCL'!T13+'#1CCL'!T14+'#1CCL'!T15+'#1CCL'!T16+'#1CCL'!T18+'#1CCL'!T19)+('#2CCL'!T13+'#2CCL'!T14+'#2CCL'!T15+'#2CCL'!T16+'#2CCL'!T18+'#2CCL'!T20))/('#2CCL'!T5+'#1CCL'!T5+CGL!T5+CGL!T5+CPL!T5)*1000</f>
        <v>#DIV/0!</v>
      </c>
      <c r="O18" s="3581" t="e">
        <f>((CPL!U11+CPL!U12+CPL!U13)+(CRM!U12+CRM!U13)+(CGL!U11+CGL!U12+CGL!U15+종합!S48)+('#1CCL'!U13+'#1CCL'!U14+'#1CCL'!U15+'#1CCL'!U16+'#1CCL'!U18+'#1CCL'!U19)+('#2CCL'!U13+'#2CCL'!U14+'#2CCL'!U15+'#2CCL'!U16+'#2CCL'!U18+'#2CCL'!U20))/('#2CCL'!U5+'#1CCL'!U5+CGL!U5+CGL!U5+CPL!U5)*1000</f>
        <v>#DIV/0!</v>
      </c>
      <c r="P18" s="5570" t="e">
        <f>((CPL!V11+CPL!V12+CPL!V13)+(CRM!V12+CRM!V13)+(CGL!V11+CGL!V12+CGL!V15+종합!T48)+('#1CCL'!V13+'#1CCL'!V14+'#1CCL'!V15+'#1CCL'!V16+'#1CCL'!V18+'#1CCL'!V19)+('#2CCL'!V13+'#2CCL'!V14+'#2CCL'!V15+'#2CCL'!V16+'#2CCL'!V18+'#2CCL'!V20))/('#2CCL'!V5+'#1CCL'!V5+CGL!V5+CGL!V5+CPL!V5)*1000</f>
        <v>#DIV/0!</v>
      </c>
      <c r="Q18" s="3581" t="e">
        <f>((CPL!W11+CPL!W12+CPL!W13)+(CRM!W12+CRM!W13)+(CGL!W11+CGL!W12+CGL!W15+종합!U48)+('#1CCL'!W13+'#1CCL'!W14+'#1CCL'!W15+'#1CCL'!W16+'#1CCL'!W18+'#1CCL'!W19)+('#2CCL'!W13+'#2CCL'!W14+'#2CCL'!W15+'#2CCL'!W16+'#2CCL'!W18+'#2CCL'!W20))/('#2CCL'!W5+'#1CCL'!W5+CGL!W5+CGL!W5+CPL!W5)*1000</f>
        <v>#DIV/0!</v>
      </c>
      <c r="R18" s="5570" t="e">
        <f>((CPL!X11+CPL!X12+CPL!X13)+(CRM!X12+CRM!X13)+(CGL!X11+CGL!X12+CGL!X15+종합!V48)+('#1CCL'!X13+'#1CCL'!X14+'#1CCL'!X15+'#1CCL'!X16+'#1CCL'!X18+'#1CCL'!X19)+('#2CCL'!X13+'#2CCL'!X14+'#2CCL'!X15+'#2CCL'!X16+'#2CCL'!X18+'#2CCL'!X20))/('#2CCL'!X5+'#1CCL'!X5+CGL!X5+CGL!X5+CPL!X5)*1000</f>
        <v>#DIV/0!</v>
      </c>
      <c r="S18" s="3581" t="e">
        <f>((CPL!Y11+CPL!Y12+CPL!Y13)+(CRM!Y12+CRM!Y13)+(CGL!Y11+CGL!Y12+CGL!Y15+종합!W48)+('#1CCL'!Y13+'#1CCL'!Y14+'#1CCL'!Y15+'#1CCL'!Y16+'#1CCL'!Y18+'#1CCL'!Y19)+('#2CCL'!Y13+'#2CCL'!Y14+'#2CCL'!Y15+'#2CCL'!Y16+'#2CCL'!Y18+'#2CCL'!Y20))/('#2CCL'!Y5+'#1CCL'!Y5+CGL!Y5+CGL!Y5+CPL!Y5)*1000</f>
        <v>#DIV/0!</v>
      </c>
      <c r="T18" s="5571" t="e">
        <f>((CPL!Z11+CPL!Z12+CPL!Z13)+(CRM!Z12+CRM!Z13)+(CGL!Z11+CGL!Z12+CGL!Z15+종합!X48)+('#1CCL'!Z13+'#1CCL'!Z14+'#1CCL'!Z15+'#1CCL'!Z16+'#1CCL'!Z18+'#1CCL'!Z19)+('#2CCL'!Z13+'#2CCL'!Z14+'#2CCL'!Z15+'#2CCL'!Z16+'#2CCL'!Z18+'#2CCL'!Z20))/('#2CCL'!Z5+'#1CCL'!Z5+CGL!Z5+CGL!Z5+CPL!Z5)*1000</f>
        <v>#DIV/0!</v>
      </c>
      <c r="U18" s="5602">
        <f>((CPL!AA11+CPL!AA12+CPL!AA13)+(CRM!AA12+CRM!AA13)+(CGL!AA11+CGL!AA12+CGL!AA15+종합!Y48)+('#1CCL'!AA13+'#1CCL'!AA14+'#1CCL'!AA15+'#1CCL'!AA16+'#1CCL'!AA18+'#1CCL'!AA19)+('#2CCL'!AA13+'#2CCL'!AA14+'#2CCL'!AA15+'#2CCL'!AA16+'#2CCL'!AA18+'#2CCL'!AA20))/('#2CCL'!AA5+'#1CCL'!AA5+CGL!AA5+CGL!AA5+CPL!AA5)*1000</f>
        <v>11.928387881050362</v>
      </c>
    </row>
    <row r="19" spans="1:21" ht="24" customHeight="1" thickBot="1">
      <c r="A19" s="3515" t="s">
        <v>1504</v>
      </c>
      <c r="B19" s="3447">
        <f>(B18+C18+D18)*1000/E18</f>
        <v>12.193218598421192</v>
      </c>
      <c r="C19" s="3448">
        <f>1-((B19/1000)*E18)/E18</f>
        <v>0.98780678140157885</v>
      </c>
      <c r="D19" s="3449"/>
      <c r="E19" s="3450"/>
      <c r="F19" s="3507"/>
      <c r="G19" s="3516">
        <f>IF(G18="측정불가","측정불가",IF(G18&lt;0.5,1,IF(G18&lt;0.65,2,IF(G18&lt;0.8,3,IF(G18&lt;0.95,4,IF(G18&gt;=0.95,5,))))))</f>
        <v>5</v>
      </c>
      <c r="H19" s="3517">
        <f>IF(H18="측정불가","측정불가",IF(H18&lt;0.5,1,IF(H18&lt;0.65,2,IF(H18&lt;0.8,3,IF(H18&lt;0.95,4,IF(H18&gt;=0.95,5,))))))</f>
        <v>5</v>
      </c>
      <c r="I19" s="3518">
        <f>IF(I18="측정불가","측정불가",IF(I18&lt;0.5,1,IF(I18&lt;0.65,2,IF(I18&lt;0.8,3,IF(I18&lt;0.95,4,IF(I18&gt;=0.95,5,))))))</f>
        <v>5</v>
      </c>
      <c r="J19" s="3516">
        <f t="shared" ref="J19:T19" si="3">IF(J18="측정불가","측정불가",IF(J18&lt;0.5,1,IF(J18&lt;0.65,2,IF(J18&lt;0.8,3,IF(J18&lt;0.95,4,IF(J18&gt;=0.95,5,))))))</f>
        <v>5</v>
      </c>
      <c r="K19" s="3516">
        <f t="shared" si="3"/>
        <v>5</v>
      </c>
      <c r="L19" s="3516" t="e">
        <f t="shared" si="3"/>
        <v>#DIV/0!</v>
      </c>
      <c r="M19" s="3516" t="e">
        <f t="shared" si="3"/>
        <v>#DIV/0!</v>
      </c>
      <c r="N19" s="3516" t="e">
        <f t="shared" si="3"/>
        <v>#DIV/0!</v>
      </c>
      <c r="O19" s="3516" t="e">
        <f t="shared" si="3"/>
        <v>#DIV/0!</v>
      </c>
      <c r="P19" s="3516" t="e">
        <f t="shared" si="3"/>
        <v>#DIV/0!</v>
      </c>
      <c r="Q19" s="3516" t="e">
        <f t="shared" si="3"/>
        <v>#DIV/0!</v>
      </c>
      <c r="R19" s="3516" t="e">
        <f t="shared" si="3"/>
        <v>#DIV/0!</v>
      </c>
      <c r="S19" s="3516" t="e">
        <f t="shared" si="3"/>
        <v>#DIV/0!</v>
      </c>
      <c r="T19" s="3516" t="e">
        <f t="shared" si="3"/>
        <v>#DIV/0!</v>
      </c>
      <c r="U19" s="5603">
        <f>IF(U18="측정불가","측정불가",IF(U18&lt;0.5,1,IF(U18&lt;0.65,2,IF(U18&lt;0.8,3,IF(U18&lt;0.95,4,IF(U18&gt;=0.95,5,))))))</f>
        <v>5</v>
      </c>
    </row>
    <row r="20" spans="1:21" ht="24" customHeight="1" thickBot="1">
      <c r="A20" s="3452" t="s">
        <v>1528</v>
      </c>
    </row>
    <row r="21" spans="1:21" ht="24" customHeight="1" thickBot="1">
      <c r="A21" s="8358" t="s">
        <v>0</v>
      </c>
      <c r="B21" s="8349" t="s">
        <v>1536</v>
      </c>
      <c r="C21" s="8360"/>
      <c r="D21" s="8360"/>
      <c r="E21" s="8349" t="s">
        <v>1529</v>
      </c>
      <c r="F21" s="8350"/>
      <c r="G21" s="8353" t="s">
        <v>1537</v>
      </c>
      <c r="H21" s="8351" t="s">
        <v>1251</v>
      </c>
      <c r="I21" s="8355" t="s">
        <v>1551</v>
      </c>
      <c r="J21" s="8356"/>
      <c r="K21" s="8356"/>
      <c r="L21" s="8356"/>
      <c r="M21" s="8356"/>
      <c r="N21" s="8356"/>
      <c r="O21" s="8356"/>
      <c r="P21" s="8356"/>
      <c r="Q21" s="8356"/>
      <c r="R21" s="8356"/>
      <c r="S21" s="8356"/>
      <c r="T21" s="8356"/>
      <c r="U21" s="8357"/>
    </row>
    <row r="22" spans="1:21" ht="24" customHeight="1" thickBot="1">
      <c r="A22" s="8359"/>
      <c r="B22" s="3669" t="s">
        <v>82</v>
      </c>
      <c r="C22" s="3669" t="s">
        <v>1530</v>
      </c>
      <c r="D22" s="3669" t="s">
        <v>1531</v>
      </c>
      <c r="E22" s="3669" t="s">
        <v>1532</v>
      </c>
      <c r="F22" s="3669" t="s">
        <v>1533</v>
      </c>
      <c r="G22" s="8354"/>
      <c r="H22" s="8352"/>
      <c r="I22" s="4651" t="s">
        <v>18</v>
      </c>
      <c r="J22" s="3670" t="s">
        <v>5</v>
      </c>
      <c r="K22" s="3670" t="s">
        <v>6</v>
      </c>
      <c r="L22" s="3670" t="s">
        <v>7</v>
      </c>
      <c r="M22" s="4649" t="s">
        <v>8</v>
      </c>
      <c r="N22" s="4649" t="s">
        <v>9</v>
      </c>
      <c r="O22" s="4649" t="s">
        <v>10</v>
      </c>
      <c r="P22" s="4649" t="s">
        <v>11</v>
      </c>
      <c r="Q22" s="4649" t="s">
        <v>12</v>
      </c>
      <c r="R22" s="4649" t="s">
        <v>13</v>
      </c>
      <c r="S22" s="4649" t="s">
        <v>14</v>
      </c>
      <c r="T22" s="4649" t="s">
        <v>15</v>
      </c>
      <c r="U22" s="5604" t="s">
        <v>194</v>
      </c>
    </row>
    <row r="23" spans="1:21" ht="24" customHeight="1">
      <c r="A23" s="3664" t="s">
        <v>27</v>
      </c>
      <c r="B23" s="3665">
        <f>283909*12/11</f>
        <v>309718.90909090912</v>
      </c>
      <c r="C23" s="3665">
        <f>430*12/11</f>
        <v>469.09090909090907</v>
      </c>
      <c r="D23" s="3665">
        <f>55*12/11</f>
        <v>60</v>
      </c>
      <c r="E23" s="3666">
        <v>422.18181818181813</v>
      </c>
      <c r="F23" s="3666">
        <v>57</v>
      </c>
      <c r="G23" s="3667">
        <f t="shared" ref="G23:G28" si="4">(C23+D23)/B23</f>
        <v>1.7082938547210546E-3</v>
      </c>
      <c r="H23" s="3668">
        <f t="shared" ref="H23:H28" si="5">(E23+F23)/B23</f>
        <v>1.5471506715179861E-3</v>
      </c>
      <c r="I23" s="5063" t="e">
        <f>(년간!F50+년간!F55)/년간!F26</f>
        <v>#DIV/0!</v>
      </c>
      <c r="J23" s="5062" t="e">
        <f>(년간!G50+년간!G55)/년간!G26</f>
        <v>#DIV/0!</v>
      </c>
      <c r="K23" s="4645">
        <f>(년간!H50+년간!H55)/년간!H26</f>
        <v>1.4405589368675046E-3</v>
      </c>
      <c r="L23" s="5062" t="e">
        <f>(년간!I50+년간!I55)/년간!I26</f>
        <v>#DIV/0!</v>
      </c>
      <c r="M23" s="4645" t="e">
        <f>(년간!J50+년간!J55)/년간!J26</f>
        <v>#DIV/0!</v>
      </c>
      <c r="N23" s="4650" t="e">
        <f>(년간!K50+년간!K55)/년간!K26</f>
        <v>#DIV/0!</v>
      </c>
      <c r="O23" s="4650" t="e">
        <f>(년간!L50+년간!L55)/년간!L26</f>
        <v>#DIV/0!</v>
      </c>
      <c r="P23" s="5060" t="e">
        <f>(년간!M50+년간!M55)/년간!M26</f>
        <v>#DIV/0!</v>
      </c>
      <c r="Q23" s="4650" t="e">
        <f>(년간!N50+년간!N55)/년간!N26</f>
        <v>#DIV/0!</v>
      </c>
      <c r="R23" s="4650" t="e">
        <f>(년간!O50+년간!O55)/년간!O26</f>
        <v>#DIV/0!</v>
      </c>
      <c r="S23" s="4650" t="e">
        <f>(년간!P50+년간!P55)/년간!P26</f>
        <v>#DIV/0!</v>
      </c>
      <c r="T23" s="4650" t="e">
        <f>(년간!Q50+년간!Q55)/년간!Q26</f>
        <v>#DIV/0!</v>
      </c>
      <c r="U23" s="5605">
        <f>(년간!V50+년간!V55)/년간!V26</f>
        <v>1.4405589368675046E-3</v>
      </c>
    </row>
    <row r="24" spans="1:21" ht="24" customHeight="1">
      <c r="A24" s="3468" t="s">
        <v>28</v>
      </c>
      <c r="B24" s="3493">
        <f>357766*12/11</f>
        <v>390290.18181818182</v>
      </c>
      <c r="C24" s="3493">
        <f>2420*12/11</f>
        <v>2640</v>
      </c>
      <c r="D24" s="3493">
        <f>845*12/11</f>
        <v>921.81818181818187</v>
      </c>
      <c r="E24" s="3494">
        <v>2508</v>
      </c>
      <c r="F24" s="3494">
        <v>829.63636363636374</v>
      </c>
      <c r="G24" s="3505">
        <f t="shared" si="4"/>
        <v>9.1260768211624353E-3</v>
      </c>
      <c r="H24" s="3538">
        <f t="shared" si="5"/>
        <v>8.5516790304277102E-3</v>
      </c>
      <c r="I24" s="5064" t="e">
        <f>(년간!F51+년간!F56)/년간!F27</f>
        <v>#DIV/0!</v>
      </c>
      <c r="J24" s="5061" t="e">
        <f>(년간!G51+년간!G56)/년간!G27</f>
        <v>#DIV/0!</v>
      </c>
      <c r="K24" s="4646">
        <f>(년간!H51+년간!H56)/년간!H27</f>
        <v>5.7975815802550935E-3</v>
      </c>
      <c r="L24" s="5061" t="e">
        <f>(년간!I51+년간!I56)/년간!I27</f>
        <v>#DIV/0!</v>
      </c>
      <c r="M24" s="4646" t="e">
        <f>(년간!J51+년간!J56)/년간!J27</f>
        <v>#DIV/0!</v>
      </c>
      <c r="N24" s="5061" t="e">
        <f>(년간!K51+년간!K56)/년간!K27</f>
        <v>#DIV/0!</v>
      </c>
      <c r="O24" s="5061" t="e">
        <f>(년간!L51+년간!L56)/년간!L27</f>
        <v>#DIV/0!</v>
      </c>
      <c r="P24" s="5061" t="e">
        <f>(년간!M51+년간!M56)/년간!M27</f>
        <v>#DIV/0!</v>
      </c>
      <c r="Q24" s="4646" t="e">
        <f>(년간!N51+년간!N56)/년간!N27</f>
        <v>#DIV/0!</v>
      </c>
      <c r="R24" s="4646" t="e">
        <f>(년간!O51+년간!O56)/년간!O27</f>
        <v>#DIV/0!</v>
      </c>
      <c r="S24" s="4646" t="e">
        <f>(년간!P51+년간!P56)/년간!P27</f>
        <v>#DIV/0!</v>
      </c>
      <c r="T24" s="4646" t="e">
        <f>(년간!Q51+년간!Q56)/년간!Q27</f>
        <v>#DIV/0!</v>
      </c>
      <c r="U24" s="5606">
        <f>(년간!V51+년간!V56)/년간!V27</f>
        <v>5.7975815802550935E-3</v>
      </c>
    </row>
    <row r="25" spans="1:21" ht="24" customHeight="1">
      <c r="A25" s="3468" t="s">
        <v>29</v>
      </c>
      <c r="B25" s="3493">
        <f>414782*12/11</f>
        <v>452489.45454545453</v>
      </c>
      <c r="C25" s="3493">
        <f>2927*12/11</f>
        <v>3193.090909090909</v>
      </c>
      <c r="D25" s="3493">
        <f>1675*12/11</f>
        <v>1827.2727272727273</v>
      </c>
      <c r="E25" s="3494">
        <v>3033.4363636363637</v>
      </c>
      <c r="F25" s="3494">
        <v>1735.909090909091</v>
      </c>
      <c r="G25" s="3505">
        <f t="shared" si="4"/>
        <v>1.1094984835407514E-2</v>
      </c>
      <c r="H25" s="3538">
        <f t="shared" si="5"/>
        <v>1.0540235593637141E-2</v>
      </c>
      <c r="I25" s="4642" t="e">
        <f>(년간!F52+년간!F57)/년간!F28</f>
        <v>#DIV/0!</v>
      </c>
      <c r="J25" s="4646" t="e">
        <f>(년간!G52+년간!G57)/년간!G28</f>
        <v>#DIV/0!</v>
      </c>
      <c r="K25" s="4646">
        <f>(년간!H52+년간!H57)/년간!H28</f>
        <v>1.578299716441068E-3</v>
      </c>
      <c r="L25" s="4646" t="e">
        <f>(년간!I52+년간!I57)/년간!I28</f>
        <v>#DIV/0!</v>
      </c>
      <c r="M25" s="4646" t="e">
        <f>(년간!J52+년간!J57)/년간!J28</f>
        <v>#DIV/0!</v>
      </c>
      <c r="N25" s="4646" t="e">
        <f>(년간!K52+년간!K57)/년간!K28</f>
        <v>#DIV/0!</v>
      </c>
      <c r="O25" s="4646" t="e">
        <f>(년간!L52+년간!L57)/년간!L28</f>
        <v>#DIV/0!</v>
      </c>
      <c r="P25" s="5061" t="e">
        <f>(년간!M52+년간!M57)/년간!M28</f>
        <v>#DIV/0!</v>
      </c>
      <c r="Q25" s="4646" t="e">
        <f>(년간!N52+년간!N57)/년간!N28</f>
        <v>#DIV/0!</v>
      </c>
      <c r="R25" s="4646" t="e">
        <f>(년간!O52+년간!O57)/년간!O28</f>
        <v>#DIV/0!</v>
      </c>
      <c r="S25" s="4646" t="e">
        <f>(년간!P52+년간!P57)/년간!P28</f>
        <v>#DIV/0!</v>
      </c>
      <c r="T25" s="4646" t="e">
        <f>(년간!Q52+년간!Q57)/년간!Q28</f>
        <v>#DIV/0!</v>
      </c>
      <c r="U25" s="5607">
        <f>(년간!V52+년간!V57)/년간!V28</f>
        <v>1.578299716441068E-3</v>
      </c>
    </row>
    <row r="26" spans="1:21" ht="24" customHeight="1">
      <c r="A26" s="3468" t="s">
        <v>501</v>
      </c>
      <c r="B26" s="3493">
        <f>413545*12/11</f>
        <v>451140</v>
      </c>
      <c r="C26" s="3493">
        <f>959*12/11</f>
        <v>1046.1818181818182</v>
      </c>
      <c r="D26" s="3493">
        <f>467*12/11</f>
        <v>509.45454545454544</v>
      </c>
      <c r="E26" s="3494">
        <v>941.56363636363642</v>
      </c>
      <c r="F26" s="3494">
        <v>458.5090909090909</v>
      </c>
      <c r="G26" s="3505">
        <f t="shared" si="4"/>
        <v>3.4482341704046718E-3</v>
      </c>
      <c r="H26" s="3538">
        <f t="shared" si="5"/>
        <v>3.1034107533642044E-3</v>
      </c>
      <c r="I26" s="4642">
        <f>(년간!F53+년간!F58)/년간!F29</f>
        <v>1.6650808753568031E-3</v>
      </c>
      <c r="J26" s="4646">
        <f>(년간!G53+년간!G58)/년간!G29</f>
        <v>8.9194699286442405E-4</v>
      </c>
      <c r="K26" s="4646">
        <f>(년간!H53+년간!H58)/년간!H29</f>
        <v>6.1728395061728392E-3</v>
      </c>
      <c r="L26" s="5061" t="e">
        <f>(년간!I53+년간!I58)/년간!I29</f>
        <v>#DIV/0!</v>
      </c>
      <c r="M26" s="5061" t="e">
        <f>(년간!J53+년간!J58)/년간!J29</f>
        <v>#DIV/0!</v>
      </c>
      <c r="N26" s="4646" t="e">
        <f>(년간!K53+년간!K58)/년간!K29</f>
        <v>#DIV/0!</v>
      </c>
      <c r="O26" s="4646" t="e">
        <f>(년간!L53+년간!L58)/년간!L29</f>
        <v>#DIV/0!</v>
      </c>
      <c r="P26" s="4646" t="e">
        <f>(년간!M53+년간!M58)/년간!M29</f>
        <v>#DIV/0!</v>
      </c>
      <c r="Q26" s="4646" t="e">
        <f>(년간!N53+년간!N58)/년간!N29</f>
        <v>#DIV/0!</v>
      </c>
      <c r="R26" s="4646" t="e">
        <f>(년간!O53+년간!O58)/년간!O29</f>
        <v>#DIV/0!</v>
      </c>
      <c r="S26" s="4646" t="e">
        <f>(년간!P53+년간!P58)/년간!P29</f>
        <v>#DIV/0!</v>
      </c>
      <c r="T26" s="4646" t="e">
        <f>(년간!Q53+년간!Q58)/년간!Q29</f>
        <v>#DIV/0!</v>
      </c>
      <c r="U26" s="5607">
        <f>(년간!V53+년간!V58)/년간!V29</f>
        <v>2.9995200767877141E-3</v>
      </c>
    </row>
    <row r="27" spans="1:21" ht="24" customHeight="1">
      <c r="A27" s="3468" t="s">
        <v>1534</v>
      </c>
      <c r="B27" s="3493">
        <f>412771*12/11</f>
        <v>450295.63636363635</v>
      </c>
      <c r="C27" s="3493">
        <f>534*12/11</f>
        <v>582.5454545454545</v>
      </c>
      <c r="D27" s="3493">
        <f>201*12/11</f>
        <v>219.27272727272728</v>
      </c>
      <c r="E27" s="3494">
        <v>524.29090909090905</v>
      </c>
      <c r="F27" s="3494">
        <v>208.30909090909091</v>
      </c>
      <c r="G27" s="3505">
        <f t="shared" si="4"/>
        <v>1.7806483498113966E-3</v>
      </c>
      <c r="H27" s="3538">
        <f t="shared" si="5"/>
        <v>1.6269311555317596E-3</v>
      </c>
      <c r="I27" s="4642">
        <f>(년간!F54+년간!F59)/년간!F30</f>
        <v>0</v>
      </c>
      <c r="J27" s="4646">
        <f>(년간!G54+년간!G59)/년간!G30</f>
        <v>0</v>
      </c>
      <c r="K27" s="4646">
        <f>(년간!H54+년간!H59)/년간!H30</f>
        <v>3.2263268269075657E-3</v>
      </c>
      <c r="L27" s="4646" t="e">
        <f>(년간!I54+년간!I59)/년간!I30</f>
        <v>#DIV/0!</v>
      </c>
      <c r="M27" s="5061" t="e">
        <f>(년간!J54+년간!J59)/년간!J30</f>
        <v>#DIV/0!</v>
      </c>
      <c r="N27" s="4646" t="e">
        <f>(년간!K54+년간!K59)/년간!K30</f>
        <v>#DIV/0!</v>
      </c>
      <c r="O27" s="4646" t="e">
        <f>(년간!L54+년간!L59)/년간!L30</f>
        <v>#DIV/0!</v>
      </c>
      <c r="P27" s="4646" t="e">
        <f>(년간!M54+년간!M59)/년간!M30</f>
        <v>#DIV/0!</v>
      </c>
      <c r="Q27" s="4646" t="e">
        <f>(년간!N54+년간!N59)/년간!N30</f>
        <v>#DIV/0!</v>
      </c>
      <c r="R27" s="4646" t="e">
        <f>(년간!O54+년간!O59)/년간!O30</f>
        <v>#DIV/0!</v>
      </c>
      <c r="S27" s="4646" t="e">
        <f>(년간!P54+년간!P59)/년간!P30</f>
        <v>#DIV/0!</v>
      </c>
      <c r="T27" s="4646" t="e">
        <f>(년간!Q54+년간!Q59)/년간!Q30</f>
        <v>#DIV/0!</v>
      </c>
      <c r="U27" s="5607">
        <f>(년간!V54+년간!V59)/년간!V30</f>
        <v>1.1431837667905116E-3</v>
      </c>
    </row>
    <row r="28" spans="1:21" ht="24" customHeight="1">
      <c r="A28" s="3598" t="s">
        <v>1535</v>
      </c>
      <c r="B28" s="3504">
        <f>SUM(B23:B27)</f>
        <v>2053934.1818181816</v>
      </c>
      <c r="C28" s="3504">
        <f>SUM(C23:C27)</f>
        <v>7930.9090909090901</v>
      </c>
      <c r="D28" s="3504">
        <f>SUM(D23:D27)</f>
        <v>3537.818181818182</v>
      </c>
      <c r="E28" s="3504">
        <v>7429.4727272727268</v>
      </c>
      <c r="F28" s="3504">
        <v>3289.3636363636369</v>
      </c>
      <c r="G28" s="3505">
        <f t="shared" si="4"/>
        <v>5.5837851934354274E-3</v>
      </c>
      <c r="H28" s="3538">
        <f t="shared" si="5"/>
        <v>5.2186854177322505E-3</v>
      </c>
      <c r="I28" s="4643">
        <f>SUM(년간!F50:F59)/SUM(년간!F26:F30)</f>
        <v>8.4223698142265853E-4</v>
      </c>
      <c r="J28" s="4647">
        <f>SUM(년간!G50:G59)/SUM(년간!G26:G30)</f>
        <v>4.5313309166235109E-4</v>
      </c>
      <c r="K28" s="4647">
        <f>SUM(년간!H50:H59)/SUM(년간!H26:H30)</f>
        <v>3.7486230386864472E-3</v>
      </c>
      <c r="L28" s="4647" t="e">
        <f>SUM(년간!I50:I59)/SUM(년간!I26:I30)</f>
        <v>#DIV/0!</v>
      </c>
      <c r="M28" s="4647" t="e">
        <f>SUM(년간!J50:J59)/SUM(년간!J26:J30)</f>
        <v>#DIV/0!</v>
      </c>
      <c r="N28" s="4647" t="e">
        <f>SUM(년간!K50:K59)/SUM(년간!K26:K30)</f>
        <v>#DIV/0!</v>
      </c>
      <c r="O28" s="4647" t="e">
        <f>SUM(년간!L50:L59)/SUM(년간!L26:L30)</f>
        <v>#DIV/0!</v>
      </c>
      <c r="P28" s="5057" t="e">
        <f>SUM(년간!M50:M59)/SUM(년간!M26:M30)</f>
        <v>#DIV/0!</v>
      </c>
      <c r="Q28" s="5057" t="e">
        <f>SUM(년간!N50:N59)/SUM(년간!N26:N30)</f>
        <v>#DIV/0!</v>
      </c>
      <c r="R28" s="4647" t="e">
        <f>SUM(년간!O50:O59)/SUM(년간!O26:O30)</f>
        <v>#DIV/0!</v>
      </c>
      <c r="S28" s="4647" t="e">
        <f>SUM(년간!P50:P59)/SUM(년간!P26:P30)</f>
        <v>#DIV/0!</v>
      </c>
      <c r="T28" s="4647" t="e">
        <f>SUM(년간!Q50:Q59)/SUM(년간!Q26:Q30)</f>
        <v>#DIV/0!</v>
      </c>
      <c r="U28" s="5608">
        <f>SUM(년간!V50:V59)/SUM(년간!V26:V30)</f>
        <v>2.3015060425472336E-3</v>
      </c>
    </row>
    <row r="29" spans="1:21" ht="24" customHeight="1" thickBot="1">
      <c r="A29" s="3599" t="s">
        <v>1504</v>
      </c>
      <c r="B29" s="3495"/>
      <c r="C29" s="3496"/>
      <c r="D29" s="3496"/>
      <c r="E29" s="3495"/>
      <c r="F29" s="3495"/>
      <c r="G29" s="3497">
        <f>IF(G28="측정불가","측정불가",IF(G28&gt;0.5,1,IF(G28&gt;0.65,2,IF(G28&gt;0.75,3,IF(G28&gt;=0.85,4,IF(G28&lt;0.85,5,))))))</f>
        <v>5</v>
      </c>
      <c r="H29" s="3498">
        <f>IF(H28="측정불가","측정불가",IF(H28&gt;0.5,1,IF(H28&gt;0.65,2,IF(H28&gt;0.75,3,IF(H28&gt;=0.85,4,IF(H28&lt;0.85,5,))))))</f>
        <v>5</v>
      </c>
      <c r="I29" s="4644">
        <f>IF(I28="측정불가","측정불가",IF(I28&gt;0.5,1,IF(I28&gt;0.65,2,IF(I28&gt;0.75,3,IF(I28&gt;=0.85,4,IF(I28&lt;0.85,5,))))))</f>
        <v>5</v>
      </c>
      <c r="J29" s="4648">
        <f t="shared" ref="J29:U29" si="6">IF(J28="측정불가","측정불가",IF(J28&gt;0.5,1,IF(J28&gt;0.65,2,IF(J28&gt;0.75,3,IF(J28&gt;=0.85,4,IF(J28&lt;0.85,5,))))))</f>
        <v>5</v>
      </c>
      <c r="K29" s="4648">
        <f t="shared" si="6"/>
        <v>5</v>
      </c>
      <c r="L29" s="4648" t="e">
        <f t="shared" si="6"/>
        <v>#DIV/0!</v>
      </c>
      <c r="M29" s="4648" t="e">
        <f t="shared" si="6"/>
        <v>#DIV/0!</v>
      </c>
      <c r="N29" s="4648" t="e">
        <f t="shared" si="6"/>
        <v>#DIV/0!</v>
      </c>
      <c r="O29" s="4648" t="e">
        <f t="shared" si="6"/>
        <v>#DIV/0!</v>
      </c>
      <c r="P29" s="4648" t="e">
        <f t="shared" si="6"/>
        <v>#DIV/0!</v>
      </c>
      <c r="Q29" s="4648" t="e">
        <f t="shared" si="6"/>
        <v>#DIV/0!</v>
      </c>
      <c r="R29" s="4648" t="e">
        <f t="shared" si="6"/>
        <v>#DIV/0!</v>
      </c>
      <c r="S29" s="4648" t="e">
        <f t="shared" si="6"/>
        <v>#DIV/0!</v>
      </c>
      <c r="T29" s="4648" t="e">
        <f t="shared" si="6"/>
        <v>#DIV/0!</v>
      </c>
      <c r="U29" s="5609">
        <f t="shared" si="6"/>
        <v>5</v>
      </c>
    </row>
    <row r="30" spans="1:21" ht="24" customHeight="1" thickBot="1">
      <c r="A30" s="3452" t="s">
        <v>1514</v>
      </c>
      <c r="G30" s="4543">
        <f>G33*12</f>
        <v>404490588.19834709</v>
      </c>
      <c r="H30" s="4542">
        <f>H33*12</f>
        <v>324217171.12363642</v>
      </c>
      <c r="I30" s="4544">
        <f>H34*12</f>
        <v>302990016.87272733</v>
      </c>
      <c r="J30" s="4544">
        <f>G34*12</f>
        <v>378737521.09090912</v>
      </c>
    </row>
    <row r="31" spans="1:21" ht="24" customHeight="1" thickBot="1">
      <c r="A31" s="8361" t="s">
        <v>0</v>
      </c>
      <c r="B31" s="3592"/>
      <c r="C31" s="3592"/>
      <c r="D31" s="3592"/>
      <c r="E31" s="3592"/>
      <c r="F31" s="3592"/>
      <c r="G31" s="8400" t="s">
        <v>1526</v>
      </c>
      <c r="H31" s="8399" t="s">
        <v>1527</v>
      </c>
      <c r="I31" s="8391" t="s">
        <v>1550</v>
      </c>
      <c r="J31" s="8392"/>
      <c r="K31" s="8392"/>
      <c r="L31" s="8392"/>
      <c r="M31" s="8392"/>
      <c r="N31" s="8392"/>
      <c r="O31" s="8392"/>
      <c r="P31" s="8392"/>
      <c r="Q31" s="8392"/>
      <c r="R31" s="8392"/>
      <c r="S31" s="8392"/>
      <c r="T31" s="8392"/>
      <c r="U31" s="8393"/>
    </row>
    <row r="32" spans="1:21" ht="24" customHeight="1" thickBot="1">
      <c r="A32" s="8362"/>
      <c r="B32" s="3660" t="s">
        <v>1511</v>
      </c>
      <c r="C32" s="3660" t="s">
        <v>1512</v>
      </c>
      <c r="D32" s="3661" t="s">
        <v>1244</v>
      </c>
      <c r="E32" s="3662"/>
      <c r="F32" s="3662"/>
      <c r="G32" s="8401"/>
      <c r="H32" s="7696"/>
      <c r="I32" s="3582" t="s">
        <v>18</v>
      </c>
      <c r="J32" s="3663" t="s">
        <v>5</v>
      </c>
      <c r="K32" s="3663" t="s">
        <v>6</v>
      </c>
      <c r="L32" s="3663" t="s">
        <v>7</v>
      </c>
      <c r="M32" s="3663" t="s">
        <v>8</v>
      </c>
      <c r="N32" s="3663" t="s">
        <v>9</v>
      </c>
      <c r="O32" s="3663" t="s">
        <v>10</v>
      </c>
      <c r="P32" s="3663" t="s">
        <v>11</v>
      </c>
      <c r="Q32" s="3663" t="s">
        <v>12</v>
      </c>
      <c r="R32" s="3663" t="s">
        <v>13</v>
      </c>
      <c r="S32" s="3663" t="s">
        <v>14</v>
      </c>
      <c r="T32" s="5610" t="s">
        <v>15</v>
      </c>
      <c r="U32" s="5618" t="s">
        <v>194</v>
      </c>
    </row>
    <row r="33" spans="1:25" ht="24" customHeight="1">
      <c r="A33" s="3655" t="s">
        <v>1268</v>
      </c>
      <c r="B33" s="3656">
        <v>404490588.19834715</v>
      </c>
      <c r="C33" s="8371" t="s">
        <v>1269</v>
      </c>
      <c r="D33" s="3657">
        <v>324217171.12363642</v>
      </c>
      <c r="E33" s="3506"/>
      <c r="F33" s="3506"/>
      <c r="G33" s="3658">
        <f>B33/12</f>
        <v>33707549.016528927</v>
      </c>
      <c r="H33" s="3659">
        <f>D33/12</f>
        <v>27018097.593636367</v>
      </c>
      <c r="I33" s="4389">
        <f>I34+I39</f>
        <v>10087200</v>
      </c>
      <c r="J33" s="4162">
        <f>J34+J39</f>
        <v>885250</v>
      </c>
      <c r="K33" s="4390">
        <f>K34+K39</f>
        <v>909500</v>
      </c>
      <c r="L33" s="4390">
        <f>L34+L39</f>
        <v>0</v>
      </c>
      <c r="M33" s="4390">
        <f t="shared" ref="M33:T33" si="7">M34+M39</f>
        <v>0</v>
      </c>
      <c r="N33" s="4390">
        <f t="shared" si="7"/>
        <v>0</v>
      </c>
      <c r="O33" s="4390">
        <f t="shared" si="7"/>
        <v>0</v>
      </c>
      <c r="P33" s="4390">
        <f t="shared" si="7"/>
        <v>0</v>
      </c>
      <c r="Q33" s="4390">
        <f t="shared" si="7"/>
        <v>0</v>
      </c>
      <c r="R33" s="4390">
        <f t="shared" si="7"/>
        <v>0</v>
      </c>
      <c r="S33" s="4390">
        <f t="shared" si="7"/>
        <v>0</v>
      </c>
      <c r="T33" s="5611">
        <f t="shared" si="7"/>
        <v>0</v>
      </c>
      <c r="U33" s="5619">
        <f>SUM(I33:T33)</f>
        <v>11881950</v>
      </c>
    </row>
    <row r="34" spans="1:25" ht="24" customHeight="1">
      <c r="A34" s="3593" t="s">
        <v>1270</v>
      </c>
      <c r="B34" s="3444">
        <v>378737521.09090912</v>
      </c>
      <c r="C34" s="8371"/>
      <c r="D34" s="3453">
        <v>302990016.87272733</v>
      </c>
      <c r="E34" s="3506"/>
      <c r="F34" s="3506"/>
      <c r="G34" s="3583">
        <f t="shared" ref="G34:G43" si="8">B34/12</f>
        <v>31561460.090909094</v>
      </c>
      <c r="H34" s="3606">
        <f t="shared" ref="H34:H43" si="9">D34/12</f>
        <v>25249168.072727278</v>
      </c>
      <c r="I34" s="4387">
        <f t="shared" ref="I34:U34" si="10">SUM(I35:I38)</f>
        <v>8900000</v>
      </c>
      <c r="J34" s="4388">
        <f t="shared" si="10"/>
        <v>0</v>
      </c>
      <c r="K34" s="4388">
        <f t="shared" si="10"/>
        <v>0</v>
      </c>
      <c r="L34" s="4603">
        <f t="shared" si="10"/>
        <v>0</v>
      </c>
      <c r="M34" s="4603">
        <f t="shared" si="10"/>
        <v>0</v>
      </c>
      <c r="N34" s="4603">
        <f t="shared" si="10"/>
        <v>0</v>
      </c>
      <c r="O34" s="4603">
        <f t="shared" si="10"/>
        <v>0</v>
      </c>
      <c r="P34" s="4603">
        <f t="shared" si="10"/>
        <v>0</v>
      </c>
      <c r="Q34" s="4603">
        <f t="shared" si="10"/>
        <v>0</v>
      </c>
      <c r="R34" s="4603">
        <f t="shared" si="10"/>
        <v>0</v>
      </c>
      <c r="S34" s="4603">
        <f t="shared" si="10"/>
        <v>0</v>
      </c>
      <c r="T34" s="5612">
        <f t="shared" si="10"/>
        <v>0</v>
      </c>
      <c r="U34" s="5620">
        <f t="shared" si="10"/>
        <v>8900000</v>
      </c>
    </row>
    <row r="35" spans="1:25" ht="24" customHeight="1">
      <c r="A35" s="3593" t="s">
        <v>1271</v>
      </c>
      <c r="B35" s="3454">
        <v>482667.27272727271</v>
      </c>
      <c r="C35" s="8371"/>
      <c r="D35" s="3455">
        <v>241333.63636363635</v>
      </c>
      <c r="E35" s="3506"/>
      <c r="F35" s="3506"/>
      <c r="G35" s="3583">
        <f t="shared" si="8"/>
        <v>40222.272727272728</v>
      </c>
      <c r="H35" s="3606">
        <f t="shared" si="9"/>
        <v>20111.136363636364</v>
      </c>
      <c r="I35" s="3611">
        <v>2400000</v>
      </c>
      <c r="J35" s="4164">
        <v>0</v>
      </c>
      <c r="K35" s="4164">
        <v>0</v>
      </c>
      <c r="L35" s="4601">
        <f>종합!BO212</f>
        <v>0</v>
      </c>
      <c r="M35" s="4601">
        <f>종합!BP212</f>
        <v>0</v>
      </c>
      <c r="N35" s="4601">
        <f>종합!BQ212</f>
        <v>0</v>
      </c>
      <c r="O35" s="4601">
        <f>종합!BR212</f>
        <v>0</v>
      </c>
      <c r="P35" s="4601">
        <f>종합!BS212</f>
        <v>0</v>
      </c>
      <c r="Q35" s="4601">
        <f>종합!BT212</f>
        <v>0</v>
      </c>
      <c r="R35" s="4601">
        <f>종합!BU212</f>
        <v>0</v>
      </c>
      <c r="S35" s="4601">
        <f>종합!BV212</f>
        <v>0</v>
      </c>
      <c r="T35" s="5613">
        <f>종합!BW212</f>
        <v>0</v>
      </c>
      <c r="U35" s="5620">
        <f t="shared" ref="U35:U42" si="11">SUM(I35:T35)</f>
        <v>2400000</v>
      </c>
    </row>
    <row r="36" spans="1:25" ht="24" customHeight="1">
      <c r="A36" s="3593" t="s">
        <v>1272</v>
      </c>
      <c r="B36" s="3454">
        <v>2235946.9090909092</v>
      </c>
      <c r="C36" s="8371"/>
      <c r="D36" s="3455">
        <v>1609881.7745454544</v>
      </c>
      <c r="E36" s="3506"/>
      <c r="F36" s="3506"/>
      <c r="G36" s="3583">
        <f t="shared" si="8"/>
        <v>186328.90909090909</v>
      </c>
      <c r="H36" s="3606">
        <f t="shared" si="9"/>
        <v>134156.81454545454</v>
      </c>
      <c r="I36" s="3611">
        <v>0</v>
      </c>
      <c r="J36" s="4164">
        <v>0</v>
      </c>
      <c r="K36" s="4164">
        <v>0</v>
      </c>
      <c r="L36" s="4601">
        <f>종합!BO213</f>
        <v>0</v>
      </c>
      <c r="M36" s="4601">
        <f>종합!BP213</f>
        <v>0</v>
      </c>
      <c r="N36" s="4601">
        <f>종합!BQ213</f>
        <v>0</v>
      </c>
      <c r="O36" s="4601">
        <f>종합!BR213</f>
        <v>0</v>
      </c>
      <c r="P36" s="4601">
        <f>종합!BS213</f>
        <v>0</v>
      </c>
      <c r="Q36" s="4601">
        <f>종합!BT213</f>
        <v>0</v>
      </c>
      <c r="R36" s="4601">
        <f>종합!BU213</f>
        <v>0</v>
      </c>
      <c r="S36" s="4601">
        <f>종합!BV213</f>
        <v>0</v>
      </c>
      <c r="T36" s="5613">
        <f>종합!BW213</f>
        <v>0</v>
      </c>
      <c r="U36" s="5620">
        <f t="shared" si="11"/>
        <v>0</v>
      </c>
    </row>
    <row r="37" spans="1:25" ht="24" customHeight="1">
      <c r="A37" s="3593" t="s">
        <v>1273</v>
      </c>
      <c r="B37" s="3454">
        <v>283457454.54545456</v>
      </c>
      <c r="C37" s="8371"/>
      <c r="D37" s="3455">
        <v>248025272.72727275</v>
      </c>
      <c r="E37" s="3506"/>
      <c r="F37" s="3506"/>
      <c r="G37" s="3583">
        <f t="shared" si="8"/>
        <v>23621454.545454547</v>
      </c>
      <c r="H37" s="3606">
        <f t="shared" si="9"/>
        <v>20668772.72727273</v>
      </c>
      <c r="I37" s="3611">
        <f>5000*1300</f>
        <v>6500000</v>
      </c>
      <c r="J37" s="4164">
        <v>0</v>
      </c>
      <c r="K37" s="4164">
        <v>0</v>
      </c>
      <c r="L37" s="4601">
        <f>종합!BO214</f>
        <v>0</v>
      </c>
      <c r="M37" s="4601">
        <f>종합!BP214</f>
        <v>0</v>
      </c>
      <c r="N37" s="4601">
        <f>종합!BQ214</f>
        <v>0</v>
      </c>
      <c r="O37" s="4601">
        <f>종합!BR214</f>
        <v>0</v>
      </c>
      <c r="P37" s="4601">
        <f>종합!BS214</f>
        <v>0</v>
      </c>
      <c r="Q37" s="4601">
        <f>종합!BT214</f>
        <v>0</v>
      </c>
      <c r="R37" s="4601">
        <f>종합!BU214</f>
        <v>0</v>
      </c>
      <c r="S37" s="4601">
        <f>종합!BV214</f>
        <v>0</v>
      </c>
      <c r="T37" s="5613">
        <f>종합!BW214</f>
        <v>0</v>
      </c>
      <c r="U37" s="5620">
        <f t="shared" si="11"/>
        <v>6500000</v>
      </c>
    </row>
    <row r="38" spans="1:25" ht="24" customHeight="1">
      <c r="A38" s="3593" t="s">
        <v>1274</v>
      </c>
      <c r="B38" s="3454">
        <v>92561452.36363636</v>
      </c>
      <c r="C38" s="8371"/>
      <c r="D38" s="3455">
        <v>87007765.221818179</v>
      </c>
      <c r="E38" s="3506"/>
      <c r="F38" s="3506"/>
      <c r="G38" s="3583">
        <f t="shared" si="8"/>
        <v>7713454.3636363633</v>
      </c>
      <c r="H38" s="3606">
        <f t="shared" si="9"/>
        <v>7250647.1018181816</v>
      </c>
      <c r="I38" s="3611">
        <v>0</v>
      </c>
      <c r="J38" s="4164">
        <v>0</v>
      </c>
      <c r="K38" s="4164">
        <v>0</v>
      </c>
      <c r="L38" s="4601">
        <f>종합!BO215</f>
        <v>0</v>
      </c>
      <c r="M38" s="4601">
        <f>종합!BP215</f>
        <v>0</v>
      </c>
      <c r="N38" s="4601">
        <f>종합!BQ215</f>
        <v>0</v>
      </c>
      <c r="O38" s="4601">
        <f>종합!BR215</f>
        <v>0</v>
      </c>
      <c r="P38" s="4601">
        <f>종합!BS215</f>
        <v>0</v>
      </c>
      <c r="Q38" s="4601">
        <f>종합!BT215</f>
        <v>0</v>
      </c>
      <c r="R38" s="4601">
        <f>종합!BU215</f>
        <v>0</v>
      </c>
      <c r="S38" s="4601">
        <f>종합!BV215</f>
        <v>0</v>
      </c>
      <c r="T38" s="5613">
        <f>종합!BW215</f>
        <v>0</v>
      </c>
      <c r="U38" s="5620">
        <f t="shared" si="11"/>
        <v>0</v>
      </c>
    </row>
    <row r="39" spans="1:25" ht="24" customHeight="1">
      <c r="A39" s="3593" t="s">
        <v>1275</v>
      </c>
      <c r="B39" s="3444">
        <v>25753067.107438013</v>
      </c>
      <c r="C39" s="8371"/>
      <c r="D39" s="3456">
        <v>21227154.25090909</v>
      </c>
      <c r="E39" s="3506"/>
      <c r="F39" s="3506"/>
      <c r="G39" s="3583">
        <f t="shared" si="8"/>
        <v>2146088.9256198346</v>
      </c>
      <c r="H39" s="3606">
        <f t="shared" si="9"/>
        <v>1768929.5209090908</v>
      </c>
      <c r="I39" s="4387">
        <f>SUM(I40:I42)</f>
        <v>1187200</v>
      </c>
      <c r="J39" s="4388">
        <f>SUM(J40:J42)</f>
        <v>885250</v>
      </c>
      <c r="K39" s="4388">
        <f>SUM(K40:K42)</f>
        <v>909500</v>
      </c>
      <c r="L39" s="4388">
        <f>SUM(L40:L42)</f>
        <v>0</v>
      </c>
      <c r="M39" s="4388">
        <f t="shared" ref="M39:T39" si="12">SUM(M40:M42)</f>
        <v>0</v>
      </c>
      <c r="N39" s="4388">
        <f t="shared" si="12"/>
        <v>0</v>
      </c>
      <c r="O39" s="4388">
        <f t="shared" si="12"/>
        <v>0</v>
      </c>
      <c r="P39" s="4388">
        <f t="shared" si="12"/>
        <v>0</v>
      </c>
      <c r="Q39" s="4388">
        <f t="shared" si="12"/>
        <v>0</v>
      </c>
      <c r="R39" s="4388">
        <f t="shared" si="12"/>
        <v>0</v>
      </c>
      <c r="S39" s="4388">
        <f t="shared" si="12"/>
        <v>0</v>
      </c>
      <c r="T39" s="5614">
        <f t="shared" si="12"/>
        <v>0</v>
      </c>
      <c r="U39" s="5620">
        <f>SUM(U40:U42)</f>
        <v>2981950</v>
      </c>
    </row>
    <row r="40" spans="1:25" ht="24" customHeight="1">
      <c r="A40" s="3593" t="s">
        <v>1276</v>
      </c>
      <c r="B40" s="3454">
        <v>4625018.1818181816</v>
      </c>
      <c r="C40" s="8371"/>
      <c r="D40" s="3455">
        <v>4278141.8181818184</v>
      </c>
      <c r="E40" s="3506"/>
      <c r="F40" s="3506"/>
      <c r="G40" s="3583">
        <f t="shared" si="8"/>
        <v>385418.18181818182</v>
      </c>
      <c r="H40" s="3606">
        <f t="shared" si="9"/>
        <v>356511.81818181818</v>
      </c>
      <c r="I40" s="3611">
        <v>937500</v>
      </c>
      <c r="J40" s="4164">
        <v>416750</v>
      </c>
      <c r="K40" s="4164">
        <v>625500</v>
      </c>
      <c r="L40" s="4602">
        <f>종합!BO230</f>
        <v>0</v>
      </c>
      <c r="M40" s="4602">
        <f>종합!BP230</f>
        <v>0</v>
      </c>
      <c r="N40" s="4602">
        <f>종합!BQ230</f>
        <v>0</v>
      </c>
      <c r="O40" s="4602">
        <f>종합!BR230</f>
        <v>0</v>
      </c>
      <c r="P40" s="4602">
        <f>종합!BS230</f>
        <v>0</v>
      </c>
      <c r="Q40" s="4602">
        <f>종합!BT230</f>
        <v>0</v>
      </c>
      <c r="R40" s="4602">
        <f>종합!BU230</f>
        <v>0</v>
      </c>
      <c r="S40" s="4602">
        <f>종합!BV230</f>
        <v>0</v>
      </c>
      <c r="T40" s="5615">
        <f>종합!BW230</f>
        <v>0</v>
      </c>
      <c r="U40" s="5620">
        <f t="shared" si="11"/>
        <v>1979750</v>
      </c>
    </row>
    <row r="41" spans="1:25" ht="24" customHeight="1">
      <c r="A41" s="3593" t="s">
        <v>1277</v>
      </c>
      <c r="B41" s="3454">
        <v>5506803.2727272725</v>
      </c>
      <c r="C41" s="8371"/>
      <c r="D41" s="3455">
        <v>4956122.9454545453</v>
      </c>
      <c r="E41" s="3506"/>
      <c r="F41" s="3506"/>
      <c r="G41" s="3583">
        <f t="shared" si="8"/>
        <v>458900.27272727271</v>
      </c>
      <c r="H41" s="3606">
        <f t="shared" si="9"/>
        <v>413010.24545454542</v>
      </c>
      <c r="I41" s="3611">
        <v>0</v>
      </c>
      <c r="J41" s="4164">
        <v>0</v>
      </c>
      <c r="K41" s="4164">
        <v>284000</v>
      </c>
      <c r="L41" s="4602">
        <f>종합!BO231</f>
        <v>0</v>
      </c>
      <c r="M41" s="4602">
        <f>종합!BP231</f>
        <v>0</v>
      </c>
      <c r="N41" s="4602">
        <f>종합!BQ231</f>
        <v>0</v>
      </c>
      <c r="O41" s="4602">
        <f>종합!BR231</f>
        <v>0</v>
      </c>
      <c r="P41" s="4602">
        <f>종합!BS231</f>
        <v>0</v>
      </c>
      <c r="Q41" s="4602">
        <f>종합!BT231</f>
        <v>0</v>
      </c>
      <c r="R41" s="4602">
        <f>종합!BU231</f>
        <v>0</v>
      </c>
      <c r="S41" s="4602">
        <f>종합!BV231</f>
        <v>0</v>
      </c>
      <c r="T41" s="5615">
        <f>종합!BW231</f>
        <v>0</v>
      </c>
      <c r="U41" s="5620">
        <f t="shared" si="11"/>
        <v>284000</v>
      </c>
    </row>
    <row r="42" spans="1:25" ht="24" customHeight="1" thickBot="1">
      <c r="A42" s="3594" t="s">
        <v>1278</v>
      </c>
      <c r="B42" s="3584">
        <v>13475156.727272727</v>
      </c>
      <c r="C42" s="8372"/>
      <c r="D42" s="3585">
        <v>11992889.487272728</v>
      </c>
      <c r="E42" s="3506"/>
      <c r="F42" s="3506"/>
      <c r="G42" s="3586">
        <f t="shared" si="8"/>
        <v>1122929.7272727273</v>
      </c>
      <c r="H42" s="3607">
        <f t="shared" si="9"/>
        <v>999407.45727272739</v>
      </c>
      <c r="I42" s="4391">
        <v>249700</v>
      </c>
      <c r="J42" s="4392">
        <v>468500</v>
      </c>
      <c r="K42" s="4392">
        <v>0</v>
      </c>
      <c r="L42" s="4602">
        <f>종합!BO232</f>
        <v>0</v>
      </c>
      <c r="M42" s="4602">
        <f>종합!BP232</f>
        <v>0</v>
      </c>
      <c r="N42" s="4602">
        <f>종합!BQ232</f>
        <v>0</v>
      </c>
      <c r="O42" s="4602">
        <f>종합!BR232</f>
        <v>0</v>
      </c>
      <c r="P42" s="4602">
        <f>종합!BS232</f>
        <v>0</v>
      </c>
      <c r="Q42" s="4602">
        <f>종합!BT232</f>
        <v>0</v>
      </c>
      <c r="R42" s="4602">
        <f>종합!BU232</f>
        <v>0</v>
      </c>
      <c r="S42" s="4602">
        <f>종합!BV232</f>
        <v>0</v>
      </c>
      <c r="T42" s="5615">
        <f>종합!BW232</f>
        <v>0</v>
      </c>
      <c r="U42" s="5621">
        <f t="shared" si="11"/>
        <v>718200</v>
      </c>
    </row>
    <row r="43" spans="1:25" ht="24" customHeight="1">
      <c r="A43" s="3587" t="s">
        <v>1285</v>
      </c>
      <c r="B43" s="3588">
        <v>374600000000</v>
      </c>
      <c r="C43" s="3589"/>
      <c r="D43" s="3590">
        <v>367669420000</v>
      </c>
      <c r="E43" s="3508"/>
      <c r="F43" s="3508"/>
      <c r="G43" s="3591">
        <f t="shared" si="8"/>
        <v>31216666666.666668</v>
      </c>
      <c r="H43" s="3608">
        <f t="shared" si="9"/>
        <v>30639118333.333332</v>
      </c>
      <c r="I43" s="4163">
        <v>29813472049</v>
      </c>
      <c r="J43" s="4165">
        <f>29814731183-682741591</f>
        <v>29131989592</v>
      </c>
      <c r="K43" s="4165">
        <f>30967654438-772449970</f>
        <v>30195204468</v>
      </c>
      <c r="L43" s="4679">
        <f>28421264413-549232564</f>
        <v>27872031849</v>
      </c>
      <c r="M43" s="4679">
        <f>29992531240-582425640</f>
        <v>29410105600</v>
      </c>
      <c r="N43" s="4679">
        <f>31841592069-693983360</f>
        <v>31147608709</v>
      </c>
      <c r="O43" s="4679">
        <f>34840341411-718866470</f>
        <v>34121474941</v>
      </c>
      <c r="P43" s="4679">
        <f>33073962111-659685799</f>
        <v>32414276312</v>
      </c>
      <c r="Q43" s="4679">
        <f>35983720480-681882016</f>
        <v>35301838464</v>
      </c>
      <c r="R43" s="4679">
        <f>34670068294-805174095</f>
        <v>33864894199</v>
      </c>
      <c r="S43" s="4678"/>
      <c r="T43" s="5616"/>
      <c r="U43" s="5622">
        <f>SUM(I43:T43)</f>
        <v>313272896183</v>
      </c>
      <c r="V43" s="4351" t="s">
        <v>1643</v>
      </c>
      <c r="W43" s="4351"/>
      <c r="X43" s="4351"/>
      <c r="Y43" s="4351"/>
    </row>
    <row r="44" spans="1:25" ht="24" customHeight="1">
      <c r="A44" s="3600" t="s">
        <v>1513</v>
      </c>
      <c r="B44" s="3601">
        <f>B33/B43*1000000</f>
        <v>1079.7933481002326</v>
      </c>
      <c r="C44" s="3602">
        <f>IF(B44="측정불가","측정불가",IF(B44&gt;5000,1,IF(B44&gt;4000,2,IF(B44&gt;3000,3,IF(B44&gt;2000,4,IF(B44&lt;=1000,5,))))))</f>
        <v>0</v>
      </c>
      <c r="D44" s="3601">
        <f>D33/D43*1000000</f>
        <v>881.8170712256582</v>
      </c>
      <c r="E44" s="3506"/>
      <c r="F44" s="3506"/>
      <c r="G44" s="3603">
        <f>G33/G43*1000000</f>
        <v>1079.7933481002326</v>
      </c>
      <c r="H44" s="3609">
        <f>H33/H43*1000000</f>
        <v>881.8170712256582</v>
      </c>
      <c r="I44" s="4166">
        <f>I33/I43*1000000</f>
        <v>338.34368514412404</v>
      </c>
      <c r="J44" s="4167">
        <f>J33/J43*1000000</f>
        <v>30.387557197366995</v>
      </c>
      <c r="K44" s="4167">
        <f>K33/K43*1000000</f>
        <v>30.120676975837725</v>
      </c>
      <c r="L44" s="4167">
        <f t="shared" ref="L44:T44" si="13">L33/L43*1000000</f>
        <v>0</v>
      </c>
      <c r="M44" s="4167">
        <f t="shared" si="13"/>
        <v>0</v>
      </c>
      <c r="N44" s="4167">
        <f t="shared" si="13"/>
        <v>0</v>
      </c>
      <c r="O44" s="4167">
        <f t="shared" si="13"/>
        <v>0</v>
      </c>
      <c r="P44" s="4167">
        <f t="shared" si="13"/>
        <v>0</v>
      </c>
      <c r="Q44" s="4167">
        <f t="shared" si="13"/>
        <v>0</v>
      </c>
      <c r="R44" s="4167">
        <f t="shared" si="13"/>
        <v>0</v>
      </c>
      <c r="S44" s="4167" t="e">
        <f t="shared" si="13"/>
        <v>#DIV/0!</v>
      </c>
      <c r="T44" s="5617" t="e">
        <f t="shared" si="13"/>
        <v>#DIV/0!</v>
      </c>
      <c r="U44" s="5623">
        <f>U33/U43*1000000</f>
        <v>37.928432828925928</v>
      </c>
    </row>
    <row r="45" spans="1:25" ht="24" customHeight="1" thickBot="1">
      <c r="A45" s="3604" t="s">
        <v>1504</v>
      </c>
      <c r="B45" s="3519"/>
      <c r="C45" s="3519"/>
      <c r="D45" s="3519"/>
      <c r="E45" s="3519"/>
      <c r="F45" s="3519"/>
      <c r="G45" s="3605">
        <f>IF(G44="측정불가","측정불가",IF(G44&gt;4000,1,IF(G44&gt;3000,2,IF(G44&gt;2000,3,IF(G44&gt;1000,4,IF(G44&lt;=1000,5,))))))</f>
        <v>4</v>
      </c>
      <c r="H45" s="3610">
        <f t="shared" ref="H45:U45" si="14">IF(H44="측정불가","측정불가",IF(H44&gt;4000,1,IF(H44&gt;3000,2,IF(H44&gt;2000,3,IF(H44&gt;1000,4,IF(H44&lt;=1000,5,))))))</f>
        <v>5</v>
      </c>
      <c r="I45" s="3612">
        <f t="shared" si="14"/>
        <v>5</v>
      </c>
      <c r="J45" s="3605">
        <f t="shared" si="14"/>
        <v>5</v>
      </c>
      <c r="K45" s="3605">
        <f t="shared" si="14"/>
        <v>5</v>
      </c>
      <c r="L45" s="3605">
        <f t="shared" si="14"/>
        <v>5</v>
      </c>
      <c r="M45" s="3605">
        <f t="shared" si="14"/>
        <v>5</v>
      </c>
      <c r="N45" s="3605">
        <f t="shared" si="14"/>
        <v>5</v>
      </c>
      <c r="O45" s="3605">
        <f t="shared" si="14"/>
        <v>5</v>
      </c>
      <c r="P45" s="3605">
        <f t="shared" si="14"/>
        <v>5</v>
      </c>
      <c r="Q45" s="3605">
        <f t="shared" si="14"/>
        <v>5</v>
      </c>
      <c r="R45" s="3605">
        <f t="shared" si="14"/>
        <v>5</v>
      </c>
      <c r="S45" s="3605" t="e">
        <f t="shared" si="14"/>
        <v>#DIV/0!</v>
      </c>
      <c r="T45" s="3610" t="e">
        <f t="shared" si="14"/>
        <v>#DIV/0!</v>
      </c>
      <c r="U45" s="5624">
        <f t="shared" si="14"/>
        <v>5</v>
      </c>
    </row>
    <row r="46" spans="1:25" s="286" customFormat="1" ht="24" customHeight="1"/>
    <row r="47" spans="1:25" ht="24" customHeight="1" thickBot="1">
      <c r="A47" s="3452" t="s">
        <v>1523</v>
      </c>
    </row>
    <row r="48" spans="1:25" ht="24" customHeight="1" thickBot="1">
      <c r="A48" s="8367" t="s">
        <v>0</v>
      </c>
      <c r="B48" s="3596"/>
      <c r="C48" s="3596"/>
      <c r="D48" s="3596"/>
      <c r="E48" s="3596"/>
      <c r="F48" s="3596"/>
      <c r="G48" s="8365" t="s">
        <v>1213</v>
      </c>
      <c r="H48" s="8363" t="s">
        <v>1251</v>
      </c>
      <c r="I48" s="8394" t="s">
        <v>1550</v>
      </c>
      <c r="J48" s="8395"/>
      <c r="K48" s="8395"/>
      <c r="L48" s="8395"/>
      <c r="M48" s="8395"/>
      <c r="N48" s="8395"/>
      <c r="O48" s="8395"/>
      <c r="P48" s="8395"/>
      <c r="Q48" s="8395"/>
      <c r="R48" s="8395"/>
      <c r="S48" s="8395"/>
      <c r="T48" s="8395"/>
      <c r="U48" s="8396"/>
    </row>
    <row r="49" spans="1:21" ht="24" customHeight="1">
      <c r="A49" s="8368"/>
      <c r="B49" s="3597" t="s">
        <v>27</v>
      </c>
      <c r="C49" s="3597" t="s">
        <v>28</v>
      </c>
      <c r="D49" s="3597" t="s">
        <v>29</v>
      </c>
      <c r="E49" s="3597" t="s">
        <v>501</v>
      </c>
      <c r="F49" s="3597" t="s">
        <v>488</v>
      </c>
      <c r="G49" s="8366"/>
      <c r="H49" s="8364"/>
      <c r="I49" s="3521" t="s">
        <v>18</v>
      </c>
      <c r="J49" s="3520" t="s">
        <v>5</v>
      </c>
      <c r="K49" s="5572" t="s">
        <v>6</v>
      </c>
      <c r="L49" s="3520" t="s">
        <v>7</v>
      </c>
      <c r="M49" s="5575" t="s">
        <v>8</v>
      </c>
      <c r="N49" s="5572" t="s">
        <v>9</v>
      </c>
      <c r="O49" s="5572" t="s">
        <v>10</v>
      </c>
      <c r="P49" s="5572" t="s">
        <v>11</v>
      </c>
      <c r="Q49" s="5572" t="s">
        <v>12</v>
      </c>
      <c r="R49" s="5572" t="s">
        <v>13</v>
      </c>
      <c r="S49" s="5572" t="s">
        <v>14</v>
      </c>
      <c r="T49" s="5572" t="s">
        <v>15</v>
      </c>
      <c r="U49" s="5582" t="s">
        <v>194</v>
      </c>
    </row>
    <row r="50" spans="1:21" ht="24" customHeight="1">
      <c r="A50" s="3595" t="s">
        <v>1515</v>
      </c>
      <c r="B50" s="3457">
        <v>254721</v>
      </c>
      <c r="C50" s="3457">
        <v>319756</v>
      </c>
      <c r="D50" s="3457">
        <v>372767</v>
      </c>
      <c r="E50" s="3457">
        <v>371052</v>
      </c>
      <c r="F50" s="3457">
        <v>373237</v>
      </c>
      <c r="G50" s="3535">
        <v>1691533</v>
      </c>
      <c r="H50" s="3536">
        <v>1825514.4807508551</v>
      </c>
      <c r="I50" s="4170">
        <f>설비종합효율!B4</f>
        <v>83112</v>
      </c>
      <c r="J50" s="3489">
        <f>설비종합효율!C4</f>
        <v>77240</v>
      </c>
      <c r="K50" s="5573">
        <f>설비종합효율!D4</f>
        <v>182467</v>
      </c>
      <c r="L50" s="3489">
        <f>설비종합효율!E4</f>
        <v>0</v>
      </c>
      <c r="M50" s="5573">
        <f>설비종합효율!F4</f>
        <v>0</v>
      </c>
      <c r="N50" s="4173">
        <f>설비종합효율!G4</f>
        <v>0</v>
      </c>
      <c r="O50" s="4173">
        <f>설비종합효율!H4</f>
        <v>0</v>
      </c>
      <c r="P50" s="4173">
        <f>설비종합효율!I4</f>
        <v>0</v>
      </c>
      <c r="Q50" s="4173">
        <f>설비종합효율!J4</f>
        <v>0</v>
      </c>
      <c r="R50" s="4173">
        <f>설비종합효율!K4</f>
        <v>0</v>
      </c>
      <c r="S50" s="4173">
        <f>설비종합효율!L4</f>
        <v>0</v>
      </c>
      <c r="T50" s="4173">
        <f>설비종합효율!M4</f>
        <v>0</v>
      </c>
      <c r="U50" s="5075">
        <f>설비종합효율!N4</f>
        <v>342819</v>
      </c>
    </row>
    <row r="51" spans="1:21" ht="24" customHeight="1">
      <c r="A51" s="3521" t="s">
        <v>391</v>
      </c>
      <c r="B51" s="3457">
        <v>1602</v>
      </c>
      <c r="C51" s="3457">
        <v>16380</v>
      </c>
      <c r="D51" s="3457">
        <v>7296</v>
      </c>
      <c r="E51" s="3457">
        <v>51995</v>
      </c>
      <c r="F51" s="3457">
        <v>102041</v>
      </c>
      <c r="G51" s="3535">
        <v>179314</v>
      </c>
      <c r="H51" s="3536">
        <v>193758.84470731398</v>
      </c>
      <c r="I51" s="4170">
        <f>설비종합효율!B5</f>
        <v>16202</v>
      </c>
      <c r="J51" s="3489">
        <f>설비종합효율!C5</f>
        <v>15137</v>
      </c>
      <c r="K51" s="5573">
        <f>설비종합효율!D5</f>
        <v>13834</v>
      </c>
      <c r="L51" s="3489">
        <f>설비종합효율!E5</f>
        <v>15205</v>
      </c>
      <c r="M51" s="5573">
        <f>설비종합효율!F5</f>
        <v>14622</v>
      </c>
      <c r="N51" s="4173">
        <f>설비종합효율!G5</f>
        <v>16353</v>
      </c>
      <c r="O51" s="4173">
        <f>설비종합효율!H5</f>
        <v>17012</v>
      </c>
      <c r="P51" s="4173">
        <f>설비종합효율!I5</f>
        <v>16573</v>
      </c>
      <c r="Q51" s="4173">
        <f>설비종합효율!J5</f>
        <v>17654</v>
      </c>
      <c r="R51" s="4173">
        <f>설비종합효율!K5</f>
        <v>18092</v>
      </c>
      <c r="S51" s="4173">
        <f>설비종합효율!L5</f>
        <v>0</v>
      </c>
      <c r="T51" s="4173">
        <f>설비종합효율!M5</f>
        <v>0</v>
      </c>
      <c r="U51" s="5075">
        <f>설비종합효율!N5</f>
        <v>160684</v>
      </c>
    </row>
    <row r="52" spans="1:21" ht="24" customHeight="1">
      <c r="A52" s="3521" t="s">
        <v>1516</v>
      </c>
      <c r="B52" s="3458">
        <f>(B50-B51)/B50</f>
        <v>0.99371076589680474</v>
      </c>
      <c r="C52" s="3458">
        <f>(C50-C51)/C50</f>
        <v>0.9487734397478077</v>
      </c>
      <c r="D52" s="3458">
        <f>(D50-D51)/D50</f>
        <v>0.98042745200084769</v>
      </c>
      <c r="E52" s="3458">
        <f>(E50-E51)/E50</f>
        <v>0.85987139268889534</v>
      </c>
      <c r="F52" s="3458">
        <f>(F50-F51)/F50</f>
        <v>0.72660534727264448</v>
      </c>
      <c r="G52" s="3522">
        <v>0.89399320025089668</v>
      </c>
      <c r="H52" s="3523">
        <v>0.89386069146511582</v>
      </c>
      <c r="I52" s="3735">
        <f t="shared" ref="I52:U52" si="15">(I50-I51)/I50</f>
        <v>0.8050582346712869</v>
      </c>
      <c r="J52" s="3736">
        <f t="shared" si="15"/>
        <v>0.804026411185914</v>
      </c>
      <c r="K52" s="4174">
        <f t="shared" si="15"/>
        <v>0.92418355099826266</v>
      </c>
      <c r="L52" s="3736" t="e">
        <f t="shared" si="15"/>
        <v>#DIV/0!</v>
      </c>
      <c r="M52" s="5576" t="e">
        <f t="shared" si="15"/>
        <v>#DIV/0!</v>
      </c>
      <c r="N52" s="4174" t="e">
        <f t="shared" si="15"/>
        <v>#DIV/0!</v>
      </c>
      <c r="O52" s="4174" t="e">
        <f t="shared" si="15"/>
        <v>#DIV/0!</v>
      </c>
      <c r="P52" s="4174" t="e">
        <f t="shared" si="15"/>
        <v>#DIV/0!</v>
      </c>
      <c r="Q52" s="4174" t="e">
        <f t="shared" si="15"/>
        <v>#DIV/0!</v>
      </c>
      <c r="R52" s="4174" t="e">
        <f t="shared" si="15"/>
        <v>#DIV/0!</v>
      </c>
      <c r="S52" s="4174" t="e">
        <f t="shared" si="15"/>
        <v>#DIV/0!</v>
      </c>
      <c r="T52" s="4174" t="e">
        <f t="shared" si="15"/>
        <v>#DIV/0!</v>
      </c>
      <c r="U52" s="5583">
        <f t="shared" si="15"/>
        <v>0.53128618892185087</v>
      </c>
    </row>
    <row r="53" spans="1:21" ht="24" customHeight="1">
      <c r="A53" s="3521" t="s">
        <v>1517</v>
      </c>
      <c r="B53" s="3457">
        <v>220154</v>
      </c>
      <c r="C53" s="3457">
        <v>277000</v>
      </c>
      <c r="D53" s="3457">
        <v>330942</v>
      </c>
      <c r="E53" s="3457">
        <v>305944</v>
      </c>
      <c r="F53" s="3457">
        <v>228112</v>
      </c>
      <c r="G53" s="3535">
        <v>1362152</v>
      </c>
      <c r="H53" s="3536">
        <v>1492483.8869396404</v>
      </c>
      <c r="I53" s="4170">
        <f>설비종합효율!B7</f>
        <v>131546</v>
      </c>
      <c r="J53" s="4173">
        <f>설비종합효율!C7</f>
        <v>151550</v>
      </c>
      <c r="K53" s="4173">
        <f>설비종합효율!D7</f>
        <v>124947</v>
      </c>
      <c r="L53" s="3489">
        <f>설비종합효율!E7</f>
        <v>143062</v>
      </c>
      <c r="M53" s="5573">
        <f>설비종합효율!F7</f>
        <v>143480</v>
      </c>
      <c r="N53" s="4173">
        <f>설비종합효율!G7</f>
        <v>153522</v>
      </c>
      <c r="O53" s="4173">
        <f>설비종합효율!H7</f>
        <v>172084</v>
      </c>
      <c r="P53" s="4173">
        <f>설비종합효율!I7</f>
        <v>149822</v>
      </c>
      <c r="Q53" s="4173">
        <f>설비종합효율!J7</f>
        <v>153638</v>
      </c>
      <c r="R53" s="4173">
        <f>설비종합효율!K7</f>
        <v>170388</v>
      </c>
      <c r="S53" s="4173">
        <f>설비종합효율!L7</f>
        <v>0</v>
      </c>
      <c r="T53" s="4173">
        <f>설비종합효율!M7</f>
        <v>0</v>
      </c>
      <c r="U53" s="5075">
        <f>설비종합효율!N7</f>
        <v>1494039</v>
      </c>
    </row>
    <row r="54" spans="1:21" ht="24" customHeight="1">
      <c r="A54" s="3595" t="s">
        <v>1524</v>
      </c>
      <c r="B54" s="3457">
        <v>253010</v>
      </c>
      <c r="C54" s="3457">
        <v>303039</v>
      </c>
      <c r="D54" s="3457">
        <v>365465</v>
      </c>
      <c r="E54" s="3457">
        <v>353934</v>
      </c>
      <c r="F54" s="3457">
        <v>332575</v>
      </c>
      <c r="G54" s="3535">
        <v>1608023</v>
      </c>
      <c r="H54" s="3536">
        <v>1690676.5183026791</v>
      </c>
      <c r="I54" s="4170">
        <f>설비종합효율!B8</f>
        <v>144046</v>
      </c>
      <c r="J54" s="4173">
        <f>설비종합효율!C8</f>
        <v>170535</v>
      </c>
      <c r="K54" s="4173">
        <f>설비종합효율!D8</f>
        <v>140784</v>
      </c>
      <c r="L54" s="3489">
        <f>설비종합효율!E8</f>
        <v>163048</v>
      </c>
      <c r="M54" s="5573">
        <f>설비종합효율!F8</f>
        <v>164690</v>
      </c>
      <c r="N54" s="4173">
        <f>설비종합효율!G8</f>
        <v>176629</v>
      </c>
      <c r="O54" s="4173">
        <f>설비종합효율!H8</f>
        <v>192062</v>
      </c>
      <c r="P54" s="4173">
        <f>설비종합효율!I8</f>
        <v>170942</v>
      </c>
      <c r="Q54" s="4173">
        <f>설비종합효율!J8</f>
        <v>171191</v>
      </c>
      <c r="R54" s="4173">
        <f>설비종합효율!K8</f>
        <v>192583</v>
      </c>
      <c r="S54" s="4173">
        <f>설비종합효율!L8</f>
        <v>0</v>
      </c>
      <c r="T54" s="4173">
        <f>설비종합효율!M8</f>
        <v>0</v>
      </c>
      <c r="U54" s="5075">
        <f>설비종합효율!N8</f>
        <v>1686510</v>
      </c>
    </row>
    <row r="55" spans="1:21" ht="24" customHeight="1">
      <c r="A55" s="3521" t="s">
        <v>1518</v>
      </c>
      <c r="B55" s="3458">
        <f>B53/B54</f>
        <v>0.87013952017706808</v>
      </c>
      <c r="C55" s="3458">
        <f>C53/C54</f>
        <v>0.91407376608291346</v>
      </c>
      <c r="D55" s="3458">
        <f>D53/D54</f>
        <v>0.90553678190798026</v>
      </c>
      <c r="E55" s="3458">
        <f>E53/E54</f>
        <v>0.86440974871021148</v>
      </c>
      <c r="F55" s="3458">
        <f>F53/F54</f>
        <v>0.68589641434262949</v>
      </c>
      <c r="G55" s="3522">
        <v>0.84709733629431916</v>
      </c>
      <c r="H55" s="3523">
        <v>0.88277318031126961</v>
      </c>
      <c r="I55" s="4171">
        <f t="shared" ref="I55:U55" si="16">I53/I54</f>
        <v>0.91322216514169086</v>
      </c>
      <c r="J55" s="4174">
        <f>J53/J54</f>
        <v>0.88867387926232155</v>
      </c>
      <c r="K55" s="4174">
        <f t="shared" si="16"/>
        <v>0.88750852369587452</v>
      </c>
      <c r="L55" s="3736">
        <f t="shared" si="16"/>
        <v>0.87742259947990775</v>
      </c>
      <c r="M55" s="5576">
        <f t="shared" si="16"/>
        <v>0.87121258121318845</v>
      </c>
      <c r="N55" s="5647">
        <f t="shared" si="16"/>
        <v>0.86917776809017777</v>
      </c>
      <c r="O55" s="4174">
        <f t="shared" si="16"/>
        <v>0.89598150597202986</v>
      </c>
      <c r="P55" s="4174">
        <f t="shared" si="16"/>
        <v>0.87644932199225467</v>
      </c>
      <c r="Q55" s="4174">
        <f t="shared" si="16"/>
        <v>0.89746540413923626</v>
      </c>
      <c r="R55" s="4174">
        <f t="shared" si="16"/>
        <v>0.88475099048202588</v>
      </c>
      <c r="S55" s="4174" t="e">
        <f t="shared" si="16"/>
        <v>#DIV/0!</v>
      </c>
      <c r="T55" s="4174" t="e">
        <f t="shared" si="16"/>
        <v>#DIV/0!</v>
      </c>
      <c r="U55" s="5583">
        <f t="shared" si="16"/>
        <v>0.88587615845740608</v>
      </c>
    </row>
    <row r="56" spans="1:21" ht="24" customHeight="1">
      <c r="A56" s="3521" t="s">
        <v>1519</v>
      </c>
      <c r="B56" s="3459">
        <v>247068.53899999999</v>
      </c>
      <c r="C56" s="3460">
        <v>237754.489</v>
      </c>
      <c r="D56" s="3460">
        <v>239665.67</v>
      </c>
      <c r="E56" s="3460">
        <v>123961.10799999999</v>
      </c>
      <c r="F56" s="3460">
        <v>42325.625</v>
      </c>
      <c r="G56" s="3537">
        <v>890775.43099999998</v>
      </c>
      <c r="H56" s="3536">
        <v>968526.21549999993</v>
      </c>
      <c r="I56" s="4170">
        <f>설비종합효율!B10</f>
        <v>17338.670000000002</v>
      </c>
      <c r="J56" s="4173">
        <f>설비종합효율!C10</f>
        <v>16790.739999999998</v>
      </c>
      <c r="K56" s="4173">
        <f>설비종합효율!D10</f>
        <v>92654.5</v>
      </c>
      <c r="L56" s="3489">
        <f>설비종합효율!E10</f>
        <v>0</v>
      </c>
      <c r="M56" s="5573">
        <f>설비종합효율!F10</f>
        <v>0</v>
      </c>
      <c r="N56" s="5649">
        <f>설비종합효율!G10</f>
        <v>0</v>
      </c>
      <c r="O56" s="4173">
        <f>설비종합효율!H10</f>
        <v>0</v>
      </c>
      <c r="P56" s="4173">
        <f>설비종합효율!I10</f>
        <v>0</v>
      </c>
      <c r="Q56" s="4173">
        <f>설비종합효율!J10</f>
        <v>0</v>
      </c>
      <c r="R56" s="4173">
        <f>설비종합효율!K10</f>
        <v>0</v>
      </c>
      <c r="S56" s="4173">
        <f>설비종합효율!L10</f>
        <v>0</v>
      </c>
      <c r="T56" s="4173">
        <f>설비종합효율!M10</f>
        <v>0</v>
      </c>
      <c r="U56" s="5075">
        <f>설비종합효율!N10</f>
        <v>126783.91</v>
      </c>
    </row>
    <row r="57" spans="1:21" ht="24" customHeight="1" thickBot="1">
      <c r="A57" s="3622" t="s">
        <v>1520</v>
      </c>
      <c r="B57" s="3623">
        <f>21.37+2197.18</f>
        <v>2218.5499999999997</v>
      </c>
      <c r="C57" s="3624">
        <f>29.43+393.21</f>
        <v>422.64</v>
      </c>
      <c r="D57" s="3624">
        <f>330.85</f>
        <v>330.85</v>
      </c>
      <c r="E57" s="3624">
        <f>69.54+1524.24</f>
        <v>1593.78</v>
      </c>
      <c r="F57" s="3624">
        <f>69.51+214.773</f>
        <v>284.28300000000002</v>
      </c>
      <c r="G57" s="3625">
        <v>4850.1030000000001</v>
      </c>
      <c r="H57" s="3631">
        <v>3566.5515</v>
      </c>
      <c r="I57" s="4172">
        <f>설비종합효율!B11</f>
        <v>15.01</v>
      </c>
      <c r="J57" s="4175">
        <f>설비종합효율!C11</f>
        <v>0.96</v>
      </c>
      <c r="K57" s="5574">
        <f>설비종합효율!D11</f>
        <v>26.29</v>
      </c>
      <c r="L57" s="3626">
        <f>설비종합효율!E11</f>
        <v>0</v>
      </c>
      <c r="M57" s="5577">
        <f>설비종합효율!F11</f>
        <v>0</v>
      </c>
      <c r="N57" s="5650">
        <f>설비종합효율!G11</f>
        <v>0</v>
      </c>
      <c r="O57" s="5574">
        <f>설비종합효율!H11</f>
        <v>0</v>
      </c>
      <c r="P57" s="5574">
        <f>설비종합효율!I11</f>
        <v>0</v>
      </c>
      <c r="Q57" s="5574">
        <f>설비종합효율!J11</f>
        <v>0</v>
      </c>
      <c r="R57" s="5574">
        <f>설비종합효율!K11</f>
        <v>0</v>
      </c>
      <c r="S57" s="5574">
        <f>설비종합효율!L11</f>
        <v>0</v>
      </c>
      <c r="T57" s="5574">
        <f>설비종합효율!M11</f>
        <v>0</v>
      </c>
      <c r="U57" s="5584">
        <f>설비종합효율!N11</f>
        <v>42.26</v>
      </c>
    </row>
    <row r="58" spans="1:21" ht="24" customHeight="1">
      <c r="A58" s="3627" t="s">
        <v>1521</v>
      </c>
      <c r="B58" s="3628">
        <f>(B56-B57)/B56</f>
        <v>0.99102050787615659</v>
      </c>
      <c r="C58" s="3628">
        <f>(C56-C57)/C56</f>
        <v>0.99822236794864461</v>
      </c>
      <c r="D58" s="3628">
        <f>(D56-D57)/D56</f>
        <v>0.99861953528847081</v>
      </c>
      <c r="E58" s="3628">
        <f>(E56-E57)/E56</f>
        <v>0.98714290291758289</v>
      </c>
      <c r="F58" s="3628">
        <f>(F56-F57)/F56</f>
        <v>0.99328343054591628</v>
      </c>
      <c r="G58" s="3629">
        <v>0.99455518997133185</v>
      </c>
      <c r="H58" s="3630">
        <v>0.99631754779279902</v>
      </c>
      <c r="I58" s="3737">
        <f t="shared" ref="I58:U58" si="17">(I56-I57)/I56</f>
        <v>0.99913430499571199</v>
      </c>
      <c r="J58" s="4176">
        <f t="shared" si="17"/>
        <v>0.99994282562888837</v>
      </c>
      <c r="K58" s="4176">
        <f t="shared" si="17"/>
        <v>0.99971625771009509</v>
      </c>
      <c r="L58" s="3738" t="e">
        <f t="shared" si="17"/>
        <v>#DIV/0!</v>
      </c>
      <c r="M58" s="5578" t="e">
        <f t="shared" si="17"/>
        <v>#DIV/0!</v>
      </c>
      <c r="N58" s="5648" t="e">
        <f t="shared" si="17"/>
        <v>#DIV/0!</v>
      </c>
      <c r="O58" s="4176" t="e">
        <f t="shared" si="17"/>
        <v>#DIV/0!</v>
      </c>
      <c r="P58" s="4176" t="e">
        <f t="shared" si="17"/>
        <v>#DIV/0!</v>
      </c>
      <c r="Q58" s="4176" t="e">
        <f t="shared" si="17"/>
        <v>#DIV/0!</v>
      </c>
      <c r="R58" s="4176" t="e">
        <f t="shared" si="17"/>
        <v>#DIV/0!</v>
      </c>
      <c r="S58" s="4176" t="e">
        <f t="shared" si="17"/>
        <v>#DIV/0!</v>
      </c>
      <c r="T58" s="4176" t="e">
        <f t="shared" si="17"/>
        <v>#DIV/0!</v>
      </c>
      <c r="U58" s="5585">
        <f t="shared" si="17"/>
        <v>0.99966667694662525</v>
      </c>
    </row>
    <row r="59" spans="1:21" ht="24" customHeight="1">
      <c r="A59" s="3617" t="s">
        <v>1522</v>
      </c>
      <c r="B59" s="3618">
        <f>B52*B55*B58</f>
        <v>0.8569027384348803</v>
      </c>
      <c r="C59" s="3618">
        <f>C52*C55*C58</f>
        <v>0.86570726176861379</v>
      </c>
      <c r="D59" s="3618">
        <f>D52*D55*D58</f>
        <v>0.88658752509680072</v>
      </c>
      <c r="E59" s="3618">
        <f>E52*E55*E58</f>
        <v>0.73372477574323591</v>
      </c>
      <c r="F59" s="3618">
        <f>F52*F55*F58</f>
        <v>0.49502862530254632</v>
      </c>
      <c r="G59" s="3619">
        <v>0.75317590799985235</v>
      </c>
      <c r="H59" s="3621">
        <v>0.78617050979851544</v>
      </c>
      <c r="I59" s="3620">
        <f t="shared" ref="I59:U59" si="18">I52*I55*I58</f>
        <v>0.73456056774070189</v>
      </c>
      <c r="J59" s="3619">
        <f t="shared" si="18"/>
        <v>0.71447641778239612</v>
      </c>
      <c r="K59" s="3619">
        <f t="shared" si="18"/>
        <v>0.81998804764842637</v>
      </c>
      <c r="L59" s="3619" t="e">
        <f t="shared" si="18"/>
        <v>#DIV/0!</v>
      </c>
      <c r="M59" s="5579" t="e">
        <f t="shared" si="18"/>
        <v>#DIV/0!</v>
      </c>
      <c r="N59" s="5651" t="e">
        <f t="shared" si="18"/>
        <v>#DIV/0!</v>
      </c>
      <c r="O59" s="5581" t="e">
        <f t="shared" si="18"/>
        <v>#DIV/0!</v>
      </c>
      <c r="P59" s="5581" t="e">
        <f t="shared" si="18"/>
        <v>#DIV/0!</v>
      </c>
      <c r="Q59" s="5581" t="e">
        <f t="shared" si="18"/>
        <v>#DIV/0!</v>
      </c>
      <c r="R59" s="5581" t="e">
        <f t="shared" si="18"/>
        <v>#DIV/0!</v>
      </c>
      <c r="S59" s="5581" t="e">
        <f t="shared" si="18"/>
        <v>#DIV/0!</v>
      </c>
      <c r="T59" s="5581" t="e">
        <f t="shared" si="18"/>
        <v>#DIV/0!</v>
      </c>
      <c r="U59" s="5586">
        <f t="shared" si="18"/>
        <v>0.47049688833250503</v>
      </c>
    </row>
    <row r="60" spans="1:21" ht="24" customHeight="1" thickBot="1">
      <c r="A60" s="3613" t="s">
        <v>1504</v>
      </c>
      <c r="B60" s="3519"/>
      <c r="C60" s="3519"/>
      <c r="D60" s="3519"/>
      <c r="E60" s="3519"/>
      <c r="F60" s="3519"/>
      <c r="G60" s="3614">
        <f>IF(G59="측정불가","측정불가",IF(G59&lt;0.5,1,IF(G59&lt;0.65,2,IF(G59&lt;0.75,3,IF(G59&lt;=0.85,4,IF(G59&gt;0.85,5,))))))</f>
        <v>4</v>
      </c>
      <c r="H60" s="3616">
        <f>IF(H59="측정불가","측정불가",IF(H59&lt;0.5,1,IF(H59&lt;0.65,2,IF(H59&lt;0.75,3,IF(H59&lt;=0.85,4,IF(H59&gt;0.85,5,))))))</f>
        <v>4</v>
      </c>
      <c r="I60" s="3615">
        <f t="shared" ref="I60:U60" si="19">IF(I59="측정불가","측정불가",IF(I59&lt;0.5,1,IF(I59&lt;0.65,2,IF(I59&lt;0.75,3,IF(I59&lt;=0.85,4,IF(I59&gt;0.85,5,))))))</f>
        <v>3</v>
      </c>
      <c r="J60" s="3614">
        <f t="shared" si="19"/>
        <v>3</v>
      </c>
      <c r="K60" s="3614">
        <f t="shared" si="19"/>
        <v>4</v>
      </c>
      <c r="L60" s="3614" t="e">
        <f t="shared" si="19"/>
        <v>#DIV/0!</v>
      </c>
      <c r="M60" s="5580" t="e">
        <f t="shared" si="19"/>
        <v>#DIV/0!</v>
      </c>
      <c r="N60" s="3614" t="e">
        <f t="shared" si="19"/>
        <v>#DIV/0!</v>
      </c>
      <c r="O60" s="3614" t="e">
        <f t="shared" si="19"/>
        <v>#DIV/0!</v>
      </c>
      <c r="P60" s="3614" t="e">
        <f t="shared" si="19"/>
        <v>#DIV/0!</v>
      </c>
      <c r="Q60" s="3614" t="e">
        <f t="shared" si="19"/>
        <v>#DIV/0!</v>
      </c>
      <c r="R60" s="3614" t="e">
        <f t="shared" si="19"/>
        <v>#DIV/0!</v>
      </c>
      <c r="S60" s="3614" t="e">
        <f t="shared" si="19"/>
        <v>#DIV/0!</v>
      </c>
      <c r="T60" s="5580" t="e">
        <f t="shared" si="19"/>
        <v>#DIV/0!</v>
      </c>
      <c r="U60" s="5587">
        <f t="shared" si="19"/>
        <v>1</v>
      </c>
    </row>
    <row r="61" spans="1:21" ht="24" hidden="1" customHeight="1"/>
    <row r="62" spans="1:21" ht="24" hidden="1" customHeight="1"/>
    <row r="63" spans="1:21" s="286" customFormat="1" ht="24" hidden="1" customHeight="1"/>
    <row r="64" spans="1:21" s="286" customFormat="1" ht="24" hidden="1" customHeight="1"/>
    <row r="65" spans="1:26" s="286" customFormat="1" ht="24" hidden="1" customHeight="1"/>
    <row r="66" spans="1:26" s="286" customFormat="1" ht="24" hidden="1" customHeight="1"/>
    <row r="67" spans="1:26" s="286" customFormat="1" ht="24" hidden="1" customHeight="1"/>
    <row r="68" spans="1:26" s="286" customFormat="1" ht="24" hidden="1" customHeight="1"/>
    <row r="69" spans="1:26" s="286" customFormat="1" ht="24" hidden="1" customHeight="1"/>
    <row r="70" spans="1:26" s="286" customFormat="1" ht="24" hidden="1" customHeight="1"/>
    <row r="71" spans="1:26" s="286" customFormat="1" ht="24" hidden="1" customHeight="1"/>
    <row r="72" spans="1:26" ht="24" customHeight="1" thickBot="1">
      <c r="A72" s="3452" t="s">
        <v>1540</v>
      </c>
    </row>
    <row r="73" spans="1:26" ht="24" customHeight="1" thickBot="1">
      <c r="A73" s="8369" t="s">
        <v>1548</v>
      </c>
      <c r="B73" s="3545"/>
      <c r="C73" s="3545"/>
      <c r="D73" s="3545"/>
      <c r="E73" s="3545"/>
      <c r="F73" s="3545"/>
      <c r="G73" s="8384" t="s">
        <v>1156</v>
      </c>
      <c r="H73" s="8386" t="s">
        <v>1538</v>
      </c>
      <c r="I73" s="8373" t="s">
        <v>1539</v>
      </c>
      <c r="J73" s="8374"/>
      <c r="K73" s="8374"/>
      <c r="L73" s="8374"/>
      <c r="M73" s="8374"/>
      <c r="N73" s="8374"/>
      <c r="O73" s="8374"/>
      <c r="P73" s="8374"/>
      <c r="Q73" s="8374"/>
      <c r="R73" s="8374"/>
      <c r="S73" s="8374"/>
      <c r="T73" s="8374"/>
      <c r="U73" s="8375"/>
    </row>
    <row r="74" spans="1:26" ht="24" customHeight="1" thickBot="1">
      <c r="A74" s="8370"/>
      <c r="B74" s="3675"/>
      <c r="C74" s="3676"/>
      <c r="D74" s="3675"/>
      <c r="E74" s="3675"/>
      <c r="F74" s="3675"/>
      <c r="G74" s="8385"/>
      <c r="H74" s="8387"/>
      <c r="I74" s="3743" t="s">
        <v>18</v>
      </c>
      <c r="J74" s="3678" t="s">
        <v>5</v>
      </c>
      <c r="K74" s="3678" t="s">
        <v>6</v>
      </c>
      <c r="L74" s="3678" t="s">
        <v>7</v>
      </c>
      <c r="M74" s="3678" t="s">
        <v>8</v>
      </c>
      <c r="N74" s="3678" t="s">
        <v>9</v>
      </c>
      <c r="O74" s="3678" t="s">
        <v>10</v>
      </c>
      <c r="P74" s="3678" t="s">
        <v>11</v>
      </c>
      <c r="Q74" s="3678" t="s">
        <v>12</v>
      </c>
      <c r="R74" s="3678" t="s">
        <v>13</v>
      </c>
      <c r="S74" s="3678" t="s">
        <v>14</v>
      </c>
      <c r="T74" s="5625" t="s">
        <v>15</v>
      </c>
      <c r="U74" s="5632" t="s">
        <v>194</v>
      </c>
    </row>
    <row r="75" spans="1:26" ht="24" customHeight="1">
      <c r="A75" s="3671" t="s">
        <v>1541</v>
      </c>
      <c r="B75" s="3506"/>
      <c r="C75" s="3672"/>
      <c r="D75" s="3506"/>
      <c r="E75" s="3506"/>
      <c r="F75" s="3506"/>
      <c r="G75" s="3673">
        <v>355898.17418181821</v>
      </c>
      <c r="H75" s="3674">
        <v>360000</v>
      </c>
      <c r="I75" s="4396">
        <f t="shared" ref="I75:N75" si="20">K99</f>
        <v>347440.63200000004</v>
      </c>
      <c r="J75" s="4399">
        <f t="shared" si="20"/>
        <v>345244.908</v>
      </c>
      <c r="K75" s="4397">
        <f t="shared" si="20"/>
        <v>346861.152</v>
      </c>
      <c r="L75" s="4397">
        <f t="shared" si="20"/>
        <v>342782.03700000001</v>
      </c>
      <c r="M75" s="4397">
        <f t="shared" si="20"/>
        <v>344127.88080000004</v>
      </c>
      <c r="N75" s="4397">
        <f t="shared" si="20"/>
        <v>349306.25199999998</v>
      </c>
      <c r="O75" s="4397">
        <f>Q99</f>
        <v>358549.47085714282</v>
      </c>
      <c r="P75" s="4397">
        <f>R99</f>
        <v>363015.22950000002</v>
      </c>
      <c r="Q75" s="4397">
        <f>S99</f>
        <v>367896.19866666663</v>
      </c>
      <c r="R75" s="4397">
        <f>T99</f>
        <v>369817.97640000004</v>
      </c>
      <c r="S75" s="3694"/>
      <c r="T75" s="5626"/>
      <c r="U75" s="5633">
        <f>SUM(I75:T75)</f>
        <v>3535041.7372238096</v>
      </c>
      <c r="X75" s="4350" t="s">
        <v>1623</v>
      </c>
      <c r="Y75" s="4351" t="s">
        <v>1642</v>
      </c>
      <c r="Z75" s="4351"/>
    </row>
    <row r="76" spans="1:26" ht="24" customHeight="1" thickBot="1">
      <c r="A76" s="3739" t="s">
        <v>1542</v>
      </c>
      <c r="B76" s="3506"/>
      <c r="C76" s="3672"/>
      <c r="D76" s="3506"/>
      <c r="E76" s="3506"/>
      <c r="F76" s="3506"/>
      <c r="G76" s="3740">
        <v>48880.698636363639</v>
      </c>
      <c r="H76" s="3745">
        <v>50255.45</v>
      </c>
      <c r="I76" s="4172">
        <f t="shared" ref="I76:N76" si="21">K102</f>
        <v>50372.811000000002</v>
      </c>
      <c r="J76" s="4400">
        <f t="shared" si="21"/>
        <v>72345.774000000005</v>
      </c>
      <c r="K76" s="4398">
        <f t="shared" si="21"/>
        <v>61221.726999999999</v>
      </c>
      <c r="L76" s="4398">
        <f t="shared" si="21"/>
        <v>55213.883000000002</v>
      </c>
      <c r="M76" s="4398">
        <f t="shared" si="21"/>
        <v>53606.952999999994</v>
      </c>
      <c r="N76" s="4398">
        <f t="shared" si="21"/>
        <v>58038.332999999999</v>
      </c>
      <c r="O76" s="4398">
        <f>Q102</f>
        <v>57152.304000000004</v>
      </c>
      <c r="P76" s="4398">
        <f>R102</f>
        <v>53453.247000000003</v>
      </c>
      <c r="Q76" s="4398">
        <f>S102</f>
        <v>55359.846999999994</v>
      </c>
      <c r="R76" s="4398">
        <f>T102</f>
        <v>43702.084999999999</v>
      </c>
      <c r="S76" s="3626"/>
      <c r="T76" s="5574"/>
      <c r="U76" s="5634">
        <f>SUM(I76:T76)</f>
        <v>560466.96400000004</v>
      </c>
      <c r="W76">
        <v>31282.307000000001</v>
      </c>
      <c r="X76" s="4350" t="s">
        <v>1624</v>
      </c>
      <c r="Y76" s="4351" t="s">
        <v>1622</v>
      </c>
    </row>
    <row r="77" spans="1:26" ht="24" customHeight="1">
      <c r="A77" s="3759" t="s">
        <v>1543</v>
      </c>
      <c r="B77" s="3749"/>
      <c r="C77" s="3750"/>
      <c r="D77" s="3749"/>
      <c r="E77" s="3749"/>
      <c r="F77" s="3749"/>
      <c r="G77" s="3751">
        <f>G75/G76</f>
        <v>7.280955144062859</v>
      </c>
      <c r="H77" s="3752">
        <f>H75/H76</f>
        <v>7.1634021782712125</v>
      </c>
      <c r="I77" s="4384">
        <f t="shared" ref="I77:U77" si="22">I75/I76</f>
        <v>6.897384225787996</v>
      </c>
      <c r="J77" s="4385">
        <f t="shared" si="22"/>
        <v>4.7721503124702211</v>
      </c>
      <c r="K77" s="4385">
        <f t="shared" si="22"/>
        <v>5.665654482435623</v>
      </c>
      <c r="L77" s="4385">
        <f t="shared" si="22"/>
        <v>6.2082581114608439</v>
      </c>
      <c r="M77" s="4385">
        <f t="shared" si="22"/>
        <v>6.4194635498122805</v>
      </c>
      <c r="N77" s="4385">
        <f t="shared" si="22"/>
        <v>6.0185438475636435</v>
      </c>
      <c r="O77" s="4385">
        <f t="shared" si="22"/>
        <v>6.2735785919871718</v>
      </c>
      <c r="P77" s="4385">
        <f t="shared" si="22"/>
        <v>6.7912661975426865</v>
      </c>
      <c r="Q77" s="4385">
        <f t="shared" si="22"/>
        <v>6.645542186319024</v>
      </c>
      <c r="R77" s="4385">
        <f t="shared" si="22"/>
        <v>8.462250174104966</v>
      </c>
      <c r="S77" s="4385" t="e">
        <f t="shared" si="22"/>
        <v>#DIV/0!</v>
      </c>
      <c r="T77" s="5627" t="e">
        <f t="shared" si="22"/>
        <v>#DIV/0!</v>
      </c>
      <c r="U77" s="5635">
        <f t="shared" si="22"/>
        <v>6.3073150859678666</v>
      </c>
    </row>
    <row r="78" spans="1:26" ht="24" customHeight="1">
      <c r="A78" s="3553" t="s">
        <v>1556</v>
      </c>
      <c r="B78" s="3506"/>
      <c r="C78" s="3499"/>
      <c r="D78" s="3506"/>
      <c r="E78" s="3506"/>
      <c r="F78" s="3506"/>
      <c r="G78" s="3527">
        <f>IF(G77="측정불가","측정불가",IF(G77&lt;4,1,IF(G77&lt;10,2,IF(G77&lt;20,3,IF(G77&lt;=30,4,IF(G77&gt;30,5,))))))</f>
        <v>2</v>
      </c>
      <c r="H78" s="3540">
        <f>IF(H77="측정불가","측정불가",IF(H77&lt;4,1,IF(H77&lt;10,2,IF(H77&lt;20,3,IF(H77&lt;=30,4,IF(H77&gt;30,5,))))))</f>
        <v>2</v>
      </c>
      <c r="I78" s="3532">
        <f t="shared" ref="I78:U78" si="23">IF(I77="측정불가","측정불가",IF(I77&lt;4,1,IF(I77&lt;10,2,IF(I77&lt;20,3,IF(I77&lt;=30,4,IF(I77&gt;30,5,))))))</f>
        <v>2</v>
      </c>
      <c r="J78" s="3527">
        <f t="shared" si="23"/>
        <v>2</v>
      </c>
      <c r="K78" s="3527">
        <f t="shared" si="23"/>
        <v>2</v>
      </c>
      <c r="L78" s="3527">
        <f t="shared" si="23"/>
        <v>2</v>
      </c>
      <c r="M78" s="3527">
        <f t="shared" si="23"/>
        <v>2</v>
      </c>
      <c r="N78" s="3527">
        <f t="shared" si="23"/>
        <v>2</v>
      </c>
      <c r="O78" s="3527">
        <f t="shared" si="23"/>
        <v>2</v>
      </c>
      <c r="P78" s="3527">
        <f t="shared" si="23"/>
        <v>2</v>
      </c>
      <c r="Q78" s="3527">
        <f t="shared" si="23"/>
        <v>2</v>
      </c>
      <c r="R78" s="3527">
        <f t="shared" si="23"/>
        <v>2</v>
      </c>
      <c r="S78" s="3527" t="e">
        <f t="shared" si="23"/>
        <v>#DIV/0!</v>
      </c>
      <c r="T78" s="5628" t="e">
        <f t="shared" si="23"/>
        <v>#DIV/0!</v>
      </c>
      <c r="U78" s="5636">
        <f t="shared" si="23"/>
        <v>2</v>
      </c>
    </row>
    <row r="79" spans="1:26" ht="24" customHeight="1">
      <c r="A79" s="3553" t="s">
        <v>1544</v>
      </c>
      <c r="B79" s="3506"/>
      <c r="C79" s="3501"/>
      <c r="D79" s="3506"/>
      <c r="E79" s="3506"/>
      <c r="F79" s="3506"/>
      <c r="G79" s="3500">
        <v>355898.17418181821</v>
      </c>
      <c r="H79" s="3548">
        <v>360000</v>
      </c>
      <c r="I79" s="4170">
        <f t="shared" ref="I79:N79" si="24">K99</f>
        <v>347440.63200000004</v>
      </c>
      <c r="J79" s="3489">
        <f t="shared" si="24"/>
        <v>345244.908</v>
      </c>
      <c r="K79" s="4401">
        <f t="shared" si="24"/>
        <v>346861.152</v>
      </c>
      <c r="L79" s="4401">
        <f t="shared" si="24"/>
        <v>342782.03700000001</v>
      </c>
      <c r="M79" s="4401">
        <f t="shared" si="24"/>
        <v>344127.88080000004</v>
      </c>
      <c r="N79" s="4401">
        <f t="shared" si="24"/>
        <v>349306.25199999998</v>
      </c>
      <c r="O79" s="4401">
        <f>Q99</f>
        <v>358549.47085714282</v>
      </c>
      <c r="P79" s="4401">
        <f>R99</f>
        <v>363015.22950000002</v>
      </c>
      <c r="Q79" s="4401">
        <f>S99</f>
        <v>367896.19866666663</v>
      </c>
      <c r="R79" s="4401">
        <f>T99</f>
        <v>369817.97640000004</v>
      </c>
      <c r="S79" s="3489"/>
      <c r="T79" s="4173"/>
      <c r="U79" s="5075">
        <f>SUM(I79:T79)</f>
        <v>3535041.7372238096</v>
      </c>
    </row>
    <row r="80" spans="1:26" ht="24" customHeight="1">
      <c r="A80" s="3553" t="s">
        <v>1545</v>
      </c>
      <c r="B80" s="3506"/>
      <c r="C80" s="3502" t="s">
        <v>1547</v>
      </c>
      <c r="D80" s="3506"/>
      <c r="E80" s="3506"/>
      <c r="F80" s="3506"/>
      <c r="G80" s="3544">
        <v>22864.274818181821</v>
      </c>
      <c r="H80" s="3548">
        <v>33968.5</v>
      </c>
      <c r="I80" s="4170">
        <f t="shared" ref="I80:R80" si="25">K104</f>
        <v>23604.624</v>
      </c>
      <c r="J80" s="4173">
        <f t="shared" si="25"/>
        <v>23459.143</v>
      </c>
      <c r="K80" s="4173">
        <f t="shared" si="25"/>
        <v>23689.471000000001</v>
      </c>
      <c r="L80" s="4173">
        <f t="shared" si="25"/>
        <v>28921.370999999999</v>
      </c>
      <c r="M80" s="4173">
        <f t="shared" si="25"/>
        <v>25882.482</v>
      </c>
      <c r="N80" s="4173">
        <f t="shared" si="25"/>
        <v>26677.054</v>
      </c>
      <c r="O80" s="4173">
        <f t="shared" si="25"/>
        <v>29491.68</v>
      </c>
      <c r="P80" s="4173">
        <f t="shared" si="25"/>
        <v>31913.47</v>
      </c>
      <c r="Q80" s="4173">
        <f t="shared" si="25"/>
        <v>34453.714</v>
      </c>
      <c r="R80" s="4173">
        <f t="shared" si="25"/>
        <v>36131.307999999997</v>
      </c>
      <c r="S80" s="3489"/>
      <c r="T80" s="4173"/>
      <c r="U80" s="5075">
        <f>SUM(I80:T80)</f>
        <v>284224.31699999998</v>
      </c>
    </row>
    <row r="81" spans="1:24" s="286" customFormat="1" ht="24" customHeight="1" thickBot="1">
      <c r="A81" s="3753" t="s">
        <v>801</v>
      </c>
      <c r="B81" s="3507"/>
      <c r="C81" s="3754"/>
      <c r="D81" s="3507"/>
      <c r="E81" s="3507"/>
      <c r="F81" s="3507"/>
      <c r="G81" s="3755"/>
      <c r="H81" s="3756"/>
      <c r="I81" s="3757">
        <f>I91</f>
        <v>5.7430231940534657</v>
      </c>
      <c r="J81" s="3758">
        <f t="shared" ref="J81:T81" si="26">J91</f>
        <v>5.5510505949629554</v>
      </c>
      <c r="K81" s="3758">
        <f t="shared" si="26"/>
        <v>6.4082898728568018</v>
      </c>
      <c r="L81" s="3758">
        <f t="shared" si="26"/>
        <v>6.6083061889250816</v>
      </c>
      <c r="M81" s="3758">
        <f t="shared" si="26"/>
        <v>6.5394658009502447</v>
      </c>
      <c r="N81" s="3758">
        <f t="shared" si="26"/>
        <v>6.7203538447566054</v>
      </c>
      <c r="O81" s="3758">
        <f t="shared" si="26"/>
        <v>6.4038714866330952</v>
      </c>
      <c r="P81" s="3758">
        <f t="shared" si="26"/>
        <v>6.0532007950293121</v>
      </c>
      <c r="Q81" s="3758">
        <f t="shared" si="26"/>
        <v>6.4450794712119723</v>
      </c>
      <c r="R81" s="3758">
        <f t="shared" si="26"/>
        <v>8.4343577838605732</v>
      </c>
      <c r="S81" s="3758">
        <f t="shared" si="26"/>
        <v>10.056733532979187</v>
      </c>
      <c r="T81" s="5629">
        <f t="shared" si="26"/>
        <v>11.950405815864164</v>
      </c>
      <c r="U81" s="5637">
        <v>7.5215722871847728</v>
      </c>
      <c r="X81" s="286" t="s">
        <v>1693</v>
      </c>
    </row>
    <row r="82" spans="1:24" ht="24" customHeight="1">
      <c r="A82" s="3760" t="s">
        <v>1546</v>
      </c>
      <c r="B82" s="3547"/>
      <c r="C82" s="3746">
        <v>3</v>
      </c>
      <c r="D82" s="3547"/>
      <c r="E82" s="3547"/>
      <c r="F82" s="3547"/>
      <c r="G82" s="3747">
        <f>G79/G80</f>
        <v>15.565688263106672</v>
      </c>
      <c r="H82" s="3748">
        <f>H79/H80</f>
        <v>10.598054079514844</v>
      </c>
      <c r="I82" s="5065">
        <f>I79/I80</f>
        <v>14.71917671723981</v>
      </c>
      <c r="J82" s="5066">
        <f t="shared" ref="J82:U82" si="27">J79/J80</f>
        <v>14.716859349891852</v>
      </c>
      <c r="K82" s="5066">
        <f t="shared" si="27"/>
        <v>14.641996522421289</v>
      </c>
      <c r="L82" s="5066">
        <f t="shared" si="27"/>
        <v>11.852205657885307</v>
      </c>
      <c r="M82" s="5066">
        <f t="shared" si="27"/>
        <v>13.29578364238793</v>
      </c>
      <c r="N82" s="5066">
        <f t="shared" si="27"/>
        <v>13.093884054813548</v>
      </c>
      <c r="O82" s="5066">
        <f t="shared" si="27"/>
        <v>12.157648220011298</v>
      </c>
      <c r="P82" s="5066">
        <f t="shared" si="27"/>
        <v>11.374984591145996</v>
      </c>
      <c r="Q82" s="4385">
        <f t="shared" si="27"/>
        <v>10.677983762988996</v>
      </c>
      <c r="R82" s="4385">
        <f t="shared" si="27"/>
        <v>10.235388555543024</v>
      </c>
      <c r="S82" s="4385" t="e">
        <f t="shared" si="27"/>
        <v>#DIV/0!</v>
      </c>
      <c r="T82" s="5627" t="e">
        <f t="shared" si="27"/>
        <v>#DIV/0!</v>
      </c>
      <c r="U82" s="5635">
        <f t="shared" si="27"/>
        <v>12.437506313802874</v>
      </c>
    </row>
    <row r="83" spans="1:24" ht="24" customHeight="1">
      <c r="A83" s="3761" t="s">
        <v>1504</v>
      </c>
      <c r="B83" s="3741"/>
      <c r="C83" s="3741"/>
      <c r="D83" s="3741"/>
      <c r="E83" s="3741"/>
      <c r="F83" s="3741"/>
      <c r="G83" s="3549">
        <f>IF(G82="측정불가","측정불가",IF(G82&lt;4,1,IF(G82&lt;10,2,IF(G82&lt;20,3,IF(G82&lt;=30,4,IF(G82&gt;30,5,))))))</f>
        <v>3</v>
      </c>
      <c r="H83" s="3742">
        <f>IF(H82="측정불가","측정불가",IF(H82&lt;4,1,IF(H82&lt;10,2,IF(H82&lt;20,3,IF(H82&lt;=30,4,IF(H82&gt;30,5,))))))</f>
        <v>3</v>
      </c>
      <c r="I83" s="4402">
        <f t="shared" ref="I83:U83" si="28">IF(I82="측정불가","측정불가",IF(I82&lt;4,1,IF(I82&lt;10,2,IF(I82&lt;20,3,IF(I82&lt;=30,4,IF(I82&gt;30,5,))))))</f>
        <v>3</v>
      </c>
      <c r="J83" s="3746">
        <f t="shared" si="28"/>
        <v>3</v>
      </c>
      <c r="K83" s="3746">
        <f t="shared" si="28"/>
        <v>3</v>
      </c>
      <c r="L83" s="3746">
        <f t="shared" si="28"/>
        <v>3</v>
      </c>
      <c r="M83" s="3746">
        <f t="shared" si="28"/>
        <v>3</v>
      </c>
      <c r="N83" s="3746">
        <f t="shared" si="28"/>
        <v>3</v>
      </c>
      <c r="O83" s="3746">
        <f t="shared" si="28"/>
        <v>3</v>
      </c>
      <c r="P83" s="3746">
        <f t="shared" si="28"/>
        <v>3</v>
      </c>
      <c r="Q83" s="3746">
        <f t="shared" si="28"/>
        <v>3</v>
      </c>
      <c r="R83" s="3746">
        <f t="shared" si="28"/>
        <v>3</v>
      </c>
      <c r="S83" s="3746" t="e">
        <f t="shared" si="28"/>
        <v>#DIV/0!</v>
      </c>
      <c r="T83" s="5630" t="e">
        <f t="shared" si="28"/>
        <v>#DIV/0!</v>
      </c>
      <c r="U83" s="5638">
        <f t="shared" si="28"/>
        <v>3</v>
      </c>
    </row>
    <row r="84" spans="1:24" s="286" customFormat="1" ht="24" customHeight="1" thickBot="1">
      <c r="A84" s="3744" t="s">
        <v>801</v>
      </c>
      <c r="B84" s="3762"/>
      <c r="C84" s="3762"/>
      <c r="D84" s="3762"/>
      <c r="E84" s="3762"/>
      <c r="F84" s="3762"/>
      <c r="G84" s="3763"/>
      <c r="H84" s="3763"/>
      <c r="I84" s="3764">
        <f>I95</f>
        <v>12.521230344155052</v>
      </c>
      <c r="J84" s="3764">
        <f t="shared" ref="J84:U84" si="29">J95</f>
        <v>12.504065685613423</v>
      </c>
      <c r="K84" s="3764">
        <f t="shared" si="29"/>
        <v>12.936966694192128</v>
      </c>
      <c r="L84" s="3764">
        <f t="shared" si="29"/>
        <v>13.058120378529559</v>
      </c>
      <c r="M84" s="3764">
        <f t="shared" si="29"/>
        <v>13.995785455846686</v>
      </c>
      <c r="N84" s="3764">
        <f t="shared" si="29"/>
        <v>12.680823999151974</v>
      </c>
      <c r="O84" s="3764">
        <f t="shared" si="29"/>
        <v>11.017085716027822</v>
      </c>
      <c r="P84" s="3764">
        <f t="shared" si="29"/>
        <v>9.6395785104174987</v>
      </c>
      <c r="Q84" s="3764">
        <f t="shared" si="29"/>
        <v>8.0931121032407098</v>
      </c>
      <c r="R84" s="3764">
        <f t="shared" si="29"/>
        <v>6.6629441068593636</v>
      </c>
      <c r="S84" s="3764">
        <f t="shared" si="29"/>
        <v>8.1200321587036068</v>
      </c>
      <c r="T84" s="5631">
        <f t="shared" si="29"/>
        <v>9.5437554677765704</v>
      </c>
      <c r="U84" s="5639">
        <f t="shared" si="29"/>
        <v>10.258933011976273</v>
      </c>
    </row>
    <row r="86" spans="1:24" s="286" customFormat="1" ht="19.899999999999999" customHeight="1" thickBot="1">
      <c r="A86" s="3452" t="s">
        <v>1554</v>
      </c>
    </row>
    <row r="87" spans="1:24" s="286" customFormat="1" ht="19.899999999999999" customHeight="1" thickBot="1">
      <c r="A87" s="8369" t="s">
        <v>1548</v>
      </c>
      <c r="B87" s="3545"/>
      <c r="C87" s="3545"/>
      <c r="D87" s="3545"/>
      <c r="E87" s="3545"/>
      <c r="F87" s="3545"/>
      <c r="G87" s="8384" t="s">
        <v>1156</v>
      </c>
      <c r="H87" s="8386" t="s">
        <v>1538</v>
      </c>
      <c r="I87" s="8373" t="s">
        <v>1555</v>
      </c>
      <c r="J87" s="8374"/>
      <c r="K87" s="8374"/>
      <c r="L87" s="8374"/>
      <c r="M87" s="8374"/>
      <c r="N87" s="8374"/>
      <c r="O87" s="8374"/>
      <c r="P87" s="8374"/>
      <c r="Q87" s="8374"/>
      <c r="R87" s="8374"/>
      <c r="S87" s="8374"/>
      <c r="T87" s="8374"/>
      <c r="U87" s="8375"/>
    </row>
    <row r="88" spans="1:24" s="286" customFormat="1" ht="19.899999999999999" customHeight="1" thickBot="1">
      <c r="A88" s="8383"/>
      <c r="B88" s="3675"/>
      <c r="C88" s="3676"/>
      <c r="D88" s="3675"/>
      <c r="E88" s="3675"/>
      <c r="F88" s="3675"/>
      <c r="G88" s="8385"/>
      <c r="H88" s="8387"/>
      <c r="I88" s="3677" t="s">
        <v>18</v>
      </c>
      <c r="J88" s="3678" t="s">
        <v>5</v>
      </c>
      <c r="K88" s="3678" t="s">
        <v>6</v>
      </c>
      <c r="L88" s="3678" t="s">
        <v>7</v>
      </c>
      <c r="M88" s="3678" t="s">
        <v>8</v>
      </c>
      <c r="N88" s="3678" t="s">
        <v>9</v>
      </c>
      <c r="O88" s="3678" t="s">
        <v>10</v>
      </c>
      <c r="P88" s="3678" t="s">
        <v>11</v>
      </c>
      <c r="Q88" s="3678" t="s">
        <v>12</v>
      </c>
      <c r="R88" s="3678" t="s">
        <v>13</v>
      </c>
      <c r="S88" s="3678" t="s">
        <v>14</v>
      </c>
      <c r="T88" s="5625" t="s">
        <v>15</v>
      </c>
      <c r="U88" s="5632" t="s">
        <v>194</v>
      </c>
    </row>
    <row r="89" spans="1:24" s="286" customFormat="1" ht="19.899999999999999" customHeight="1">
      <c r="A89" s="3671" t="s">
        <v>1541</v>
      </c>
      <c r="B89" s="3506"/>
      <c r="C89" s="3672"/>
      <c r="D89" s="3506"/>
      <c r="E89" s="3506"/>
      <c r="F89" s="3506"/>
      <c r="G89" s="3673">
        <v>355898.17418181821</v>
      </c>
      <c r="H89" s="3674">
        <v>360000</v>
      </c>
      <c r="I89" s="3693">
        <v>308160</v>
      </c>
      <c r="J89" s="3694">
        <v>315240</v>
      </c>
      <c r="K89" s="3694">
        <v>329000</v>
      </c>
      <c r="L89" s="3694">
        <v>340830</v>
      </c>
      <c r="M89" s="3694">
        <v>352008</v>
      </c>
      <c r="N89" s="3694">
        <v>358880</v>
      </c>
      <c r="O89" s="3694">
        <v>361371.42857142858</v>
      </c>
      <c r="P89" s="3694">
        <v>362265</v>
      </c>
      <c r="Q89" s="3694">
        <v>364360</v>
      </c>
      <c r="R89" s="3694">
        <v>365136</v>
      </c>
      <c r="S89" s="3694">
        <v>364516.36363636365</v>
      </c>
      <c r="T89" s="5626">
        <v>360000</v>
      </c>
      <c r="U89" s="5633">
        <f>SUM(I89:T89)</f>
        <v>4181766.7922077924</v>
      </c>
    </row>
    <row r="90" spans="1:24" s="286" customFormat="1" ht="19.899999999999999" customHeight="1">
      <c r="A90" s="3553" t="s">
        <v>1542</v>
      </c>
      <c r="B90" s="3506"/>
      <c r="C90" s="3503"/>
      <c r="D90" s="3506"/>
      <c r="E90" s="3506"/>
      <c r="F90" s="3506"/>
      <c r="G90" s="3544">
        <v>48880.698636363639</v>
      </c>
      <c r="H90" s="3546">
        <v>50255.45</v>
      </c>
      <c r="I90" s="3490">
        <v>53658.15</v>
      </c>
      <c r="J90" s="3489">
        <v>56789.25</v>
      </c>
      <c r="K90" s="3489">
        <v>51339.75</v>
      </c>
      <c r="L90" s="3489">
        <v>51576</v>
      </c>
      <c r="M90" s="3489">
        <v>53828.25</v>
      </c>
      <c r="N90" s="3489">
        <v>53401.95</v>
      </c>
      <c r="O90" s="3489">
        <v>56430.15</v>
      </c>
      <c r="P90" s="3489">
        <v>59846.85</v>
      </c>
      <c r="Q90" s="3489">
        <v>56533.05</v>
      </c>
      <c r="R90" s="3489">
        <v>43291.5</v>
      </c>
      <c r="S90" s="3489">
        <v>36246</v>
      </c>
      <c r="T90" s="4173">
        <v>30124.5</v>
      </c>
      <c r="U90" s="5075">
        <f>SUM(I90:T90)</f>
        <v>603065.4</v>
      </c>
    </row>
    <row r="91" spans="1:24" s="286" customFormat="1" ht="19.899999999999999" customHeight="1">
      <c r="A91" s="3554" t="s">
        <v>1543</v>
      </c>
      <c r="B91" s="3547"/>
      <c r="C91" s="3527"/>
      <c r="D91" s="3547"/>
      <c r="E91" s="3547"/>
      <c r="F91" s="3547"/>
      <c r="G91" s="3531">
        <f>G89/G90</f>
        <v>7.280955144062859</v>
      </c>
      <c r="H91" s="3539">
        <f>H89/H90</f>
        <v>7.1634021782712125</v>
      </c>
      <c r="I91" s="3530">
        <f t="shared" ref="I91:U91" si="30">I89/I90</f>
        <v>5.7430231940534657</v>
      </c>
      <c r="J91" s="3531">
        <f t="shared" si="30"/>
        <v>5.5510505949629554</v>
      </c>
      <c r="K91" s="3531">
        <f t="shared" si="30"/>
        <v>6.4082898728568018</v>
      </c>
      <c r="L91" s="3531">
        <f t="shared" si="30"/>
        <v>6.6083061889250816</v>
      </c>
      <c r="M91" s="3531">
        <f t="shared" si="30"/>
        <v>6.5394658009502447</v>
      </c>
      <c r="N91" s="3531">
        <f t="shared" si="30"/>
        <v>6.7203538447566054</v>
      </c>
      <c r="O91" s="3531">
        <f t="shared" si="30"/>
        <v>6.4038714866330952</v>
      </c>
      <c r="P91" s="3531">
        <f t="shared" si="30"/>
        <v>6.0532007950293121</v>
      </c>
      <c r="Q91" s="3531">
        <f t="shared" si="30"/>
        <v>6.4450794712119723</v>
      </c>
      <c r="R91" s="3531">
        <f t="shared" si="30"/>
        <v>8.4343577838605732</v>
      </c>
      <c r="S91" s="3531">
        <f t="shared" si="30"/>
        <v>10.056733532979187</v>
      </c>
      <c r="T91" s="5640">
        <f t="shared" si="30"/>
        <v>11.950405815864164</v>
      </c>
      <c r="U91" s="5643">
        <f t="shared" si="30"/>
        <v>6.9341845713711852</v>
      </c>
    </row>
    <row r="92" spans="1:24" s="286" customFormat="1" ht="19.899999999999999" customHeight="1">
      <c r="A92" s="3553" t="s">
        <v>1504</v>
      </c>
      <c r="B92" s="3506"/>
      <c r="C92" s="3499"/>
      <c r="D92" s="3506"/>
      <c r="E92" s="3506"/>
      <c r="F92" s="3506"/>
      <c r="G92" s="3527">
        <f>IF(G91="측정불가","측정불가",IF(G91&lt;4,1,IF(G91&lt;10,2,IF(G91&lt;20,3,IF(G91&lt;=30,4,IF(G91&gt;30,5,))))))</f>
        <v>2</v>
      </c>
      <c r="H92" s="3540">
        <f>IF(H91="측정불가","측정불가",IF(H91&lt;4,1,IF(H91&lt;10,2,IF(H91&lt;20,3,IF(H91&lt;=30,4,IF(H91&gt;30,5,))))))</f>
        <v>2</v>
      </c>
      <c r="I92" s="3532">
        <f t="shared" ref="I92:U92" si="31">IF(I91="측정불가","측정불가",IF(I91&lt;4,1,IF(I91&lt;10,2,IF(I91&lt;20,3,IF(I91&lt;=30,4,IF(I91&gt;30,5,))))))</f>
        <v>2</v>
      </c>
      <c r="J92" s="3527">
        <f t="shared" si="31"/>
        <v>2</v>
      </c>
      <c r="K92" s="3527">
        <f t="shared" si="31"/>
        <v>2</v>
      </c>
      <c r="L92" s="3527">
        <f t="shared" si="31"/>
        <v>2</v>
      </c>
      <c r="M92" s="3527">
        <f t="shared" si="31"/>
        <v>2</v>
      </c>
      <c r="N92" s="3527">
        <f t="shared" si="31"/>
        <v>2</v>
      </c>
      <c r="O92" s="3527">
        <f t="shared" si="31"/>
        <v>2</v>
      </c>
      <c r="P92" s="3527">
        <f t="shared" si="31"/>
        <v>2</v>
      </c>
      <c r="Q92" s="3527">
        <f t="shared" si="31"/>
        <v>2</v>
      </c>
      <c r="R92" s="3527">
        <f t="shared" si="31"/>
        <v>2</v>
      </c>
      <c r="S92" s="3527">
        <f t="shared" si="31"/>
        <v>3</v>
      </c>
      <c r="T92" s="5628">
        <f t="shared" si="31"/>
        <v>3</v>
      </c>
      <c r="U92" s="5636">
        <f t="shared" si="31"/>
        <v>2</v>
      </c>
    </row>
    <row r="93" spans="1:24" s="286" customFormat="1" ht="19.899999999999999" customHeight="1">
      <c r="A93" s="3553" t="s">
        <v>1544</v>
      </c>
      <c r="B93" s="3506"/>
      <c r="C93" s="3501"/>
      <c r="D93" s="3506"/>
      <c r="E93" s="3506"/>
      <c r="F93" s="3506"/>
      <c r="G93" s="3500">
        <v>355898.17418181821</v>
      </c>
      <c r="H93" s="3548">
        <v>360000</v>
      </c>
      <c r="I93" s="3490">
        <v>308160</v>
      </c>
      <c r="J93" s="3489">
        <v>315240</v>
      </c>
      <c r="K93" s="3489">
        <v>329000</v>
      </c>
      <c r="L93" s="3489">
        <v>340830</v>
      </c>
      <c r="M93" s="3489">
        <v>352008</v>
      </c>
      <c r="N93" s="3489">
        <v>358880</v>
      </c>
      <c r="O93" s="3489">
        <v>361371.42857142858</v>
      </c>
      <c r="P93" s="3489">
        <v>362265</v>
      </c>
      <c r="Q93" s="3489">
        <v>364360</v>
      </c>
      <c r="R93" s="3489">
        <v>365136</v>
      </c>
      <c r="S93" s="3489">
        <v>364516.36363636365</v>
      </c>
      <c r="T93" s="4173">
        <v>360000</v>
      </c>
      <c r="U93" s="5075">
        <f>SUM(I93:T93)</f>
        <v>4181766.7922077924</v>
      </c>
    </row>
    <row r="94" spans="1:24" s="286" customFormat="1" ht="19.899999999999999" customHeight="1">
      <c r="A94" s="3553" t="s">
        <v>1545</v>
      </c>
      <c r="B94" s="3506"/>
      <c r="C94" s="3502" t="s">
        <v>1547</v>
      </c>
      <c r="D94" s="3506"/>
      <c r="E94" s="3506"/>
      <c r="F94" s="3506"/>
      <c r="G94" s="3544">
        <v>22864.274818181821</v>
      </c>
      <c r="H94" s="3548">
        <v>33968.5</v>
      </c>
      <c r="I94" s="3490">
        <v>24611</v>
      </c>
      <c r="J94" s="3489">
        <v>25211</v>
      </c>
      <c r="K94" s="3489">
        <v>25431</v>
      </c>
      <c r="L94" s="3489">
        <v>26101</v>
      </c>
      <c r="M94" s="3489">
        <v>25151</v>
      </c>
      <c r="N94" s="3489">
        <v>28301</v>
      </c>
      <c r="O94" s="3489">
        <v>32801</v>
      </c>
      <c r="P94" s="3489">
        <v>37581</v>
      </c>
      <c r="Q94" s="3489">
        <v>45021</v>
      </c>
      <c r="R94" s="3489">
        <v>54801</v>
      </c>
      <c r="S94" s="3489">
        <v>44891</v>
      </c>
      <c r="T94" s="4173">
        <v>37721</v>
      </c>
      <c r="U94" s="5075">
        <f>SUM(I94:T94)</f>
        <v>407622</v>
      </c>
    </row>
    <row r="95" spans="1:24" s="286" customFormat="1" ht="19.899999999999999" customHeight="1" thickBot="1">
      <c r="A95" s="3555" t="s">
        <v>1543</v>
      </c>
      <c r="B95" s="3547"/>
      <c r="C95" s="3549">
        <v>3</v>
      </c>
      <c r="D95" s="3547"/>
      <c r="E95" s="3547"/>
      <c r="F95" s="3547"/>
      <c r="G95" s="3550">
        <f>G93/G94</f>
        <v>15.565688263106672</v>
      </c>
      <c r="H95" s="3551">
        <f>H93/H94</f>
        <v>10.598054079514844</v>
      </c>
      <c r="I95" s="3528">
        <f t="shared" ref="I95:U95" si="32">I93/I94</f>
        <v>12.521230344155052</v>
      </c>
      <c r="J95" s="3529">
        <f t="shared" si="32"/>
        <v>12.504065685613423</v>
      </c>
      <c r="K95" s="3529">
        <f t="shared" si="32"/>
        <v>12.936966694192128</v>
      </c>
      <c r="L95" s="3529">
        <f t="shared" si="32"/>
        <v>13.058120378529559</v>
      </c>
      <c r="M95" s="3529">
        <f t="shared" si="32"/>
        <v>13.995785455846686</v>
      </c>
      <c r="N95" s="3529">
        <f t="shared" si="32"/>
        <v>12.680823999151974</v>
      </c>
      <c r="O95" s="3529">
        <f t="shared" si="32"/>
        <v>11.017085716027822</v>
      </c>
      <c r="P95" s="3529">
        <f t="shared" si="32"/>
        <v>9.6395785104174987</v>
      </c>
      <c r="Q95" s="3529">
        <f t="shared" si="32"/>
        <v>8.0931121032407098</v>
      </c>
      <c r="R95" s="3529">
        <f t="shared" si="32"/>
        <v>6.6629441068593636</v>
      </c>
      <c r="S95" s="3529">
        <f t="shared" si="32"/>
        <v>8.1200321587036068</v>
      </c>
      <c r="T95" s="5641">
        <f t="shared" si="32"/>
        <v>9.5437554677765704</v>
      </c>
      <c r="U95" s="5644">
        <f t="shared" si="32"/>
        <v>10.258933011976273</v>
      </c>
    </row>
    <row r="96" spans="1:24" s="286" customFormat="1" ht="19.899999999999999" customHeight="1" thickBot="1">
      <c r="A96" s="3556" t="s">
        <v>1504</v>
      </c>
      <c r="B96" s="3552"/>
      <c r="C96" s="3552"/>
      <c r="D96" s="3552"/>
      <c r="E96" s="3552"/>
      <c r="F96" s="3552"/>
      <c r="G96" s="3542">
        <f>IF(G95="측정불가","측정불가",IF(G95&lt;4,1,IF(G95&lt;10,2,IF(G95&lt;20,3,IF(G95&lt;=30,4,IF(G95&gt;30,5,))))))</f>
        <v>3</v>
      </c>
      <c r="H96" s="3543">
        <f>IF(H95="측정불가","측정불가",IF(H95&lt;4,1,IF(H95&lt;10,2,IF(H95&lt;20,3,IF(H95&lt;=30,4,IF(H95&gt;30,5,))))))</f>
        <v>3</v>
      </c>
      <c r="I96" s="3541">
        <f t="shared" ref="I96:U96" si="33">IF(I95="측정불가","측정불가",IF(I95&lt;4,1,IF(I95&lt;10,2,IF(I95&lt;20,3,IF(I95&lt;=30,4,IF(I95&gt;30,5,))))))</f>
        <v>3</v>
      </c>
      <c r="J96" s="3542">
        <f t="shared" si="33"/>
        <v>3</v>
      </c>
      <c r="K96" s="3542">
        <f t="shared" si="33"/>
        <v>3</v>
      </c>
      <c r="L96" s="3542">
        <f t="shared" si="33"/>
        <v>3</v>
      </c>
      <c r="M96" s="3542">
        <f t="shared" si="33"/>
        <v>3</v>
      </c>
      <c r="N96" s="3542">
        <f t="shared" si="33"/>
        <v>3</v>
      </c>
      <c r="O96" s="3542">
        <f t="shared" si="33"/>
        <v>3</v>
      </c>
      <c r="P96" s="3542">
        <f t="shared" si="33"/>
        <v>2</v>
      </c>
      <c r="Q96" s="3542">
        <f t="shared" si="33"/>
        <v>2</v>
      </c>
      <c r="R96" s="3542">
        <f t="shared" si="33"/>
        <v>2</v>
      </c>
      <c r="S96" s="3542">
        <f t="shared" si="33"/>
        <v>2</v>
      </c>
      <c r="T96" s="5642">
        <f t="shared" si="33"/>
        <v>2</v>
      </c>
      <c r="U96" s="5645">
        <f t="shared" si="33"/>
        <v>3</v>
      </c>
    </row>
    <row r="97" spans="1:27">
      <c r="Y97" t="s">
        <v>1876</v>
      </c>
    </row>
    <row r="98" spans="1:27" ht="14.25" thickBot="1">
      <c r="G98" s="4353"/>
      <c r="H98" s="4353"/>
      <c r="I98" s="4353"/>
      <c r="J98" s="4353"/>
      <c r="K98" s="4354" t="s">
        <v>1640</v>
      </c>
      <c r="L98" s="4354" t="s">
        <v>1641</v>
      </c>
      <c r="M98" s="4354" t="s">
        <v>1644</v>
      </c>
      <c r="N98" s="4354" t="s">
        <v>7</v>
      </c>
      <c r="O98" s="4354" t="s">
        <v>8</v>
      </c>
      <c r="P98" s="4354" t="s">
        <v>9</v>
      </c>
      <c r="Q98" s="4354" t="s">
        <v>10</v>
      </c>
      <c r="R98" s="4354" t="s">
        <v>11</v>
      </c>
      <c r="S98" s="4354" t="s">
        <v>12</v>
      </c>
      <c r="T98" s="4354" t="s">
        <v>13</v>
      </c>
      <c r="U98" s="4354" t="s">
        <v>14</v>
      </c>
      <c r="V98" s="4354"/>
      <c r="W98" s="4355" t="s">
        <v>1625</v>
      </c>
      <c r="X98" s="4352" t="s">
        <v>1626</v>
      </c>
      <c r="Y98" s="4354" t="s">
        <v>1695</v>
      </c>
    </row>
    <row r="99" spans="1:27">
      <c r="A99" s="4356" t="s">
        <v>1627</v>
      </c>
      <c r="G99" s="4357" t="s">
        <v>1628</v>
      </c>
      <c r="H99" s="4358"/>
      <c r="I99" s="4358"/>
      <c r="J99" s="4359">
        <f>X87</f>
        <v>0</v>
      </c>
      <c r="K99" s="4359">
        <f>K108*12</f>
        <v>347440.63200000004</v>
      </c>
      <c r="L99" s="4359">
        <f>(K108+L108)/2*12</f>
        <v>345244.908</v>
      </c>
      <c r="M99" s="4359">
        <f>(K108+L108+M108)/3*12</f>
        <v>346861.152</v>
      </c>
      <c r="N99" s="4359">
        <f>(K108+L108+M108+N108)/4*12</f>
        <v>342782.03700000001</v>
      </c>
      <c r="O99" s="4359">
        <f>(K108+L108+M108+N108+O108)/5*12</f>
        <v>344127.88080000004</v>
      </c>
      <c r="P99" s="4359">
        <f>(K108+L108+M108+N108+O108+P108)/6*12</f>
        <v>349306.25199999998</v>
      </c>
      <c r="Q99" s="4359">
        <f>(K108+L108+M108+N108+O108+P108+Q108)/7*12</f>
        <v>358549.47085714282</v>
      </c>
      <c r="R99" s="4359">
        <f>(K108+L108+M108+N108+O108+P108+Q108+R108)/8*12</f>
        <v>363015.22950000002</v>
      </c>
      <c r="S99" s="4359">
        <f>(K108+L108+M108+N108+O108+P108+Q108+R108+S108)/9*12</f>
        <v>367896.19866666663</v>
      </c>
      <c r="T99" s="4359">
        <f>(K108+L108+M108+N108+O108+P108+Q108+R108+S108+T108)/10*12</f>
        <v>369817.97640000004</v>
      </c>
      <c r="U99" s="4359">
        <f>(K108+L108+M108)/3*12</f>
        <v>346861.152</v>
      </c>
      <c r="V99" s="4357">
        <f>(K108+L108+M108+N108+O108+P108+Q108+R108+S108+T108+U108+V108)/12*12</f>
        <v>308181.647</v>
      </c>
      <c r="W99" s="4360">
        <f>U99</f>
        <v>346861.152</v>
      </c>
      <c r="X99" s="4361">
        <f>U99</f>
        <v>346861.152</v>
      </c>
      <c r="Y99" s="4350" t="s">
        <v>1623</v>
      </c>
      <c r="Z99" s="4351" t="s">
        <v>1642</v>
      </c>
      <c r="AA99" s="4351"/>
    </row>
    <row r="100" spans="1:27">
      <c r="A100" s="4362" t="s">
        <v>491</v>
      </c>
      <c r="G100" s="4363" t="s">
        <v>1629</v>
      </c>
      <c r="H100" s="4363" t="s">
        <v>1630</v>
      </c>
      <c r="I100" s="4363" t="s">
        <v>1631</v>
      </c>
      <c r="J100" s="4363"/>
      <c r="K100" s="4363">
        <v>20478.670999999998</v>
      </c>
      <c r="L100" s="4363">
        <v>41063.466999999997</v>
      </c>
      <c r="M100" s="4363">
        <v>32553.690999999999</v>
      </c>
      <c r="N100" s="4363">
        <v>29003.006000000001</v>
      </c>
      <c r="O100" s="4363">
        <v>21848.495999999999</v>
      </c>
      <c r="P100" s="4363">
        <v>23744.895</v>
      </c>
      <c r="Q100" s="4363">
        <v>26273.228999999999</v>
      </c>
      <c r="R100" s="4363">
        <v>23268.464</v>
      </c>
      <c r="S100" s="4363">
        <v>22969.510999999999</v>
      </c>
      <c r="T100" s="4363">
        <v>2089.288</v>
      </c>
      <c r="U100" s="4363"/>
      <c r="V100" s="4364"/>
      <c r="W100" s="4365">
        <f>AVERAGE(K100:V100)</f>
        <v>24329.271799999999</v>
      </c>
      <c r="X100" s="4353"/>
      <c r="Y100" s="4350" t="s">
        <v>1624</v>
      </c>
      <c r="Z100" s="4351" t="s">
        <v>1622</v>
      </c>
      <c r="AA100" s="286"/>
    </row>
    <row r="101" spans="1:27">
      <c r="A101" s="4362"/>
      <c r="G101" s="4366"/>
      <c r="H101" s="4366"/>
      <c r="I101" s="4366" t="s">
        <v>1632</v>
      </c>
      <c r="J101" s="4366"/>
      <c r="K101" s="4366">
        <v>29894.14</v>
      </c>
      <c r="L101" s="4366">
        <v>31282.307000000001</v>
      </c>
      <c r="M101" s="4366">
        <v>28668.036</v>
      </c>
      <c r="N101" s="4366">
        <v>26210.877</v>
      </c>
      <c r="O101" s="4366">
        <v>31758.456999999999</v>
      </c>
      <c r="P101" s="4366">
        <v>34293.438000000002</v>
      </c>
      <c r="Q101" s="4366">
        <v>30879.075000000001</v>
      </c>
      <c r="R101" s="4366">
        <v>30184.782999999999</v>
      </c>
      <c r="S101" s="4366">
        <v>32390.335999999999</v>
      </c>
      <c r="T101" s="4366">
        <v>41612.796999999999</v>
      </c>
      <c r="U101" s="4366"/>
      <c r="V101" s="4367"/>
      <c r="W101" s="4368">
        <f>AVERAGE(K101:V101)</f>
        <v>31717.424600000006</v>
      </c>
      <c r="X101" s="4353"/>
    </row>
    <row r="102" spans="1:27">
      <c r="A102" s="4362"/>
      <c r="G102" s="4366"/>
      <c r="H102" s="4367"/>
      <c r="I102" s="4358" t="s">
        <v>1633</v>
      </c>
      <c r="J102" s="4359">
        <f t="shared" ref="J102:W102" si="34">SUM(J100:J101)</f>
        <v>0</v>
      </c>
      <c r="K102" s="4359">
        <f t="shared" si="34"/>
        <v>50372.811000000002</v>
      </c>
      <c r="L102" s="4359">
        <f t="shared" si="34"/>
        <v>72345.774000000005</v>
      </c>
      <c r="M102" s="4359">
        <f t="shared" si="34"/>
        <v>61221.726999999999</v>
      </c>
      <c r="N102" s="4359">
        <f t="shared" si="34"/>
        <v>55213.883000000002</v>
      </c>
      <c r="O102" s="4359">
        <f t="shared" si="34"/>
        <v>53606.952999999994</v>
      </c>
      <c r="P102" s="4359">
        <f t="shared" si="34"/>
        <v>58038.332999999999</v>
      </c>
      <c r="Q102" s="4359">
        <f t="shared" si="34"/>
        <v>57152.304000000004</v>
      </c>
      <c r="R102" s="4359">
        <f t="shared" si="34"/>
        <v>53453.247000000003</v>
      </c>
      <c r="S102" s="4359">
        <f t="shared" si="34"/>
        <v>55359.846999999994</v>
      </c>
      <c r="T102" s="4359">
        <f t="shared" si="34"/>
        <v>43702.084999999999</v>
      </c>
      <c r="U102" s="4359">
        <f t="shared" si="34"/>
        <v>0</v>
      </c>
      <c r="V102" s="4357">
        <f t="shared" si="34"/>
        <v>0</v>
      </c>
      <c r="W102" s="4369">
        <f t="shared" si="34"/>
        <v>56046.696400000001</v>
      </c>
      <c r="X102" s="4353">
        <f>AVERAGE(S102:U102)</f>
        <v>33020.644</v>
      </c>
    </row>
    <row r="103" spans="1:27">
      <c r="A103" s="4362"/>
      <c r="G103" s="4366"/>
      <c r="H103" s="4370"/>
      <c r="I103" s="4371" t="s">
        <v>1634</v>
      </c>
      <c r="J103" s="4372" t="e">
        <f t="shared" ref="J103:X103" si="35">J99/J102</f>
        <v>#DIV/0!</v>
      </c>
      <c r="K103" s="4372">
        <f t="shared" si="35"/>
        <v>6.897384225787996</v>
      </c>
      <c r="L103" s="4372">
        <f t="shared" si="35"/>
        <v>4.7721503124702211</v>
      </c>
      <c r="M103" s="4372">
        <f t="shared" si="35"/>
        <v>5.665654482435623</v>
      </c>
      <c r="N103" s="4372">
        <f t="shared" si="35"/>
        <v>6.2082581114608439</v>
      </c>
      <c r="O103" s="4372">
        <f t="shared" si="35"/>
        <v>6.4194635498122805</v>
      </c>
      <c r="P103" s="4372">
        <f t="shared" si="35"/>
        <v>6.0185438475636435</v>
      </c>
      <c r="Q103" s="4372">
        <f t="shared" si="35"/>
        <v>6.2735785919871718</v>
      </c>
      <c r="R103" s="4372">
        <f t="shared" si="35"/>
        <v>6.7912661975426865</v>
      </c>
      <c r="S103" s="4372">
        <f t="shared" si="35"/>
        <v>6.645542186319024</v>
      </c>
      <c r="T103" s="4372">
        <f t="shared" si="35"/>
        <v>8.462250174104966</v>
      </c>
      <c r="U103" s="4372" t="e">
        <f t="shared" si="35"/>
        <v>#DIV/0!</v>
      </c>
      <c r="V103" s="4373" t="e">
        <f t="shared" si="35"/>
        <v>#DIV/0!</v>
      </c>
      <c r="W103" s="4374">
        <f t="shared" si="35"/>
        <v>6.1887885331275294</v>
      </c>
      <c r="X103" s="4375">
        <f t="shared" si="35"/>
        <v>10.504372719078404</v>
      </c>
    </row>
    <row r="104" spans="1:27">
      <c r="A104" s="4362"/>
      <c r="G104" s="4366"/>
      <c r="H104" s="4366" t="s">
        <v>1635</v>
      </c>
      <c r="I104" s="4359" t="s">
        <v>1636</v>
      </c>
      <c r="J104" s="4370"/>
      <c r="K104" s="4370">
        <v>23604.624</v>
      </c>
      <c r="L104" s="4370">
        <v>23459.143</v>
      </c>
      <c r="M104" s="4370">
        <v>23689.471000000001</v>
      </c>
      <c r="N104" s="4370">
        <v>28921.370999999999</v>
      </c>
      <c r="O104" s="4370">
        <v>25882.482</v>
      </c>
      <c r="P104" s="4370">
        <v>26677.054</v>
      </c>
      <c r="Q104" s="4370">
        <v>29491.68</v>
      </c>
      <c r="R104" s="4370">
        <v>31913.47</v>
      </c>
      <c r="S104" s="4370">
        <v>34453.714</v>
      </c>
      <c r="T104" s="4370">
        <v>36131.307999999997</v>
      </c>
      <c r="U104" s="4370"/>
      <c r="V104" s="4376"/>
      <c r="W104" s="4368">
        <f>AVERAGE(K104:V104)</f>
        <v>28422.431699999997</v>
      </c>
      <c r="X104" s="4353">
        <f>AVERAGE(S104:U104)</f>
        <v>35292.510999999999</v>
      </c>
      <c r="Y104" s="4350" t="s">
        <v>1768</v>
      </c>
      <c r="Z104" s="4350" t="s">
        <v>1769</v>
      </c>
      <c r="AA104" s="4350" t="s">
        <v>1770</v>
      </c>
    </row>
    <row r="105" spans="1:27">
      <c r="A105" s="4362"/>
      <c r="G105" s="4366"/>
      <c r="H105" s="4370"/>
      <c r="I105" s="4371" t="s">
        <v>1634</v>
      </c>
      <c r="J105" s="4372" t="e">
        <f t="shared" ref="J105:X105" si="36">J99/J104</f>
        <v>#DIV/0!</v>
      </c>
      <c r="K105" s="4372">
        <f t="shared" si="36"/>
        <v>14.71917671723981</v>
      </c>
      <c r="L105" s="4372">
        <f t="shared" si="36"/>
        <v>14.716859349891852</v>
      </c>
      <c r="M105" s="4372">
        <f t="shared" si="36"/>
        <v>14.641996522421289</v>
      </c>
      <c r="N105" s="4372">
        <f t="shared" si="36"/>
        <v>11.852205657885307</v>
      </c>
      <c r="O105" s="4372">
        <f t="shared" si="36"/>
        <v>13.29578364238793</v>
      </c>
      <c r="P105" s="4372">
        <f t="shared" si="36"/>
        <v>13.093884054813548</v>
      </c>
      <c r="Q105" s="4372">
        <f t="shared" si="36"/>
        <v>12.157648220011298</v>
      </c>
      <c r="R105" s="4372">
        <f t="shared" si="36"/>
        <v>11.374984591145996</v>
      </c>
      <c r="S105" s="4372">
        <f t="shared" si="36"/>
        <v>10.677983762988996</v>
      </c>
      <c r="T105" s="4372">
        <f t="shared" si="36"/>
        <v>10.235388555543024</v>
      </c>
      <c r="U105" s="4372" t="e">
        <f t="shared" si="36"/>
        <v>#DIV/0!</v>
      </c>
      <c r="V105" s="4373" t="e">
        <f t="shared" si="36"/>
        <v>#DIV/0!</v>
      </c>
      <c r="W105" s="4374">
        <f t="shared" si="36"/>
        <v>12.203781705278933</v>
      </c>
      <c r="X105" s="4375">
        <f t="shared" si="36"/>
        <v>9.8281800351354995</v>
      </c>
    </row>
    <row r="106" spans="1:27">
      <c r="A106" s="4362"/>
      <c r="G106" s="4376"/>
      <c r="H106" s="4358" t="s">
        <v>1633</v>
      </c>
      <c r="I106" s="4358"/>
      <c r="J106" s="4359">
        <f t="shared" ref="J106:W106" si="37">J102+J104</f>
        <v>0</v>
      </c>
      <c r="K106" s="4359">
        <f t="shared" si="37"/>
        <v>73977.434999999998</v>
      </c>
      <c r="L106" s="4359">
        <f t="shared" si="37"/>
        <v>95804.917000000001</v>
      </c>
      <c r="M106" s="4359">
        <f t="shared" si="37"/>
        <v>84911.198000000004</v>
      </c>
      <c r="N106" s="4359">
        <f t="shared" si="37"/>
        <v>84135.254000000001</v>
      </c>
      <c r="O106" s="4359">
        <f t="shared" si="37"/>
        <v>79489.434999999998</v>
      </c>
      <c r="P106" s="4359">
        <f t="shared" si="37"/>
        <v>84715.387000000002</v>
      </c>
      <c r="Q106" s="4359">
        <f t="shared" si="37"/>
        <v>86643.983999999997</v>
      </c>
      <c r="R106" s="4359">
        <f t="shared" si="37"/>
        <v>85366.717000000004</v>
      </c>
      <c r="S106" s="4359">
        <f t="shared" si="37"/>
        <v>89813.560999999987</v>
      </c>
      <c r="T106" s="4359">
        <f t="shared" si="37"/>
        <v>79833.392999999996</v>
      </c>
      <c r="U106" s="4359">
        <f t="shared" si="37"/>
        <v>0</v>
      </c>
      <c r="V106" s="4357">
        <f t="shared" si="37"/>
        <v>0</v>
      </c>
      <c r="W106" s="4369">
        <f t="shared" si="37"/>
        <v>84469.128100000002</v>
      </c>
      <c r="X106" s="4353"/>
    </row>
    <row r="107" spans="1:27">
      <c r="A107" s="4377"/>
      <c r="G107" s="4378" t="s">
        <v>1637</v>
      </c>
      <c r="H107" s="4379"/>
      <c r="I107" s="4379"/>
      <c r="J107" s="4380" t="e">
        <f t="shared" ref="J107:W107" si="38">J99/J106</f>
        <v>#DIV/0!</v>
      </c>
      <c r="K107" s="4380">
        <f t="shared" si="38"/>
        <v>4.6965758139627312</v>
      </c>
      <c r="L107" s="4380">
        <f t="shared" si="38"/>
        <v>3.60362410209071</v>
      </c>
      <c r="M107" s="4380">
        <f t="shared" si="38"/>
        <v>4.0849871415075309</v>
      </c>
      <c r="N107" s="4380">
        <f t="shared" si="38"/>
        <v>4.074178429413192</v>
      </c>
      <c r="O107" s="4380">
        <f t="shared" si="38"/>
        <v>4.3292279131182658</v>
      </c>
      <c r="P107" s="4380">
        <f t="shared" si="38"/>
        <v>4.1232916990628867</v>
      </c>
      <c r="Q107" s="4380">
        <f t="shared" si="38"/>
        <v>4.1381923395528863</v>
      </c>
      <c r="R107" s="4380">
        <f t="shared" si="38"/>
        <v>4.2524211104428442</v>
      </c>
      <c r="S107" s="4380">
        <f t="shared" si="38"/>
        <v>4.0962210446890834</v>
      </c>
      <c r="T107" s="4380">
        <f t="shared" si="38"/>
        <v>4.6323720250747709</v>
      </c>
      <c r="U107" s="4380" t="e">
        <f t="shared" si="38"/>
        <v>#DIV/0!</v>
      </c>
      <c r="V107" s="4381" t="e">
        <f t="shared" si="38"/>
        <v>#DIV/0!</v>
      </c>
      <c r="W107" s="4382">
        <f t="shared" si="38"/>
        <v>4.1063659564398893</v>
      </c>
      <c r="X107" s="4375"/>
    </row>
    <row r="108" spans="1:27" ht="14.25" thickBot="1">
      <c r="A108" s="4358"/>
      <c r="G108" s="4359" t="s">
        <v>1638</v>
      </c>
      <c r="H108" s="4359"/>
      <c r="I108" s="4359" t="s">
        <v>1639</v>
      </c>
      <c r="J108" s="4359"/>
      <c r="K108" s="4359">
        <f t="shared" ref="K108:T108" si="39">K109-K110</f>
        <v>28953.386000000002</v>
      </c>
      <c r="L108" s="4359">
        <f t="shared" si="39"/>
        <v>28587.432000000001</v>
      </c>
      <c r="M108" s="4359">
        <f t="shared" si="39"/>
        <v>29174.469999999998</v>
      </c>
      <c r="N108" s="4359">
        <f t="shared" si="39"/>
        <v>27545.391000000003</v>
      </c>
      <c r="O108" s="4359">
        <f t="shared" si="39"/>
        <v>29125.938000000002</v>
      </c>
      <c r="P108" s="4359">
        <f t="shared" si="39"/>
        <v>31266.509000000002</v>
      </c>
      <c r="Q108" s="4359">
        <f t="shared" si="39"/>
        <v>34500.731999999996</v>
      </c>
      <c r="R108" s="4359">
        <f t="shared" si="39"/>
        <v>32856.294999999998</v>
      </c>
      <c r="S108" s="4359">
        <f t="shared" si="39"/>
        <v>33911.995999999999</v>
      </c>
      <c r="T108" s="4359">
        <f t="shared" si="39"/>
        <v>32259.498000000003</v>
      </c>
      <c r="U108" s="4359"/>
      <c r="V108" s="4357"/>
      <c r="W108" s="4383"/>
      <c r="X108" s="4353"/>
    </row>
    <row r="109" spans="1:27">
      <c r="G109" t="s">
        <v>1877</v>
      </c>
      <c r="K109">
        <v>30450.686000000002</v>
      </c>
      <c r="L109">
        <v>30045.812000000002</v>
      </c>
      <c r="M109">
        <v>30743.53</v>
      </c>
      <c r="N109">
        <v>29024.241000000002</v>
      </c>
      <c r="O109">
        <v>30484.358</v>
      </c>
      <c r="P109">
        <v>32886.919000000002</v>
      </c>
      <c r="Q109">
        <v>36136.811999999998</v>
      </c>
      <c r="R109" s="4359">
        <v>34455.125</v>
      </c>
      <c r="S109">
        <v>35424.095999999998</v>
      </c>
      <c r="T109">
        <v>33980.048000000003</v>
      </c>
    </row>
    <row r="110" spans="1:27">
      <c r="G110" s="4353" t="s">
        <v>1878</v>
      </c>
      <c r="K110">
        <v>1497.3</v>
      </c>
      <c r="L110">
        <v>1458.38</v>
      </c>
      <c r="M110">
        <v>1569.06</v>
      </c>
      <c r="N110">
        <v>1478.85</v>
      </c>
      <c r="O110">
        <v>1358.42</v>
      </c>
      <c r="P110">
        <v>1620.41</v>
      </c>
      <c r="Q110">
        <v>1636.08</v>
      </c>
      <c r="R110">
        <v>1598.83</v>
      </c>
      <c r="S110">
        <v>1512.1</v>
      </c>
      <c r="T110">
        <v>1720.55</v>
      </c>
    </row>
  </sheetData>
  <mergeCells count="28">
    <mergeCell ref="I87:U87"/>
    <mergeCell ref="A11:A12"/>
    <mergeCell ref="B11:F11"/>
    <mergeCell ref="H11:H12"/>
    <mergeCell ref="A87:A88"/>
    <mergeCell ref="G87:G88"/>
    <mergeCell ref="H87:H88"/>
    <mergeCell ref="I11:U11"/>
    <mergeCell ref="I31:U31"/>
    <mergeCell ref="I48:U48"/>
    <mergeCell ref="G11:G12"/>
    <mergeCell ref="H31:H32"/>
    <mergeCell ref="G31:G32"/>
    <mergeCell ref="I73:U73"/>
    <mergeCell ref="H73:H74"/>
    <mergeCell ref="G73:G74"/>
    <mergeCell ref="A31:A32"/>
    <mergeCell ref="H48:H49"/>
    <mergeCell ref="G48:G49"/>
    <mergeCell ref="A48:A49"/>
    <mergeCell ref="A73:A74"/>
    <mergeCell ref="C33:C42"/>
    <mergeCell ref="E21:F21"/>
    <mergeCell ref="H21:H22"/>
    <mergeCell ref="G21:G22"/>
    <mergeCell ref="I21:U21"/>
    <mergeCell ref="A21:A22"/>
    <mergeCell ref="B21:D21"/>
  </mergeCells>
  <phoneticPr fontId="23" type="noConversion"/>
  <pageMargins left="0.7" right="0.7" top="0.75" bottom="0.75" header="0.3" footer="0.3"/>
  <pageSetup paperSize="9" scale="43"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V73"/>
  <sheetViews>
    <sheetView topLeftCell="A4" workbookViewId="0">
      <selection activeCell="B34" sqref="B34"/>
    </sheetView>
  </sheetViews>
  <sheetFormatPr defaultRowHeight="13.5"/>
  <cols>
    <col min="1" max="1" width="15.77734375" bestFit="1" customWidth="1"/>
    <col min="2" max="13" width="9.44140625" customWidth="1"/>
    <col min="14" max="14" width="9.6640625" customWidth="1"/>
    <col min="15" max="15" width="9.44140625" customWidth="1"/>
    <col min="17" max="17" width="12.44140625" bestFit="1" customWidth="1"/>
    <col min="18" max="20" width="10.33203125" bestFit="1" customWidth="1"/>
    <col min="21" max="21" width="9.33203125" bestFit="1" customWidth="1"/>
    <col min="22" max="22" width="10.33203125" bestFit="1" customWidth="1"/>
  </cols>
  <sheetData>
    <row r="2" spans="1:22" ht="14.25" thickBot="1">
      <c r="A2" s="287" t="s">
        <v>1645</v>
      </c>
      <c r="Q2" s="287" t="s">
        <v>1771</v>
      </c>
    </row>
    <row r="3" spans="1:22" ht="16.149999999999999" customHeight="1">
      <c r="A3" s="3462" t="s">
        <v>0</v>
      </c>
      <c r="B3" s="3462" t="s">
        <v>18</v>
      </c>
      <c r="C3" s="3475" t="s">
        <v>83</v>
      </c>
      <c r="D3" s="3475" t="s">
        <v>6</v>
      </c>
      <c r="E3" s="3475" t="s">
        <v>7</v>
      </c>
      <c r="F3" s="3475" t="s">
        <v>8</v>
      </c>
      <c r="G3" s="3475" t="s">
        <v>9</v>
      </c>
      <c r="H3" s="3475" t="s">
        <v>10</v>
      </c>
      <c r="I3" s="3475" t="s">
        <v>11</v>
      </c>
      <c r="J3" s="3475" t="s">
        <v>12</v>
      </c>
      <c r="K3" s="3475" t="s">
        <v>13</v>
      </c>
      <c r="L3" s="3475" t="s">
        <v>14</v>
      </c>
      <c r="M3" s="3480" t="s">
        <v>15</v>
      </c>
      <c r="N3" s="5070" t="s">
        <v>194</v>
      </c>
      <c r="O3" s="5070" t="s">
        <v>1244</v>
      </c>
      <c r="Q3" s="5053" t="s">
        <v>27</v>
      </c>
      <c r="R3" s="5054" t="s">
        <v>28</v>
      </c>
      <c r="S3" s="5054" t="s">
        <v>29</v>
      </c>
      <c r="T3" s="5054" t="s">
        <v>501</v>
      </c>
      <c r="U3" s="5054" t="s">
        <v>488</v>
      </c>
      <c r="V3" s="5055" t="s">
        <v>16</v>
      </c>
    </row>
    <row r="4" spans="1:22" ht="16.149999999999999" customHeight="1">
      <c r="A4" s="3465" t="s">
        <v>1515</v>
      </c>
      <c r="B4" s="3418">
        <f t="shared" ref="B4:M4" si="0">(B16+B28+B40+B52+B64)</f>
        <v>83112</v>
      </c>
      <c r="C4" s="3416">
        <f t="shared" si="0"/>
        <v>77240</v>
      </c>
      <c r="D4" s="3416">
        <f t="shared" si="0"/>
        <v>182467</v>
      </c>
      <c r="E4" s="3416">
        <f t="shared" si="0"/>
        <v>0</v>
      </c>
      <c r="F4" s="3416">
        <f t="shared" si="0"/>
        <v>0</v>
      </c>
      <c r="G4" s="3416">
        <f t="shared" si="0"/>
        <v>0</v>
      </c>
      <c r="H4" s="3416">
        <f t="shared" si="0"/>
        <v>0</v>
      </c>
      <c r="I4" s="3416">
        <f t="shared" si="0"/>
        <v>0</v>
      </c>
      <c r="J4" s="3416">
        <f t="shared" si="0"/>
        <v>0</v>
      </c>
      <c r="K4" s="3416">
        <f t="shared" si="0"/>
        <v>0</v>
      </c>
      <c r="L4" s="3416">
        <f t="shared" si="0"/>
        <v>0</v>
      </c>
      <c r="M4" s="5074">
        <f t="shared" si="0"/>
        <v>0</v>
      </c>
      <c r="N4" s="5075">
        <f>SUM(B4:M4)</f>
        <v>342819</v>
      </c>
      <c r="O4" s="5071">
        <v>1825514.4807508551</v>
      </c>
      <c r="Q4" s="5067">
        <v>254721</v>
      </c>
      <c r="R4" s="3457">
        <v>319756</v>
      </c>
      <c r="S4" s="3457">
        <v>372767</v>
      </c>
      <c r="T4" s="3457">
        <v>371052</v>
      </c>
      <c r="U4" s="3457">
        <v>373237</v>
      </c>
      <c r="V4" s="3466">
        <f>SUM(Q4:U4)</f>
        <v>1691533</v>
      </c>
    </row>
    <row r="5" spans="1:22" ht="16.149999999999999" customHeight="1">
      <c r="A5" s="3467" t="s">
        <v>391</v>
      </c>
      <c r="B5" s="3418">
        <f t="shared" ref="B5:M5" si="1">(B17+B29+B41+B53+B65)</f>
        <v>16202</v>
      </c>
      <c r="C5" s="3416">
        <f t="shared" si="1"/>
        <v>15137</v>
      </c>
      <c r="D5" s="3416">
        <f t="shared" si="1"/>
        <v>13834</v>
      </c>
      <c r="E5" s="3416">
        <f t="shared" si="1"/>
        <v>15205</v>
      </c>
      <c r="F5" s="3416">
        <f t="shared" si="1"/>
        <v>14622</v>
      </c>
      <c r="G5" s="3416">
        <f t="shared" si="1"/>
        <v>16353</v>
      </c>
      <c r="H5" s="3416">
        <f t="shared" si="1"/>
        <v>17012</v>
      </c>
      <c r="I5" s="3416">
        <f t="shared" si="1"/>
        <v>16573</v>
      </c>
      <c r="J5" s="3416">
        <f t="shared" si="1"/>
        <v>17654</v>
      </c>
      <c r="K5" s="3416">
        <f t="shared" si="1"/>
        <v>18092</v>
      </c>
      <c r="L5" s="3416">
        <f t="shared" si="1"/>
        <v>0</v>
      </c>
      <c r="M5" s="5074">
        <f t="shared" si="1"/>
        <v>0</v>
      </c>
      <c r="N5" s="5075">
        <f>SUM(B5:M5)</f>
        <v>160684</v>
      </c>
      <c r="O5" s="5071">
        <v>193758.84470731398</v>
      </c>
      <c r="Q5" s="5067">
        <v>1602</v>
      </c>
      <c r="R5" s="3457">
        <v>16380</v>
      </c>
      <c r="S5" s="3457">
        <v>7296</v>
      </c>
      <c r="T5" s="3457">
        <v>51995</v>
      </c>
      <c r="U5" s="3457">
        <v>102041</v>
      </c>
      <c r="V5" s="3466">
        <f>SUM(Q5:U5)</f>
        <v>179314</v>
      </c>
    </row>
    <row r="6" spans="1:22" ht="16.149999999999999" customHeight="1">
      <c r="A6" s="3468" t="s">
        <v>1516</v>
      </c>
      <c r="B6" s="3477">
        <f t="shared" ref="B6:O6" si="2">(B4-B5)/B4</f>
        <v>0.8050582346712869</v>
      </c>
      <c r="C6" s="3458">
        <f t="shared" si="2"/>
        <v>0.804026411185914</v>
      </c>
      <c r="D6" s="3458">
        <f t="shared" si="2"/>
        <v>0.92418355099826266</v>
      </c>
      <c r="E6" s="3458" t="e">
        <f t="shared" si="2"/>
        <v>#DIV/0!</v>
      </c>
      <c r="F6" s="3458" t="e">
        <f t="shared" si="2"/>
        <v>#DIV/0!</v>
      </c>
      <c r="G6" s="3458" t="e">
        <f t="shared" si="2"/>
        <v>#DIV/0!</v>
      </c>
      <c r="H6" s="3458" t="e">
        <f t="shared" si="2"/>
        <v>#DIV/0!</v>
      </c>
      <c r="I6" s="3458" t="e">
        <f t="shared" si="2"/>
        <v>#DIV/0!</v>
      </c>
      <c r="J6" s="3458" t="e">
        <f t="shared" si="2"/>
        <v>#DIV/0!</v>
      </c>
      <c r="K6" s="3458" t="e">
        <f t="shared" si="2"/>
        <v>#DIV/0!</v>
      </c>
      <c r="L6" s="3458" t="e">
        <f t="shared" si="2"/>
        <v>#DIV/0!</v>
      </c>
      <c r="M6" s="3474" t="e">
        <f t="shared" si="2"/>
        <v>#DIV/0!</v>
      </c>
      <c r="N6" s="5072">
        <f t="shared" si="2"/>
        <v>0.53128618892185087</v>
      </c>
      <c r="O6" s="5072">
        <f t="shared" si="2"/>
        <v>0.89386069146511582</v>
      </c>
      <c r="Q6" s="3477">
        <f t="shared" ref="Q6:V6" si="3">(Q4-Q5)/Q4</f>
        <v>0.99371076589680474</v>
      </c>
      <c r="R6" s="3458">
        <f t="shared" si="3"/>
        <v>0.9487734397478077</v>
      </c>
      <c r="S6" s="3458">
        <f t="shared" si="3"/>
        <v>0.98042745200084769</v>
      </c>
      <c r="T6" s="3458">
        <f t="shared" si="3"/>
        <v>0.85987139268889534</v>
      </c>
      <c r="U6" s="3458">
        <f t="shared" si="3"/>
        <v>0.72660534727264448</v>
      </c>
      <c r="V6" s="3469">
        <f t="shared" si="3"/>
        <v>0.89399320025089668</v>
      </c>
    </row>
    <row r="7" spans="1:22" ht="16.149999999999999" customHeight="1">
      <c r="A7" s="3467" t="s">
        <v>1517</v>
      </c>
      <c r="B7" s="3418">
        <f t="shared" ref="B7:M7" si="4">(B19+B31+B43+B55+B67)</f>
        <v>131546</v>
      </c>
      <c r="C7" s="3416">
        <f t="shared" si="4"/>
        <v>151550</v>
      </c>
      <c r="D7" s="3416">
        <f t="shared" si="4"/>
        <v>124947</v>
      </c>
      <c r="E7" s="3416">
        <f t="shared" si="4"/>
        <v>143062</v>
      </c>
      <c r="F7" s="3416">
        <f t="shared" si="4"/>
        <v>143480</v>
      </c>
      <c r="G7" s="3416">
        <f t="shared" si="4"/>
        <v>153522</v>
      </c>
      <c r="H7" s="3416">
        <f t="shared" si="4"/>
        <v>172084</v>
      </c>
      <c r="I7" s="3416">
        <f t="shared" si="4"/>
        <v>149822</v>
      </c>
      <c r="J7" s="3416">
        <f t="shared" si="4"/>
        <v>153638</v>
      </c>
      <c r="K7" s="3416">
        <f t="shared" si="4"/>
        <v>170388</v>
      </c>
      <c r="L7" s="3416">
        <f t="shared" si="4"/>
        <v>0</v>
      </c>
      <c r="M7" s="5074">
        <f t="shared" si="4"/>
        <v>0</v>
      </c>
      <c r="N7" s="5075">
        <f>SUM(B7:M7)</f>
        <v>1494039</v>
      </c>
      <c r="O7" s="5071">
        <v>1492483.8869396404</v>
      </c>
      <c r="Q7" s="5067">
        <v>220154</v>
      </c>
      <c r="R7" s="3457">
        <v>277037</v>
      </c>
      <c r="S7" s="3457">
        <v>330942</v>
      </c>
      <c r="T7" s="3457">
        <v>305944</v>
      </c>
      <c r="U7" s="3457">
        <v>228112</v>
      </c>
      <c r="V7" s="3466">
        <f>SUM(Q7:U7)</f>
        <v>1362189</v>
      </c>
    </row>
    <row r="8" spans="1:22" ht="16.149999999999999" customHeight="1">
      <c r="A8" s="3465" t="s">
        <v>1524</v>
      </c>
      <c r="B8" s="3418">
        <f t="shared" ref="B8:M8" si="5">(B20+B32+B44+B56+B68)</f>
        <v>144046</v>
      </c>
      <c r="C8" s="3416">
        <f t="shared" si="5"/>
        <v>170535</v>
      </c>
      <c r="D8" s="3416">
        <f t="shared" si="5"/>
        <v>140784</v>
      </c>
      <c r="E8" s="3416">
        <f t="shared" si="5"/>
        <v>163048</v>
      </c>
      <c r="F8" s="3416">
        <f t="shared" si="5"/>
        <v>164690</v>
      </c>
      <c r="G8" s="3416">
        <f t="shared" si="5"/>
        <v>176629</v>
      </c>
      <c r="H8" s="3416">
        <f t="shared" si="5"/>
        <v>192062</v>
      </c>
      <c r="I8" s="3416">
        <f t="shared" si="5"/>
        <v>170942</v>
      </c>
      <c r="J8" s="3416">
        <f t="shared" si="5"/>
        <v>171191</v>
      </c>
      <c r="K8" s="3416">
        <f t="shared" si="5"/>
        <v>192583</v>
      </c>
      <c r="L8" s="3416">
        <f t="shared" si="5"/>
        <v>0</v>
      </c>
      <c r="M8" s="5074">
        <f t="shared" si="5"/>
        <v>0</v>
      </c>
      <c r="N8" s="5075">
        <f>SUM(B8:M8)</f>
        <v>1686510</v>
      </c>
      <c r="O8" s="5071">
        <v>1690676.5183026791</v>
      </c>
      <c r="Q8" s="5067">
        <v>253010</v>
      </c>
      <c r="R8" s="3457">
        <v>303039</v>
      </c>
      <c r="S8" s="3457">
        <v>365465</v>
      </c>
      <c r="T8" s="3457">
        <v>353934</v>
      </c>
      <c r="U8" s="3457">
        <v>332575</v>
      </c>
      <c r="V8" s="3466">
        <f>SUM(Q8:U8)</f>
        <v>1608023</v>
      </c>
    </row>
    <row r="9" spans="1:22" ht="16.149999999999999" customHeight="1">
      <c r="A9" s="3468" t="s">
        <v>1518</v>
      </c>
      <c r="B9" s="3477">
        <f t="shared" ref="B9:O9" si="6">B7/B8</f>
        <v>0.91322216514169086</v>
      </c>
      <c r="C9" s="3458">
        <f t="shared" si="6"/>
        <v>0.88867387926232155</v>
      </c>
      <c r="D9" s="3458">
        <f t="shared" si="6"/>
        <v>0.88750852369587452</v>
      </c>
      <c r="E9" s="3458">
        <f t="shared" si="6"/>
        <v>0.87742259947990775</v>
      </c>
      <c r="F9" s="3458">
        <f t="shared" si="6"/>
        <v>0.87121258121318845</v>
      </c>
      <c r="G9" s="3458">
        <f t="shared" si="6"/>
        <v>0.86917776809017777</v>
      </c>
      <c r="H9" s="3458">
        <f t="shared" si="6"/>
        <v>0.89598150597202986</v>
      </c>
      <c r="I9" s="3458">
        <f t="shared" si="6"/>
        <v>0.87644932199225467</v>
      </c>
      <c r="J9" s="3458">
        <f t="shared" si="6"/>
        <v>0.89746540413923626</v>
      </c>
      <c r="K9" s="3458">
        <f t="shared" si="6"/>
        <v>0.88475099048202588</v>
      </c>
      <c r="L9" s="3458" t="e">
        <f t="shared" si="6"/>
        <v>#DIV/0!</v>
      </c>
      <c r="M9" s="3474" t="e">
        <f t="shared" si="6"/>
        <v>#DIV/0!</v>
      </c>
      <c r="N9" s="5072">
        <f t="shared" si="6"/>
        <v>0.88587615845740608</v>
      </c>
      <c r="O9" s="5072">
        <f t="shared" si="6"/>
        <v>0.88277318031126961</v>
      </c>
      <c r="Q9" s="3477">
        <f t="shared" ref="Q9:V9" si="7">Q7/Q8</f>
        <v>0.87013952017706808</v>
      </c>
      <c r="R9" s="3458">
        <f t="shared" si="7"/>
        <v>0.91419586257874397</v>
      </c>
      <c r="S9" s="3458">
        <f t="shared" si="7"/>
        <v>0.90553678190798026</v>
      </c>
      <c r="T9" s="3458">
        <f t="shared" si="7"/>
        <v>0.86440974871021148</v>
      </c>
      <c r="U9" s="3458">
        <f t="shared" si="7"/>
        <v>0.68589641434262949</v>
      </c>
      <c r="V9" s="3469">
        <f t="shared" si="7"/>
        <v>0.84712034591545027</v>
      </c>
    </row>
    <row r="10" spans="1:22" ht="16.149999999999999" customHeight="1">
      <c r="A10" s="3467" t="s">
        <v>1519</v>
      </c>
      <c r="B10" s="3418">
        <f t="shared" ref="B10:M10" si="8">(B22+B34+B46+B58+B70)</f>
        <v>17338.670000000002</v>
      </c>
      <c r="C10" s="3416">
        <f t="shared" si="8"/>
        <v>16790.739999999998</v>
      </c>
      <c r="D10" s="3416">
        <f t="shared" si="8"/>
        <v>92654.5</v>
      </c>
      <c r="E10" s="3416">
        <f t="shared" si="8"/>
        <v>0</v>
      </c>
      <c r="F10" s="3416">
        <f t="shared" si="8"/>
        <v>0</v>
      </c>
      <c r="G10" s="3416">
        <f t="shared" si="8"/>
        <v>0</v>
      </c>
      <c r="H10" s="3416">
        <f t="shared" si="8"/>
        <v>0</v>
      </c>
      <c r="I10" s="3416">
        <f t="shared" si="8"/>
        <v>0</v>
      </c>
      <c r="J10" s="3416">
        <f t="shared" si="8"/>
        <v>0</v>
      </c>
      <c r="K10" s="3416">
        <f t="shared" si="8"/>
        <v>0</v>
      </c>
      <c r="L10" s="3416">
        <f t="shared" si="8"/>
        <v>0</v>
      </c>
      <c r="M10" s="5074">
        <f t="shared" si="8"/>
        <v>0</v>
      </c>
      <c r="N10" s="5075">
        <f>SUM(B10:M10)</f>
        <v>126783.91</v>
      </c>
      <c r="O10" s="5071">
        <v>968526.21549999993</v>
      </c>
      <c r="Q10" s="5068">
        <v>247068.53899999999</v>
      </c>
      <c r="R10" s="3460">
        <v>237754.489</v>
      </c>
      <c r="S10" s="3460">
        <v>239665.67</v>
      </c>
      <c r="T10" s="3460">
        <v>123961.10799999999</v>
      </c>
      <c r="U10" s="3460">
        <v>42325.625</v>
      </c>
      <c r="V10" s="3470">
        <f>SUM(Q10:U10)</f>
        <v>890775.43099999998</v>
      </c>
    </row>
    <row r="11" spans="1:22" ht="16.149999999999999" customHeight="1">
      <c r="A11" s="3467" t="s">
        <v>1520</v>
      </c>
      <c r="B11" s="3418">
        <f t="shared" ref="B11:M11" si="9">(B23+B35+B47+B59+B71)</f>
        <v>15.01</v>
      </c>
      <c r="C11" s="3416">
        <f t="shared" si="9"/>
        <v>0.96</v>
      </c>
      <c r="D11" s="3416">
        <f t="shared" si="9"/>
        <v>26.29</v>
      </c>
      <c r="E11" s="3416">
        <f t="shared" si="9"/>
        <v>0</v>
      </c>
      <c r="F11" s="3416">
        <f t="shared" si="9"/>
        <v>0</v>
      </c>
      <c r="G11" s="3416">
        <f t="shared" si="9"/>
        <v>0</v>
      </c>
      <c r="H11" s="3416">
        <f t="shared" si="9"/>
        <v>0</v>
      </c>
      <c r="I11" s="3416">
        <f t="shared" si="9"/>
        <v>0</v>
      </c>
      <c r="J11" s="3416">
        <f t="shared" si="9"/>
        <v>0</v>
      </c>
      <c r="K11" s="3416">
        <f t="shared" si="9"/>
        <v>0</v>
      </c>
      <c r="L11" s="3416">
        <f t="shared" si="9"/>
        <v>0</v>
      </c>
      <c r="M11" s="5074">
        <f t="shared" si="9"/>
        <v>0</v>
      </c>
      <c r="N11" s="5075">
        <f>SUM(B11:M11)</f>
        <v>42.26</v>
      </c>
      <c r="O11" s="5071">
        <v>3566.5515</v>
      </c>
      <c r="Q11" s="5068">
        <f>21.37+2197.18</f>
        <v>2218.5499999999997</v>
      </c>
      <c r="R11" s="3460">
        <f>29.43+393.21</f>
        <v>422.64</v>
      </c>
      <c r="S11" s="3460">
        <f>330.85</f>
        <v>330.85</v>
      </c>
      <c r="T11" s="3460">
        <f>69.54+1524.24</f>
        <v>1593.78</v>
      </c>
      <c r="U11" s="3460">
        <f>69.51+214.773</f>
        <v>284.28300000000002</v>
      </c>
      <c r="V11" s="3470">
        <f>SUM(Q11:U11)</f>
        <v>4850.1030000000001</v>
      </c>
    </row>
    <row r="12" spans="1:22" ht="16.149999999999999" customHeight="1">
      <c r="A12" s="3468" t="s">
        <v>1521</v>
      </c>
      <c r="B12" s="3477">
        <f t="shared" ref="B12:O12" si="10">(B10-B11)/B10</f>
        <v>0.99913430499571199</v>
      </c>
      <c r="C12" s="3458">
        <f t="shared" si="10"/>
        <v>0.99994282562888837</v>
      </c>
      <c r="D12" s="3458">
        <f t="shared" si="10"/>
        <v>0.99971625771009509</v>
      </c>
      <c r="E12" s="3458" t="e">
        <f t="shared" si="10"/>
        <v>#DIV/0!</v>
      </c>
      <c r="F12" s="3458" t="e">
        <f t="shared" si="10"/>
        <v>#DIV/0!</v>
      </c>
      <c r="G12" s="3458" t="e">
        <f t="shared" si="10"/>
        <v>#DIV/0!</v>
      </c>
      <c r="H12" s="3458" t="e">
        <f t="shared" si="10"/>
        <v>#DIV/0!</v>
      </c>
      <c r="I12" s="3458" t="e">
        <f t="shared" si="10"/>
        <v>#DIV/0!</v>
      </c>
      <c r="J12" s="3458" t="e">
        <f t="shared" si="10"/>
        <v>#DIV/0!</v>
      </c>
      <c r="K12" s="3458" t="e">
        <f t="shared" si="10"/>
        <v>#DIV/0!</v>
      </c>
      <c r="L12" s="3458" t="e">
        <f t="shared" si="10"/>
        <v>#DIV/0!</v>
      </c>
      <c r="M12" s="3474" t="e">
        <f t="shared" si="10"/>
        <v>#DIV/0!</v>
      </c>
      <c r="N12" s="5072">
        <f t="shared" si="10"/>
        <v>0.99966667694662525</v>
      </c>
      <c r="O12" s="5072">
        <f t="shared" si="10"/>
        <v>0.99631754779279902</v>
      </c>
      <c r="Q12" s="3477">
        <f t="shared" ref="Q12:V12" si="11">(Q10-Q11)/Q10</f>
        <v>0.99102050787615659</v>
      </c>
      <c r="R12" s="3458">
        <f t="shared" si="11"/>
        <v>0.99822236794864461</v>
      </c>
      <c r="S12" s="3458">
        <f t="shared" si="11"/>
        <v>0.99861953528847081</v>
      </c>
      <c r="T12" s="3458">
        <f t="shared" si="11"/>
        <v>0.98714290291758289</v>
      </c>
      <c r="U12" s="3458">
        <f t="shared" si="11"/>
        <v>0.99328343054591628</v>
      </c>
      <c r="V12" s="3469">
        <f t="shared" si="11"/>
        <v>0.99455518997133185</v>
      </c>
    </row>
    <row r="13" spans="1:22" ht="16.149999999999999" customHeight="1" thickBot="1">
      <c r="A13" s="3471" t="s">
        <v>1522</v>
      </c>
      <c r="B13" s="4680">
        <f t="shared" ref="B13:O13" si="12">B6*B9*B12</f>
        <v>0.73456056774070189</v>
      </c>
      <c r="C13" s="4681">
        <f t="shared" si="12"/>
        <v>0.71447641778239612</v>
      </c>
      <c r="D13" s="4681">
        <f t="shared" si="12"/>
        <v>0.81998804764842637</v>
      </c>
      <c r="E13" s="4681" t="e">
        <f t="shared" si="12"/>
        <v>#DIV/0!</v>
      </c>
      <c r="F13" s="4681" t="e">
        <f t="shared" si="12"/>
        <v>#DIV/0!</v>
      </c>
      <c r="G13" s="5058" t="e">
        <f t="shared" si="12"/>
        <v>#DIV/0!</v>
      </c>
      <c r="H13" s="4681" t="e">
        <f t="shared" si="12"/>
        <v>#DIV/0!</v>
      </c>
      <c r="I13" s="4681" t="e">
        <f t="shared" si="12"/>
        <v>#DIV/0!</v>
      </c>
      <c r="J13" s="4681" t="e">
        <f t="shared" si="12"/>
        <v>#DIV/0!</v>
      </c>
      <c r="K13" s="4681" t="e">
        <f t="shared" si="12"/>
        <v>#DIV/0!</v>
      </c>
      <c r="L13" s="4681" t="e">
        <f t="shared" si="12"/>
        <v>#DIV/0!</v>
      </c>
      <c r="M13" s="3483" t="e">
        <f t="shared" si="12"/>
        <v>#DIV/0!</v>
      </c>
      <c r="N13" s="5073">
        <f t="shared" si="12"/>
        <v>0.47049688833250503</v>
      </c>
      <c r="O13" s="5073">
        <f t="shared" si="12"/>
        <v>0.78617050979851544</v>
      </c>
      <c r="Q13" s="5069">
        <f t="shared" ref="Q13:V13" si="13">Q6*Q9*Q12</f>
        <v>0.8569027384348803</v>
      </c>
      <c r="R13" s="3472">
        <f t="shared" si="13"/>
        <v>0.86582289775664778</v>
      </c>
      <c r="S13" s="3472">
        <f t="shared" si="13"/>
        <v>0.88658752509680072</v>
      </c>
      <c r="T13" s="3472">
        <f t="shared" si="13"/>
        <v>0.73372477574323591</v>
      </c>
      <c r="U13" s="3472">
        <f t="shared" si="13"/>
        <v>0.49502862530254632</v>
      </c>
      <c r="V13" s="3479">
        <f t="shared" si="13"/>
        <v>0.75319636644251964</v>
      </c>
    </row>
    <row r="14" spans="1:22" ht="16.149999999999999" customHeight="1" thickBot="1"/>
    <row r="15" spans="1:22" ht="16.149999999999999" customHeight="1">
      <c r="A15" s="3462" t="s">
        <v>27</v>
      </c>
      <c r="B15" s="3463" t="s">
        <v>18</v>
      </c>
      <c r="C15" s="3463" t="s">
        <v>83</v>
      </c>
      <c r="D15" s="3463" t="s">
        <v>6</v>
      </c>
      <c r="E15" s="3463" t="s">
        <v>7</v>
      </c>
      <c r="F15" s="3463" t="s">
        <v>8</v>
      </c>
      <c r="G15" s="3463" t="s">
        <v>9</v>
      </c>
      <c r="H15" s="3463" t="s">
        <v>10</v>
      </c>
      <c r="I15" s="3463" t="s">
        <v>11</v>
      </c>
      <c r="J15" s="3463" t="s">
        <v>12</v>
      </c>
      <c r="K15" s="3463" t="s">
        <v>13</v>
      </c>
      <c r="L15" s="3463" t="s">
        <v>14</v>
      </c>
      <c r="M15" s="3464" t="s">
        <v>15</v>
      </c>
      <c r="N15" s="5070" t="s">
        <v>194</v>
      </c>
      <c r="O15" s="5070" t="s">
        <v>1772</v>
      </c>
    </row>
    <row r="16" spans="1:22" ht="16.149999999999999" customHeight="1">
      <c r="A16" s="3465" t="s">
        <v>1515</v>
      </c>
      <c r="B16" s="3457">
        <f>년간!F26</f>
        <v>0</v>
      </c>
      <c r="C16" s="3457">
        <f>년간!G26</f>
        <v>0</v>
      </c>
      <c r="D16" s="3457">
        <f>년간!H26</f>
        <v>27767</v>
      </c>
      <c r="E16" s="3457">
        <f>년간!I26</f>
        <v>0</v>
      </c>
      <c r="F16" s="3457">
        <f>년간!J26</f>
        <v>0</v>
      </c>
      <c r="G16" s="3457">
        <f>년간!K26</f>
        <v>0</v>
      </c>
      <c r="H16" s="3457">
        <f>년간!L26</f>
        <v>0</v>
      </c>
      <c r="I16" s="3457">
        <f>년간!M26</f>
        <v>0</v>
      </c>
      <c r="J16" s="3457">
        <f>년간!N26</f>
        <v>0</v>
      </c>
      <c r="K16" s="3457">
        <f>년간!O26</f>
        <v>0</v>
      </c>
      <c r="L16" s="3457">
        <f>년간!P26</f>
        <v>0</v>
      </c>
      <c r="M16" s="3466">
        <f>년간!Q26</f>
        <v>0</v>
      </c>
      <c r="N16" s="5075">
        <f>SUM(B16:M16)</f>
        <v>27767</v>
      </c>
      <c r="O16" s="5076">
        <v>254721</v>
      </c>
    </row>
    <row r="17" spans="1:15" ht="16.149999999999999" customHeight="1">
      <c r="A17" s="3467" t="s">
        <v>391</v>
      </c>
      <c r="B17" s="3457">
        <v>660</v>
      </c>
      <c r="C17" s="3457">
        <f>(비가동!P5+비가동!P7+비가동!P9)*60</f>
        <v>0</v>
      </c>
      <c r="D17" s="3457">
        <f>(비가동!Q5+비가동!Q7+비가동!Q9)*60</f>
        <v>40</v>
      </c>
      <c r="E17" s="3457">
        <f>(비가동!R5+비가동!R7+비가동!R9)*60</f>
        <v>0</v>
      </c>
      <c r="F17" s="3457">
        <f>(비가동!S5+비가동!S7+비가동!S9)*60</f>
        <v>0</v>
      </c>
      <c r="G17" s="3457">
        <f>(비가동!T5+비가동!T7+비가동!T9)*60</f>
        <v>0</v>
      </c>
      <c r="H17" s="3457">
        <f>(비가동!U5+비가동!U7+비가동!U9)*60</f>
        <v>0</v>
      </c>
      <c r="I17" s="3457">
        <f>(비가동!V5+비가동!V7+비가동!V9)*60</f>
        <v>0</v>
      </c>
      <c r="J17" s="3457">
        <f>(비가동!W5+비가동!W7+비가동!W9)*60</f>
        <v>0</v>
      </c>
      <c r="K17" s="3457">
        <f>(비가동!X5+비가동!X7+비가동!X9)*60</f>
        <v>0</v>
      </c>
      <c r="L17" s="3457">
        <f>(비가동!Y5+비가동!Y7+비가동!Y9)*60</f>
        <v>0</v>
      </c>
      <c r="M17" s="3466">
        <f>(비가동!Z5+비가동!Z7+비가동!Z9)*60</f>
        <v>0</v>
      </c>
      <c r="N17" s="5075">
        <f>SUM(B17:M17)</f>
        <v>700</v>
      </c>
      <c r="O17" s="5076">
        <v>1602</v>
      </c>
    </row>
    <row r="18" spans="1:15" ht="16.149999999999999" customHeight="1">
      <c r="A18" s="3468" t="s">
        <v>1516</v>
      </c>
      <c r="B18" s="3458" t="e">
        <f>(B16-B17)/B16</f>
        <v>#DIV/0!</v>
      </c>
      <c r="C18" s="3458" t="e">
        <f t="shared" ref="C18:N18" si="14">(C16-C17)/C16</f>
        <v>#DIV/0!</v>
      </c>
      <c r="D18" s="3458">
        <f t="shared" si="14"/>
        <v>0.99855944106313255</v>
      </c>
      <c r="E18" s="3458" t="e">
        <f t="shared" si="14"/>
        <v>#DIV/0!</v>
      </c>
      <c r="F18" s="3458" t="e">
        <f t="shared" si="14"/>
        <v>#DIV/0!</v>
      </c>
      <c r="G18" s="3458" t="e">
        <f t="shared" si="14"/>
        <v>#DIV/0!</v>
      </c>
      <c r="H18" s="3458" t="e">
        <f t="shared" si="14"/>
        <v>#DIV/0!</v>
      </c>
      <c r="I18" s="3458" t="e">
        <f t="shared" si="14"/>
        <v>#DIV/0!</v>
      </c>
      <c r="J18" s="3458" t="e">
        <f t="shared" si="14"/>
        <v>#DIV/0!</v>
      </c>
      <c r="K18" s="3458" t="e">
        <f t="shared" si="14"/>
        <v>#DIV/0!</v>
      </c>
      <c r="L18" s="3458" t="e">
        <f t="shared" si="14"/>
        <v>#DIV/0!</v>
      </c>
      <c r="M18" s="3469" t="e">
        <f t="shared" si="14"/>
        <v>#DIV/0!</v>
      </c>
      <c r="N18" s="5072">
        <f t="shared" si="14"/>
        <v>0.97479021860481863</v>
      </c>
      <c r="O18" s="5072">
        <f>(O16-O17)/O16</f>
        <v>0.99371076589680474</v>
      </c>
    </row>
    <row r="19" spans="1:15" ht="16.149999999999999" customHeight="1">
      <c r="A19" s="3467" t="s">
        <v>1517</v>
      </c>
      <c r="B19" s="3457">
        <v>24639</v>
      </c>
      <c r="C19" s="3457">
        <v>26041</v>
      </c>
      <c r="D19" s="3457">
        <v>18927</v>
      </c>
      <c r="E19" s="3457">
        <v>22072</v>
      </c>
      <c r="F19" s="3457">
        <v>25301</v>
      </c>
      <c r="G19" s="3457">
        <v>26484</v>
      </c>
      <c r="H19" s="3457">
        <v>29614</v>
      </c>
      <c r="I19" s="3457">
        <v>25366</v>
      </c>
      <c r="J19" s="3457">
        <v>25486</v>
      </c>
      <c r="K19" s="3457">
        <v>29614</v>
      </c>
      <c r="L19" s="3457"/>
      <c r="M19" s="3466"/>
      <c r="N19" s="5075">
        <f>SUM(B19:M19)</f>
        <v>253544</v>
      </c>
      <c r="O19" s="5076">
        <v>220154</v>
      </c>
    </row>
    <row r="20" spans="1:15" ht="16.149999999999999" customHeight="1">
      <c r="A20" s="3465" t="s">
        <v>1524</v>
      </c>
      <c r="B20" s="3457">
        <v>25869</v>
      </c>
      <c r="C20" s="3457">
        <v>27925</v>
      </c>
      <c r="D20" s="3457">
        <v>19560</v>
      </c>
      <c r="E20" s="3457">
        <v>24810</v>
      </c>
      <c r="F20" s="3457">
        <v>26520</v>
      </c>
      <c r="G20" s="3457">
        <v>29172</v>
      </c>
      <c r="H20" s="3457">
        <v>32359</v>
      </c>
      <c r="I20" s="3457">
        <v>28210</v>
      </c>
      <c r="J20" s="3457">
        <v>28540</v>
      </c>
      <c r="K20" s="3457">
        <v>32590</v>
      </c>
      <c r="L20" s="3457"/>
      <c r="M20" s="3466"/>
      <c r="N20" s="5075">
        <f>SUM(B20:M20)</f>
        <v>275555</v>
      </c>
      <c r="O20" s="5076">
        <v>253010</v>
      </c>
    </row>
    <row r="21" spans="1:15" ht="16.149999999999999" customHeight="1">
      <c r="A21" s="3468" t="s">
        <v>1518</v>
      </c>
      <c r="B21" s="3458">
        <f>B19/B20</f>
        <v>0.95245274266496582</v>
      </c>
      <c r="C21" s="3458">
        <f t="shared" ref="C21:N21" si="15">C19/C20</f>
        <v>0.93253357206803944</v>
      </c>
      <c r="D21" s="3458">
        <f t="shared" si="15"/>
        <v>0.96763803680981597</v>
      </c>
      <c r="E21" s="3458">
        <f t="shared" si="15"/>
        <v>0.8896412736799677</v>
      </c>
      <c r="F21" s="3458">
        <f t="shared" si="15"/>
        <v>0.95403469079939673</v>
      </c>
      <c r="G21" s="3458">
        <f t="shared" si="15"/>
        <v>0.90785684903331965</v>
      </c>
      <c r="H21" s="3458">
        <f t="shared" si="15"/>
        <v>0.9151704317191508</v>
      </c>
      <c r="I21" s="3458">
        <f t="shared" si="15"/>
        <v>0.89918468628146042</v>
      </c>
      <c r="J21" s="3458">
        <f t="shared" si="15"/>
        <v>0.89299229152067272</v>
      </c>
      <c r="K21" s="3458">
        <f t="shared" si="15"/>
        <v>0.90868364528996626</v>
      </c>
      <c r="L21" s="3458" t="e">
        <f t="shared" si="15"/>
        <v>#DIV/0!</v>
      </c>
      <c r="M21" s="3469" t="e">
        <f t="shared" si="15"/>
        <v>#DIV/0!</v>
      </c>
      <c r="N21" s="5072">
        <f t="shared" si="15"/>
        <v>0.92012120992179425</v>
      </c>
      <c r="O21" s="5072">
        <f>O19/O20</f>
        <v>0.87013952017706808</v>
      </c>
    </row>
    <row r="22" spans="1:15" ht="16.149999999999999" customHeight="1">
      <c r="A22" s="3467" t="s">
        <v>1519</v>
      </c>
      <c r="B22" s="4168">
        <f>CPL!O5</f>
        <v>0</v>
      </c>
      <c r="C22" s="4168">
        <f>CPL!P5</f>
        <v>0</v>
      </c>
      <c r="D22" s="4168">
        <f>CPL!Q5</f>
        <v>27582.12</v>
      </c>
      <c r="E22" s="4168">
        <f>CPL!R5</f>
        <v>0</v>
      </c>
      <c r="F22" s="4168">
        <f>CPL!S5</f>
        <v>0</v>
      </c>
      <c r="G22" s="4168">
        <f>CPL!T5</f>
        <v>0</v>
      </c>
      <c r="H22" s="4168">
        <f>CPL!U5</f>
        <v>0</v>
      </c>
      <c r="I22" s="4168">
        <f>CPL!V5</f>
        <v>0</v>
      </c>
      <c r="J22" s="4168">
        <f>CPL!W5</f>
        <v>0</v>
      </c>
      <c r="K22" s="4168">
        <f>CPL!X5</f>
        <v>0</v>
      </c>
      <c r="L22" s="4168">
        <f>CPL!Y5</f>
        <v>0</v>
      </c>
      <c r="M22" s="4169">
        <f>CPL!Z5</f>
        <v>0</v>
      </c>
      <c r="N22" s="5075">
        <f>SUM(B22:M22)</f>
        <v>27582.12</v>
      </c>
      <c r="O22" s="5076">
        <v>247068.53899999999</v>
      </c>
    </row>
    <row r="23" spans="1:15" ht="16.149999999999999" customHeight="1">
      <c r="A23" s="3467" t="s">
        <v>1520</v>
      </c>
      <c r="B23" s="4168">
        <f>CPL!O10+CPL!O19</f>
        <v>0</v>
      </c>
      <c r="C23" s="4168">
        <f>CPL!P10+CPL!P19</f>
        <v>0</v>
      </c>
      <c r="D23" s="4168">
        <f>CPL!Q10+CPL!Q19</f>
        <v>11.42</v>
      </c>
      <c r="E23" s="4168">
        <f>CPL!R10+CPL!R19</f>
        <v>0</v>
      </c>
      <c r="F23" s="4168">
        <f>CPL!S10+CPL!S19</f>
        <v>0</v>
      </c>
      <c r="G23" s="4168">
        <f>CPL!T10+CPL!T19</f>
        <v>0</v>
      </c>
      <c r="H23" s="4168">
        <f>CPL!U10+CPL!U19</f>
        <v>0</v>
      </c>
      <c r="I23" s="4168">
        <f>CPL!V10+CPL!V19</f>
        <v>0</v>
      </c>
      <c r="J23" s="4168">
        <f>CPL!W10+CPL!W19</f>
        <v>0</v>
      </c>
      <c r="K23" s="4168">
        <f>CPL!X10+CPL!X19</f>
        <v>0</v>
      </c>
      <c r="L23" s="4168">
        <f>CPL!Y10+CPL!Y19</f>
        <v>0</v>
      </c>
      <c r="M23" s="4169">
        <f>CPL!Z10+CPL!Z19</f>
        <v>0</v>
      </c>
      <c r="N23" s="5075">
        <f>SUM(B23:M23)</f>
        <v>11.42</v>
      </c>
      <c r="O23" s="5184">
        <f>21.37+2197.18</f>
        <v>2218.5499999999997</v>
      </c>
    </row>
    <row r="24" spans="1:15" ht="16.149999999999999" customHeight="1">
      <c r="A24" s="3468" t="s">
        <v>1521</v>
      </c>
      <c r="B24" s="3458" t="e">
        <f>(B22-B23)/B22</f>
        <v>#DIV/0!</v>
      </c>
      <c r="C24" s="3458" t="e">
        <f t="shared" ref="C24:N24" si="16">(C22-C23)/C22</f>
        <v>#DIV/0!</v>
      </c>
      <c r="D24" s="3458">
        <f>(D22-D23)/D22</f>
        <v>0.99958596366051633</v>
      </c>
      <c r="E24" s="3458" t="e">
        <f t="shared" si="16"/>
        <v>#DIV/0!</v>
      </c>
      <c r="F24" s="3458" t="e">
        <f>(F22-F23)/F22</f>
        <v>#DIV/0!</v>
      </c>
      <c r="G24" s="3458" t="e">
        <f t="shared" si="16"/>
        <v>#DIV/0!</v>
      </c>
      <c r="H24" s="3458" t="e">
        <f t="shared" si="16"/>
        <v>#DIV/0!</v>
      </c>
      <c r="I24" s="3458" t="e">
        <f t="shared" si="16"/>
        <v>#DIV/0!</v>
      </c>
      <c r="J24" s="3458" t="e">
        <f t="shared" si="16"/>
        <v>#DIV/0!</v>
      </c>
      <c r="K24" s="3458" t="e">
        <f t="shared" si="16"/>
        <v>#DIV/0!</v>
      </c>
      <c r="L24" s="3458" t="e">
        <f t="shared" si="16"/>
        <v>#DIV/0!</v>
      </c>
      <c r="M24" s="3469" t="e">
        <f t="shared" si="16"/>
        <v>#DIV/0!</v>
      </c>
      <c r="N24" s="5072">
        <f t="shared" si="16"/>
        <v>0.99958596366051633</v>
      </c>
      <c r="O24" s="5072">
        <f>(O22-O23)/O22</f>
        <v>0.99102050787615659</v>
      </c>
    </row>
    <row r="25" spans="1:15" ht="16.149999999999999" customHeight="1" thickBot="1">
      <c r="A25" s="3471" t="s">
        <v>1522</v>
      </c>
      <c r="B25" s="3472" t="e">
        <f>B18*B21*B24</f>
        <v>#DIV/0!</v>
      </c>
      <c r="C25" s="3472" t="e">
        <f t="shared" ref="C25:N25" si="17">C18*C21*C24</f>
        <v>#DIV/0!</v>
      </c>
      <c r="D25" s="3472">
        <f t="shared" si="17"/>
        <v>0.96584403701918919</v>
      </c>
      <c r="E25" s="3472" t="e">
        <f>E18*E21*E24</f>
        <v>#DIV/0!</v>
      </c>
      <c r="F25" s="3472" t="e">
        <f t="shared" si="17"/>
        <v>#DIV/0!</v>
      </c>
      <c r="G25" s="3472" t="e">
        <f t="shared" si="17"/>
        <v>#DIV/0!</v>
      </c>
      <c r="H25" s="3472" t="e">
        <f t="shared" si="17"/>
        <v>#DIV/0!</v>
      </c>
      <c r="I25" s="3472" t="e">
        <f t="shared" si="17"/>
        <v>#DIV/0!</v>
      </c>
      <c r="J25" s="3472" t="e">
        <f t="shared" si="17"/>
        <v>#DIV/0!</v>
      </c>
      <c r="K25" s="3472" t="e">
        <f t="shared" si="17"/>
        <v>#DIV/0!</v>
      </c>
      <c r="L25" s="3472" t="e">
        <f t="shared" si="17"/>
        <v>#DIV/0!</v>
      </c>
      <c r="M25" s="3473" t="e">
        <f t="shared" si="17"/>
        <v>#DIV/0!</v>
      </c>
      <c r="N25" s="5073">
        <f t="shared" si="17"/>
        <v>0.8965537957544788</v>
      </c>
      <c r="O25" s="5078">
        <f>O18*O21*O24</f>
        <v>0.8569027384348803</v>
      </c>
    </row>
    <row r="26" spans="1:15" ht="16.149999999999999" customHeight="1" thickBot="1"/>
    <row r="27" spans="1:15" ht="16.149999999999999" customHeight="1">
      <c r="A27" s="3462" t="s">
        <v>28</v>
      </c>
      <c r="B27" s="3463" t="s">
        <v>18</v>
      </c>
      <c r="C27" s="3463" t="s">
        <v>83</v>
      </c>
      <c r="D27" s="3463" t="s">
        <v>6</v>
      </c>
      <c r="E27" s="3463" t="s">
        <v>7</v>
      </c>
      <c r="F27" s="3463" t="s">
        <v>8</v>
      </c>
      <c r="G27" s="3463" t="s">
        <v>9</v>
      </c>
      <c r="H27" s="3463" t="s">
        <v>10</v>
      </c>
      <c r="I27" s="3463" t="s">
        <v>11</v>
      </c>
      <c r="J27" s="3463" t="s">
        <v>12</v>
      </c>
      <c r="K27" s="3463" t="s">
        <v>13</v>
      </c>
      <c r="L27" s="3463" t="s">
        <v>14</v>
      </c>
      <c r="M27" s="3464" t="s">
        <v>15</v>
      </c>
      <c r="N27" s="5070" t="s">
        <v>194</v>
      </c>
      <c r="O27" s="5070" t="s">
        <v>1772</v>
      </c>
    </row>
    <row r="28" spans="1:15" ht="16.149999999999999" customHeight="1">
      <c r="A28" s="3465" t="s">
        <v>1515</v>
      </c>
      <c r="B28" s="3457">
        <f>년간!F27</f>
        <v>0</v>
      </c>
      <c r="C28" s="3457">
        <f>년간!G27</f>
        <v>0</v>
      </c>
      <c r="D28" s="3457">
        <f>년간!H27</f>
        <v>30185</v>
      </c>
      <c r="E28" s="3457">
        <f>년간!I27</f>
        <v>0</v>
      </c>
      <c r="F28" s="3457">
        <f>년간!J27</f>
        <v>0</v>
      </c>
      <c r="G28" s="3457">
        <f>년간!K27</f>
        <v>0</v>
      </c>
      <c r="H28" s="3457">
        <f>년간!L27</f>
        <v>0</v>
      </c>
      <c r="I28" s="3457">
        <f>년간!M27</f>
        <v>0</v>
      </c>
      <c r="J28" s="3457">
        <f>년간!N27</f>
        <v>0</v>
      </c>
      <c r="K28" s="3457">
        <f>년간!O27</f>
        <v>0</v>
      </c>
      <c r="L28" s="3457">
        <f>년간!P27</f>
        <v>0</v>
      </c>
      <c r="M28" s="3466">
        <f>년간!Q27</f>
        <v>0</v>
      </c>
      <c r="N28" s="5075">
        <f>SUM(B28:M28)</f>
        <v>30185</v>
      </c>
      <c r="O28" s="5076">
        <v>319756</v>
      </c>
    </row>
    <row r="29" spans="1:15" ht="16.149999999999999" customHeight="1">
      <c r="A29" s="3467" t="s">
        <v>391</v>
      </c>
      <c r="B29" s="3457">
        <v>2180</v>
      </c>
      <c r="C29" s="3457">
        <v>2165</v>
      </c>
      <c r="D29" s="3457">
        <v>1166</v>
      </c>
      <c r="E29" s="3457">
        <v>1295</v>
      </c>
      <c r="F29" s="3457">
        <v>1435</v>
      </c>
      <c r="G29" s="3457">
        <v>2210</v>
      </c>
      <c r="H29" s="3457">
        <v>2085</v>
      </c>
      <c r="I29" s="3457">
        <f>2285-30</f>
        <v>2255</v>
      </c>
      <c r="J29" s="3457">
        <v>1870</v>
      </c>
      <c r="K29" s="3457">
        <v>2380</v>
      </c>
      <c r="L29" s="3457"/>
      <c r="M29" s="3466"/>
      <c r="N29" s="5075">
        <f>SUM(B29:M29)</f>
        <v>19041</v>
      </c>
      <c r="O29" s="5076">
        <v>16380</v>
      </c>
    </row>
    <row r="30" spans="1:15" ht="16.149999999999999" customHeight="1">
      <c r="A30" s="3468" t="s">
        <v>1516</v>
      </c>
      <c r="B30" s="3458" t="e">
        <f>(B28-B29)/B28</f>
        <v>#DIV/0!</v>
      </c>
      <c r="C30" s="3458" t="e">
        <f t="shared" ref="C30:N30" si="18">(C28-C29)/C28</f>
        <v>#DIV/0!</v>
      </c>
      <c r="D30" s="3458">
        <f t="shared" si="18"/>
        <v>0.9613715421567004</v>
      </c>
      <c r="E30" s="3458" t="e">
        <f t="shared" si="18"/>
        <v>#DIV/0!</v>
      </c>
      <c r="F30" s="3458" t="e">
        <f t="shared" si="18"/>
        <v>#DIV/0!</v>
      </c>
      <c r="G30" s="3458" t="e">
        <f t="shared" si="18"/>
        <v>#DIV/0!</v>
      </c>
      <c r="H30" s="3458" t="e">
        <f t="shared" si="18"/>
        <v>#DIV/0!</v>
      </c>
      <c r="I30" s="3458" t="e">
        <f t="shared" si="18"/>
        <v>#DIV/0!</v>
      </c>
      <c r="J30" s="3458" t="e">
        <f t="shared" si="18"/>
        <v>#DIV/0!</v>
      </c>
      <c r="K30" s="3458" t="e">
        <f t="shared" si="18"/>
        <v>#DIV/0!</v>
      </c>
      <c r="L30" s="3458" t="e">
        <f t="shared" si="18"/>
        <v>#DIV/0!</v>
      </c>
      <c r="M30" s="3469" t="e">
        <f t="shared" si="18"/>
        <v>#DIV/0!</v>
      </c>
      <c r="N30" s="5072">
        <f t="shared" si="18"/>
        <v>0.36918999503064437</v>
      </c>
      <c r="O30" s="5072">
        <f>(O28-O29)/O28</f>
        <v>0.9487734397478077</v>
      </c>
    </row>
    <row r="31" spans="1:15" ht="16.149999999999999" customHeight="1">
      <c r="A31" s="3467" t="s">
        <v>1517</v>
      </c>
      <c r="B31" s="3457">
        <v>27660</v>
      </c>
      <c r="C31" s="3457">
        <v>33744</v>
      </c>
      <c r="D31" s="3457">
        <v>25578</v>
      </c>
      <c r="E31" s="3457">
        <v>30558</v>
      </c>
      <c r="F31" s="3457">
        <v>31611</v>
      </c>
      <c r="G31" s="3457">
        <v>31186</v>
      </c>
      <c r="H31" s="3457">
        <v>35871</v>
      </c>
      <c r="I31" s="3457">
        <v>31616</v>
      </c>
      <c r="J31" s="3457">
        <v>30276</v>
      </c>
      <c r="K31" s="3457">
        <v>37578</v>
      </c>
      <c r="L31" s="3457"/>
      <c r="M31" s="3466"/>
      <c r="N31" s="5075">
        <f>SUM(B31:M31)</f>
        <v>315678</v>
      </c>
      <c r="O31" s="5076">
        <v>277037</v>
      </c>
    </row>
    <row r="32" spans="1:15" ht="16.149999999999999" customHeight="1">
      <c r="A32" s="3465" t="s">
        <v>1524</v>
      </c>
      <c r="B32" s="3457">
        <v>29641</v>
      </c>
      <c r="C32" s="3457">
        <v>34892</v>
      </c>
      <c r="D32" s="3457">
        <v>26469</v>
      </c>
      <c r="E32" s="3457">
        <v>31056</v>
      </c>
      <c r="F32" s="3457">
        <v>32051</v>
      </c>
      <c r="G32" s="3457">
        <v>31340</v>
      </c>
      <c r="H32" s="3457">
        <v>35516</v>
      </c>
      <c r="I32" s="3457">
        <v>32230</v>
      </c>
      <c r="J32" s="3457">
        <v>30095</v>
      </c>
      <c r="K32" s="3457">
        <v>37669</v>
      </c>
      <c r="L32" s="3457"/>
      <c r="M32" s="3466"/>
      <c r="N32" s="5075">
        <f>SUM(B32:M32)</f>
        <v>320959</v>
      </c>
      <c r="O32" s="5076">
        <v>303039</v>
      </c>
    </row>
    <row r="33" spans="1:15" ht="16.149999999999999" customHeight="1">
      <c r="A33" s="3468" t="s">
        <v>1518</v>
      </c>
      <c r="B33" s="3458">
        <f>B31/B32</f>
        <v>0.93316689720319823</v>
      </c>
      <c r="C33" s="3458">
        <f t="shared" ref="C33:N33" si="19">C31/C32</f>
        <v>0.96709847529519666</v>
      </c>
      <c r="D33" s="3458">
        <f t="shared" si="19"/>
        <v>0.96633798027881668</v>
      </c>
      <c r="E33" s="3458">
        <f t="shared" si="19"/>
        <v>0.98396445131375576</v>
      </c>
      <c r="F33" s="3458">
        <f t="shared" si="19"/>
        <v>0.98627187919253689</v>
      </c>
      <c r="G33" s="3458">
        <f t="shared" si="19"/>
        <v>0.99508615188257821</v>
      </c>
      <c r="H33" s="3458">
        <f t="shared" si="19"/>
        <v>1.0099954949881744</v>
      </c>
      <c r="I33" s="3458">
        <f t="shared" si="19"/>
        <v>0.98094942600062052</v>
      </c>
      <c r="J33" s="3458">
        <f t="shared" si="19"/>
        <v>1.0060142880877223</v>
      </c>
      <c r="K33" s="3458">
        <f t="shared" si="19"/>
        <v>0.99758422044652106</v>
      </c>
      <c r="L33" s="3458" t="e">
        <f t="shared" si="19"/>
        <v>#DIV/0!</v>
      </c>
      <c r="M33" s="3469" t="e">
        <f t="shared" si="19"/>
        <v>#DIV/0!</v>
      </c>
      <c r="N33" s="5072">
        <f t="shared" si="19"/>
        <v>0.98354618502674795</v>
      </c>
      <c r="O33" s="5072">
        <f>O31/O32</f>
        <v>0.91419586257874397</v>
      </c>
    </row>
    <row r="34" spans="1:15" ht="16.149999999999999" customHeight="1">
      <c r="A34" s="3467" t="s">
        <v>1519</v>
      </c>
      <c r="B34" s="3460">
        <f>CRM!O5</f>
        <v>0</v>
      </c>
      <c r="C34" s="3460">
        <f>CRM!P5</f>
        <v>0</v>
      </c>
      <c r="D34" s="3460">
        <f>CRM!Q5</f>
        <v>23204.240000000002</v>
      </c>
      <c r="E34" s="3460">
        <f>CRM!R5</f>
        <v>0</v>
      </c>
      <c r="F34" s="3460">
        <f>CRM!S5</f>
        <v>0</v>
      </c>
      <c r="G34" s="3460">
        <f>CRM!T5</f>
        <v>0</v>
      </c>
      <c r="H34" s="3460">
        <f>CRM!U5</f>
        <v>0</v>
      </c>
      <c r="I34" s="3460">
        <f>CRM!V5</f>
        <v>0</v>
      </c>
      <c r="J34" s="3460">
        <f>CRM!W5</f>
        <v>0</v>
      </c>
      <c r="K34" s="3460">
        <f>CRM!X5</f>
        <v>0</v>
      </c>
      <c r="L34" s="3460">
        <f>CRM!Y5</f>
        <v>0</v>
      </c>
      <c r="M34" s="3470">
        <f>CRM!Z5</f>
        <v>0</v>
      </c>
      <c r="N34" s="5075">
        <f>SUM(B34:M34)</f>
        <v>23204.240000000002</v>
      </c>
      <c r="O34" s="5184">
        <v>237754.489</v>
      </c>
    </row>
    <row r="35" spans="1:15" ht="16.149999999999999" customHeight="1">
      <c r="A35" s="3467" t="s">
        <v>1520</v>
      </c>
      <c r="B35" s="3460">
        <f>CRM!O9+CRM!O11</f>
        <v>0</v>
      </c>
      <c r="C35" s="3460">
        <f>CRM!P9+CRM!P11</f>
        <v>0</v>
      </c>
      <c r="D35" s="3460">
        <f>CRM!Q9+CRM!Q11</f>
        <v>0</v>
      </c>
      <c r="E35" s="3460">
        <f>CRM!R9+CRM!R11</f>
        <v>0</v>
      </c>
      <c r="F35" s="3460">
        <f>CRM!S9+CRM!S11</f>
        <v>0</v>
      </c>
      <c r="G35" s="3460">
        <f>CRM!T9+CRM!T11</f>
        <v>0</v>
      </c>
      <c r="H35" s="3460">
        <f>CRM!U9+CRM!U11</f>
        <v>0</v>
      </c>
      <c r="I35" s="3460">
        <f>CRM!V9+CRM!V11</f>
        <v>0</v>
      </c>
      <c r="J35" s="3460">
        <f>CRM!W9+CRM!W11</f>
        <v>0</v>
      </c>
      <c r="K35" s="3460">
        <f>CRM!X9+CRM!X11</f>
        <v>0</v>
      </c>
      <c r="L35" s="3460">
        <f>CRM!Y9+CRM!Y11</f>
        <v>0</v>
      </c>
      <c r="M35" s="3470">
        <f>CRM!Z9+CRM!Z11</f>
        <v>0</v>
      </c>
      <c r="N35" s="5075">
        <f>SUM(B35:M35)</f>
        <v>0</v>
      </c>
      <c r="O35" s="5077">
        <f>29.43+393.21</f>
        <v>422.64</v>
      </c>
    </row>
    <row r="36" spans="1:15" ht="16.149999999999999" customHeight="1">
      <c r="A36" s="3468" t="s">
        <v>1521</v>
      </c>
      <c r="B36" s="3458" t="e">
        <f>(B34-B35)/B34</f>
        <v>#DIV/0!</v>
      </c>
      <c r="C36" s="3458" t="e">
        <f t="shared" ref="C36:N36" si="20">(C34-C35)/C34</f>
        <v>#DIV/0!</v>
      </c>
      <c r="D36" s="3458">
        <f t="shared" si="20"/>
        <v>1</v>
      </c>
      <c r="E36" s="3458" t="e">
        <f t="shared" si="20"/>
        <v>#DIV/0!</v>
      </c>
      <c r="F36" s="3458" t="e">
        <f t="shared" si="20"/>
        <v>#DIV/0!</v>
      </c>
      <c r="G36" s="3458" t="e">
        <f t="shared" si="20"/>
        <v>#DIV/0!</v>
      </c>
      <c r="H36" s="3458" t="e">
        <f t="shared" si="20"/>
        <v>#DIV/0!</v>
      </c>
      <c r="I36" s="3458" t="e">
        <f t="shared" si="20"/>
        <v>#DIV/0!</v>
      </c>
      <c r="J36" s="3458" t="e">
        <f t="shared" si="20"/>
        <v>#DIV/0!</v>
      </c>
      <c r="K36" s="3458" t="e">
        <f t="shared" si="20"/>
        <v>#DIV/0!</v>
      </c>
      <c r="L36" s="3458" t="e">
        <f t="shared" si="20"/>
        <v>#DIV/0!</v>
      </c>
      <c r="M36" s="3469" t="e">
        <f t="shared" si="20"/>
        <v>#DIV/0!</v>
      </c>
      <c r="N36" s="5072">
        <f t="shared" si="20"/>
        <v>1</v>
      </c>
      <c r="O36" s="5072">
        <f>(O34-O35)/O34</f>
        <v>0.99822236794864461</v>
      </c>
    </row>
    <row r="37" spans="1:15" ht="16.149999999999999" customHeight="1" thickBot="1">
      <c r="A37" s="3471" t="s">
        <v>1522</v>
      </c>
      <c r="B37" s="3472" t="e">
        <f>B30*B33*B36</f>
        <v>#DIV/0!</v>
      </c>
      <c r="C37" s="3472" t="e">
        <f t="shared" ref="C37:N37" si="21">C30*C33*C36</f>
        <v>#DIV/0!</v>
      </c>
      <c r="D37" s="3472">
        <f t="shared" si="21"/>
        <v>0.9290098343452371</v>
      </c>
      <c r="E37" s="3472" t="e">
        <f t="shared" si="21"/>
        <v>#DIV/0!</v>
      </c>
      <c r="F37" s="3472" t="e">
        <f t="shared" si="21"/>
        <v>#DIV/0!</v>
      </c>
      <c r="G37" s="3472" t="e">
        <f t="shared" si="21"/>
        <v>#DIV/0!</v>
      </c>
      <c r="H37" s="3472" t="e">
        <f t="shared" si="21"/>
        <v>#DIV/0!</v>
      </c>
      <c r="I37" s="3472" t="e">
        <f t="shared" si="21"/>
        <v>#DIV/0!</v>
      </c>
      <c r="J37" s="3472" t="e">
        <f t="shared" si="21"/>
        <v>#DIV/0!</v>
      </c>
      <c r="K37" s="3472" t="e">
        <f t="shared" si="21"/>
        <v>#DIV/0!</v>
      </c>
      <c r="L37" s="3472" t="e">
        <f t="shared" si="21"/>
        <v>#DIV/0!</v>
      </c>
      <c r="M37" s="3473" t="e">
        <f t="shared" si="21"/>
        <v>#DIV/0!</v>
      </c>
      <c r="N37" s="5073">
        <f t="shared" si="21"/>
        <v>0.36311541116243429</v>
      </c>
      <c r="O37" s="5078">
        <f>O30*O33*O36</f>
        <v>0.86582289775664778</v>
      </c>
    </row>
    <row r="38" spans="1:15" s="286" customFormat="1" ht="16.149999999999999" customHeight="1" thickBot="1"/>
    <row r="39" spans="1:15" ht="16.149999999999999" customHeight="1">
      <c r="A39" s="3462" t="s">
        <v>29</v>
      </c>
      <c r="B39" s="3463" t="s">
        <v>18</v>
      </c>
      <c r="C39" s="3463" t="s">
        <v>83</v>
      </c>
      <c r="D39" s="3463" t="s">
        <v>6</v>
      </c>
      <c r="E39" s="3463" t="s">
        <v>7</v>
      </c>
      <c r="F39" s="3463" t="s">
        <v>8</v>
      </c>
      <c r="G39" s="3463" t="s">
        <v>9</v>
      </c>
      <c r="H39" s="3463" t="s">
        <v>10</v>
      </c>
      <c r="I39" s="3463" t="s">
        <v>11</v>
      </c>
      <c r="J39" s="3463" t="s">
        <v>12</v>
      </c>
      <c r="K39" s="3463" t="s">
        <v>13</v>
      </c>
      <c r="L39" s="3463" t="s">
        <v>14</v>
      </c>
      <c r="M39" s="3464" t="s">
        <v>15</v>
      </c>
      <c r="N39" s="5070" t="s">
        <v>194</v>
      </c>
      <c r="O39" s="5070" t="s">
        <v>1772</v>
      </c>
    </row>
    <row r="40" spans="1:15" ht="16.149999999999999" customHeight="1">
      <c r="A40" s="3465" t="s">
        <v>1515</v>
      </c>
      <c r="B40" s="3457">
        <f>년간!F28</f>
        <v>0</v>
      </c>
      <c r="C40" s="3457">
        <f>년간!G28</f>
        <v>0</v>
      </c>
      <c r="D40" s="3457">
        <f>년간!H28</f>
        <v>37382</v>
      </c>
      <c r="E40" s="3457">
        <f>년간!I28</f>
        <v>0</v>
      </c>
      <c r="F40" s="3457">
        <f>년간!J28</f>
        <v>0</v>
      </c>
      <c r="G40" s="3457">
        <f>년간!K28</f>
        <v>0</v>
      </c>
      <c r="H40" s="3457">
        <f>년간!L28</f>
        <v>0</v>
      </c>
      <c r="I40" s="3457">
        <f>년간!M28</f>
        <v>0</v>
      </c>
      <c r="J40" s="3457">
        <f>년간!N28</f>
        <v>0</v>
      </c>
      <c r="K40" s="3457">
        <f>년간!O28</f>
        <v>0</v>
      </c>
      <c r="L40" s="3457">
        <f>년간!P28</f>
        <v>0</v>
      </c>
      <c r="M40" s="3466">
        <f>년간!Q28</f>
        <v>0</v>
      </c>
      <c r="N40" s="5075">
        <f>SUM(B40:M40)</f>
        <v>37382</v>
      </c>
      <c r="O40" s="5076">
        <v>372767</v>
      </c>
    </row>
    <row r="41" spans="1:15" ht="16.149999999999999" customHeight="1">
      <c r="A41" s="3467" t="s">
        <v>391</v>
      </c>
      <c r="B41" s="3457">
        <f>(비가동!O17+비가동!O19+비가동!O21)*60</f>
        <v>0</v>
      </c>
      <c r="C41" s="3457">
        <f>(비가동!P17+비가동!P19+비가동!P21)*60</f>
        <v>0</v>
      </c>
      <c r="D41" s="3457">
        <f>(비가동!Q17+비가동!Q19+비가동!Q21)*60</f>
        <v>476</v>
      </c>
      <c r="E41" s="3457">
        <f>(비가동!R17+비가동!R19+비가동!R21)*60</f>
        <v>0</v>
      </c>
      <c r="F41" s="3457">
        <f>(비가동!S17+비가동!S19+비가동!S21)*60</f>
        <v>0</v>
      </c>
      <c r="G41" s="3457">
        <f>(비가동!T17+비가동!T19+비가동!T21)*60</f>
        <v>0</v>
      </c>
      <c r="H41" s="3457">
        <f>(비가동!U17+비가동!U19+비가동!U21)*60</f>
        <v>0</v>
      </c>
      <c r="I41" s="3457">
        <f>(비가동!V17+비가동!V19+비가동!V21)*60</f>
        <v>0</v>
      </c>
      <c r="J41" s="3457">
        <f>(비가동!W17+비가동!W19+비가동!W21)*60</f>
        <v>0</v>
      </c>
      <c r="K41" s="3457">
        <f>(비가동!X17+비가동!X19+비가동!X21)*60</f>
        <v>0</v>
      </c>
      <c r="L41" s="3457">
        <f>(비가동!Y17+비가동!Y19+비가동!Y21)*60</f>
        <v>0</v>
      </c>
      <c r="M41" s="3466">
        <f>(비가동!Z17+비가동!Z19+비가동!Z21)*60</f>
        <v>0</v>
      </c>
      <c r="N41" s="5075">
        <f>SUM(B41:M41)</f>
        <v>476</v>
      </c>
      <c r="O41" s="5076">
        <v>7296</v>
      </c>
    </row>
    <row r="42" spans="1:15" ht="16.149999999999999" customHeight="1">
      <c r="A42" s="3468" t="s">
        <v>1516</v>
      </c>
      <c r="B42" s="3458" t="e">
        <f>(B40-B41)/B40</f>
        <v>#DIV/0!</v>
      </c>
      <c r="C42" s="3458" t="e">
        <f t="shared" ref="C42:N42" si="22">(C40-C41)/C40</f>
        <v>#DIV/0!</v>
      </c>
      <c r="D42" s="3458">
        <f t="shared" si="22"/>
        <v>0.98726659889786528</v>
      </c>
      <c r="E42" s="3458" t="e">
        <f t="shared" si="22"/>
        <v>#DIV/0!</v>
      </c>
      <c r="F42" s="3458" t="e">
        <f t="shared" si="22"/>
        <v>#DIV/0!</v>
      </c>
      <c r="G42" s="3458" t="e">
        <f t="shared" si="22"/>
        <v>#DIV/0!</v>
      </c>
      <c r="H42" s="3458" t="e">
        <f t="shared" si="22"/>
        <v>#DIV/0!</v>
      </c>
      <c r="I42" s="3458" t="e">
        <f t="shared" si="22"/>
        <v>#DIV/0!</v>
      </c>
      <c r="J42" s="3458" t="e">
        <f t="shared" si="22"/>
        <v>#DIV/0!</v>
      </c>
      <c r="K42" s="3458" t="e">
        <f t="shared" si="22"/>
        <v>#DIV/0!</v>
      </c>
      <c r="L42" s="3458" t="e">
        <f t="shared" si="22"/>
        <v>#DIV/0!</v>
      </c>
      <c r="M42" s="3469" t="e">
        <f t="shared" si="22"/>
        <v>#DIV/0!</v>
      </c>
      <c r="N42" s="5072">
        <f t="shared" si="22"/>
        <v>0.98726659889786528</v>
      </c>
      <c r="O42" s="5072">
        <f>(O40-O41)/O40</f>
        <v>0.98042745200084769</v>
      </c>
    </row>
    <row r="43" spans="1:15" ht="16.149999999999999" customHeight="1">
      <c r="A43" s="3467" t="s">
        <v>1517</v>
      </c>
      <c r="B43" s="3457">
        <v>35210</v>
      </c>
      <c r="C43" s="3457">
        <v>35034</v>
      </c>
      <c r="D43" s="3457">
        <v>30836</v>
      </c>
      <c r="E43" s="3457">
        <v>32489</v>
      </c>
      <c r="F43" s="3457">
        <v>33156</v>
      </c>
      <c r="G43" s="3457">
        <v>33587</v>
      </c>
      <c r="H43" s="3457">
        <v>41748</v>
      </c>
      <c r="I43" s="3457">
        <v>38024</v>
      </c>
      <c r="J43" s="3457">
        <v>38956</v>
      </c>
      <c r="K43" s="3457">
        <v>40490</v>
      </c>
      <c r="L43" s="3457"/>
      <c r="M43" s="3466"/>
      <c r="N43" s="5075">
        <f>SUM(B43:M43)</f>
        <v>359530</v>
      </c>
      <c r="O43" s="5076">
        <v>330942</v>
      </c>
    </row>
    <row r="44" spans="1:15" ht="16.149999999999999" customHeight="1">
      <c r="A44" s="3465" t="s">
        <v>1524</v>
      </c>
      <c r="B44" s="3457">
        <v>37400</v>
      </c>
      <c r="C44" s="3457">
        <v>38666</v>
      </c>
      <c r="D44" s="3457">
        <v>34056</v>
      </c>
      <c r="E44" s="3457">
        <v>35393</v>
      </c>
      <c r="F44" s="3457">
        <v>35773</v>
      </c>
      <c r="G44" s="3457">
        <v>37225</v>
      </c>
      <c r="H44" s="3457">
        <v>44625</v>
      </c>
      <c r="I44" s="3457">
        <v>41844</v>
      </c>
      <c r="J44" s="3457">
        <v>41074</v>
      </c>
      <c r="K44" s="3457">
        <v>44550</v>
      </c>
      <c r="L44" s="3457"/>
      <c r="M44" s="3466"/>
      <c r="N44" s="5075">
        <f>SUM(B44:M44)</f>
        <v>390606</v>
      </c>
      <c r="O44" s="5076">
        <v>365465</v>
      </c>
    </row>
    <row r="45" spans="1:15" ht="16.149999999999999" customHeight="1">
      <c r="A45" s="3468" t="s">
        <v>1518</v>
      </c>
      <c r="B45" s="3458">
        <f>B43/B44</f>
        <v>0.94144385026737964</v>
      </c>
      <c r="C45" s="3458">
        <f t="shared" ref="C45:N45" si="23">C43/C44</f>
        <v>0.90606734598872396</v>
      </c>
      <c r="D45" s="3458">
        <f t="shared" si="23"/>
        <v>0.90544984731031242</v>
      </c>
      <c r="E45" s="3458">
        <f t="shared" si="23"/>
        <v>0.91794987709434073</v>
      </c>
      <c r="F45" s="3458">
        <f t="shared" si="23"/>
        <v>0.92684426802336961</v>
      </c>
      <c r="G45" s="3458">
        <f t="shared" si="23"/>
        <v>0.90226997985224988</v>
      </c>
      <c r="H45" s="3458">
        <f t="shared" si="23"/>
        <v>0.93552941176470583</v>
      </c>
      <c r="I45" s="3458">
        <f t="shared" si="23"/>
        <v>0.9087085364687888</v>
      </c>
      <c r="J45" s="3458">
        <f t="shared" si="23"/>
        <v>0.94843453279446854</v>
      </c>
      <c r="K45" s="3458">
        <f t="shared" si="23"/>
        <v>0.90886644219977553</v>
      </c>
      <c r="L45" s="3458" t="e">
        <f t="shared" si="23"/>
        <v>#DIV/0!</v>
      </c>
      <c r="M45" s="3469" t="e">
        <f t="shared" si="23"/>
        <v>#DIV/0!</v>
      </c>
      <c r="N45" s="5072">
        <f t="shared" si="23"/>
        <v>0.92044157027797835</v>
      </c>
      <c r="O45" s="5072">
        <f>O43/O44</f>
        <v>0.90553678190798026</v>
      </c>
    </row>
    <row r="46" spans="1:15" ht="16.149999999999999" customHeight="1">
      <c r="A46" s="3467" t="s">
        <v>1519</v>
      </c>
      <c r="B46" s="3460">
        <f>CGL!O5</f>
        <v>0</v>
      </c>
      <c r="C46" s="3460">
        <f>CGL!P5</f>
        <v>0</v>
      </c>
      <c r="D46" s="3460">
        <f>CGL!Q5</f>
        <v>22857.03</v>
      </c>
      <c r="E46" s="3460">
        <f>CGL!R5</f>
        <v>0</v>
      </c>
      <c r="F46" s="3460">
        <f>CGL!S5</f>
        <v>0</v>
      </c>
      <c r="G46" s="3460">
        <f>CGL!T5</f>
        <v>0</v>
      </c>
      <c r="H46" s="3460">
        <f>CGL!U5</f>
        <v>0</v>
      </c>
      <c r="I46" s="3460">
        <f>CGL!V5</f>
        <v>0</v>
      </c>
      <c r="J46" s="3460">
        <f>CGL!W5</f>
        <v>0</v>
      </c>
      <c r="K46" s="3460">
        <f>CGL!X5</f>
        <v>0</v>
      </c>
      <c r="L46" s="3460">
        <f>CGL!Y5</f>
        <v>0</v>
      </c>
      <c r="M46" s="3470">
        <f>CGL!Z5</f>
        <v>0</v>
      </c>
      <c r="N46" s="5075">
        <f>SUM(B46:M46)</f>
        <v>22857.03</v>
      </c>
      <c r="O46" s="5184">
        <v>239665.67</v>
      </c>
    </row>
    <row r="47" spans="1:15" ht="16.149999999999999" customHeight="1">
      <c r="A47" s="3467" t="s">
        <v>1520</v>
      </c>
      <c r="B47" s="3460">
        <f>CGL!O10</f>
        <v>0</v>
      </c>
      <c r="C47" s="3460">
        <f>CGL!P10</f>
        <v>0</v>
      </c>
      <c r="D47" s="3460">
        <f>CGL!Q10</f>
        <v>0</v>
      </c>
      <c r="E47" s="3460">
        <f>CGL!R10</f>
        <v>0</v>
      </c>
      <c r="F47" s="3460">
        <f>CGL!S10</f>
        <v>0</v>
      </c>
      <c r="G47" s="3460">
        <f>CGL!T10</f>
        <v>0</v>
      </c>
      <c r="H47" s="3460">
        <f>CGL!U10</f>
        <v>0</v>
      </c>
      <c r="I47" s="3460">
        <f>CGL!V10</f>
        <v>0</v>
      </c>
      <c r="J47" s="3460">
        <f>CGL!W10</f>
        <v>0</v>
      </c>
      <c r="K47" s="3460">
        <f>CGL!X10</f>
        <v>0</v>
      </c>
      <c r="L47" s="3460">
        <f>CGL!Y10</f>
        <v>0</v>
      </c>
      <c r="M47" s="3470">
        <f>CGL!Z10</f>
        <v>0</v>
      </c>
      <c r="N47" s="5075">
        <f>SUM(B47:M47)</f>
        <v>0</v>
      </c>
      <c r="O47" s="5077">
        <f>330.85</f>
        <v>330.85</v>
      </c>
    </row>
    <row r="48" spans="1:15" ht="16.149999999999999" customHeight="1">
      <c r="A48" s="3468" t="s">
        <v>1521</v>
      </c>
      <c r="B48" s="3458" t="e">
        <f>(B46-B47)/B46</f>
        <v>#DIV/0!</v>
      </c>
      <c r="C48" s="3458" t="e">
        <f t="shared" ref="C48:N48" si="24">(C46-C47)/C46</f>
        <v>#DIV/0!</v>
      </c>
      <c r="D48" s="3458">
        <f t="shared" si="24"/>
        <v>1</v>
      </c>
      <c r="E48" s="3458" t="e">
        <f t="shared" si="24"/>
        <v>#DIV/0!</v>
      </c>
      <c r="F48" s="3458" t="e">
        <f t="shared" si="24"/>
        <v>#DIV/0!</v>
      </c>
      <c r="G48" s="3458" t="e">
        <f t="shared" si="24"/>
        <v>#DIV/0!</v>
      </c>
      <c r="H48" s="3458" t="e">
        <f t="shared" si="24"/>
        <v>#DIV/0!</v>
      </c>
      <c r="I48" s="3458" t="e">
        <f t="shared" si="24"/>
        <v>#DIV/0!</v>
      </c>
      <c r="J48" s="3458" t="e">
        <f t="shared" si="24"/>
        <v>#DIV/0!</v>
      </c>
      <c r="K48" s="3458" t="e">
        <f t="shared" si="24"/>
        <v>#DIV/0!</v>
      </c>
      <c r="L48" s="3458" t="e">
        <f t="shared" si="24"/>
        <v>#DIV/0!</v>
      </c>
      <c r="M48" s="3469" t="e">
        <f t="shared" si="24"/>
        <v>#DIV/0!</v>
      </c>
      <c r="N48" s="5072">
        <f t="shared" si="24"/>
        <v>1</v>
      </c>
      <c r="O48" s="5072">
        <f>(O46-O47)/O46</f>
        <v>0.99861953528847081</v>
      </c>
    </row>
    <row r="49" spans="1:15" ht="16.149999999999999" customHeight="1" thickBot="1">
      <c r="A49" s="3471" t="s">
        <v>1522</v>
      </c>
      <c r="B49" s="3472" t="e">
        <f>B42*B45*B48</f>
        <v>#DIV/0!</v>
      </c>
      <c r="C49" s="3472" t="e">
        <f t="shared" ref="C49:N49" si="25">C42*C45*C48</f>
        <v>#DIV/0!</v>
      </c>
      <c r="D49" s="3472">
        <f t="shared" si="25"/>
        <v>0.89392039122664357</v>
      </c>
      <c r="E49" s="3472" t="e">
        <f t="shared" si="25"/>
        <v>#DIV/0!</v>
      </c>
      <c r="F49" s="3472" t="e">
        <f t="shared" si="25"/>
        <v>#DIV/0!</v>
      </c>
      <c r="G49" s="3472" t="e">
        <f t="shared" si="25"/>
        <v>#DIV/0!</v>
      </c>
      <c r="H49" s="3472" t="e">
        <f t="shared" si="25"/>
        <v>#DIV/0!</v>
      </c>
      <c r="I49" s="3472" t="e">
        <f t="shared" si="25"/>
        <v>#DIV/0!</v>
      </c>
      <c r="J49" s="3472" t="e">
        <f t="shared" si="25"/>
        <v>#DIV/0!</v>
      </c>
      <c r="K49" s="3472" t="e">
        <f t="shared" si="25"/>
        <v>#DIV/0!</v>
      </c>
      <c r="L49" s="3472" t="e">
        <f t="shared" si="25"/>
        <v>#DIV/0!</v>
      </c>
      <c r="M49" s="3473" t="e">
        <f t="shared" si="25"/>
        <v>#DIV/0!</v>
      </c>
      <c r="N49" s="5073">
        <f t="shared" si="25"/>
        <v>0.90872121857255017</v>
      </c>
      <c r="O49" s="5078">
        <f>O42*O45*O48</f>
        <v>0.88658752509680072</v>
      </c>
    </row>
    <row r="50" spans="1:15" ht="16.149999999999999" customHeight="1" thickBot="1"/>
    <row r="51" spans="1:15" ht="16.149999999999999" customHeight="1">
      <c r="A51" s="3462" t="s">
        <v>501</v>
      </c>
      <c r="B51" s="3463" t="s">
        <v>18</v>
      </c>
      <c r="C51" s="3463" t="s">
        <v>83</v>
      </c>
      <c r="D51" s="3463" t="s">
        <v>6</v>
      </c>
      <c r="E51" s="3463" t="s">
        <v>7</v>
      </c>
      <c r="F51" s="3463" t="s">
        <v>8</v>
      </c>
      <c r="G51" s="3463" t="s">
        <v>9</v>
      </c>
      <c r="H51" s="3463" t="s">
        <v>10</v>
      </c>
      <c r="I51" s="3463" t="s">
        <v>11</v>
      </c>
      <c r="J51" s="3463" t="s">
        <v>12</v>
      </c>
      <c r="K51" s="3463" t="s">
        <v>13</v>
      </c>
      <c r="L51" s="3463" t="s">
        <v>14</v>
      </c>
      <c r="M51" s="3464" t="s">
        <v>15</v>
      </c>
      <c r="N51" s="5070" t="s">
        <v>194</v>
      </c>
      <c r="O51" s="5070" t="s">
        <v>1772</v>
      </c>
    </row>
    <row r="52" spans="1:15" ht="16.149999999999999" customHeight="1">
      <c r="A52" s="3465" t="s">
        <v>1515</v>
      </c>
      <c r="B52" s="3457">
        <f>년간!F29</f>
        <v>42040</v>
      </c>
      <c r="C52" s="3457">
        <f>년간!G29</f>
        <v>39240</v>
      </c>
      <c r="D52" s="3457">
        <f>년간!H29</f>
        <v>43740</v>
      </c>
      <c r="E52" s="3457">
        <f>년간!I29</f>
        <v>0</v>
      </c>
      <c r="F52" s="3457">
        <f>년간!J29</f>
        <v>0</v>
      </c>
      <c r="G52" s="3457">
        <f>년간!K29</f>
        <v>0</v>
      </c>
      <c r="H52" s="3457">
        <f>년간!L29</f>
        <v>0</v>
      </c>
      <c r="I52" s="3457">
        <f>년간!M29</f>
        <v>0</v>
      </c>
      <c r="J52" s="3457">
        <f>년간!N29</f>
        <v>0</v>
      </c>
      <c r="K52" s="3457">
        <f>년간!O29</f>
        <v>0</v>
      </c>
      <c r="L52" s="3457">
        <f>년간!P29</f>
        <v>0</v>
      </c>
      <c r="M52" s="3466">
        <f>년간!Q29</f>
        <v>0</v>
      </c>
      <c r="N52" s="5075">
        <f>SUM(B52:M52)</f>
        <v>125020</v>
      </c>
      <c r="O52" s="5076">
        <v>371052</v>
      </c>
    </row>
    <row r="53" spans="1:15" ht="16.149999999999999" customHeight="1">
      <c r="A53" s="3467" t="s">
        <v>391</v>
      </c>
      <c r="B53" s="3457">
        <v>4464</v>
      </c>
      <c r="C53" s="3457">
        <v>4878</v>
      </c>
      <c r="D53" s="3457">
        <v>4170</v>
      </c>
      <c r="E53" s="3457">
        <v>4744</v>
      </c>
      <c r="F53" s="3457">
        <v>4523</v>
      </c>
      <c r="G53" s="3457">
        <v>4913</v>
      </c>
      <c r="H53" s="3457">
        <v>5756</v>
      </c>
      <c r="I53" s="3457">
        <f>5729-25</f>
        <v>5704</v>
      </c>
      <c r="J53" s="3457">
        <v>5918</v>
      </c>
      <c r="K53" s="3457">
        <v>5104</v>
      </c>
      <c r="L53" s="3457"/>
      <c r="M53" s="3466"/>
      <c r="N53" s="5075">
        <f>SUM(B53:M53)</f>
        <v>50174</v>
      </c>
      <c r="O53" s="5076">
        <v>51995</v>
      </c>
    </row>
    <row r="54" spans="1:15" ht="16.149999999999999" customHeight="1">
      <c r="A54" s="3468" t="s">
        <v>1516</v>
      </c>
      <c r="B54" s="3458">
        <f>(B52-B53)/B52</f>
        <v>0.89381541389153185</v>
      </c>
      <c r="C54" s="3458">
        <f t="shared" ref="C54:N54" si="26">(C52-C53)/C52</f>
        <v>0.87568807339449539</v>
      </c>
      <c r="D54" s="3458">
        <f t="shared" si="26"/>
        <v>0.90466392318244171</v>
      </c>
      <c r="E54" s="3458" t="e">
        <f t="shared" si="26"/>
        <v>#DIV/0!</v>
      </c>
      <c r="F54" s="3458" t="e">
        <f t="shared" si="26"/>
        <v>#DIV/0!</v>
      </c>
      <c r="G54" s="3458" t="e">
        <f t="shared" si="26"/>
        <v>#DIV/0!</v>
      </c>
      <c r="H54" s="3458" t="e">
        <f t="shared" si="26"/>
        <v>#DIV/0!</v>
      </c>
      <c r="I54" s="3458" t="e">
        <f t="shared" si="26"/>
        <v>#DIV/0!</v>
      </c>
      <c r="J54" s="3458" t="e">
        <f t="shared" si="26"/>
        <v>#DIV/0!</v>
      </c>
      <c r="K54" s="3458" t="e">
        <f t="shared" si="26"/>
        <v>#DIV/0!</v>
      </c>
      <c r="L54" s="3458" t="e">
        <f t="shared" si="26"/>
        <v>#DIV/0!</v>
      </c>
      <c r="M54" s="3469" t="e">
        <f t="shared" si="26"/>
        <v>#DIV/0!</v>
      </c>
      <c r="N54" s="5072">
        <f t="shared" si="26"/>
        <v>0.59867221244600866</v>
      </c>
      <c r="O54" s="5072">
        <f>(O52-O53)/O52</f>
        <v>0.85987139268889534</v>
      </c>
    </row>
    <row r="55" spans="1:15" ht="16.149999999999999" customHeight="1">
      <c r="A55" s="3467" t="s">
        <v>1517</v>
      </c>
      <c r="B55" s="3457">
        <v>34264</v>
      </c>
      <c r="C55" s="3457">
        <v>29079</v>
      </c>
      <c r="D55" s="3457">
        <v>29892</v>
      </c>
      <c r="E55" s="3457">
        <v>33447</v>
      </c>
      <c r="F55" s="3457">
        <v>30496</v>
      </c>
      <c r="G55" s="3457">
        <v>34434</v>
      </c>
      <c r="H55" s="3457">
        <v>37788</v>
      </c>
      <c r="I55" s="3457">
        <v>31092</v>
      </c>
      <c r="J55" s="3457">
        <v>34318</v>
      </c>
      <c r="K55" s="3457">
        <v>37558</v>
      </c>
      <c r="L55" s="3457"/>
      <c r="M55" s="3466"/>
      <c r="N55" s="5075">
        <f>SUM(B55:M55)</f>
        <v>332368</v>
      </c>
      <c r="O55" s="5076">
        <v>305944</v>
      </c>
    </row>
    <row r="56" spans="1:15" ht="16.149999999999999" customHeight="1">
      <c r="A56" s="3465" t="s">
        <v>1524</v>
      </c>
      <c r="B56" s="3457">
        <v>39043</v>
      </c>
      <c r="C56" s="3457">
        <v>34001</v>
      </c>
      <c r="D56" s="3457">
        <v>32758</v>
      </c>
      <c r="E56" s="3457">
        <v>37799</v>
      </c>
      <c r="F56" s="3457">
        <v>39371</v>
      </c>
      <c r="G56" s="3457">
        <v>40600</v>
      </c>
      <c r="H56" s="3457">
        <v>43275</v>
      </c>
      <c r="I56" s="3457">
        <v>37002</v>
      </c>
      <c r="J56" s="3457">
        <v>38865</v>
      </c>
      <c r="K56" s="3457">
        <v>41281</v>
      </c>
      <c r="L56" s="3457"/>
      <c r="M56" s="3466"/>
      <c r="N56" s="5075">
        <f>SUM(B56:M56)</f>
        <v>383995</v>
      </c>
      <c r="O56" s="5076">
        <v>353934</v>
      </c>
    </row>
    <row r="57" spans="1:15" ht="16.149999999999999" customHeight="1">
      <c r="A57" s="3468" t="s">
        <v>1518</v>
      </c>
      <c r="B57" s="3458">
        <f>B55/B56</f>
        <v>0.87759649617088853</v>
      </c>
      <c r="C57" s="3458">
        <f t="shared" ref="C57:N57" si="27">C55/C56</f>
        <v>0.85523955177788891</v>
      </c>
      <c r="D57" s="3458">
        <f t="shared" si="27"/>
        <v>0.91250992124061303</v>
      </c>
      <c r="E57" s="3458">
        <f t="shared" si="27"/>
        <v>0.88486467895976084</v>
      </c>
      <c r="F57" s="3458">
        <f t="shared" si="27"/>
        <v>0.77458027482156921</v>
      </c>
      <c r="G57" s="3458">
        <f t="shared" si="27"/>
        <v>0.848128078817734</v>
      </c>
      <c r="H57" s="3458">
        <f t="shared" si="27"/>
        <v>0.87320623916811091</v>
      </c>
      <c r="I57" s="3458">
        <f t="shared" si="27"/>
        <v>0.8402789038430355</v>
      </c>
      <c r="J57" s="3458">
        <f t="shared" si="27"/>
        <v>0.88300527466872503</v>
      </c>
      <c r="K57" s="3458">
        <f t="shared" si="27"/>
        <v>0.90981323126862235</v>
      </c>
      <c r="L57" s="3458" t="e">
        <f t="shared" si="27"/>
        <v>#DIV/0!</v>
      </c>
      <c r="M57" s="3469" t="e">
        <f t="shared" si="27"/>
        <v>#DIV/0!</v>
      </c>
      <c r="N57" s="5072">
        <f t="shared" si="27"/>
        <v>0.86555293688719903</v>
      </c>
      <c r="O57" s="5072">
        <f>O55/O56</f>
        <v>0.86440974871021148</v>
      </c>
    </row>
    <row r="58" spans="1:15" ht="16.149999999999999" customHeight="1">
      <c r="A58" s="3467" t="s">
        <v>1519</v>
      </c>
      <c r="B58" s="3460">
        <f>'#1CCL'!O5</f>
        <v>12404.550000000001</v>
      </c>
      <c r="C58" s="3460">
        <f>'#1CCL'!P5</f>
        <v>11953.14</v>
      </c>
      <c r="D58" s="3460">
        <f>'#1CCL'!Q5</f>
        <v>13031.1</v>
      </c>
      <c r="E58" s="3460">
        <f>'#1CCL'!R5</f>
        <v>0</v>
      </c>
      <c r="F58" s="3460">
        <f>'#1CCL'!S5</f>
        <v>0</v>
      </c>
      <c r="G58" s="3460">
        <f>'#1CCL'!T5</f>
        <v>0</v>
      </c>
      <c r="H58" s="3460">
        <f>'#1CCL'!U5</f>
        <v>0</v>
      </c>
      <c r="I58" s="3460">
        <f>'#1CCL'!V5</f>
        <v>0</v>
      </c>
      <c r="J58" s="3460">
        <f>'#1CCL'!W5</f>
        <v>0</v>
      </c>
      <c r="K58" s="3460">
        <f>'#1CCL'!X5</f>
        <v>0</v>
      </c>
      <c r="L58" s="3460">
        <f>'#1CCL'!Y5</f>
        <v>0</v>
      </c>
      <c r="M58" s="3470">
        <f>'#1CCL'!Z5</f>
        <v>0</v>
      </c>
      <c r="N58" s="5075">
        <f>SUM(B58:M58)</f>
        <v>37388.79</v>
      </c>
      <c r="O58" s="5184">
        <v>123961.10799999999</v>
      </c>
    </row>
    <row r="59" spans="1:15" ht="16.149999999999999" customHeight="1">
      <c r="A59" s="3467" t="s">
        <v>1520</v>
      </c>
      <c r="B59" s="3460">
        <f>'#1CCL'!O9+'#1CCL'!O11</f>
        <v>11.54</v>
      </c>
      <c r="C59" s="3460">
        <f>'#1CCL'!P9+'#1CCL'!P11</f>
        <v>0</v>
      </c>
      <c r="D59" s="3460">
        <f>'#1CCL'!Q9+'#1CCL'!Q11</f>
        <v>9.27</v>
      </c>
      <c r="E59" s="3460">
        <f>'#1CCL'!R9+'#1CCL'!R11</f>
        <v>0</v>
      </c>
      <c r="F59" s="3460">
        <f>'#1CCL'!S9+'#1CCL'!S11</f>
        <v>0</v>
      </c>
      <c r="G59" s="3460">
        <f>'#1CCL'!T9+'#1CCL'!T11</f>
        <v>0</v>
      </c>
      <c r="H59" s="3460">
        <f>'#1CCL'!U9+'#1CCL'!U11</f>
        <v>0</v>
      </c>
      <c r="I59" s="3460">
        <f>'#1CCL'!V9+'#1CCL'!V11</f>
        <v>0</v>
      </c>
      <c r="J59" s="3460">
        <f>'#1CCL'!W9+'#1CCL'!W11</f>
        <v>0</v>
      </c>
      <c r="K59" s="3460">
        <f>'#1CCL'!X9+'#1CCL'!X11</f>
        <v>0</v>
      </c>
      <c r="L59" s="3460">
        <f>'#1CCL'!Y9+'#1CCL'!Y11</f>
        <v>0</v>
      </c>
      <c r="M59" s="3470">
        <f>'#1CCL'!Z9+'#1CCL'!Z11</f>
        <v>0</v>
      </c>
      <c r="N59" s="5075">
        <f>SUM(B59:M59)</f>
        <v>20.81</v>
      </c>
      <c r="O59" s="5077">
        <f>69.54+1524.24</f>
        <v>1593.78</v>
      </c>
    </row>
    <row r="60" spans="1:15" ht="16.149999999999999" customHeight="1">
      <c r="A60" s="3468" t="s">
        <v>1521</v>
      </c>
      <c r="B60" s="3458">
        <f>(B58-B59)/B58</f>
        <v>0.99906969620018449</v>
      </c>
      <c r="C60" s="3458">
        <f t="shared" ref="C60:N60" si="28">(C58-C59)/C58</f>
        <v>1</v>
      </c>
      <c r="D60" s="3458">
        <f t="shared" si="28"/>
        <v>0.99928862490503489</v>
      </c>
      <c r="E60" s="3458" t="e">
        <f t="shared" si="28"/>
        <v>#DIV/0!</v>
      </c>
      <c r="F60" s="3458" t="e">
        <f t="shared" si="28"/>
        <v>#DIV/0!</v>
      </c>
      <c r="G60" s="3458" t="e">
        <f t="shared" si="28"/>
        <v>#DIV/0!</v>
      </c>
      <c r="H60" s="3458" t="e">
        <f t="shared" si="28"/>
        <v>#DIV/0!</v>
      </c>
      <c r="I60" s="3458" t="e">
        <f t="shared" si="28"/>
        <v>#DIV/0!</v>
      </c>
      <c r="J60" s="3458" t="e">
        <f t="shared" si="28"/>
        <v>#DIV/0!</v>
      </c>
      <c r="K60" s="3458" t="e">
        <f t="shared" si="28"/>
        <v>#DIV/0!</v>
      </c>
      <c r="L60" s="3458" t="e">
        <f t="shared" si="28"/>
        <v>#DIV/0!</v>
      </c>
      <c r="M60" s="3469" t="e">
        <f t="shared" si="28"/>
        <v>#DIV/0!</v>
      </c>
      <c r="N60" s="5072">
        <f t="shared" si="28"/>
        <v>0.99944341606133824</v>
      </c>
      <c r="O60" s="5072">
        <f>(O58-O59)/O58</f>
        <v>0.98714290291758289</v>
      </c>
    </row>
    <row r="61" spans="1:15" ht="16.149999999999999" customHeight="1" thickBot="1">
      <c r="A61" s="3471" t="s">
        <v>1522</v>
      </c>
      <c r="B61" s="3472">
        <f>B54*B57*B60</f>
        <v>0.78367953652517486</v>
      </c>
      <c r="C61" s="3472">
        <f t="shared" ref="C61:N61" si="29">C54*C57*C60</f>
        <v>0.7489230753871513</v>
      </c>
      <c r="D61" s="3472">
        <f t="shared" si="29"/>
        <v>0.82492755461942391</v>
      </c>
      <c r="E61" s="3472" t="e">
        <f t="shared" si="29"/>
        <v>#DIV/0!</v>
      </c>
      <c r="F61" s="3472" t="e">
        <f t="shared" si="29"/>
        <v>#DIV/0!</v>
      </c>
      <c r="G61" s="3472" t="e">
        <f t="shared" si="29"/>
        <v>#DIV/0!</v>
      </c>
      <c r="H61" s="3472" t="e">
        <f t="shared" si="29"/>
        <v>#DIV/0!</v>
      </c>
      <c r="I61" s="3472" t="e">
        <f t="shared" si="29"/>
        <v>#DIV/0!</v>
      </c>
      <c r="J61" s="3472" t="e">
        <f t="shared" si="29"/>
        <v>#DIV/0!</v>
      </c>
      <c r="K61" s="3472" t="e">
        <f t="shared" si="29"/>
        <v>#DIV/0!</v>
      </c>
      <c r="L61" s="3472" t="e">
        <f t="shared" si="29"/>
        <v>#DIV/0!</v>
      </c>
      <c r="M61" s="3473" t="e">
        <f t="shared" si="29"/>
        <v>#DIV/0!</v>
      </c>
      <c r="N61" s="5073">
        <f t="shared" si="29"/>
        <v>0.51789407966321543</v>
      </c>
      <c r="O61" s="5078">
        <f>O54*O57*O60</f>
        <v>0.73372477574323591</v>
      </c>
    </row>
    <row r="62" spans="1:15" ht="16.149999999999999" customHeight="1" thickBot="1"/>
    <row r="63" spans="1:15" ht="16.149999999999999" customHeight="1">
      <c r="A63" s="3462" t="s">
        <v>488</v>
      </c>
      <c r="B63" s="3463" t="s">
        <v>18</v>
      </c>
      <c r="C63" s="3463" t="s">
        <v>83</v>
      </c>
      <c r="D63" s="3463" t="s">
        <v>6</v>
      </c>
      <c r="E63" s="3463" t="s">
        <v>7</v>
      </c>
      <c r="F63" s="3463" t="s">
        <v>8</v>
      </c>
      <c r="G63" s="3463" t="s">
        <v>9</v>
      </c>
      <c r="H63" s="3463" t="s">
        <v>10</v>
      </c>
      <c r="I63" s="3463" t="s">
        <v>11</v>
      </c>
      <c r="J63" s="3463" t="s">
        <v>12</v>
      </c>
      <c r="K63" s="3463" t="s">
        <v>13</v>
      </c>
      <c r="L63" s="3463" t="s">
        <v>14</v>
      </c>
      <c r="M63" s="3464" t="s">
        <v>15</v>
      </c>
      <c r="N63" s="5070" t="s">
        <v>194</v>
      </c>
      <c r="O63" s="5070" t="s">
        <v>1772</v>
      </c>
    </row>
    <row r="64" spans="1:15" ht="16.149999999999999" customHeight="1">
      <c r="A64" s="3465" t="s">
        <v>1515</v>
      </c>
      <c r="B64" s="3457">
        <f>년간!F30</f>
        <v>41072</v>
      </c>
      <c r="C64" s="3457">
        <f>년간!G30</f>
        <v>38000</v>
      </c>
      <c r="D64" s="3457">
        <f>년간!H30</f>
        <v>43393</v>
      </c>
      <c r="E64" s="3457">
        <f>년간!I30</f>
        <v>0</v>
      </c>
      <c r="F64" s="3457">
        <f>년간!J30</f>
        <v>0</v>
      </c>
      <c r="G64" s="3457">
        <f>년간!K30</f>
        <v>0</v>
      </c>
      <c r="H64" s="3457">
        <f>년간!L30</f>
        <v>0</v>
      </c>
      <c r="I64" s="3457">
        <f>년간!M30</f>
        <v>0</v>
      </c>
      <c r="J64" s="3457">
        <f>년간!N30</f>
        <v>0</v>
      </c>
      <c r="K64" s="3457">
        <f>년간!O30</f>
        <v>0</v>
      </c>
      <c r="L64" s="3457">
        <f>년간!P30</f>
        <v>0</v>
      </c>
      <c r="M64" s="3466">
        <f>년간!Q30</f>
        <v>0</v>
      </c>
      <c r="N64" s="5075">
        <f>SUM(B64:M64)</f>
        <v>122465</v>
      </c>
      <c r="O64" s="5076">
        <v>373237</v>
      </c>
    </row>
    <row r="65" spans="1:15" ht="16.149999999999999" customHeight="1">
      <c r="A65" s="3467" t="s">
        <v>391</v>
      </c>
      <c r="B65" s="3457">
        <v>8898</v>
      </c>
      <c r="C65" s="3457">
        <v>8094</v>
      </c>
      <c r="D65" s="3457">
        <v>7982</v>
      </c>
      <c r="E65" s="3457">
        <v>9166</v>
      </c>
      <c r="F65" s="3457">
        <v>8664</v>
      </c>
      <c r="G65" s="3457">
        <v>9230</v>
      </c>
      <c r="H65" s="3457">
        <v>9171</v>
      </c>
      <c r="I65" s="3457">
        <f>8714-100</f>
        <v>8614</v>
      </c>
      <c r="J65" s="3457">
        <v>9866</v>
      </c>
      <c r="K65" s="3457">
        <v>10608</v>
      </c>
      <c r="L65" s="3457"/>
      <c r="M65" s="3466"/>
      <c r="N65" s="5075">
        <f>SUM(B65:M65)</f>
        <v>90293</v>
      </c>
      <c r="O65" s="5076">
        <v>102041</v>
      </c>
    </row>
    <row r="66" spans="1:15" ht="16.149999999999999" customHeight="1">
      <c r="A66" s="3468" t="s">
        <v>1516</v>
      </c>
      <c r="B66" s="3458">
        <f>(B64-B65)/B64</f>
        <v>0.78335605765485006</v>
      </c>
      <c r="C66" s="3458">
        <f t="shared" ref="C66:N66" si="30">(C64-C65)/C64</f>
        <v>0.78700000000000003</v>
      </c>
      <c r="D66" s="3458">
        <f t="shared" si="30"/>
        <v>0.81605328048302717</v>
      </c>
      <c r="E66" s="3458" t="e">
        <f t="shared" si="30"/>
        <v>#DIV/0!</v>
      </c>
      <c r="F66" s="3458" t="e">
        <f t="shared" si="30"/>
        <v>#DIV/0!</v>
      </c>
      <c r="G66" s="3458" t="e">
        <f t="shared" si="30"/>
        <v>#DIV/0!</v>
      </c>
      <c r="H66" s="3458" t="e">
        <f t="shared" si="30"/>
        <v>#DIV/0!</v>
      </c>
      <c r="I66" s="3458" t="e">
        <f t="shared" si="30"/>
        <v>#DIV/0!</v>
      </c>
      <c r="J66" s="3458" t="e">
        <f t="shared" si="30"/>
        <v>#DIV/0!</v>
      </c>
      <c r="K66" s="3458" t="e">
        <f t="shared" si="30"/>
        <v>#DIV/0!</v>
      </c>
      <c r="L66" s="3458" t="e">
        <f t="shared" si="30"/>
        <v>#DIV/0!</v>
      </c>
      <c r="M66" s="3469" t="e">
        <f t="shared" si="30"/>
        <v>#DIV/0!</v>
      </c>
      <c r="N66" s="5072">
        <f t="shared" si="30"/>
        <v>0.26270362960845955</v>
      </c>
      <c r="O66" s="5072">
        <f>(O64-O65)/O64</f>
        <v>0.72660534727264448</v>
      </c>
    </row>
    <row r="67" spans="1:15" ht="16.149999999999999" customHeight="1">
      <c r="A67" s="3467" t="s">
        <v>1517</v>
      </c>
      <c r="B67" s="3457">
        <v>9773</v>
      </c>
      <c r="C67" s="3457">
        <v>27652</v>
      </c>
      <c r="D67" s="3457">
        <v>19714</v>
      </c>
      <c r="E67" s="3457">
        <v>24496</v>
      </c>
      <c r="F67" s="3457">
        <v>22916</v>
      </c>
      <c r="G67" s="3457">
        <v>27831</v>
      </c>
      <c r="H67" s="3457">
        <v>27063</v>
      </c>
      <c r="I67" s="3457">
        <v>23724</v>
      </c>
      <c r="J67" s="3457">
        <v>24602</v>
      </c>
      <c r="K67" s="3457">
        <v>25148</v>
      </c>
      <c r="L67" s="3457"/>
      <c r="M67" s="3466"/>
      <c r="N67" s="5075">
        <f>SUM(B67:M67)</f>
        <v>232919</v>
      </c>
      <c r="O67" s="5076">
        <v>228112</v>
      </c>
    </row>
    <row r="68" spans="1:15" ht="16.149999999999999" customHeight="1">
      <c r="A68" s="3465" t="s">
        <v>1524</v>
      </c>
      <c r="B68" s="3457">
        <v>12093</v>
      </c>
      <c r="C68" s="3457">
        <v>35051</v>
      </c>
      <c r="D68" s="3457">
        <v>27941</v>
      </c>
      <c r="E68" s="3457">
        <v>33990</v>
      </c>
      <c r="F68" s="3457">
        <v>30975</v>
      </c>
      <c r="G68" s="3457">
        <v>38292</v>
      </c>
      <c r="H68" s="3457">
        <v>36287</v>
      </c>
      <c r="I68" s="3457">
        <v>31656</v>
      </c>
      <c r="J68" s="3457">
        <v>32617</v>
      </c>
      <c r="K68" s="3457">
        <v>36493</v>
      </c>
      <c r="L68" s="3457"/>
      <c r="M68" s="3466"/>
      <c r="N68" s="5075">
        <f>SUM(B68:M68)</f>
        <v>315395</v>
      </c>
      <c r="O68" s="5076">
        <v>332575</v>
      </c>
    </row>
    <row r="69" spans="1:15" ht="16.149999999999999" customHeight="1">
      <c r="A69" s="3468" t="s">
        <v>1518</v>
      </c>
      <c r="B69" s="3458">
        <f>B67/B68</f>
        <v>0.80815347721822539</v>
      </c>
      <c r="C69" s="3458">
        <f t="shared" ref="C69:N69" si="31">C67/C68</f>
        <v>0.78890759179481329</v>
      </c>
      <c r="D69" s="3458">
        <f t="shared" si="31"/>
        <v>0.70555814036720232</v>
      </c>
      <c r="E69" s="3458">
        <f t="shared" si="31"/>
        <v>0.72068255369226242</v>
      </c>
      <c r="F69" s="3458">
        <f t="shared" si="31"/>
        <v>0.73982243744955611</v>
      </c>
      <c r="G69" s="3458">
        <f t="shared" si="31"/>
        <v>0.72680977749921649</v>
      </c>
      <c r="H69" s="3458">
        <f t="shared" si="31"/>
        <v>0.7458042825254223</v>
      </c>
      <c r="I69" s="3458">
        <f t="shared" si="31"/>
        <v>0.74943138741470816</v>
      </c>
      <c r="J69" s="3458">
        <f t="shared" si="31"/>
        <v>0.7542692460986602</v>
      </c>
      <c r="K69" s="3458">
        <f t="shared" si="31"/>
        <v>0.68911846107472663</v>
      </c>
      <c r="L69" s="3458" t="e">
        <f t="shared" si="31"/>
        <v>#DIV/0!</v>
      </c>
      <c r="M69" s="3469" t="e">
        <f t="shared" si="31"/>
        <v>#DIV/0!</v>
      </c>
      <c r="N69" s="5072">
        <f t="shared" si="31"/>
        <v>0.73849934209483348</v>
      </c>
      <c r="O69" s="5072">
        <f>O67/O68</f>
        <v>0.68589641434262949</v>
      </c>
    </row>
    <row r="70" spans="1:15" ht="16.149999999999999" customHeight="1">
      <c r="A70" s="3467" t="s">
        <v>1519</v>
      </c>
      <c r="B70" s="3460">
        <f>'#2CCL'!O5</f>
        <v>4934.12</v>
      </c>
      <c r="C70" s="3460">
        <f>'#2CCL'!P5</f>
        <v>4837.6000000000004</v>
      </c>
      <c r="D70" s="3460">
        <f>'#2CCL'!Q5</f>
        <v>5980.01</v>
      </c>
      <c r="E70" s="3460">
        <f>'#2CCL'!R5</f>
        <v>0</v>
      </c>
      <c r="F70" s="3460">
        <f>'#2CCL'!S5</f>
        <v>0</v>
      </c>
      <c r="G70" s="3460">
        <f>'#2CCL'!T5</f>
        <v>0</v>
      </c>
      <c r="H70" s="3460">
        <f>'#2CCL'!U5</f>
        <v>0</v>
      </c>
      <c r="I70" s="3460">
        <f>'#2CCL'!V5</f>
        <v>0</v>
      </c>
      <c r="J70" s="3460">
        <f>'#2CCL'!W5</f>
        <v>0</v>
      </c>
      <c r="K70" s="3460">
        <f>'#2CCL'!X5</f>
        <v>0</v>
      </c>
      <c r="L70" s="3460">
        <f>'#2CCL'!Y5</f>
        <v>0</v>
      </c>
      <c r="M70" s="3470">
        <f>'#2CCL'!Z5</f>
        <v>0</v>
      </c>
      <c r="N70" s="5075">
        <f>SUM(B70:M70)</f>
        <v>15751.730000000001</v>
      </c>
      <c r="O70" s="5184">
        <v>42325.625</v>
      </c>
    </row>
    <row r="71" spans="1:15" ht="16.149999999999999" customHeight="1">
      <c r="A71" s="3467" t="s">
        <v>1520</v>
      </c>
      <c r="B71" s="3460">
        <f>'#2CCL'!O9+'#2CCL'!O11</f>
        <v>3.47</v>
      </c>
      <c r="C71" s="3460">
        <f>'#2CCL'!P9+'#2CCL'!P11</f>
        <v>0.96</v>
      </c>
      <c r="D71" s="3460">
        <f>'#2CCL'!Q9+'#2CCL'!Q11</f>
        <v>5.6</v>
      </c>
      <c r="E71" s="3460">
        <f>'#2CCL'!R9+'#2CCL'!R11</f>
        <v>0</v>
      </c>
      <c r="F71" s="3460">
        <f>'#2CCL'!S9+'#2CCL'!S11</f>
        <v>0</v>
      </c>
      <c r="G71" s="3460">
        <f>'#2CCL'!T9+'#2CCL'!T11</f>
        <v>0</v>
      </c>
      <c r="H71" s="3460">
        <f>'#2CCL'!U9+'#2CCL'!U11</f>
        <v>0</v>
      </c>
      <c r="I71" s="3460">
        <f>'#2CCL'!V9+'#2CCL'!V11</f>
        <v>0</v>
      </c>
      <c r="J71" s="3460">
        <f>'#2CCL'!W9+'#2CCL'!W11</f>
        <v>0</v>
      </c>
      <c r="K71" s="3460">
        <f>'#2CCL'!X9+'#2CCL'!X11</f>
        <v>0</v>
      </c>
      <c r="L71" s="3460">
        <f>'#2CCL'!Y9+'#2CCL'!Y11</f>
        <v>0</v>
      </c>
      <c r="M71" s="3470">
        <f>'#2CCL'!Z9+'#2CCL'!Z11</f>
        <v>0</v>
      </c>
      <c r="N71" s="5075">
        <f>SUM(B71:M71)</f>
        <v>10.029999999999999</v>
      </c>
      <c r="O71" s="5077">
        <f>69.51+214.773</f>
        <v>284.28300000000002</v>
      </c>
    </row>
    <row r="72" spans="1:15" ht="16.149999999999999" customHeight="1">
      <c r="A72" s="3468" t="s">
        <v>1521</v>
      </c>
      <c r="B72" s="3458">
        <f>(B70-B71)/B70</f>
        <v>0.99929673376407546</v>
      </c>
      <c r="C72" s="3458">
        <f t="shared" ref="C72:N72" si="32">(C70-C71)/C70</f>
        <v>0.99980155448982966</v>
      </c>
      <c r="D72" s="3458">
        <f t="shared" si="32"/>
        <v>0.99906354671647701</v>
      </c>
      <c r="E72" s="3458" t="e">
        <f t="shared" si="32"/>
        <v>#DIV/0!</v>
      </c>
      <c r="F72" s="3458" t="e">
        <f t="shared" si="32"/>
        <v>#DIV/0!</v>
      </c>
      <c r="G72" s="3458" t="e">
        <f t="shared" si="32"/>
        <v>#DIV/0!</v>
      </c>
      <c r="H72" s="3458" t="e">
        <f t="shared" si="32"/>
        <v>#DIV/0!</v>
      </c>
      <c r="I72" s="3458" t="e">
        <f t="shared" si="32"/>
        <v>#DIV/0!</v>
      </c>
      <c r="J72" s="3458" t="e">
        <f t="shared" si="32"/>
        <v>#DIV/0!</v>
      </c>
      <c r="K72" s="3458" t="e">
        <f t="shared" si="32"/>
        <v>#DIV/0!</v>
      </c>
      <c r="L72" s="3458" t="e">
        <f t="shared" si="32"/>
        <v>#DIV/0!</v>
      </c>
      <c r="M72" s="3469" t="e">
        <f t="shared" si="32"/>
        <v>#DIV/0!</v>
      </c>
      <c r="N72" s="5072">
        <f t="shared" si="32"/>
        <v>0.99936324454520231</v>
      </c>
      <c r="O72" s="5072">
        <f>(O70-O71)/O70</f>
        <v>0.99328343054591628</v>
      </c>
    </row>
    <row r="73" spans="1:15" ht="16.149999999999999" customHeight="1" thickBot="1">
      <c r="A73" s="3471" t="s">
        <v>1522</v>
      </c>
      <c r="B73" s="3472">
        <f>B66*B69*B72</f>
        <v>0.63262670378614805</v>
      </c>
      <c r="C73" s="3472">
        <f t="shared" ref="C73:N73" si="33">C66*C69*C72</f>
        <v>0.62074706582409722</v>
      </c>
      <c r="D73" s="3472">
        <f t="shared" si="33"/>
        <v>0.57523385046895281</v>
      </c>
      <c r="E73" s="3472" t="e">
        <f t="shared" si="33"/>
        <v>#DIV/0!</v>
      </c>
      <c r="F73" s="3472" t="e">
        <f t="shared" si="33"/>
        <v>#DIV/0!</v>
      </c>
      <c r="G73" s="3472" t="e">
        <f t="shared" si="33"/>
        <v>#DIV/0!</v>
      </c>
      <c r="H73" s="3472" t="e">
        <f t="shared" si="33"/>
        <v>#DIV/0!</v>
      </c>
      <c r="I73" s="3472" t="e">
        <f t="shared" si="33"/>
        <v>#DIV/0!</v>
      </c>
      <c r="J73" s="3472" t="e">
        <f t="shared" si="33"/>
        <v>#DIV/0!</v>
      </c>
      <c r="K73" s="3472" t="e">
        <f t="shared" si="33"/>
        <v>#DIV/0!</v>
      </c>
      <c r="L73" s="3472" t="e">
        <f t="shared" si="33"/>
        <v>#DIV/0!</v>
      </c>
      <c r="M73" s="3473" t="e">
        <f t="shared" si="33"/>
        <v>#DIV/0!</v>
      </c>
      <c r="N73" s="5073">
        <f t="shared" si="33"/>
        <v>0.19388292296160919</v>
      </c>
      <c r="O73" s="5078">
        <f>O66*O69*O72</f>
        <v>0.49502862530254632</v>
      </c>
    </row>
  </sheetData>
  <phoneticPr fontId="23" type="noConversion"/>
  <pageMargins left="0.7" right="0.7" top="0.75" bottom="0.75" header="0.3" footer="0.3"/>
  <pageSetup paperSize="9" scale="65"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02"/>
  <sheetViews>
    <sheetView workbookViewId="0">
      <selection activeCell="X12" sqref="X12"/>
    </sheetView>
  </sheetViews>
  <sheetFormatPr defaultRowHeight="13.5"/>
  <cols>
    <col min="1" max="1" width="15.77734375" style="286" bestFit="1" customWidth="1"/>
    <col min="2" max="2" width="12.44140625" style="286" hidden="1" customWidth="1"/>
    <col min="3" max="5" width="10.33203125" style="286" hidden="1" customWidth="1"/>
    <col min="6" max="6" width="9.33203125" style="286" hidden="1" customWidth="1"/>
    <col min="7" max="7" width="10.33203125" style="286" hidden="1" customWidth="1"/>
    <col min="8" max="8" width="10.44140625" style="286" bestFit="1" customWidth="1"/>
    <col min="9" max="11" width="8.77734375" style="286"/>
    <col min="12" max="15" width="0" style="286" hidden="1" customWidth="1"/>
    <col min="16" max="16" width="9.5546875" style="286" hidden="1" customWidth="1"/>
    <col min="17" max="20" width="0" style="286" hidden="1" customWidth="1"/>
    <col min="21" max="21" width="9.77734375" style="286" customWidth="1"/>
    <col min="24" max="24" width="8.77734375" customWidth="1"/>
  </cols>
  <sheetData>
    <row r="1" spans="1:21" ht="14.25" thickBot="1">
      <c r="A1" s="287" t="s">
        <v>1652</v>
      </c>
    </row>
    <row r="2" spans="1:21" ht="17.25">
      <c r="A2" s="3462" t="s">
        <v>0</v>
      </c>
      <c r="B2" s="3475" t="s">
        <v>27</v>
      </c>
      <c r="C2" s="3475" t="s">
        <v>28</v>
      </c>
      <c r="D2" s="3475" t="s">
        <v>29</v>
      </c>
      <c r="E2" s="3475" t="s">
        <v>501</v>
      </c>
      <c r="F2" s="3475" t="s">
        <v>488</v>
      </c>
      <c r="G2" s="3480" t="s">
        <v>16</v>
      </c>
      <c r="H2" s="3485" t="s">
        <v>1244</v>
      </c>
      <c r="I2" s="3462" t="s">
        <v>18</v>
      </c>
      <c r="J2" s="3475" t="s">
        <v>83</v>
      </c>
      <c r="K2" s="3475" t="s">
        <v>6</v>
      </c>
      <c r="L2" s="3475" t="s">
        <v>7</v>
      </c>
      <c r="M2" s="3475" t="s">
        <v>8</v>
      </c>
      <c r="N2" s="3475" t="s">
        <v>9</v>
      </c>
      <c r="O2" s="3475" t="s">
        <v>10</v>
      </c>
      <c r="P2" s="3475" t="s">
        <v>11</v>
      </c>
      <c r="Q2" s="3475" t="s">
        <v>12</v>
      </c>
      <c r="R2" s="3475" t="s">
        <v>13</v>
      </c>
      <c r="S2" s="3475" t="s">
        <v>14</v>
      </c>
      <c r="T2" s="3475" t="s">
        <v>15</v>
      </c>
      <c r="U2" s="3476" t="s">
        <v>194</v>
      </c>
    </row>
    <row r="3" spans="1:21" ht="33">
      <c r="A3" s="3465" t="s">
        <v>1515</v>
      </c>
      <c r="B3" s="3457">
        <v>254721</v>
      </c>
      <c r="C3" s="3457">
        <v>319756</v>
      </c>
      <c r="D3" s="3457">
        <v>372767</v>
      </c>
      <c r="E3" s="3457">
        <v>371052</v>
      </c>
      <c r="F3" s="3457">
        <v>373237</v>
      </c>
      <c r="G3" s="3481">
        <f>SUM(B3:F3)</f>
        <v>1691533</v>
      </c>
      <c r="H3" s="3486">
        <v>1825514.4807508551</v>
      </c>
      <c r="I3" s="3418">
        <f t="shared" ref="I3:T3" si="0">(I17+I29+I41+I53+I65)</f>
        <v>83112</v>
      </c>
      <c r="J3" s="3416">
        <f t="shared" si="0"/>
        <v>77240</v>
      </c>
      <c r="K3" s="3416">
        <f t="shared" si="0"/>
        <v>182467</v>
      </c>
      <c r="L3" s="3416">
        <f t="shared" si="0"/>
        <v>0</v>
      </c>
      <c r="M3" s="3416">
        <f t="shared" si="0"/>
        <v>0</v>
      </c>
      <c r="N3" s="3416">
        <f t="shared" si="0"/>
        <v>0</v>
      </c>
      <c r="O3" s="3416">
        <f t="shared" si="0"/>
        <v>0</v>
      </c>
      <c r="P3" s="3416">
        <f t="shared" si="0"/>
        <v>0</v>
      </c>
      <c r="Q3" s="3416">
        <f t="shared" si="0"/>
        <v>0</v>
      </c>
      <c r="R3" s="3416">
        <f t="shared" si="0"/>
        <v>0</v>
      </c>
      <c r="S3" s="3416">
        <f t="shared" si="0"/>
        <v>0</v>
      </c>
      <c r="T3" s="3416">
        <f t="shared" si="0"/>
        <v>0</v>
      </c>
      <c r="U3" s="3484">
        <f>SUM(I3:T3)</f>
        <v>342819</v>
      </c>
    </row>
    <row r="4" spans="1:21" ht="16.5">
      <c r="A4" s="3467" t="s">
        <v>391</v>
      </c>
      <c r="B4" s="3457">
        <v>1602</v>
      </c>
      <c r="C4" s="3457">
        <v>16380</v>
      </c>
      <c r="D4" s="3457">
        <v>7296</v>
      </c>
      <c r="E4" s="3457">
        <v>51995</v>
      </c>
      <c r="F4" s="3457">
        <v>102041</v>
      </c>
      <c r="G4" s="3481">
        <f>SUM(B4:F4)</f>
        <v>179314</v>
      </c>
      <c r="H4" s="3486">
        <v>193758.84470731398</v>
      </c>
      <c r="I4" s="3418">
        <f t="shared" ref="I4:T4" si="1">(I18+I30+I42+I54+I66)</f>
        <v>16202</v>
      </c>
      <c r="J4" s="3416">
        <f t="shared" si="1"/>
        <v>15137</v>
      </c>
      <c r="K4" s="3416">
        <f t="shared" si="1"/>
        <v>13834</v>
      </c>
      <c r="L4" s="3416">
        <f t="shared" si="1"/>
        <v>0</v>
      </c>
      <c r="M4" s="3416">
        <f t="shared" si="1"/>
        <v>0</v>
      </c>
      <c r="N4" s="3416">
        <f t="shared" si="1"/>
        <v>0</v>
      </c>
      <c r="O4" s="3416">
        <f t="shared" si="1"/>
        <v>0</v>
      </c>
      <c r="P4" s="3416">
        <f t="shared" si="1"/>
        <v>0</v>
      </c>
      <c r="Q4" s="3416">
        <f t="shared" si="1"/>
        <v>0</v>
      </c>
      <c r="R4" s="3416">
        <f t="shared" si="1"/>
        <v>0</v>
      </c>
      <c r="S4" s="3416">
        <f t="shared" si="1"/>
        <v>0</v>
      </c>
      <c r="T4" s="3416">
        <f t="shared" si="1"/>
        <v>0</v>
      </c>
      <c r="U4" s="3484">
        <f>SUM(I4:T4)</f>
        <v>45173</v>
      </c>
    </row>
    <row r="5" spans="1:21" ht="16.5">
      <c r="A5" s="3468" t="s">
        <v>1516</v>
      </c>
      <c r="B5" s="3458">
        <f>(B3-B4)/B3</f>
        <v>0.99371076589680474</v>
      </c>
      <c r="C5" s="3458">
        <f t="shared" ref="C5:U5" si="2">(C3-C4)/C3</f>
        <v>0.9487734397478077</v>
      </c>
      <c r="D5" s="3458">
        <f t="shared" si="2"/>
        <v>0.98042745200084769</v>
      </c>
      <c r="E5" s="3458">
        <f t="shared" si="2"/>
        <v>0.85987139268889534</v>
      </c>
      <c r="F5" s="3458">
        <f t="shared" si="2"/>
        <v>0.72660534727264448</v>
      </c>
      <c r="G5" s="3474">
        <f t="shared" si="2"/>
        <v>0.89399320025089668</v>
      </c>
      <c r="H5" s="3487">
        <f t="shared" si="2"/>
        <v>0.89386069146511582</v>
      </c>
      <c r="I5" s="3477">
        <f t="shared" si="2"/>
        <v>0.8050582346712869</v>
      </c>
      <c r="J5" s="3458">
        <f t="shared" si="2"/>
        <v>0.804026411185914</v>
      </c>
      <c r="K5" s="3458">
        <f t="shared" si="2"/>
        <v>0.92418355099826266</v>
      </c>
      <c r="L5" s="3458" t="e">
        <f t="shared" si="2"/>
        <v>#DIV/0!</v>
      </c>
      <c r="M5" s="3458" t="e">
        <f t="shared" si="2"/>
        <v>#DIV/0!</v>
      </c>
      <c r="N5" s="3458" t="e">
        <f t="shared" si="2"/>
        <v>#DIV/0!</v>
      </c>
      <c r="O5" s="3458" t="e">
        <f t="shared" si="2"/>
        <v>#DIV/0!</v>
      </c>
      <c r="P5" s="3458" t="e">
        <f t="shared" si="2"/>
        <v>#DIV/0!</v>
      </c>
      <c r="Q5" s="3458" t="e">
        <f t="shared" si="2"/>
        <v>#DIV/0!</v>
      </c>
      <c r="R5" s="3458" t="e">
        <f t="shared" si="2"/>
        <v>#DIV/0!</v>
      </c>
      <c r="S5" s="3458" t="e">
        <f t="shared" si="2"/>
        <v>#DIV/0!</v>
      </c>
      <c r="T5" s="3458" t="e">
        <f t="shared" si="2"/>
        <v>#DIV/0!</v>
      </c>
      <c r="U5" s="3469">
        <f t="shared" si="2"/>
        <v>0.86823075733842059</v>
      </c>
    </row>
    <row r="6" spans="1:21" ht="16.5">
      <c r="A6" s="3467" t="s">
        <v>1517</v>
      </c>
      <c r="B6" s="3457">
        <v>220154</v>
      </c>
      <c r="C6" s="3457">
        <v>277037</v>
      </c>
      <c r="D6" s="3457">
        <v>330942</v>
      </c>
      <c r="E6" s="3457">
        <v>305944</v>
      </c>
      <c r="F6" s="3457">
        <v>228112</v>
      </c>
      <c r="G6" s="3481">
        <f>SUM(B6:F6)</f>
        <v>1362189</v>
      </c>
      <c r="H6" s="3486">
        <v>1492483.8869396404</v>
      </c>
      <c r="I6" s="3418">
        <f t="shared" ref="I6:T6" si="3">(I20+I32+I44+I56+I68)</f>
        <v>131546</v>
      </c>
      <c r="J6" s="3416">
        <f t="shared" si="3"/>
        <v>151550</v>
      </c>
      <c r="K6" s="3416">
        <f t="shared" si="3"/>
        <v>124947</v>
      </c>
      <c r="L6" s="3416">
        <f t="shared" si="3"/>
        <v>0</v>
      </c>
      <c r="M6" s="3416">
        <f t="shared" si="3"/>
        <v>0</v>
      </c>
      <c r="N6" s="3416">
        <f t="shared" si="3"/>
        <v>0</v>
      </c>
      <c r="O6" s="3416">
        <f t="shared" si="3"/>
        <v>0</v>
      </c>
      <c r="P6" s="3416">
        <f t="shared" si="3"/>
        <v>0</v>
      </c>
      <c r="Q6" s="3416">
        <f t="shared" si="3"/>
        <v>0</v>
      </c>
      <c r="R6" s="3416">
        <f t="shared" si="3"/>
        <v>0</v>
      </c>
      <c r="S6" s="3416">
        <f t="shared" si="3"/>
        <v>0</v>
      </c>
      <c r="T6" s="3416">
        <f t="shared" si="3"/>
        <v>0</v>
      </c>
      <c r="U6" s="3484">
        <f>SUM(I6:T6)</f>
        <v>408043</v>
      </c>
    </row>
    <row r="7" spans="1:21" ht="33">
      <c r="A7" s="3465" t="s">
        <v>1524</v>
      </c>
      <c r="B7" s="3457">
        <v>253010</v>
      </c>
      <c r="C7" s="3457">
        <v>303039</v>
      </c>
      <c r="D7" s="3457">
        <v>365465</v>
      </c>
      <c r="E7" s="3457">
        <v>353934</v>
      </c>
      <c r="F7" s="3457">
        <v>332575</v>
      </c>
      <c r="G7" s="3481">
        <f>SUM(B7:F7)</f>
        <v>1608023</v>
      </c>
      <c r="H7" s="3486">
        <v>1690676.5183026791</v>
      </c>
      <c r="I7" s="3418">
        <f t="shared" ref="I7:T7" si="4">(I21+I33+I45+I57+I69)</f>
        <v>144046</v>
      </c>
      <c r="J7" s="3416">
        <f t="shared" si="4"/>
        <v>170535</v>
      </c>
      <c r="K7" s="3416">
        <f t="shared" si="4"/>
        <v>140784</v>
      </c>
      <c r="L7" s="3416">
        <f t="shared" si="4"/>
        <v>0</v>
      </c>
      <c r="M7" s="3416">
        <f t="shared" si="4"/>
        <v>0</v>
      </c>
      <c r="N7" s="3416">
        <f t="shared" si="4"/>
        <v>0</v>
      </c>
      <c r="O7" s="3416">
        <f t="shared" si="4"/>
        <v>0</v>
      </c>
      <c r="P7" s="3416">
        <f t="shared" si="4"/>
        <v>0</v>
      </c>
      <c r="Q7" s="3416">
        <f t="shared" si="4"/>
        <v>0</v>
      </c>
      <c r="R7" s="3416">
        <f t="shared" si="4"/>
        <v>0</v>
      </c>
      <c r="S7" s="3416">
        <f t="shared" si="4"/>
        <v>0</v>
      </c>
      <c r="T7" s="3416">
        <f t="shared" si="4"/>
        <v>0</v>
      </c>
      <c r="U7" s="3484">
        <f>SUM(I7:T7)</f>
        <v>455365</v>
      </c>
    </row>
    <row r="8" spans="1:21" ht="16.5">
      <c r="A8" s="3468" t="s">
        <v>1518</v>
      </c>
      <c r="B8" s="3458">
        <f>B6/B7</f>
        <v>0.87013952017706808</v>
      </c>
      <c r="C8" s="3458">
        <f t="shared" ref="C8:U8" si="5">C6/C7</f>
        <v>0.91419586257874397</v>
      </c>
      <c r="D8" s="3458">
        <f t="shared" si="5"/>
        <v>0.90553678190798026</v>
      </c>
      <c r="E8" s="3458">
        <f t="shared" si="5"/>
        <v>0.86440974871021148</v>
      </c>
      <c r="F8" s="3458">
        <f t="shared" si="5"/>
        <v>0.68589641434262949</v>
      </c>
      <c r="G8" s="3474">
        <f t="shared" si="5"/>
        <v>0.84712034591545027</v>
      </c>
      <c r="H8" s="3487">
        <f t="shared" si="5"/>
        <v>0.88277318031126961</v>
      </c>
      <c r="I8" s="3477">
        <f t="shared" si="5"/>
        <v>0.91322216514169086</v>
      </c>
      <c r="J8" s="3458">
        <f t="shared" si="5"/>
        <v>0.88867387926232155</v>
      </c>
      <c r="K8" s="3458">
        <f t="shared" si="5"/>
        <v>0.88750852369587452</v>
      </c>
      <c r="L8" s="3458" t="e">
        <f t="shared" si="5"/>
        <v>#DIV/0!</v>
      </c>
      <c r="M8" s="3458" t="e">
        <f t="shared" si="5"/>
        <v>#DIV/0!</v>
      </c>
      <c r="N8" s="3458" t="e">
        <f t="shared" si="5"/>
        <v>#DIV/0!</v>
      </c>
      <c r="O8" s="3458" t="e">
        <f t="shared" si="5"/>
        <v>#DIV/0!</v>
      </c>
      <c r="P8" s="3458" t="e">
        <f t="shared" si="5"/>
        <v>#DIV/0!</v>
      </c>
      <c r="Q8" s="3458" t="e">
        <f t="shared" si="5"/>
        <v>#DIV/0!</v>
      </c>
      <c r="R8" s="3458" t="e">
        <f t="shared" si="5"/>
        <v>#DIV/0!</v>
      </c>
      <c r="S8" s="3458" t="e">
        <f t="shared" si="5"/>
        <v>#DIV/0!</v>
      </c>
      <c r="T8" s="3458" t="e">
        <f t="shared" si="5"/>
        <v>#DIV/0!</v>
      </c>
      <c r="U8" s="3469">
        <f t="shared" si="5"/>
        <v>0.89607896961777911</v>
      </c>
    </row>
    <row r="9" spans="1:21" ht="16.5">
      <c r="A9" s="3467" t="s">
        <v>1519</v>
      </c>
      <c r="B9" s="3459">
        <v>247068.53899999999</v>
      </c>
      <c r="C9" s="3460">
        <v>237754.489</v>
      </c>
      <c r="D9" s="3460">
        <v>239665.67</v>
      </c>
      <c r="E9" s="3460">
        <v>123961.10799999999</v>
      </c>
      <c r="F9" s="3460">
        <v>42325.625</v>
      </c>
      <c r="G9" s="3482">
        <f>SUM(B9:F9)</f>
        <v>890775.43099999998</v>
      </c>
      <c r="H9" s="3486">
        <v>968526.21549999993</v>
      </c>
      <c r="I9" s="3418">
        <f t="shared" ref="I9:T9" si="6">(I23+I35+I47+I59+I71)</f>
        <v>17338.670000000002</v>
      </c>
      <c r="J9" s="3416">
        <f t="shared" si="6"/>
        <v>16790.739999999998</v>
      </c>
      <c r="K9" s="3416">
        <f t="shared" si="6"/>
        <v>92654.5</v>
      </c>
      <c r="L9" s="3416">
        <f t="shared" si="6"/>
        <v>0</v>
      </c>
      <c r="M9" s="3416">
        <f t="shared" si="6"/>
        <v>0</v>
      </c>
      <c r="N9" s="3416">
        <f t="shared" si="6"/>
        <v>0</v>
      </c>
      <c r="O9" s="3416">
        <f t="shared" si="6"/>
        <v>0</v>
      </c>
      <c r="P9" s="3416">
        <f t="shared" si="6"/>
        <v>0</v>
      </c>
      <c r="Q9" s="3416">
        <f t="shared" si="6"/>
        <v>0</v>
      </c>
      <c r="R9" s="3416">
        <f t="shared" si="6"/>
        <v>0</v>
      </c>
      <c r="S9" s="3416">
        <f t="shared" si="6"/>
        <v>0</v>
      </c>
      <c r="T9" s="3416">
        <f t="shared" si="6"/>
        <v>0</v>
      </c>
      <c r="U9" s="3484">
        <f>SUM(I9:T9)</f>
        <v>126783.91</v>
      </c>
    </row>
    <row r="10" spans="1:21" ht="16.5">
      <c r="A10" s="3467" t="s">
        <v>1520</v>
      </c>
      <c r="B10" s="3459">
        <f>21.37+2197.18</f>
        <v>2218.5499999999997</v>
      </c>
      <c r="C10" s="3460">
        <f>29.43+393.21</f>
        <v>422.64</v>
      </c>
      <c r="D10" s="3460">
        <f>330.85</f>
        <v>330.85</v>
      </c>
      <c r="E10" s="3460">
        <f>69.54+1524.24</f>
        <v>1593.78</v>
      </c>
      <c r="F10" s="3460">
        <f>69.51+214.773</f>
        <v>284.28300000000002</v>
      </c>
      <c r="G10" s="3482">
        <f>SUM(B10:F10)</f>
        <v>4850.1030000000001</v>
      </c>
      <c r="H10" s="3486">
        <v>3566.5515</v>
      </c>
      <c r="I10" s="3418">
        <f t="shared" ref="I10:T10" si="7">(I24+I36+I48+I60+I72)</f>
        <v>15.01</v>
      </c>
      <c r="J10" s="3416">
        <f t="shared" si="7"/>
        <v>0.96</v>
      </c>
      <c r="K10" s="3416">
        <f t="shared" si="7"/>
        <v>26.29</v>
      </c>
      <c r="L10" s="3416">
        <f t="shared" si="7"/>
        <v>0</v>
      </c>
      <c r="M10" s="3416">
        <f t="shared" si="7"/>
        <v>0</v>
      </c>
      <c r="N10" s="3416">
        <f t="shared" si="7"/>
        <v>0</v>
      </c>
      <c r="O10" s="3416">
        <f t="shared" si="7"/>
        <v>0</v>
      </c>
      <c r="P10" s="3416">
        <f t="shared" si="7"/>
        <v>0</v>
      </c>
      <c r="Q10" s="3416">
        <f t="shared" si="7"/>
        <v>0</v>
      </c>
      <c r="R10" s="3416">
        <f t="shared" si="7"/>
        <v>0</v>
      </c>
      <c r="S10" s="3416">
        <f t="shared" si="7"/>
        <v>0</v>
      </c>
      <c r="T10" s="3416">
        <f t="shared" si="7"/>
        <v>0</v>
      </c>
      <c r="U10" s="3484">
        <f>SUM(I10:T10)</f>
        <v>42.26</v>
      </c>
    </row>
    <row r="11" spans="1:21" ht="16.5">
      <c r="A11" s="3468" t="s">
        <v>1521</v>
      </c>
      <c r="B11" s="3458">
        <f>(B9-B10)/B9</f>
        <v>0.99102050787615659</v>
      </c>
      <c r="C11" s="3458">
        <f t="shared" ref="C11:U11" si="8">(C9-C10)/C9</f>
        <v>0.99822236794864461</v>
      </c>
      <c r="D11" s="3458">
        <f t="shared" si="8"/>
        <v>0.99861953528847081</v>
      </c>
      <c r="E11" s="3458">
        <f t="shared" si="8"/>
        <v>0.98714290291758289</v>
      </c>
      <c r="F11" s="3458">
        <f t="shared" si="8"/>
        <v>0.99328343054591628</v>
      </c>
      <c r="G11" s="3474">
        <f t="shared" si="8"/>
        <v>0.99455518997133185</v>
      </c>
      <c r="H11" s="3487">
        <f t="shared" si="8"/>
        <v>0.99631754779279902</v>
      </c>
      <c r="I11" s="3477">
        <f t="shared" si="8"/>
        <v>0.99913430499571199</v>
      </c>
      <c r="J11" s="3458">
        <f t="shared" si="8"/>
        <v>0.99994282562888837</v>
      </c>
      <c r="K11" s="3458">
        <f t="shared" si="8"/>
        <v>0.99971625771009509</v>
      </c>
      <c r="L11" s="3458" t="e">
        <f t="shared" si="8"/>
        <v>#DIV/0!</v>
      </c>
      <c r="M11" s="3458" t="e">
        <f t="shared" si="8"/>
        <v>#DIV/0!</v>
      </c>
      <c r="N11" s="3458" t="e">
        <f t="shared" si="8"/>
        <v>#DIV/0!</v>
      </c>
      <c r="O11" s="3458" t="e">
        <f t="shared" si="8"/>
        <v>#DIV/0!</v>
      </c>
      <c r="P11" s="3458" t="e">
        <f t="shared" si="8"/>
        <v>#DIV/0!</v>
      </c>
      <c r="Q11" s="3458" t="e">
        <f t="shared" si="8"/>
        <v>#DIV/0!</v>
      </c>
      <c r="R11" s="3458" t="e">
        <f t="shared" si="8"/>
        <v>#DIV/0!</v>
      </c>
      <c r="S11" s="3458" t="e">
        <f t="shared" si="8"/>
        <v>#DIV/0!</v>
      </c>
      <c r="T11" s="3458" t="e">
        <f t="shared" si="8"/>
        <v>#DIV/0!</v>
      </c>
      <c r="U11" s="3469">
        <f t="shared" si="8"/>
        <v>0.99966667694662525</v>
      </c>
    </row>
    <row r="12" spans="1:21" ht="18" thickBot="1">
      <c r="A12" s="3471" t="s">
        <v>1522</v>
      </c>
      <c r="B12" s="3472">
        <f>B5*B8*B11</f>
        <v>0.8569027384348803</v>
      </c>
      <c r="C12" s="3472">
        <f t="shared" ref="C12:T12" si="9">C5*C8*C11</f>
        <v>0.86582289775664778</v>
      </c>
      <c r="D12" s="3472">
        <f t="shared" si="9"/>
        <v>0.88658752509680072</v>
      </c>
      <c r="E12" s="3472">
        <f t="shared" si="9"/>
        <v>0.73372477574323591</v>
      </c>
      <c r="F12" s="3472">
        <f t="shared" si="9"/>
        <v>0.49502862530254632</v>
      </c>
      <c r="G12" s="3483">
        <f t="shared" si="9"/>
        <v>0.75319636644251964</v>
      </c>
      <c r="H12" s="3488">
        <f t="shared" si="9"/>
        <v>0.78617050979851544</v>
      </c>
      <c r="I12" s="3478">
        <f t="shared" si="9"/>
        <v>0.73456056774070189</v>
      </c>
      <c r="J12" s="3478">
        <f t="shared" si="9"/>
        <v>0.71447641778239612</v>
      </c>
      <c r="K12" s="3478">
        <f t="shared" si="9"/>
        <v>0.81998804764842637</v>
      </c>
      <c r="L12" s="3478" t="e">
        <f t="shared" si="9"/>
        <v>#DIV/0!</v>
      </c>
      <c r="M12" s="3478" t="e">
        <f t="shared" si="9"/>
        <v>#DIV/0!</v>
      </c>
      <c r="N12" s="3478" t="e">
        <f t="shared" si="9"/>
        <v>#DIV/0!</v>
      </c>
      <c r="O12" s="3478" t="e">
        <f t="shared" si="9"/>
        <v>#DIV/0!</v>
      </c>
      <c r="P12" s="3478" t="e">
        <f t="shared" si="9"/>
        <v>#DIV/0!</v>
      </c>
      <c r="Q12" s="3478" t="e">
        <f t="shared" si="9"/>
        <v>#DIV/0!</v>
      </c>
      <c r="R12" s="3478" t="e">
        <f t="shared" si="9"/>
        <v>#DIV/0!</v>
      </c>
      <c r="S12" s="3478" t="e">
        <f t="shared" si="9"/>
        <v>#DIV/0!</v>
      </c>
      <c r="T12" s="3478" t="e">
        <f t="shared" si="9"/>
        <v>#DIV/0!</v>
      </c>
      <c r="U12" s="3479">
        <v>0.78617050979851544</v>
      </c>
    </row>
    <row r="13" spans="1:21" ht="14.25" thickBot="1">
      <c r="A13" s="286" t="s">
        <v>1656</v>
      </c>
    </row>
    <row r="14" spans="1:21" ht="14.45" customHeight="1">
      <c r="A14" s="286" t="s">
        <v>1657</v>
      </c>
    </row>
    <row r="15" spans="1:21" s="286" customFormat="1" ht="30.6" customHeight="1" thickBot="1"/>
    <row r="16" spans="1:21" ht="17.25">
      <c r="A16" s="8407" t="s">
        <v>27</v>
      </c>
      <c r="B16" s="8408"/>
      <c r="C16" s="8408"/>
      <c r="D16" s="8408"/>
      <c r="E16" s="8408"/>
      <c r="F16" s="8408"/>
      <c r="G16" s="8408"/>
      <c r="H16" s="8409"/>
      <c r="I16" s="4426" t="s">
        <v>18</v>
      </c>
      <c r="J16" s="3463" t="s">
        <v>83</v>
      </c>
      <c r="K16" s="3463" t="s">
        <v>6</v>
      </c>
      <c r="L16" s="3463" t="s">
        <v>7</v>
      </c>
      <c r="M16" s="3463" t="s">
        <v>8</v>
      </c>
      <c r="N16" s="3463" t="s">
        <v>9</v>
      </c>
      <c r="O16" s="3463" t="s">
        <v>10</v>
      </c>
      <c r="P16" s="3463" t="s">
        <v>11</v>
      </c>
      <c r="Q16" s="3463" t="s">
        <v>12</v>
      </c>
      <c r="R16" s="3463" t="s">
        <v>13</v>
      </c>
      <c r="S16" s="3463" t="s">
        <v>14</v>
      </c>
      <c r="T16" s="3464" t="s">
        <v>15</v>
      </c>
    </row>
    <row r="17" spans="1:24" ht="33" hidden="1">
      <c r="A17" s="3465" t="s">
        <v>1515</v>
      </c>
      <c r="B17" s="3441"/>
      <c r="C17" s="3441"/>
      <c r="D17" s="3441"/>
      <c r="E17" s="3441"/>
      <c r="F17" s="3441"/>
      <c r="G17" s="3441"/>
      <c r="H17" s="4432"/>
      <c r="I17" s="4427">
        <f>년간!F26</f>
        <v>0</v>
      </c>
      <c r="J17" s="3457">
        <f>년간!G26</f>
        <v>0</v>
      </c>
      <c r="K17" s="3457">
        <f>년간!H26</f>
        <v>27767</v>
      </c>
      <c r="L17" s="3457">
        <f>년간!I26</f>
        <v>0</v>
      </c>
      <c r="M17" s="3457">
        <f>년간!J26</f>
        <v>0</v>
      </c>
      <c r="N17" s="3457">
        <f>년간!K26</f>
        <v>0</v>
      </c>
      <c r="O17" s="3457">
        <f>년간!L26</f>
        <v>0</v>
      </c>
      <c r="P17" s="3457">
        <f>년간!M26</f>
        <v>0</v>
      </c>
      <c r="Q17" s="3457">
        <f>년간!N26</f>
        <v>0</v>
      </c>
      <c r="R17" s="3457">
        <f>년간!O26</f>
        <v>0</v>
      </c>
      <c r="S17" s="3457">
        <f>년간!P26</f>
        <v>0</v>
      </c>
      <c r="T17" s="3466">
        <f>년간!Q26</f>
        <v>0</v>
      </c>
    </row>
    <row r="18" spans="1:24" ht="16.5" hidden="1">
      <c r="A18" s="3467" t="s">
        <v>391</v>
      </c>
      <c r="B18" s="3441"/>
      <c r="C18" s="3441"/>
      <c r="D18" s="3441"/>
      <c r="E18" s="3441"/>
      <c r="F18" s="3441"/>
      <c r="G18" s="3441"/>
      <c r="H18" s="4432"/>
      <c r="I18" s="4427">
        <v>660</v>
      </c>
      <c r="J18" s="3457">
        <f>(비가동!P5+비가동!P7+비가동!P9)*60</f>
        <v>0</v>
      </c>
      <c r="K18" s="3457">
        <f>(비가동!Q5+비가동!Q7+비가동!Q9)*60</f>
        <v>40</v>
      </c>
      <c r="L18" s="3457">
        <f>(비가동!R5+비가동!R7+비가동!R9)*60</f>
        <v>0</v>
      </c>
      <c r="M18" s="3457">
        <f>(비가동!S5+비가동!S7+비가동!S9)*60</f>
        <v>0</v>
      </c>
      <c r="N18" s="3457">
        <f>(비가동!T5+비가동!T7+비가동!T9)*60</f>
        <v>0</v>
      </c>
      <c r="O18" s="3457">
        <f>(비가동!U5+비가동!U7+비가동!U9)*60</f>
        <v>0</v>
      </c>
      <c r="P18" s="3457">
        <f>(비가동!V5+비가동!V7+비가동!V9)*60</f>
        <v>0</v>
      </c>
      <c r="Q18" s="3457">
        <f>(비가동!W5+비가동!W7+비가동!W9)*60</f>
        <v>0</v>
      </c>
      <c r="R18" s="3457">
        <f>(비가동!X5+비가동!X7+비가동!X9)*60</f>
        <v>0</v>
      </c>
      <c r="S18" s="3457">
        <f>(비가동!Y5+비가동!Y7+비가동!Y9)*60</f>
        <v>0</v>
      </c>
      <c r="T18" s="3466">
        <f>(비가동!Z5+비가동!Z7+비가동!Z9)*60</f>
        <v>0</v>
      </c>
    </row>
    <row r="19" spans="1:24" ht="16.5">
      <c r="A19" s="8404" t="s">
        <v>1516</v>
      </c>
      <c r="B19" s="8405"/>
      <c r="C19" s="8405"/>
      <c r="D19" s="8405"/>
      <c r="E19" s="8405"/>
      <c r="F19" s="8405"/>
      <c r="G19" s="8405"/>
      <c r="H19" s="8406"/>
      <c r="I19" s="4428" t="e">
        <f>(I17-I18)/I17</f>
        <v>#DIV/0!</v>
      </c>
      <c r="J19" s="3458" t="e">
        <f t="shared" ref="J19:T19" si="10">(J17-J18)/J17</f>
        <v>#DIV/0!</v>
      </c>
      <c r="K19" s="3458">
        <f t="shared" si="10"/>
        <v>0.99855944106313255</v>
      </c>
      <c r="L19" s="3458" t="e">
        <f t="shared" si="10"/>
        <v>#DIV/0!</v>
      </c>
      <c r="M19" s="3458" t="e">
        <f t="shared" si="10"/>
        <v>#DIV/0!</v>
      </c>
      <c r="N19" s="3458" t="e">
        <f t="shared" si="10"/>
        <v>#DIV/0!</v>
      </c>
      <c r="O19" s="3458" t="e">
        <f t="shared" si="10"/>
        <v>#DIV/0!</v>
      </c>
      <c r="P19" s="3458" t="e">
        <f t="shared" si="10"/>
        <v>#DIV/0!</v>
      </c>
      <c r="Q19" s="3458" t="e">
        <f t="shared" si="10"/>
        <v>#DIV/0!</v>
      </c>
      <c r="R19" s="3458" t="e">
        <f t="shared" si="10"/>
        <v>#DIV/0!</v>
      </c>
      <c r="S19" s="3458" t="e">
        <f t="shared" si="10"/>
        <v>#DIV/0!</v>
      </c>
      <c r="T19" s="3469" t="e">
        <f t="shared" si="10"/>
        <v>#DIV/0!</v>
      </c>
      <c r="U19" s="8402" t="s">
        <v>1663</v>
      </c>
      <c r="V19" s="8403"/>
      <c r="W19" s="8403"/>
      <c r="X19" s="8403"/>
    </row>
    <row r="20" spans="1:24" ht="17.45" hidden="1" customHeight="1">
      <c r="A20" s="3467" t="s">
        <v>1517</v>
      </c>
      <c r="B20" s="3441"/>
      <c r="C20" s="3441"/>
      <c r="D20" s="3441"/>
      <c r="E20" s="3441"/>
      <c r="F20" s="3441"/>
      <c r="G20" s="3441"/>
      <c r="H20" s="4432"/>
      <c r="I20" s="4427">
        <v>24639</v>
      </c>
      <c r="J20" s="3457">
        <v>26041</v>
      </c>
      <c r="K20" s="3457">
        <v>18927</v>
      </c>
      <c r="L20" s="3457"/>
      <c r="M20" s="3457"/>
      <c r="N20" s="3457"/>
      <c r="O20" s="3457"/>
      <c r="P20" s="3457"/>
      <c r="Q20" s="3457"/>
      <c r="R20" s="3457"/>
      <c r="S20" s="3457"/>
      <c r="T20" s="3466"/>
      <c r="U20" s="4446"/>
      <c r="V20" s="4447"/>
      <c r="W20" s="4447"/>
      <c r="X20" s="4447"/>
    </row>
    <row r="21" spans="1:24" ht="34.9" hidden="1" customHeight="1">
      <c r="A21" s="3465" t="s">
        <v>1524</v>
      </c>
      <c r="B21" s="3441"/>
      <c r="C21" s="3441"/>
      <c r="D21" s="3441"/>
      <c r="E21" s="3441"/>
      <c r="F21" s="3441"/>
      <c r="G21" s="3441"/>
      <c r="H21" s="4432"/>
      <c r="I21" s="4427">
        <v>25869</v>
      </c>
      <c r="J21" s="3457">
        <v>27925</v>
      </c>
      <c r="K21" s="3457">
        <v>19560</v>
      </c>
      <c r="L21" s="3457"/>
      <c r="M21" s="3457"/>
      <c r="N21" s="3457"/>
      <c r="O21" s="3457"/>
      <c r="P21" s="3457"/>
      <c r="Q21" s="3457"/>
      <c r="R21" s="3457"/>
      <c r="S21" s="3457"/>
      <c r="T21" s="3466"/>
      <c r="U21" s="4446"/>
      <c r="V21" s="4447"/>
      <c r="W21" s="4447"/>
      <c r="X21" s="4447"/>
    </row>
    <row r="22" spans="1:24" ht="16.5">
      <c r="A22" s="8404" t="s">
        <v>1518</v>
      </c>
      <c r="B22" s="8405"/>
      <c r="C22" s="8405"/>
      <c r="D22" s="8405"/>
      <c r="E22" s="8405"/>
      <c r="F22" s="8405"/>
      <c r="G22" s="8405"/>
      <c r="H22" s="8406"/>
      <c r="I22" s="4428">
        <f>I20/I21</f>
        <v>0.95245274266496582</v>
      </c>
      <c r="J22" s="3458">
        <f t="shared" ref="J22:T22" si="11">J20/J21</f>
        <v>0.93253357206803944</v>
      </c>
      <c r="K22" s="3458">
        <f t="shared" si="11"/>
        <v>0.96763803680981597</v>
      </c>
      <c r="L22" s="3458" t="e">
        <f t="shared" si="11"/>
        <v>#DIV/0!</v>
      </c>
      <c r="M22" s="3458" t="e">
        <f t="shared" si="11"/>
        <v>#DIV/0!</v>
      </c>
      <c r="N22" s="3458" t="e">
        <f t="shared" si="11"/>
        <v>#DIV/0!</v>
      </c>
      <c r="O22" s="3458" t="e">
        <f t="shared" si="11"/>
        <v>#DIV/0!</v>
      </c>
      <c r="P22" s="3458" t="e">
        <f t="shared" si="11"/>
        <v>#DIV/0!</v>
      </c>
      <c r="Q22" s="3458" t="e">
        <f t="shared" si="11"/>
        <v>#DIV/0!</v>
      </c>
      <c r="R22" s="3458" t="e">
        <f t="shared" si="11"/>
        <v>#DIV/0!</v>
      </c>
      <c r="S22" s="3458" t="e">
        <f t="shared" si="11"/>
        <v>#DIV/0!</v>
      </c>
      <c r="T22" s="3469" t="e">
        <f t="shared" si="11"/>
        <v>#DIV/0!</v>
      </c>
      <c r="U22" s="8402" t="s">
        <v>1664</v>
      </c>
      <c r="V22" s="8403"/>
      <c r="W22" s="8403"/>
      <c r="X22" s="8403"/>
    </row>
    <row r="23" spans="1:24" ht="17.45" hidden="1" customHeight="1">
      <c r="A23" s="3467" t="s">
        <v>1519</v>
      </c>
      <c r="B23" s="3441"/>
      <c r="C23" s="3441"/>
      <c r="D23" s="3441"/>
      <c r="E23" s="3441"/>
      <c r="F23" s="3441"/>
      <c r="G23" s="3441"/>
      <c r="H23" s="4432"/>
      <c r="I23" s="4429">
        <f>CPL!O5</f>
        <v>0</v>
      </c>
      <c r="J23" s="4168">
        <f>CPL!P5</f>
        <v>0</v>
      </c>
      <c r="K23" s="4168">
        <f>CPL!Q5</f>
        <v>27582.12</v>
      </c>
      <c r="L23" s="4168">
        <f>CPL!R5</f>
        <v>0</v>
      </c>
      <c r="M23" s="4168">
        <f>CPL!S5</f>
        <v>0</v>
      </c>
      <c r="N23" s="4168">
        <f>CPL!T5</f>
        <v>0</v>
      </c>
      <c r="O23" s="4168">
        <f>CPL!U5</f>
        <v>0</v>
      </c>
      <c r="P23" s="4168">
        <f>CPL!V5</f>
        <v>0</v>
      </c>
      <c r="Q23" s="4168">
        <f>CPL!W5</f>
        <v>0</v>
      </c>
      <c r="R23" s="4168">
        <f>CPL!X5</f>
        <v>0</v>
      </c>
      <c r="S23" s="4168">
        <f>CPL!Y5</f>
        <v>0</v>
      </c>
      <c r="T23" s="4169">
        <f>CPL!Z5</f>
        <v>0</v>
      </c>
      <c r="U23" s="4446"/>
      <c r="V23" s="4447"/>
      <c r="W23" s="4447"/>
      <c r="X23" s="4447"/>
    </row>
    <row r="24" spans="1:24" ht="17.45" hidden="1" customHeight="1">
      <c r="A24" s="3467" t="s">
        <v>1520</v>
      </c>
      <c r="B24" s="3441"/>
      <c r="C24" s="3441"/>
      <c r="D24" s="3441"/>
      <c r="E24" s="3441"/>
      <c r="F24" s="3441"/>
      <c r="G24" s="3441"/>
      <c r="H24" s="4432"/>
      <c r="I24" s="4429">
        <f>CPL!O10+CPL!O19</f>
        <v>0</v>
      </c>
      <c r="J24" s="4168">
        <f>CPL!P10+CPL!P19</f>
        <v>0</v>
      </c>
      <c r="K24" s="4168">
        <f>CPL!Q10+CPL!Q19</f>
        <v>11.42</v>
      </c>
      <c r="L24" s="4168">
        <f>CPL!R10+CPL!R19</f>
        <v>0</v>
      </c>
      <c r="M24" s="4168">
        <f>CPL!S10+CPL!S19</f>
        <v>0</v>
      </c>
      <c r="N24" s="4168">
        <f>CPL!T10+CPL!T19</f>
        <v>0</v>
      </c>
      <c r="O24" s="4168">
        <f>CPL!U10+CPL!U19</f>
        <v>0</v>
      </c>
      <c r="P24" s="4168">
        <f>CPL!V10+CPL!V19</f>
        <v>0</v>
      </c>
      <c r="Q24" s="4168">
        <f>CPL!W10+CPL!W19</f>
        <v>0</v>
      </c>
      <c r="R24" s="4168">
        <f>CPL!X10+CPL!X19</f>
        <v>0</v>
      </c>
      <c r="S24" s="4168">
        <f>CPL!Y10+CPL!Y19</f>
        <v>0</v>
      </c>
      <c r="T24" s="4169">
        <f>CPL!Z10+CPL!Z19</f>
        <v>0</v>
      </c>
      <c r="U24" s="4446"/>
      <c r="V24" s="4447"/>
      <c r="W24" s="4447"/>
      <c r="X24" s="4447"/>
    </row>
    <row r="25" spans="1:24" ht="16.5">
      <c r="A25" s="8404" t="s">
        <v>1521</v>
      </c>
      <c r="B25" s="8405"/>
      <c r="C25" s="8405"/>
      <c r="D25" s="8405"/>
      <c r="E25" s="8405"/>
      <c r="F25" s="8405"/>
      <c r="G25" s="8405"/>
      <c r="H25" s="8406"/>
      <c r="I25" s="4428" t="e">
        <f>(I23-I24)/I23</f>
        <v>#DIV/0!</v>
      </c>
      <c r="J25" s="3458" t="e">
        <f t="shared" ref="J25:T25" si="12">(J23-J24)/J23</f>
        <v>#DIV/0!</v>
      </c>
      <c r="K25" s="3458">
        <f>(K23-K24)/K23</f>
        <v>0.99958596366051633</v>
      </c>
      <c r="L25" s="3458" t="e">
        <f t="shared" si="12"/>
        <v>#DIV/0!</v>
      </c>
      <c r="M25" s="3458" t="e">
        <f t="shared" si="12"/>
        <v>#DIV/0!</v>
      </c>
      <c r="N25" s="3458" t="e">
        <f t="shared" si="12"/>
        <v>#DIV/0!</v>
      </c>
      <c r="O25" s="3458" t="e">
        <f t="shared" si="12"/>
        <v>#DIV/0!</v>
      </c>
      <c r="P25" s="3458" t="e">
        <f t="shared" si="12"/>
        <v>#DIV/0!</v>
      </c>
      <c r="Q25" s="3458" t="e">
        <f t="shared" si="12"/>
        <v>#DIV/0!</v>
      </c>
      <c r="R25" s="3458" t="e">
        <f t="shared" si="12"/>
        <v>#DIV/0!</v>
      </c>
      <c r="S25" s="3458" t="e">
        <f t="shared" si="12"/>
        <v>#DIV/0!</v>
      </c>
      <c r="T25" s="3469" t="e">
        <f t="shared" si="12"/>
        <v>#DIV/0!</v>
      </c>
      <c r="U25" s="4448" t="s">
        <v>1666</v>
      </c>
    </row>
    <row r="26" spans="1:24" ht="18" thickBot="1">
      <c r="A26" s="8414" t="s">
        <v>1522</v>
      </c>
      <c r="B26" s="8415"/>
      <c r="C26" s="8415"/>
      <c r="D26" s="8415"/>
      <c r="E26" s="8415"/>
      <c r="F26" s="8415"/>
      <c r="G26" s="8415"/>
      <c r="H26" s="8416"/>
      <c r="I26" s="4430" t="e">
        <f>I19*I22*I25</f>
        <v>#DIV/0!</v>
      </c>
      <c r="J26" s="3472" t="e">
        <f t="shared" ref="J26:T26" si="13">J19*J22*J25</f>
        <v>#DIV/0!</v>
      </c>
      <c r="K26" s="3472">
        <f t="shared" si="13"/>
        <v>0.96584403701918919</v>
      </c>
      <c r="L26" s="3472" t="e">
        <f t="shared" si="13"/>
        <v>#DIV/0!</v>
      </c>
      <c r="M26" s="3472" t="e">
        <f t="shared" si="13"/>
        <v>#DIV/0!</v>
      </c>
      <c r="N26" s="3472" t="e">
        <f t="shared" si="13"/>
        <v>#DIV/0!</v>
      </c>
      <c r="O26" s="3472" t="e">
        <f t="shared" si="13"/>
        <v>#DIV/0!</v>
      </c>
      <c r="P26" s="3472" t="e">
        <f t="shared" si="13"/>
        <v>#DIV/0!</v>
      </c>
      <c r="Q26" s="3472" t="e">
        <f t="shared" si="13"/>
        <v>#DIV/0!</v>
      </c>
      <c r="R26" s="3472" t="e">
        <f t="shared" si="13"/>
        <v>#DIV/0!</v>
      </c>
      <c r="S26" s="3472" t="e">
        <f t="shared" si="13"/>
        <v>#DIV/0!</v>
      </c>
      <c r="T26" s="3473" t="e">
        <f t="shared" si="13"/>
        <v>#DIV/0!</v>
      </c>
      <c r="U26" s="4446" t="s">
        <v>1665</v>
      </c>
      <c r="V26" s="4447"/>
      <c r="W26" s="4447"/>
      <c r="X26" s="4447"/>
    </row>
    <row r="27" spans="1:24" ht="14.25" thickBot="1"/>
    <row r="28" spans="1:24" ht="17.25">
      <c r="A28" s="8407" t="s">
        <v>28</v>
      </c>
      <c r="B28" s="8408"/>
      <c r="C28" s="8408"/>
      <c r="D28" s="8408"/>
      <c r="E28" s="8408"/>
      <c r="F28" s="8408"/>
      <c r="G28" s="8408"/>
      <c r="H28" s="8409"/>
      <c r="I28" s="4426" t="s">
        <v>18</v>
      </c>
      <c r="J28" s="3463" t="s">
        <v>83</v>
      </c>
      <c r="K28" s="3463" t="s">
        <v>6</v>
      </c>
      <c r="L28" s="3463" t="s">
        <v>7</v>
      </c>
      <c r="M28" s="3463" t="s">
        <v>8</v>
      </c>
      <c r="N28" s="3463" t="s">
        <v>9</v>
      </c>
      <c r="O28" s="3463" t="s">
        <v>10</v>
      </c>
      <c r="P28" s="3463" t="s">
        <v>11</v>
      </c>
      <c r="Q28" s="3463" t="s">
        <v>12</v>
      </c>
      <c r="R28" s="3463" t="s">
        <v>13</v>
      </c>
      <c r="S28" s="3463" t="s">
        <v>14</v>
      </c>
      <c r="T28" s="3464" t="s">
        <v>15</v>
      </c>
    </row>
    <row r="29" spans="1:24" ht="33" hidden="1">
      <c r="A29" s="3465" t="s">
        <v>1515</v>
      </c>
      <c r="B29" s="3441"/>
      <c r="C29" s="3441"/>
      <c r="D29" s="3441"/>
      <c r="E29" s="3441"/>
      <c r="F29" s="3441"/>
      <c r="G29" s="3441"/>
      <c r="H29" s="4432"/>
      <c r="I29" s="4427">
        <f>년간!F27</f>
        <v>0</v>
      </c>
      <c r="J29" s="3457">
        <f>년간!G27</f>
        <v>0</v>
      </c>
      <c r="K29" s="3457">
        <f>년간!H27</f>
        <v>30185</v>
      </c>
      <c r="L29" s="3457">
        <f>년간!I27</f>
        <v>0</v>
      </c>
      <c r="M29" s="3457">
        <f>년간!J27</f>
        <v>0</v>
      </c>
      <c r="N29" s="3457">
        <f>년간!K27</f>
        <v>0</v>
      </c>
      <c r="O29" s="3457">
        <f>년간!L27</f>
        <v>0</v>
      </c>
      <c r="P29" s="3457">
        <f>년간!M27</f>
        <v>0</v>
      </c>
      <c r="Q29" s="3457">
        <f>년간!N27</f>
        <v>0</v>
      </c>
      <c r="R29" s="3457">
        <f>년간!O27</f>
        <v>0</v>
      </c>
      <c r="S29" s="3457">
        <f>년간!P27</f>
        <v>0</v>
      </c>
      <c r="T29" s="3466">
        <f>년간!Q27</f>
        <v>0</v>
      </c>
    </row>
    <row r="30" spans="1:24" ht="16.5" hidden="1">
      <c r="A30" s="3467" t="s">
        <v>391</v>
      </c>
      <c r="B30" s="3441"/>
      <c r="C30" s="3441"/>
      <c r="D30" s="3441"/>
      <c r="E30" s="3441"/>
      <c r="F30" s="3441"/>
      <c r="G30" s="3441"/>
      <c r="H30" s="4432"/>
      <c r="I30" s="4427">
        <v>2180</v>
      </c>
      <c r="J30" s="3457">
        <v>2165</v>
      </c>
      <c r="K30" s="3457">
        <v>1166</v>
      </c>
      <c r="L30" s="3457"/>
      <c r="M30" s="3457"/>
      <c r="N30" s="3457"/>
      <c r="O30" s="3457"/>
      <c r="P30" s="3457"/>
      <c r="Q30" s="3457"/>
      <c r="R30" s="3457"/>
      <c r="S30" s="3457"/>
      <c r="T30" s="3466"/>
    </row>
    <row r="31" spans="1:24" ht="16.5">
      <c r="A31" s="8404" t="s">
        <v>1516</v>
      </c>
      <c r="B31" s="8405"/>
      <c r="C31" s="8405"/>
      <c r="D31" s="8405"/>
      <c r="E31" s="8405"/>
      <c r="F31" s="8405"/>
      <c r="G31" s="8405"/>
      <c r="H31" s="8406"/>
      <c r="I31" s="4428" t="e">
        <f>(I29-I30)/I29</f>
        <v>#DIV/0!</v>
      </c>
      <c r="J31" s="3458" t="e">
        <f t="shared" ref="J31:T31" si="14">(J29-J30)/J29</f>
        <v>#DIV/0!</v>
      </c>
      <c r="K31" s="3458">
        <f t="shared" si="14"/>
        <v>0.9613715421567004</v>
      </c>
      <c r="L31" s="3458" t="e">
        <f t="shared" si="14"/>
        <v>#DIV/0!</v>
      </c>
      <c r="M31" s="3458" t="e">
        <f t="shared" si="14"/>
        <v>#DIV/0!</v>
      </c>
      <c r="N31" s="3458" t="e">
        <f t="shared" si="14"/>
        <v>#DIV/0!</v>
      </c>
      <c r="O31" s="3458" t="e">
        <f t="shared" si="14"/>
        <v>#DIV/0!</v>
      </c>
      <c r="P31" s="3458" t="e">
        <f t="shared" si="14"/>
        <v>#DIV/0!</v>
      </c>
      <c r="Q31" s="3458" t="e">
        <f t="shared" si="14"/>
        <v>#DIV/0!</v>
      </c>
      <c r="R31" s="3458" t="e">
        <f t="shared" si="14"/>
        <v>#DIV/0!</v>
      </c>
      <c r="S31" s="3458" t="e">
        <f t="shared" si="14"/>
        <v>#DIV/0!</v>
      </c>
      <c r="T31" s="3469" t="e">
        <f t="shared" si="14"/>
        <v>#DIV/0!</v>
      </c>
    </row>
    <row r="32" spans="1:24" ht="16.5" hidden="1">
      <c r="A32" s="3467" t="s">
        <v>1517</v>
      </c>
      <c r="B32" s="3441"/>
      <c r="C32" s="3441"/>
      <c r="D32" s="3441"/>
      <c r="E32" s="3441"/>
      <c r="F32" s="3441"/>
      <c r="G32" s="3441"/>
      <c r="H32" s="4432"/>
      <c r="I32" s="4427">
        <v>27660</v>
      </c>
      <c r="J32" s="3457">
        <v>33744</v>
      </c>
      <c r="K32" s="3457">
        <v>25578</v>
      </c>
      <c r="L32" s="3457"/>
      <c r="M32" s="3457"/>
      <c r="N32" s="3457"/>
      <c r="O32" s="3457"/>
      <c r="P32" s="3457"/>
      <c r="Q32" s="3457"/>
      <c r="R32" s="3457"/>
      <c r="S32" s="3457"/>
      <c r="T32" s="3466"/>
    </row>
    <row r="33" spans="1:20" ht="33" hidden="1">
      <c r="A33" s="3465" t="s">
        <v>1524</v>
      </c>
      <c r="B33" s="3441"/>
      <c r="C33" s="3441"/>
      <c r="D33" s="3441"/>
      <c r="E33" s="3441"/>
      <c r="F33" s="3441"/>
      <c r="G33" s="3441"/>
      <c r="H33" s="4432"/>
      <c r="I33" s="4427">
        <v>29641</v>
      </c>
      <c r="J33" s="3457">
        <v>34892</v>
      </c>
      <c r="K33" s="3457">
        <v>26469</v>
      </c>
      <c r="L33" s="3457"/>
      <c r="M33" s="3457"/>
      <c r="N33" s="3457"/>
      <c r="O33" s="3457"/>
      <c r="P33" s="3457"/>
      <c r="Q33" s="3457"/>
      <c r="R33" s="3457"/>
      <c r="S33" s="3457"/>
      <c r="T33" s="3466"/>
    </row>
    <row r="34" spans="1:20" ht="16.5">
      <c r="A34" s="8404" t="s">
        <v>1518</v>
      </c>
      <c r="B34" s="8405"/>
      <c r="C34" s="8405"/>
      <c r="D34" s="8405"/>
      <c r="E34" s="8405"/>
      <c r="F34" s="8405"/>
      <c r="G34" s="8405"/>
      <c r="H34" s="8406"/>
      <c r="I34" s="4428">
        <f>I32/I33</f>
        <v>0.93316689720319823</v>
      </c>
      <c r="J34" s="3458">
        <f t="shared" ref="J34:T34" si="15">J32/J33</f>
        <v>0.96709847529519666</v>
      </c>
      <c r="K34" s="3458">
        <f t="shared" si="15"/>
        <v>0.96633798027881668</v>
      </c>
      <c r="L34" s="3458" t="e">
        <f t="shared" si="15"/>
        <v>#DIV/0!</v>
      </c>
      <c r="M34" s="3458" t="e">
        <f t="shared" si="15"/>
        <v>#DIV/0!</v>
      </c>
      <c r="N34" s="3458" t="e">
        <f t="shared" si="15"/>
        <v>#DIV/0!</v>
      </c>
      <c r="O34" s="3458" t="e">
        <f t="shared" si="15"/>
        <v>#DIV/0!</v>
      </c>
      <c r="P34" s="3458" t="e">
        <f t="shared" si="15"/>
        <v>#DIV/0!</v>
      </c>
      <c r="Q34" s="3458" t="e">
        <f t="shared" si="15"/>
        <v>#DIV/0!</v>
      </c>
      <c r="R34" s="3458" t="e">
        <f t="shared" si="15"/>
        <v>#DIV/0!</v>
      </c>
      <c r="S34" s="3458" t="e">
        <f t="shared" si="15"/>
        <v>#DIV/0!</v>
      </c>
      <c r="T34" s="3469" t="e">
        <f t="shared" si="15"/>
        <v>#DIV/0!</v>
      </c>
    </row>
    <row r="35" spans="1:20" ht="16.5" hidden="1">
      <c r="A35" s="3467" t="s">
        <v>1519</v>
      </c>
      <c r="B35" s="3441"/>
      <c r="C35" s="3441"/>
      <c r="D35" s="3441"/>
      <c r="E35" s="3441"/>
      <c r="F35" s="3441"/>
      <c r="G35" s="3441"/>
      <c r="H35" s="4432"/>
      <c r="I35" s="4431">
        <f>CRM!O5</f>
        <v>0</v>
      </c>
      <c r="J35" s="3460">
        <f>CRM!P5</f>
        <v>0</v>
      </c>
      <c r="K35" s="3460">
        <f>CRM!Q5</f>
        <v>23204.240000000002</v>
      </c>
      <c r="L35" s="3460">
        <f>CRM!R5</f>
        <v>0</v>
      </c>
      <c r="M35" s="3460">
        <f>CRM!S5</f>
        <v>0</v>
      </c>
      <c r="N35" s="3460">
        <f>CRM!T5</f>
        <v>0</v>
      </c>
      <c r="O35" s="3460">
        <f>CRM!U5</f>
        <v>0</v>
      </c>
      <c r="P35" s="3460">
        <f>CRM!V5</f>
        <v>0</v>
      </c>
      <c r="Q35" s="3460">
        <f>CRM!W5</f>
        <v>0</v>
      </c>
      <c r="R35" s="3460">
        <f>CRM!X5</f>
        <v>0</v>
      </c>
      <c r="S35" s="3460">
        <f>CRM!Y5</f>
        <v>0</v>
      </c>
      <c r="T35" s="3470">
        <f>CRM!Z5</f>
        <v>0</v>
      </c>
    </row>
    <row r="36" spans="1:20" ht="16.5" hidden="1">
      <c r="A36" s="3467" t="s">
        <v>1520</v>
      </c>
      <c r="B36" s="3441"/>
      <c r="C36" s="3441"/>
      <c r="D36" s="3441"/>
      <c r="E36" s="3441"/>
      <c r="F36" s="3441"/>
      <c r="G36" s="3441"/>
      <c r="H36" s="4432"/>
      <c r="I36" s="4431">
        <f>CRM!O9+CRM!O11</f>
        <v>0</v>
      </c>
      <c r="J36" s="3460">
        <f>CRM!P9+CRM!P11</f>
        <v>0</v>
      </c>
      <c r="K36" s="3460">
        <f>CRM!Q9+CRM!Q11</f>
        <v>0</v>
      </c>
      <c r="L36" s="3460">
        <f>CRM!R9+CRM!R11</f>
        <v>0</v>
      </c>
      <c r="M36" s="3460">
        <f>CRM!S9+CRM!S11</f>
        <v>0</v>
      </c>
      <c r="N36" s="3460">
        <f>CRM!T9+CRM!T11</f>
        <v>0</v>
      </c>
      <c r="O36" s="3460">
        <f>CRM!U9+CRM!U11</f>
        <v>0</v>
      </c>
      <c r="P36" s="3460">
        <f>CRM!V9+CRM!V11</f>
        <v>0</v>
      </c>
      <c r="Q36" s="3460">
        <f>CRM!W9+CRM!W11</f>
        <v>0</v>
      </c>
      <c r="R36" s="3460">
        <f>CRM!X9+CRM!X11</f>
        <v>0</v>
      </c>
      <c r="S36" s="3460">
        <f>CRM!Y9+CRM!Y11</f>
        <v>0</v>
      </c>
      <c r="T36" s="3470">
        <f>CRM!Z9+CRM!Z11</f>
        <v>0</v>
      </c>
    </row>
    <row r="37" spans="1:20" ht="16.5">
      <c r="A37" s="8404" t="s">
        <v>1521</v>
      </c>
      <c r="B37" s="8405"/>
      <c r="C37" s="8405"/>
      <c r="D37" s="8405"/>
      <c r="E37" s="8405"/>
      <c r="F37" s="8405"/>
      <c r="G37" s="8405"/>
      <c r="H37" s="8406"/>
      <c r="I37" s="4428" t="e">
        <f>(I35-I36)/I35</f>
        <v>#DIV/0!</v>
      </c>
      <c r="J37" s="3458" t="e">
        <f t="shared" ref="J37:T37" si="16">(J35-J36)/J35</f>
        <v>#DIV/0!</v>
      </c>
      <c r="K37" s="3458">
        <f t="shared" si="16"/>
        <v>1</v>
      </c>
      <c r="L37" s="3458" t="e">
        <f t="shared" si="16"/>
        <v>#DIV/0!</v>
      </c>
      <c r="M37" s="3458" t="e">
        <f t="shared" si="16"/>
        <v>#DIV/0!</v>
      </c>
      <c r="N37" s="3458" t="e">
        <f t="shared" si="16"/>
        <v>#DIV/0!</v>
      </c>
      <c r="O37" s="3458" t="e">
        <f t="shared" si="16"/>
        <v>#DIV/0!</v>
      </c>
      <c r="P37" s="3458" t="e">
        <f t="shared" si="16"/>
        <v>#DIV/0!</v>
      </c>
      <c r="Q37" s="3458" t="e">
        <f t="shared" si="16"/>
        <v>#DIV/0!</v>
      </c>
      <c r="R37" s="3458" t="e">
        <f t="shared" si="16"/>
        <v>#DIV/0!</v>
      </c>
      <c r="S37" s="3458" t="e">
        <f t="shared" si="16"/>
        <v>#DIV/0!</v>
      </c>
      <c r="T37" s="3469" t="e">
        <f t="shared" si="16"/>
        <v>#DIV/0!</v>
      </c>
    </row>
    <row r="38" spans="1:20" ht="18" thickBot="1">
      <c r="A38" s="8414" t="s">
        <v>1522</v>
      </c>
      <c r="B38" s="8415"/>
      <c r="C38" s="8415"/>
      <c r="D38" s="8415"/>
      <c r="E38" s="8415"/>
      <c r="F38" s="8415"/>
      <c r="G38" s="8415"/>
      <c r="H38" s="8416"/>
      <c r="I38" s="4430" t="e">
        <f>I31*I34*I37</f>
        <v>#DIV/0!</v>
      </c>
      <c r="J38" s="3472" t="e">
        <f t="shared" ref="J38:T38" si="17">J31*J34*J37</f>
        <v>#DIV/0!</v>
      </c>
      <c r="K38" s="3472">
        <f t="shared" si="17"/>
        <v>0.9290098343452371</v>
      </c>
      <c r="L38" s="3472" t="e">
        <f t="shared" si="17"/>
        <v>#DIV/0!</v>
      </c>
      <c r="M38" s="3472" t="e">
        <f t="shared" si="17"/>
        <v>#DIV/0!</v>
      </c>
      <c r="N38" s="3472" t="e">
        <f t="shared" si="17"/>
        <v>#DIV/0!</v>
      </c>
      <c r="O38" s="3472" t="e">
        <f t="shared" si="17"/>
        <v>#DIV/0!</v>
      </c>
      <c r="P38" s="3472" t="e">
        <f t="shared" si="17"/>
        <v>#DIV/0!</v>
      </c>
      <c r="Q38" s="3472" t="e">
        <f t="shared" si="17"/>
        <v>#DIV/0!</v>
      </c>
      <c r="R38" s="3472" t="e">
        <f t="shared" si="17"/>
        <v>#DIV/0!</v>
      </c>
      <c r="S38" s="3472" t="e">
        <f t="shared" si="17"/>
        <v>#DIV/0!</v>
      </c>
      <c r="T38" s="3473" t="e">
        <f t="shared" si="17"/>
        <v>#DIV/0!</v>
      </c>
    </row>
    <row r="39" spans="1:20" ht="14.25" thickBot="1"/>
    <row r="40" spans="1:20" ht="17.25">
      <c r="A40" s="8407" t="s">
        <v>29</v>
      </c>
      <c r="B40" s="8408"/>
      <c r="C40" s="8408"/>
      <c r="D40" s="8408"/>
      <c r="E40" s="8408"/>
      <c r="F40" s="8408"/>
      <c r="G40" s="8408"/>
      <c r="H40" s="8409"/>
      <c r="I40" s="4426" t="s">
        <v>18</v>
      </c>
      <c r="J40" s="3463" t="s">
        <v>83</v>
      </c>
      <c r="K40" s="3463" t="s">
        <v>6</v>
      </c>
      <c r="L40" s="3463" t="s">
        <v>7</v>
      </c>
      <c r="M40" s="3463" t="s">
        <v>8</v>
      </c>
      <c r="N40" s="3463" t="s">
        <v>9</v>
      </c>
      <c r="O40" s="3463" t="s">
        <v>10</v>
      </c>
      <c r="P40" s="3463" t="s">
        <v>11</v>
      </c>
      <c r="Q40" s="3463" t="s">
        <v>12</v>
      </c>
      <c r="R40" s="3463" t="s">
        <v>13</v>
      </c>
      <c r="S40" s="3463" t="s">
        <v>14</v>
      </c>
      <c r="T40" s="3464" t="s">
        <v>15</v>
      </c>
    </row>
    <row r="41" spans="1:20" ht="33" hidden="1">
      <c r="A41" s="3465" t="s">
        <v>1515</v>
      </c>
      <c r="B41" s="3441"/>
      <c r="C41" s="3441"/>
      <c r="D41" s="3441"/>
      <c r="E41" s="3441"/>
      <c r="F41" s="3441"/>
      <c r="G41" s="3441"/>
      <c r="H41" s="4432"/>
      <c r="I41" s="4427">
        <f>년간!F28</f>
        <v>0</v>
      </c>
      <c r="J41" s="3457">
        <f>년간!G28</f>
        <v>0</v>
      </c>
      <c r="K41" s="3457">
        <f>년간!H28</f>
        <v>37382</v>
      </c>
      <c r="L41" s="3457">
        <f>년간!I28</f>
        <v>0</v>
      </c>
      <c r="M41" s="3457">
        <f>년간!J28</f>
        <v>0</v>
      </c>
      <c r="N41" s="3457">
        <f>년간!K28</f>
        <v>0</v>
      </c>
      <c r="O41" s="3457">
        <f>년간!L28</f>
        <v>0</v>
      </c>
      <c r="P41" s="3457">
        <f>년간!M28</f>
        <v>0</v>
      </c>
      <c r="Q41" s="3457">
        <f>년간!N28</f>
        <v>0</v>
      </c>
      <c r="R41" s="3457">
        <f>년간!O28</f>
        <v>0</v>
      </c>
      <c r="S41" s="3457">
        <f>년간!P28</f>
        <v>0</v>
      </c>
      <c r="T41" s="3466">
        <f>년간!Q28</f>
        <v>0</v>
      </c>
    </row>
    <row r="42" spans="1:20" ht="16.5" hidden="1">
      <c r="A42" s="3467" t="s">
        <v>391</v>
      </c>
      <c r="B42" s="3441"/>
      <c r="C42" s="3441"/>
      <c r="D42" s="3441"/>
      <c r="E42" s="3441"/>
      <c r="F42" s="3441"/>
      <c r="G42" s="3441"/>
      <c r="H42" s="4432"/>
      <c r="I42" s="4427">
        <f>(비가동!O17+비가동!O19+비가동!O21)*60</f>
        <v>0</v>
      </c>
      <c r="J42" s="3457">
        <f>(비가동!P17+비가동!P19+비가동!P21)*60</f>
        <v>0</v>
      </c>
      <c r="K42" s="3457">
        <f>(비가동!Q17+비가동!Q19+비가동!Q21)*60</f>
        <v>476</v>
      </c>
      <c r="L42" s="3457">
        <f>(비가동!R17+비가동!R19+비가동!R21)*60</f>
        <v>0</v>
      </c>
      <c r="M42" s="3457">
        <f>(비가동!S17+비가동!S19+비가동!S21)*60</f>
        <v>0</v>
      </c>
      <c r="N42" s="3457">
        <f>(비가동!T17+비가동!T19+비가동!T21)*60</f>
        <v>0</v>
      </c>
      <c r="O42" s="3457">
        <f>(비가동!U17+비가동!U19+비가동!U21)*60</f>
        <v>0</v>
      </c>
      <c r="P42" s="3457">
        <f>(비가동!V17+비가동!V19+비가동!V21)*60</f>
        <v>0</v>
      </c>
      <c r="Q42" s="3457">
        <f>(비가동!W17+비가동!W19+비가동!W21)*60</f>
        <v>0</v>
      </c>
      <c r="R42" s="3457">
        <f>(비가동!X17+비가동!X19+비가동!X21)*60</f>
        <v>0</v>
      </c>
      <c r="S42" s="3457">
        <f>(비가동!Y17+비가동!Y19+비가동!Y21)*60</f>
        <v>0</v>
      </c>
      <c r="T42" s="3466">
        <f>(비가동!Z17+비가동!Z19+비가동!Z21)*60</f>
        <v>0</v>
      </c>
    </row>
    <row r="43" spans="1:20" ht="16.5">
      <c r="A43" s="8404" t="s">
        <v>1516</v>
      </c>
      <c r="B43" s="8405"/>
      <c r="C43" s="8405"/>
      <c r="D43" s="8405"/>
      <c r="E43" s="8405"/>
      <c r="F43" s="8405"/>
      <c r="G43" s="8405"/>
      <c r="H43" s="8406"/>
      <c r="I43" s="4428" t="e">
        <f>(I41-I42)/I41</f>
        <v>#DIV/0!</v>
      </c>
      <c r="J43" s="3458" t="e">
        <f t="shared" ref="J43:T43" si="18">(J41-J42)/J41</f>
        <v>#DIV/0!</v>
      </c>
      <c r="K43" s="3458">
        <f t="shared" si="18"/>
        <v>0.98726659889786528</v>
      </c>
      <c r="L43" s="3458" t="e">
        <f t="shared" si="18"/>
        <v>#DIV/0!</v>
      </c>
      <c r="M43" s="3458" t="e">
        <f t="shared" si="18"/>
        <v>#DIV/0!</v>
      </c>
      <c r="N43" s="3458" t="e">
        <f t="shared" si="18"/>
        <v>#DIV/0!</v>
      </c>
      <c r="O43" s="3458" t="e">
        <f t="shared" si="18"/>
        <v>#DIV/0!</v>
      </c>
      <c r="P43" s="3458" t="e">
        <f t="shared" si="18"/>
        <v>#DIV/0!</v>
      </c>
      <c r="Q43" s="3458" t="e">
        <f t="shared" si="18"/>
        <v>#DIV/0!</v>
      </c>
      <c r="R43" s="3458" t="e">
        <f t="shared" si="18"/>
        <v>#DIV/0!</v>
      </c>
      <c r="S43" s="3458" t="e">
        <f t="shared" si="18"/>
        <v>#DIV/0!</v>
      </c>
      <c r="T43" s="3469" t="e">
        <f t="shared" si="18"/>
        <v>#DIV/0!</v>
      </c>
    </row>
    <row r="44" spans="1:20" ht="16.5" hidden="1">
      <c r="A44" s="3467" t="s">
        <v>1517</v>
      </c>
      <c r="B44" s="3441"/>
      <c r="C44" s="3441"/>
      <c r="D44" s="3441"/>
      <c r="E44" s="3441"/>
      <c r="F44" s="3441"/>
      <c r="G44" s="3441"/>
      <c r="H44" s="4432"/>
      <c r="I44" s="4427">
        <v>35210</v>
      </c>
      <c r="J44" s="3457">
        <v>35034</v>
      </c>
      <c r="K44" s="3457">
        <v>30836</v>
      </c>
      <c r="L44" s="3457"/>
      <c r="M44" s="3457"/>
      <c r="N44" s="3457"/>
      <c r="O44" s="3457"/>
      <c r="P44" s="3457"/>
      <c r="Q44" s="3457"/>
      <c r="R44" s="3457"/>
      <c r="S44" s="3457"/>
      <c r="T44" s="3466"/>
    </row>
    <row r="45" spans="1:20" ht="33" hidden="1">
      <c r="A45" s="3465" t="s">
        <v>1524</v>
      </c>
      <c r="B45" s="3441"/>
      <c r="C45" s="3441"/>
      <c r="D45" s="3441"/>
      <c r="E45" s="3441"/>
      <c r="F45" s="3441"/>
      <c r="G45" s="3441"/>
      <c r="H45" s="4432"/>
      <c r="I45" s="4427">
        <v>37400</v>
      </c>
      <c r="J45" s="3457">
        <v>38666</v>
      </c>
      <c r="K45" s="3457">
        <v>34056</v>
      </c>
      <c r="L45" s="3457"/>
      <c r="M45" s="3457"/>
      <c r="N45" s="3457"/>
      <c r="O45" s="3457"/>
      <c r="P45" s="3457"/>
      <c r="Q45" s="3457"/>
      <c r="R45" s="3457"/>
      <c r="S45" s="3457"/>
      <c r="T45" s="3466"/>
    </row>
    <row r="46" spans="1:20" ht="16.5">
      <c r="A46" s="8404" t="s">
        <v>1518</v>
      </c>
      <c r="B46" s="8405"/>
      <c r="C46" s="8405"/>
      <c r="D46" s="8405"/>
      <c r="E46" s="8405"/>
      <c r="F46" s="8405"/>
      <c r="G46" s="8405"/>
      <c r="H46" s="8406"/>
      <c r="I46" s="4428">
        <f>I44/I45</f>
        <v>0.94144385026737964</v>
      </c>
      <c r="J46" s="3458">
        <f t="shared" ref="J46:T46" si="19">J44/J45</f>
        <v>0.90606734598872396</v>
      </c>
      <c r="K46" s="3458">
        <f t="shared" si="19"/>
        <v>0.90544984731031242</v>
      </c>
      <c r="L46" s="3458" t="e">
        <f t="shared" si="19"/>
        <v>#DIV/0!</v>
      </c>
      <c r="M46" s="3458" t="e">
        <f t="shared" si="19"/>
        <v>#DIV/0!</v>
      </c>
      <c r="N46" s="3458" t="e">
        <f t="shared" si="19"/>
        <v>#DIV/0!</v>
      </c>
      <c r="O46" s="3458" t="e">
        <f t="shared" si="19"/>
        <v>#DIV/0!</v>
      </c>
      <c r="P46" s="3458" t="e">
        <f t="shared" si="19"/>
        <v>#DIV/0!</v>
      </c>
      <c r="Q46" s="3458" t="e">
        <f t="shared" si="19"/>
        <v>#DIV/0!</v>
      </c>
      <c r="R46" s="3458" t="e">
        <f t="shared" si="19"/>
        <v>#DIV/0!</v>
      </c>
      <c r="S46" s="3458" t="e">
        <f t="shared" si="19"/>
        <v>#DIV/0!</v>
      </c>
      <c r="T46" s="3469" t="e">
        <f t="shared" si="19"/>
        <v>#DIV/0!</v>
      </c>
    </row>
    <row r="47" spans="1:20" ht="16.5" hidden="1">
      <c r="A47" s="3467" t="s">
        <v>1519</v>
      </c>
      <c r="B47" s="3441"/>
      <c r="C47" s="3441"/>
      <c r="D47" s="3441"/>
      <c r="E47" s="3441"/>
      <c r="F47" s="3441"/>
      <c r="G47" s="3441"/>
      <c r="H47" s="4432"/>
      <c r="I47" s="4431">
        <f>CGL!O5</f>
        <v>0</v>
      </c>
      <c r="J47" s="3460">
        <f>CGL!P5</f>
        <v>0</v>
      </c>
      <c r="K47" s="3460">
        <f>CGL!Q5</f>
        <v>22857.03</v>
      </c>
      <c r="L47" s="3460">
        <f>CGL!R5</f>
        <v>0</v>
      </c>
      <c r="M47" s="3460">
        <f>CGL!S5</f>
        <v>0</v>
      </c>
      <c r="N47" s="3460">
        <f>CGL!T5</f>
        <v>0</v>
      </c>
      <c r="O47" s="3460">
        <f>CGL!U5</f>
        <v>0</v>
      </c>
      <c r="P47" s="3460">
        <f>CGL!V5</f>
        <v>0</v>
      </c>
      <c r="Q47" s="3460">
        <f>CGL!W5</f>
        <v>0</v>
      </c>
      <c r="R47" s="3460">
        <f>CGL!X5</f>
        <v>0</v>
      </c>
      <c r="S47" s="3460">
        <f>CGL!Y5</f>
        <v>0</v>
      </c>
      <c r="T47" s="3470">
        <f>CGL!Z5</f>
        <v>0</v>
      </c>
    </row>
    <row r="48" spans="1:20" ht="16.5" hidden="1">
      <c r="A48" s="3467" t="s">
        <v>1520</v>
      </c>
      <c r="B48" s="3441"/>
      <c r="C48" s="3441"/>
      <c r="D48" s="3441"/>
      <c r="E48" s="3441"/>
      <c r="F48" s="3441"/>
      <c r="G48" s="3441"/>
      <c r="H48" s="4432"/>
      <c r="I48" s="4431">
        <f>CGL!O10</f>
        <v>0</v>
      </c>
      <c r="J48" s="3460">
        <f>CGL!P10</f>
        <v>0</v>
      </c>
      <c r="K48" s="3460">
        <f>CGL!Q10</f>
        <v>0</v>
      </c>
      <c r="L48" s="3460">
        <f>CGL!R10</f>
        <v>0</v>
      </c>
      <c r="M48" s="3460">
        <f>CGL!S10</f>
        <v>0</v>
      </c>
      <c r="N48" s="3460">
        <f>CGL!T10</f>
        <v>0</v>
      </c>
      <c r="O48" s="3460">
        <f>CGL!U10</f>
        <v>0</v>
      </c>
      <c r="P48" s="3460">
        <f>CGL!V10</f>
        <v>0</v>
      </c>
      <c r="Q48" s="3460">
        <f>CGL!W10</f>
        <v>0</v>
      </c>
      <c r="R48" s="3460">
        <f>CGL!X10</f>
        <v>0</v>
      </c>
      <c r="S48" s="3460">
        <f>CGL!Y10</f>
        <v>0</v>
      </c>
      <c r="T48" s="3470">
        <f>CGL!Z10</f>
        <v>0</v>
      </c>
    </row>
    <row r="49" spans="1:20" ht="16.5">
      <c r="A49" s="8404" t="s">
        <v>1521</v>
      </c>
      <c r="B49" s="8405"/>
      <c r="C49" s="8405"/>
      <c r="D49" s="8405"/>
      <c r="E49" s="8405"/>
      <c r="F49" s="8405"/>
      <c r="G49" s="8405"/>
      <c r="H49" s="8406"/>
      <c r="I49" s="4428" t="e">
        <f>(I47-I48)/I47</f>
        <v>#DIV/0!</v>
      </c>
      <c r="J49" s="3458" t="e">
        <f t="shared" ref="J49:T49" si="20">(J47-J48)/J47</f>
        <v>#DIV/0!</v>
      </c>
      <c r="K49" s="3458">
        <f t="shared" si="20"/>
        <v>1</v>
      </c>
      <c r="L49" s="3458" t="e">
        <f t="shared" si="20"/>
        <v>#DIV/0!</v>
      </c>
      <c r="M49" s="3458" t="e">
        <f t="shared" si="20"/>
        <v>#DIV/0!</v>
      </c>
      <c r="N49" s="3458" t="e">
        <f t="shared" si="20"/>
        <v>#DIV/0!</v>
      </c>
      <c r="O49" s="3458" t="e">
        <f t="shared" si="20"/>
        <v>#DIV/0!</v>
      </c>
      <c r="P49" s="3458" t="e">
        <f t="shared" si="20"/>
        <v>#DIV/0!</v>
      </c>
      <c r="Q49" s="3458" t="e">
        <f t="shared" si="20"/>
        <v>#DIV/0!</v>
      </c>
      <c r="R49" s="3458" t="e">
        <f t="shared" si="20"/>
        <v>#DIV/0!</v>
      </c>
      <c r="S49" s="3458" t="e">
        <f t="shared" si="20"/>
        <v>#DIV/0!</v>
      </c>
      <c r="T49" s="3469" t="e">
        <f t="shared" si="20"/>
        <v>#DIV/0!</v>
      </c>
    </row>
    <row r="50" spans="1:20" ht="18" thickBot="1">
      <c r="A50" s="8414" t="s">
        <v>1522</v>
      </c>
      <c r="B50" s="8415"/>
      <c r="C50" s="8415"/>
      <c r="D50" s="8415"/>
      <c r="E50" s="8415"/>
      <c r="F50" s="8415"/>
      <c r="G50" s="8415"/>
      <c r="H50" s="8416"/>
      <c r="I50" s="4430" t="e">
        <f>I43*I46*I49</f>
        <v>#DIV/0!</v>
      </c>
      <c r="J50" s="3472" t="e">
        <f t="shared" ref="J50:T50" si="21">J43*J46*J49</f>
        <v>#DIV/0!</v>
      </c>
      <c r="K50" s="3472">
        <f t="shared" si="21"/>
        <v>0.89392039122664357</v>
      </c>
      <c r="L50" s="3472" t="e">
        <f t="shared" si="21"/>
        <v>#DIV/0!</v>
      </c>
      <c r="M50" s="3472" t="e">
        <f t="shared" si="21"/>
        <v>#DIV/0!</v>
      </c>
      <c r="N50" s="3472" t="e">
        <f t="shared" si="21"/>
        <v>#DIV/0!</v>
      </c>
      <c r="O50" s="3472" t="e">
        <f t="shared" si="21"/>
        <v>#DIV/0!</v>
      </c>
      <c r="P50" s="3472" t="e">
        <f t="shared" si="21"/>
        <v>#DIV/0!</v>
      </c>
      <c r="Q50" s="3472" t="e">
        <f t="shared" si="21"/>
        <v>#DIV/0!</v>
      </c>
      <c r="R50" s="3472" t="e">
        <f t="shared" si="21"/>
        <v>#DIV/0!</v>
      </c>
      <c r="S50" s="3472" t="e">
        <f t="shared" si="21"/>
        <v>#DIV/0!</v>
      </c>
      <c r="T50" s="3473" t="e">
        <f t="shared" si="21"/>
        <v>#DIV/0!</v>
      </c>
    </row>
    <row r="51" spans="1:20" ht="14.25" thickBot="1"/>
    <row r="52" spans="1:20" ht="17.25">
      <c r="A52" s="8407" t="s">
        <v>501</v>
      </c>
      <c r="B52" s="8408"/>
      <c r="C52" s="8408"/>
      <c r="D52" s="8408"/>
      <c r="E52" s="8408"/>
      <c r="F52" s="8408"/>
      <c r="G52" s="8408"/>
      <c r="H52" s="8409"/>
      <c r="I52" s="4426" t="s">
        <v>18</v>
      </c>
      <c r="J52" s="3463" t="s">
        <v>83</v>
      </c>
      <c r="K52" s="3463" t="s">
        <v>6</v>
      </c>
      <c r="L52" s="3463" t="s">
        <v>7</v>
      </c>
      <c r="M52" s="3463" t="s">
        <v>8</v>
      </c>
      <c r="N52" s="3463" t="s">
        <v>9</v>
      </c>
      <c r="O52" s="3463" t="s">
        <v>10</v>
      </c>
      <c r="P52" s="3463" t="s">
        <v>11</v>
      </c>
      <c r="Q52" s="3463" t="s">
        <v>12</v>
      </c>
      <c r="R52" s="3463" t="s">
        <v>13</v>
      </c>
      <c r="S52" s="3463" t="s">
        <v>14</v>
      </c>
      <c r="T52" s="3464" t="s">
        <v>15</v>
      </c>
    </row>
    <row r="53" spans="1:20" ht="33" hidden="1">
      <c r="A53" s="3465" t="s">
        <v>1515</v>
      </c>
      <c r="B53" s="3441"/>
      <c r="C53" s="3441"/>
      <c r="D53" s="3441"/>
      <c r="E53" s="3441"/>
      <c r="F53" s="3441"/>
      <c r="G53" s="3441"/>
      <c r="H53" s="4432"/>
      <c r="I53" s="4427">
        <f>년간!F29</f>
        <v>42040</v>
      </c>
      <c r="J53" s="3457">
        <f>년간!G29</f>
        <v>39240</v>
      </c>
      <c r="K53" s="3457">
        <f>년간!H29</f>
        <v>43740</v>
      </c>
      <c r="L53" s="3457">
        <f>년간!I29</f>
        <v>0</v>
      </c>
      <c r="M53" s="3457">
        <f>년간!J29</f>
        <v>0</v>
      </c>
      <c r="N53" s="3457">
        <f>년간!K29</f>
        <v>0</v>
      </c>
      <c r="O53" s="3457">
        <f>년간!L29</f>
        <v>0</v>
      </c>
      <c r="P53" s="3457">
        <f>년간!M29</f>
        <v>0</v>
      </c>
      <c r="Q53" s="3457">
        <f>년간!N29</f>
        <v>0</v>
      </c>
      <c r="R53" s="3457">
        <f>년간!O29</f>
        <v>0</v>
      </c>
      <c r="S53" s="3457">
        <f>년간!P29</f>
        <v>0</v>
      </c>
      <c r="T53" s="3466">
        <f>년간!Q29</f>
        <v>0</v>
      </c>
    </row>
    <row r="54" spans="1:20" ht="16.5" hidden="1">
      <c r="A54" s="3467" t="s">
        <v>391</v>
      </c>
      <c r="B54" s="3441"/>
      <c r="C54" s="3441"/>
      <c r="D54" s="3441"/>
      <c r="E54" s="3441"/>
      <c r="F54" s="3441"/>
      <c r="G54" s="3441"/>
      <c r="H54" s="4432"/>
      <c r="I54" s="4427">
        <v>4464</v>
      </c>
      <c r="J54" s="3457">
        <v>4878</v>
      </c>
      <c r="K54" s="3457">
        <v>4170</v>
      </c>
      <c r="L54" s="3457"/>
      <c r="M54" s="3457"/>
      <c r="N54" s="3457"/>
      <c r="O54" s="3457"/>
      <c r="P54" s="3457"/>
      <c r="Q54" s="3457"/>
      <c r="R54" s="3457"/>
      <c r="S54" s="3457"/>
      <c r="T54" s="3466"/>
    </row>
    <row r="55" spans="1:20" ht="16.5">
      <c r="A55" s="8404" t="s">
        <v>1516</v>
      </c>
      <c r="B55" s="8405"/>
      <c r="C55" s="8405"/>
      <c r="D55" s="8405"/>
      <c r="E55" s="8405"/>
      <c r="F55" s="8405"/>
      <c r="G55" s="8405"/>
      <c r="H55" s="8406"/>
      <c r="I55" s="4428">
        <f>(I53-I54)/I53</f>
        <v>0.89381541389153185</v>
      </c>
      <c r="J55" s="3458">
        <f t="shared" ref="J55:T55" si="22">(J53-J54)/J53</f>
        <v>0.87568807339449539</v>
      </c>
      <c r="K55" s="3458">
        <f t="shared" si="22"/>
        <v>0.90466392318244171</v>
      </c>
      <c r="L55" s="3458" t="e">
        <f t="shared" si="22"/>
        <v>#DIV/0!</v>
      </c>
      <c r="M55" s="3458" t="e">
        <f t="shared" si="22"/>
        <v>#DIV/0!</v>
      </c>
      <c r="N55" s="3458" t="e">
        <f t="shared" si="22"/>
        <v>#DIV/0!</v>
      </c>
      <c r="O55" s="3458" t="e">
        <f t="shared" si="22"/>
        <v>#DIV/0!</v>
      </c>
      <c r="P55" s="3458" t="e">
        <f t="shared" si="22"/>
        <v>#DIV/0!</v>
      </c>
      <c r="Q55" s="3458" t="e">
        <f t="shared" si="22"/>
        <v>#DIV/0!</v>
      </c>
      <c r="R55" s="3458" t="e">
        <f t="shared" si="22"/>
        <v>#DIV/0!</v>
      </c>
      <c r="S55" s="3458" t="e">
        <f t="shared" si="22"/>
        <v>#DIV/0!</v>
      </c>
      <c r="T55" s="3469" t="e">
        <f t="shared" si="22"/>
        <v>#DIV/0!</v>
      </c>
    </row>
    <row r="56" spans="1:20" ht="16.5" hidden="1">
      <c r="A56" s="3467" t="s">
        <v>1517</v>
      </c>
      <c r="B56" s="3441"/>
      <c r="C56" s="3441"/>
      <c r="D56" s="3441"/>
      <c r="E56" s="3441"/>
      <c r="F56" s="3441"/>
      <c r="G56" s="3441"/>
      <c r="H56" s="4432"/>
      <c r="I56" s="4427">
        <v>34264</v>
      </c>
      <c r="J56" s="3457">
        <v>29079</v>
      </c>
      <c r="K56" s="3457">
        <v>29892</v>
      </c>
      <c r="L56" s="3457"/>
      <c r="M56" s="3457"/>
      <c r="N56" s="3457"/>
      <c r="O56" s="3457"/>
      <c r="P56" s="3457"/>
      <c r="Q56" s="3457"/>
      <c r="R56" s="3457"/>
      <c r="S56" s="3457"/>
      <c r="T56" s="3466"/>
    </row>
    <row r="57" spans="1:20" ht="33" hidden="1">
      <c r="A57" s="3465" t="s">
        <v>1524</v>
      </c>
      <c r="B57" s="3441"/>
      <c r="C57" s="3441"/>
      <c r="D57" s="3441"/>
      <c r="E57" s="3441"/>
      <c r="F57" s="3441"/>
      <c r="G57" s="3441"/>
      <c r="H57" s="4432"/>
      <c r="I57" s="4427">
        <v>39043</v>
      </c>
      <c r="J57" s="3457">
        <v>34001</v>
      </c>
      <c r="K57" s="3457">
        <v>32758</v>
      </c>
      <c r="L57" s="3457"/>
      <c r="M57" s="3457"/>
      <c r="N57" s="3457"/>
      <c r="O57" s="3457"/>
      <c r="P57" s="3457"/>
      <c r="Q57" s="3457"/>
      <c r="R57" s="3457"/>
      <c r="S57" s="3457"/>
      <c r="T57" s="3466"/>
    </row>
    <row r="58" spans="1:20" ht="16.5">
      <c r="A58" s="8404" t="s">
        <v>1518</v>
      </c>
      <c r="B58" s="8405"/>
      <c r="C58" s="8405"/>
      <c r="D58" s="8405"/>
      <c r="E58" s="8405"/>
      <c r="F58" s="8405"/>
      <c r="G58" s="8405"/>
      <c r="H58" s="8406"/>
      <c r="I58" s="4428">
        <f>I56/I57</f>
        <v>0.87759649617088853</v>
      </c>
      <c r="J58" s="3458">
        <f t="shared" ref="J58:T58" si="23">J56/J57</f>
        <v>0.85523955177788891</v>
      </c>
      <c r="K58" s="3458">
        <f t="shared" si="23"/>
        <v>0.91250992124061303</v>
      </c>
      <c r="L58" s="3458" t="e">
        <f t="shared" si="23"/>
        <v>#DIV/0!</v>
      </c>
      <c r="M58" s="3458" t="e">
        <f t="shared" si="23"/>
        <v>#DIV/0!</v>
      </c>
      <c r="N58" s="3458" t="e">
        <f t="shared" si="23"/>
        <v>#DIV/0!</v>
      </c>
      <c r="O58" s="3458" t="e">
        <f t="shared" si="23"/>
        <v>#DIV/0!</v>
      </c>
      <c r="P58" s="3458" t="e">
        <f t="shared" si="23"/>
        <v>#DIV/0!</v>
      </c>
      <c r="Q58" s="3458" t="e">
        <f t="shared" si="23"/>
        <v>#DIV/0!</v>
      </c>
      <c r="R58" s="3458" t="e">
        <f t="shared" si="23"/>
        <v>#DIV/0!</v>
      </c>
      <c r="S58" s="3458" t="e">
        <f t="shared" si="23"/>
        <v>#DIV/0!</v>
      </c>
      <c r="T58" s="3469" t="e">
        <f t="shared" si="23"/>
        <v>#DIV/0!</v>
      </c>
    </row>
    <row r="59" spans="1:20" ht="16.5" hidden="1">
      <c r="A59" s="3467" t="s">
        <v>1519</v>
      </c>
      <c r="B59" s="3441"/>
      <c r="C59" s="3441"/>
      <c r="D59" s="3441"/>
      <c r="E59" s="3441"/>
      <c r="F59" s="3441"/>
      <c r="G59" s="3441"/>
      <c r="H59" s="4432"/>
      <c r="I59" s="4431">
        <f>'#1CCL'!O5</f>
        <v>12404.550000000001</v>
      </c>
      <c r="J59" s="3460">
        <f>'#1CCL'!P5</f>
        <v>11953.14</v>
      </c>
      <c r="K59" s="3460">
        <f>'#1CCL'!Q5</f>
        <v>13031.1</v>
      </c>
      <c r="L59" s="3460">
        <f>'#1CCL'!R5</f>
        <v>0</v>
      </c>
      <c r="M59" s="3460">
        <f>'#1CCL'!S5</f>
        <v>0</v>
      </c>
      <c r="N59" s="3460">
        <f>'#1CCL'!T5</f>
        <v>0</v>
      </c>
      <c r="O59" s="3460">
        <f>'#1CCL'!U5</f>
        <v>0</v>
      </c>
      <c r="P59" s="3460">
        <f>'#1CCL'!V5</f>
        <v>0</v>
      </c>
      <c r="Q59" s="3460">
        <f>'#1CCL'!W5</f>
        <v>0</v>
      </c>
      <c r="R59" s="3460">
        <f>'#1CCL'!X5</f>
        <v>0</v>
      </c>
      <c r="S59" s="3460">
        <f>'#1CCL'!Y5</f>
        <v>0</v>
      </c>
      <c r="T59" s="3470">
        <f>'#1CCL'!Z5</f>
        <v>0</v>
      </c>
    </row>
    <row r="60" spans="1:20" ht="16.5" hidden="1">
      <c r="A60" s="3467" t="s">
        <v>1520</v>
      </c>
      <c r="B60" s="3441"/>
      <c r="C60" s="3441"/>
      <c r="D60" s="3441"/>
      <c r="E60" s="3441"/>
      <c r="F60" s="3441"/>
      <c r="G60" s="3441"/>
      <c r="H60" s="4432"/>
      <c r="I60" s="4431">
        <f>'#1CCL'!O9+'#1CCL'!O11</f>
        <v>11.54</v>
      </c>
      <c r="J60" s="3460">
        <f>'#1CCL'!P9+'#1CCL'!P11</f>
        <v>0</v>
      </c>
      <c r="K60" s="3460">
        <f>'#1CCL'!Q9+'#1CCL'!Q11</f>
        <v>9.27</v>
      </c>
      <c r="L60" s="3460">
        <f>'#1CCL'!R9+'#1CCL'!R11</f>
        <v>0</v>
      </c>
      <c r="M60" s="3460">
        <f>'#1CCL'!S9+'#1CCL'!S11</f>
        <v>0</v>
      </c>
      <c r="N60" s="3460">
        <f>'#1CCL'!T9+'#1CCL'!T11</f>
        <v>0</v>
      </c>
      <c r="O60" s="3460">
        <f>'#1CCL'!U9+'#1CCL'!U11</f>
        <v>0</v>
      </c>
      <c r="P60" s="3460">
        <f>'#1CCL'!V9+'#1CCL'!V11</f>
        <v>0</v>
      </c>
      <c r="Q60" s="3460">
        <f>'#1CCL'!W9+'#1CCL'!W11</f>
        <v>0</v>
      </c>
      <c r="R60" s="3460">
        <f>'#1CCL'!X9+'#1CCL'!X11</f>
        <v>0</v>
      </c>
      <c r="S60" s="3460">
        <f>'#1CCL'!Y9+'#1CCL'!Y11</f>
        <v>0</v>
      </c>
      <c r="T60" s="3470">
        <f>'#1CCL'!Z9+'#1CCL'!Z11</f>
        <v>0</v>
      </c>
    </row>
    <row r="61" spans="1:20" ht="16.5">
      <c r="A61" s="8404" t="s">
        <v>1521</v>
      </c>
      <c r="B61" s="8405"/>
      <c r="C61" s="8405"/>
      <c r="D61" s="8405"/>
      <c r="E61" s="8405"/>
      <c r="F61" s="8405"/>
      <c r="G61" s="8405"/>
      <c r="H61" s="8406"/>
      <c r="I61" s="4428">
        <f>(I59-I60)/I59</f>
        <v>0.99906969620018449</v>
      </c>
      <c r="J61" s="3458">
        <f t="shared" ref="J61:T61" si="24">(J59-J60)/J59</f>
        <v>1</v>
      </c>
      <c r="K61" s="3458">
        <f t="shared" si="24"/>
        <v>0.99928862490503489</v>
      </c>
      <c r="L61" s="3458" t="e">
        <f t="shared" si="24"/>
        <v>#DIV/0!</v>
      </c>
      <c r="M61" s="3458" t="e">
        <f t="shared" si="24"/>
        <v>#DIV/0!</v>
      </c>
      <c r="N61" s="3458" t="e">
        <f t="shared" si="24"/>
        <v>#DIV/0!</v>
      </c>
      <c r="O61" s="3458" t="e">
        <f t="shared" si="24"/>
        <v>#DIV/0!</v>
      </c>
      <c r="P61" s="3458" t="e">
        <f t="shared" si="24"/>
        <v>#DIV/0!</v>
      </c>
      <c r="Q61" s="3458" t="e">
        <f t="shared" si="24"/>
        <v>#DIV/0!</v>
      </c>
      <c r="R61" s="3458" t="e">
        <f t="shared" si="24"/>
        <v>#DIV/0!</v>
      </c>
      <c r="S61" s="3458" t="e">
        <f t="shared" si="24"/>
        <v>#DIV/0!</v>
      </c>
      <c r="T61" s="3469" t="e">
        <f t="shared" si="24"/>
        <v>#DIV/0!</v>
      </c>
    </row>
    <row r="62" spans="1:20" ht="18" thickBot="1">
      <c r="A62" s="8414" t="s">
        <v>1522</v>
      </c>
      <c r="B62" s="8415"/>
      <c r="C62" s="8415"/>
      <c r="D62" s="8415"/>
      <c r="E62" s="8415"/>
      <c r="F62" s="8415"/>
      <c r="G62" s="8415"/>
      <c r="H62" s="8416"/>
      <c r="I62" s="4430">
        <f>I55*I58*I61</f>
        <v>0.78367953652517486</v>
      </c>
      <c r="J62" s="3472">
        <f t="shared" ref="J62:T62" si="25">J55*J58*J61</f>
        <v>0.7489230753871513</v>
      </c>
      <c r="K62" s="3472">
        <f t="shared" si="25"/>
        <v>0.82492755461942391</v>
      </c>
      <c r="L62" s="3472" t="e">
        <f t="shared" si="25"/>
        <v>#DIV/0!</v>
      </c>
      <c r="M62" s="3472" t="e">
        <f t="shared" si="25"/>
        <v>#DIV/0!</v>
      </c>
      <c r="N62" s="3472" t="e">
        <f t="shared" si="25"/>
        <v>#DIV/0!</v>
      </c>
      <c r="O62" s="3472" t="e">
        <f t="shared" si="25"/>
        <v>#DIV/0!</v>
      </c>
      <c r="P62" s="3472" t="e">
        <f t="shared" si="25"/>
        <v>#DIV/0!</v>
      </c>
      <c r="Q62" s="3472" t="e">
        <f t="shared" si="25"/>
        <v>#DIV/0!</v>
      </c>
      <c r="R62" s="3472" t="e">
        <f t="shared" si="25"/>
        <v>#DIV/0!</v>
      </c>
      <c r="S62" s="3472" t="e">
        <f t="shared" si="25"/>
        <v>#DIV/0!</v>
      </c>
      <c r="T62" s="3473" t="e">
        <f t="shared" si="25"/>
        <v>#DIV/0!</v>
      </c>
    </row>
    <row r="63" spans="1:20" ht="14.25" thickBot="1"/>
    <row r="64" spans="1:20" ht="17.25">
      <c r="A64" s="8407" t="s">
        <v>488</v>
      </c>
      <c r="B64" s="8408"/>
      <c r="C64" s="8408"/>
      <c r="D64" s="8408"/>
      <c r="E64" s="8408"/>
      <c r="F64" s="8408"/>
      <c r="G64" s="8408"/>
      <c r="H64" s="8409"/>
      <c r="I64" s="4426" t="s">
        <v>18</v>
      </c>
      <c r="J64" s="3463" t="s">
        <v>83</v>
      </c>
      <c r="K64" s="3463" t="s">
        <v>6</v>
      </c>
      <c r="L64" s="3463" t="s">
        <v>7</v>
      </c>
      <c r="M64" s="3463" t="s">
        <v>8</v>
      </c>
      <c r="N64" s="3463" t="s">
        <v>9</v>
      </c>
      <c r="O64" s="3463" t="s">
        <v>10</v>
      </c>
      <c r="P64" s="3463" t="s">
        <v>11</v>
      </c>
      <c r="Q64" s="3463" t="s">
        <v>12</v>
      </c>
      <c r="R64" s="3463" t="s">
        <v>13</v>
      </c>
      <c r="S64" s="3463" t="s">
        <v>14</v>
      </c>
      <c r="T64" s="3464" t="s">
        <v>15</v>
      </c>
    </row>
    <row r="65" spans="1:20" ht="33" hidden="1">
      <c r="A65" s="3465" t="s">
        <v>1515</v>
      </c>
      <c r="B65" s="3441"/>
      <c r="C65" s="3441"/>
      <c r="D65" s="3441"/>
      <c r="E65" s="3441"/>
      <c r="F65" s="3441"/>
      <c r="G65" s="3441"/>
      <c r="H65" s="4432"/>
      <c r="I65" s="4427">
        <f>년간!F30</f>
        <v>41072</v>
      </c>
      <c r="J65" s="3457">
        <f>년간!G30</f>
        <v>38000</v>
      </c>
      <c r="K65" s="3457">
        <f>년간!H30</f>
        <v>43393</v>
      </c>
      <c r="L65" s="3457">
        <f>년간!I30</f>
        <v>0</v>
      </c>
      <c r="M65" s="3457">
        <f>년간!J30</f>
        <v>0</v>
      </c>
      <c r="N65" s="3457">
        <f>년간!K30</f>
        <v>0</v>
      </c>
      <c r="O65" s="3457">
        <f>년간!L30</f>
        <v>0</v>
      </c>
      <c r="P65" s="3457">
        <f>년간!M30</f>
        <v>0</v>
      </c>
      <c r="Q65" s="3457">
        <f>년간!N30</f>
        <v>0</v>
      </c>
      <c r="R65" s="3457">
        <f>년간!O30</f>
        <v>0</v>
      </c>
      <c r="S65" s="3457">
        <f>년간!P30</f>
        <v>0</v>
      </c>
      <c r="T65" s="3466">
        <f>년간!Q30</f>
        <v>0</v>
      </c>
    </row>
    <row r="66" spans="1:20" ht="16.5" hidden="1">
      <c r="A66" s="3467" t="s">
        <v>391</v>
      </c>
      <c r="B66" s="3441"/>
      <c r="C66" s="3441"/>
      <c r="D66" s="3441"/>
      <c r="E66" s="3441"/>
      <c r="F66" s="3441"/>
      <c r="G66" s="3441"/>
      <c r="H66" s="4432"/>
      <c r="I66" s="4427">
        <v>8898</v>
      </c>
      <c r="J66" s="3457">
        <v>8094</v>
      </c>
      <c r="K66" s="3457">
        <v>7982</v>
      </c>
      <c r="L66" s="3457"/>
      <c r="M66" s="3457"/>
      <c r="N66" s="3457"/>
      <c r="O66" s="3457"/>
      <c r="P66" s="3457"/>
      <c r="Q66" s="3457"/>
      <c r="R66" s="3457"/>
      <c r="S66" s="3457"/>
      <c r="T66" s="3466"/>
    </row>
    <row r="67" spans="1:20" ht="16.5">
      <c r="A67" s="8404" t="s">
        <v>1516</v>
      </c>
      <c r="B67" s="8405"/>
      <c r="C67" s="8405"/>
      <c r="D67" s="8405"/>
      <c r="E67" s="8405"/>
      <c r="F67" s="8405"/>
      <c r="G67" s="8405"/>
      <c r="H67" s="8406"/>
      <c r="I67" s="4428">
        <f>(I65-I66)/I65</f>
        <v>0.78335605765485006</v>
      </c>
      <c r="J67" s="3458">
        <f t="shared" ref="J67:T67" si="26">(J65-J66)/J65</f>
        <v>0.78700000000000003</v>
      </c>
      <c r="K67" s="3458">
        <f t="shared" si="26"/>
        <v>0.81605328048302717</v>
      </c>
      <c r="L67" s="3458" t="e">
        <f t="shared" si="26"/>
        <v>#DIV/0!</v>
      </c>
      <c r="M67" s="3458" t="e">
        <f t="shared" si="26"/>
        <v>#DIV/0!</v>
      </c>
      <c r="N67" s="3458" t="e">
        <f t="shared" si="26"/>
        <v>#DIV/0!</v>
      </c>
      <c r="O67" s="3458" t="e">
        <f t="shared" si="26"/>
        <v>#DIV/0!</v>
      </c>
      <c r="P67" s="3458" t="e">
        <f t="shared" si="26"/>
        <v>#DIV/0!</v>
      </c>
      <c r="Q67" s="3458" t="e">
        <f t="shared" si="26"/>
        <v>#DIV/0!</v>
      </c>
      <c r="R67" s="3458" t="e">
        <f t="shared" si="26"/>
        <v>#DIV/0!</v>
      </c>
      <c r="S67" s="3458" t="e">
        <f t="shared" si="26"/>
        <v>#DIV/0!</v>
      </c>
      <c r="T67" s="3469" t="e">
        <f t="shared" si="26"/>
        <v>#DIV/0!</v>
      </c>
    </row>
    <row r="68" spans="1:20" ht="16.5" hidden="1">
      <c r="A68" s="3467" t="s">
        <v>1517</v>
      </c>
      <c r="B68" s="3441"/>
      <c r="C68" s="3441"/>
      <c r="D68" s="3441"/>
      <c r="E68" s="3441"/>
      <c r="F68" s="3441"/>
      <c r="G68" s="3441"/>
      <c r="H68" s="4432"/>
      <c r="I68" s="4427">
        <v>9773</v>
      </c>
      <c r="J68" s="3457">
        <v>27652</v>
      </c>
      <c r="K68" s="3457">
        <v>19714</v>
      </c>
      <c r="L68" s="3457"/>
      <c r="M68" s="3457"/>
      <c r="N68" s="3457"/>
      <c r="O68" s="3457"/>
      <c r="P68" s="3457"/>
      <c r="Q68" s="3457"/>
      <c r="R68" s="3457"/>
      <c r="S68" s="3457"/>
      <c r="T68" s="3466"/>
    </row>
    <row r="69" spans="1:20" ht="33" hidden="1">
      <c r="A69" s="3465" t="s">
        <v>1524</v>
      </c>
      <c r="B69" s="3441"/>
      <c r="C69" s="3441"/>
      <c r="D69" s="3441"/>
      <c r="E69" s="3441"/>
      <c r="F69" s="3441"/>
      <c r="G69" s="3441"/>
      <c r="H69" s="4432"/>
      <c r="I69" s="4427">
        <v>12093</v>
      </c>
      <c r="J69" s="3457">
        <v>35051</v>
      </c>
      <c r="K69" s="3457">
        <v>27941</v>
      </c>
      <c r="L69" s="3457"/>
      <c r="M69" s="3457"/>
      <c r="N69" s="3457"/>
      <c r="O69" s="3457"/>
      <c r="P69" s="3457"/>
      <c r="Q69" s="3457"/>
      <c r="R69" s="3457"/>
      <c r="S69" s="3457"/>
      <c r="T69" s="3466"/>
    </row>
    <row r="70" spans="1:20" ht="16.5">
      <c r="A70" s="8404" t="s">
        <v>1518</v>
      </c>
      <c r="B70" s="8405"/>
      <c r="C70" s="8405"/>
      <c r="D70" s="8405"/>
      <c r="E70" s="8405"/>
      <c r="F70" s="8405"/>
      <c r="G70" s="8405"/>
      <c r="H70" s="8406"/>
      <c r="I70" s="4428">
        <f>I68/I69</f>
        <v>0.80815347721822539</v>
      </c>
      <c r="J70" s="3458">
        <f t="shared" ref="J70:T70" si="27">J68/J69</f>
        <v>0.78890759179481329</v>
      </c>
      <c r="K70" s="3458">
        <f t="shared" si="27"/>
        <v>0.70555814036720232</v>
      </c>
      <c r="L70" s="3458" t="e">
        <f t="shared" si="27"/>
        <v>#DIV/0!</v>
      </c>
      <c r="M70" s="3458" t="e">
        <f t="shared" si="27"/>
        <v>#DIV/0!</v>
      </c>
      <c r="N70" s="3458" t="e">
        <f t="shared" si="27"/>
        <v>#DIV/0!</v>
      </c>
      <c r="O70" s="3458" t="e">
        <f t="shared" si="27"/>
        <v>#DIV/0!</v>
      </c>
      <c r="P70" s="3458" t="e">
        <f t="shared" si="27"/>
        <v>#DIV/0!</v>
      </c>
      <c r="Q70" s="3458" t="e">
        <f t="shared" si="27"/>
        <v>#DIV/0!</v>
      </c>
      <c r="R70" s="3458" t="e">
        <f t="shared" si="27"/>
        <v>#DIV/0!</v>
      </c>
      <c r="S70" s="3458" t="e">
        <f t="shared" si="27"/>
        <v>#DIV/0!</v>
      </c>
      <c r="T70" s="3469" t="e">
        <f t="shared" si="27"/>
        <v>#DIV/0!</v>
      </c>
    </row>
    <row r="71" spans="1:20" ht="16.5" hidden="1">
      <c r="A71" s="3467" t="s">
        <v>1519</v>
      </c>
      <c r="B71" s="3441"/>
      <c r="C71" s="3441"/>
      <c r="D71" s="3441"/>
      <c r="E71" s="3441"/>
      <c r="F71" s="3441"/>
      <c r="G71" s="3441"/>
      <c r="H71" s="4432"/>
      <c r="I71" s="4431">
        <f>'#2CCL'!O5</f>
        <v>4934.12</v>
      </c>
      <c r="J71" s="3460">
        <f>'#2CCL'!P5</f>
        <v>4837.6000000000004</v>
      </c>
      <c r="K71" s="3460">
        <f>'#2CCL'!Q5</f>
        <v>5980.01</v>
      </c>
      <c r="L71" s="3460">
        <f>'#2CCL'!R5</f>
        <v>0</v>
      </c>
      <c r="M71" s="3460">
        <f>'#2CCL'!S5</f>
        <v>0</v>
      </c>
      <c r="N71" s="3460">
        <f>'#2CCL'!T5</f>
        <v>0</v>
      </c>
      <c r="O71" s="3460">
        <f>'#2CCL'!U5</f>
        <v>0</v>
      </c>
      <c r="P71" s="3460">
        <f>'#2CCL'!V5</f>
        <v>0</v>
      </c>
      <c r="Q71" s="3460">
        <f>'#2CCL'!W5</f>
        <v>0</v>
      </c>
      <c r="R71" s="3460">
        <f>'#2CCL'!X5</f>
        <v>0</v>
      </c>
      <c r="S71" s="3460">
        <f>'#2CCL'!Y5</f>
        <v>0</v>
      </c>
      <c r="T71" s="3470">
        <f>'#2CCL'!Z5</f>
        <v>0</v>
      </c>
    </row>
    <row r="72" spans="1:20" ht="16.5" hidden="1">
      <c r="A72" s="3467" t="s">
        <v>1520</v>
      </c>
      <c r="B72" s="3441"/>
      <c r="C72" s="3441"/>
      <c r="D72" s="3441"/>
      <c r="E72" s="3441"/>
      <c r="F72" s="3441"/>
      <c r="G72" s="3441"/>
      <c r="H72" s="4432"/>
      <c r="I72" s="4431">
        <f>'#2CCL'!O9+'#2CCL'!O11</f>
        <v>3.47</v>
      </c>
      <c r="J72" s="3460">
        <f>'#2CCL'!P9+'#2CCL'!P11</f>
        <v>0.96</v>
      </c>
      <c r="K72" s="3460">
        <f>'#2CCL'!Q9+'#2CCL'!Q11</f>
        <v>5.6</v>
      </c>
      <c r="L72" s="3460">
        <f>'#2CCL'!R9+'#2CCL'!R11</f>
        <v>0</v>
      </c>
      <c r="M72" s="3460">
        <f>'#2CCL'!S9+'#2CCL'!S11</f>
        <v>0</v>
      </c>
      <c r="N72" s="3460">
        <f>'#2CCL'!T9+'#2CCL'!T11</f>
        <v>0</v>
      </c>
      <c r="O72" s="3460">
        <f>'#2CCL'!U9+'#2CCL'!U11</f>
        <v>0</v>
      </c>
      <c r="P72" s="3460">
        <f>'#2CCL'!V9+'#2CCL'!V11</f>
        <v>0</v>
      </c>
      <c r="Q72" s="3460">
        <f>'#2CCL'!W9+'#2CCL'!W11</f>
        <v>0</v>
      </c>
      <c r="R72" s="3460">
        <f>'#2CCL'!X9+'#2CCL'!X11</f>
        <v>0</v>
      </c>
      <c r="S72" s="3460">
        <f>'#2CCL'!Y9+'#2CCL'!Y11</f>
        <v>0</v>
      </c>
      <c r="T72" s="3470">
        <f>'#2CCL'!Z9+'#2CCL'!Z11</f>
        <v>0</v>
      </c>
    </row>
    <row r="73" spans="1:20" ht="16.5">
      <c r="A73" s="8404" t="s">
        <v>1521</v>
      </c>
      <c r="B73" s="8405"/>
      <c r="C73" s="8405"/>
      <c r="D73" s="8405"/>
      <c r="E73" s="8405"/>
      <c r="F73" s="8405"/>
      <c r="G73" s="8405"/>
      <c r="H73" s="8406"/>
      <c r="I73" s="4428">
        <f>(I71-I72)/I71</f>
        <v>0.99929673376407546</v>
      </c>
      <c r="J73" s="3458">
        <f t="shared" ref="J73:T73" si="28">(J71-J72)/J71</f>
        <v>0.99980155448982966</v>
      </c>
      <c r="K73" s="3458">
        <f t="shared" si="28"/>
        <v>0.99906354671647701</v>
      </c>
      <c r="L73" s="3458" t="e">
        <f t="shared" si="28"/>
        <v>#DIV/0!</v>
      </c>
      <c r="M73" s="3458" t="e">
        <f t="shared" si="28"/>
        <v>#DIV/0!</v>
      </c>
      <c r="N73" s="3458" t="e">
        <f t="shared" si="28"/>
        <v>#DIV/0!</v>
      </c>
      <c r="O73" s="3458" t="e">
        <f t="shared" si="28"/>
        <v>#DIV/0!</v>
      </c>
      <c r="P73" s="3458" t="e">
        <f t="shared" si="28"/>
        <v>#DIV/0!</v>
      </c>
      <c r="Q73" s="3458" t="e">
        <f t="shared" si="28"/>
        <v>#DIV/0!</v>
      </c>
      <c r="R73" s="3458" t="e">
        <f t="shared" si="28"/>
        <v>#DIV/0!</v>
      </c>
      <c r="S73" s="3458" t="e">
        <f t="shared" si="28"/>
        <v>#DIV/0!</v>
      </c>
      <c r="T73" s="3469" t="e">
        <f t="shared" si="28"/>
        <v>#DIV/0!</v>
      </c>
    </row>
    <row r="74" spans="1:20" ht="18" thickBot="1">
      <c r="A74" s="8414" t="s">
        <v>1522</v>
      </c>
      <c r="B74" s="8415"/>
      <c r="C74" s="8415"/>
      <c r="D74" s="8415"/>
      <c r="E74" s="8415"/>
      <c r="F74" s="8415"/>
      <c r="G74" s="8415"/>
      <c r="H74" s="8416"/>
      <c r="I74" s="4430">
        <f>I67*I70*I73</f>
        <v>0.63262670378614805</v>
      </c>
      <c r="J74" s="3472">
        <f t="shared" ref="J74:T74" si="29">J67*J70*J73</f>
        <v>0.62074706582409722</v>
      </c>
      <c r="K74" s="3472">
        <f t="shared" si="29"/>
        <v>0.57523385046895281</v>
      </c>
      <c r="L74" s="3472" t="e">
        <f t="shared" si="29"/>
        <v>#DIV/0!</v>
      </c>
      <c r="M74" s="3472" t="e">
        <f t="shared" si="29"/>
        <v>#DIV/0!</v>
      </c>
      <c r="N74" s="3472" t="e">
        <f t="shared" si="29"/>
        <v>#DIV/0!</v>
      </c>
      <c r="O74" s="3472" t="e">
        <f t="shared" si="29"/>
        <v>#DIV/0!</v>
      </c>
      <c r="P74" s="3472" t="e">
        <f t="shared" si="29"/>
        <v>#DIV/0!</v>
      </c>
      <c r="Q74" s="3472" t="e">
        <f t="shared" si="29"/>
        <v>#DIV/0!</v>
      </c>
      <c r="R74" s="3472" t="e">
        <f t="shared" si="29"/>
        <v>#DIV/0!</v>
      </c>
      <c r="S74" s="3472" t="e">
        <f t="shared" si="29"/>
        <v>#DIV/0!</v>
      </c>
      <c r="T74" s="3473" t="e">
        <f t="shared" si="29"/>
        <v>#DIV/0!</v>
      </c>
    </row>
    <row r="76" spans="1:20" s="286" customFormat="1"/>
    <row r="77" spans="1:20" s="286" customFormat="1"/>
    <row r="78" spans="1:20" s="286" customFormat="1"/>
    <row r="79" spans="1:20" s="286" customFormat="1"/>
    <row r="80" spans="1:20" s="286" customFormat="1"/>
    <row r="81" spans="1:21" s="286" customFormat="1"/>
    <row r="82" spans="1:21" ht="14.25" thickBot="1">
      <c r="A82" s="287" t="s">
        <v>1653</v>
      </c>
    </row>
    <row r="83" spans="1:21" ht="14.45" customHeight="1">
      <c r="A83" s="8369" t="s">
        <v>1654</v>
      </c>
      <c r="B83" s="8422" t="s">
        <v>1156</v>
      </c>
      <c r="H83" s="8420" t="s">
        <v>1538</v>
      </c>
      <c r="I83" s="8417" t="s">
        <v>1646</v>
      </c>
      <c r="J83" s="8418"/>
      <c r="K83" s="8418"/>
      <c r="L83" s="8418"/>
      <c r="M83" s="8418"/>
      <c r="N83" s="8418"/>
      <c r="O83" s="8418"/>
      <c r="P83" s="8418"/>
      <c r="Q83" s="8418"/>
      <c r="R83" s="8418"/>
      <c r="S83" s="8418"/>
      <c r="T83" s="8418"/>
      <c r="U83" s="8419"/>
    </row>
    <row r="84" spans="1:21" ht="17.25" thickBot="1">
      <c r="A84" s="8370"/>
      <c r="B84" s="8423"/>
      <c r="H84" s="8421"/>
      <c r="I84" s="3743" t="s">
        <v>18</v>
      </c>
      <c r="J84" s="3678" t="s">
        <v>5</v>
      </c>
      <c r="K84" s="3678" t="s">
        <v>6</v>
      </c>
      <c r="L84" s="3678" t="s">
        <v>7</v>
      </c>
      <c r="M84" s="3678" t="s">
        <v>8</v>
      </c>
      <c r="N84" s="3678" t="s">
        <v>9</v>
      </c>
      <c r="O84" s="3678" t="s">
        <v>10</v>
      </c>
      <c r="P84" s="3678" t="s">
        <v>11</v>
      </c>
      <c r="Q84" s="3678" t="s">
        <v>12</v>
      </c>
      <c r="R84" s="3678" t="s">
        <v>13</v>
      </c>
      <c r="S84" s="3678" t="s">
        <v>14</v>
      </c>
      <c r="T84" s="3678" t="s">
        <v>15</v>
      </c>
      <c r="U84" s="3679" t="s">
        <v>194</v>
      </c>
    </row>
    <row r="85" spans="1:21" ht="16.5">
      <c r="A85" s="3671" t="s">
        <v>1541</v>
      </c>
      <c r="B85" s="3673">
        <v>355898.17418181821</v>
      </c>
      <c r="H85" s="3674">
        <v>360000</v>
      </c>
      <c r="I85" s="4413">
        <f>운영KPI!I75</f>
        <v>347440.63200000004</v>
      </c>
      <c r="J85" s="4404">
        <f>운영KPI!J75</f>
        <v>345244.908</v>
      </c>
      <c r="K85" s="4404">
        <f>운영KPI!K75</f>
        <v>346861.152</v>
      </c>
      <c r="L85" s="4404">
        <f>운영KPI!L75</f>
        <v>342782.03700000001</v>
      </c>
      <c r="M85" s="4404">
        <f>운영KPI!M75</f>
        <v>344127.88080000004</v>
      </c>
      <c r="N85" s="4404">
        <f>운영KPI!N75</f>
        <v>349306.25199999998</v>
      </c>
      <c r="O85" s="4404">
        <f>운영KPI!O75</f>
        <v>358549.47085714282</v>
      </c>
      <c r="P85" s="4404">
        <f>운영KPI!P75</f>
        <v>363015.22950000002</v>
      </c>
      <c r="Q85" s="4404">
        <f>운영KPI!Q75</f>
        <v>367896.19866666663</v>
      </c>
      <c r="R85" s="4404">
        <f>운영KPI!R75</f>
        <v>369817.97640000004</v>
      </c>
      <c r="S85" s="4404">
        <f>운영KPI!S75</f>
        <v>0</v>
      </c>
      <c r="T85" s="4404">
        <f>운영KPI!T75</f>
        <v>0</v>
      </c>
      <c r="U85" s="4405">
        <f>SUM(I85:T85)</f>
        <v>3535041.7372238096</v>
      </c>
    </row>
    <row r="86" spans="1:21" ht="17.25" thickBot="1">
      <c r="A86" s="3739" t="s">
        <v>1542</v>
      </c>
      <c r="B86" s="3740">
        <v>48880.698636363639</v>
      </c>
      <c r="H86" s="3745">
        <v>50255.45</v>
      </c>
      <c r="I86" s="4403">
        <f>운영KPI!I76</f>
        <v>50372.811000000002</v>
      </c>
      <c r="J86" s="4412">
        <f>운영KPI!J76</f>
        <v>72345.774000000005</v>
      </c>
      <c r="K86" s="4412">
        <f>운영KPI!K76</f>
        <v>61221.726999999999</v>
      </c>
      <c r="L86" s="4412">
        <f>운영KPI!L76</f>
        <v>55213.883000000002</v>
      </c>
      <c r="M86" s="4412">
        <f>운영KPI!M76</f>
        <v>53606.952999999994</v>
      </c>
      <c r="N86" s="4412">
        <f>운영KPI!N76</f>
        <v>58038.332999999999</v>
      </c>
      <c r="O86" s="4412">
        <f>운영KPI!O76</f>
        <v>57152.304000000004</v>
      </c>
      <c r="P86" s="4412">
        <f>운영KPI!P76</f>
        <v>53453.247000000003</v>
      </c>
      <c r="Q86" s="4412">
        <f>운영KPI!Q76</f>
        <v>55359.846999999994</v>
      </c>
      <c r="R86" s="4412">
        <f>운영KPI!R76</f>
        <v>43702.084999999999</v>
      </c>
      <c r="S86" s="4412">
        <f>운영KPI!S76</f>
        <v>0</v>
      </c>
      <c r="T86" s="4412">
        <f>운영KPI!T76</f>
        <v>0</v>
      </c>
      <c r="U86" s="4406">
        <f>SUM(I86:T86)</f>
        <v>560466.96400000004</v>
      </c>
    </row>
    <row r="87" spans="1:21" ht="16.5">
      <c r="A87" s="3759" t="s">
        <v>1543</v>
      </c>
      <c r="B87" s="3751">
        <f>B85/B86</f>
        <v>7.280955144062859</v>
      </c>
      <c r="H87" s="3752">
        <f>H85/H86</f>
        <v>7.1634021782712125</v>
      </c>
      <c r="I87" s="4407">
        <f t="shared" ref="I87:U87" si="30">I85/I86</f>
        <v>6.897384225787996</v>
      </c>
      <c r="J87" s="4408">
        <f t="shared" si="30"/>
        <v>4.7721503124702211</v>
      </c>
      <c r="K87" s="4408">
        <f t="shared" si="30"/>
        <v>5.665654482435623</v>
      </c>
      <c r="L87" s="4408">
        <f t="shared" si="30"/>
        <v>6.2082581114608439</v>
      </c>
      <c r="M87" s="4408">
        <f t="shared" si="30"/>
        <v>6.4194635498122805</v>
      </c>
      <c r="N87" s="4408">
        <f t="shared" si="30"/>
        <v>6.0185438475636435</v>
      </c>
      <c r="O87" s="4408">
        <f t="shared" si="30"/>
        <v>6.2735785919871718</v>
      </c>
      <c r="P87" s="4408">
        <f t="shared" si="30"/>
        <v>6.7912661975426865</v>
      </c>
      <c r="Q87" s="4408">
        <f t="shared" si="30"/>
        <v>6.645542186319024</v>
      </c>
      <c r="R87" s="4408">
        <f t="shared" si="30"/>
        <v>8.462250174104966</v>
      </c>
      <c r="S87" s="4408" t="e">
        <f t="shared" si="30"/>
        <v>#DIV/0!</v>
      </c>
      <c r="T87" s="4408" t="e">
        <f t="shared" si="30"/>
        <v>#DIV/0!</v>
      </c>
      <c r="U87" s="4433">
        <f t="shared" si="30"/>
        <v>6.3073150859678666</v>
      </c>
    </row>
    <row r="88" spans="1:21" ht="16.5">
      <c r="A88" s="3553" t="s">
        <v>1556</v>
      </c>
      <c r="B88" s="3527">
        <f>IF(B87="측정불가","측정불가",IF(B87&lt;4,1,IF(B87&lt;10,2,IF(B87&lt;20,3,IF(B87&lt;=30,4,IF(B87&gt;30,5,))))))</f>
        <v>2</v>
      </c>
      <c r="H88" s="3540">
        <f>IF(H87="측정불가","측정불가",IF(H87&lt;4,1,IF(H87&lt;10,2,IF(H87&lt;20,3,IF(H87&lt;=30,4,IF(H87&gt;30,5,))))))</f>
        <v>2</v>
      </c>
      <c r="I88" s="4409">
        <f t="shared" ref="I88:U88" si="31">IF(I87="측정불가","측정불가",IF(I87&lt;4,1,IF(I87&lt;10,2,IF(I87&lt;20,3,IF(I87&lt;=30,4,IF(I87&gt;30,5,))))))</f>
        <v>2</v>
      </c>
      <c r="J88" s="4410">
        <f t="shared" si="31"/>
        <v>2</v>
      </c>
      <c r="K88" s="4410">
        <f t="shared" si="31"/>
        <v>2</v>
      </c>
      <c r="L88" s="4410">
        <f t="shared" si="31"/>
        <v>2</v>
      </c>
      <c r="M88" s="4410">
        <f t="shared" si="31"/>
        <v>2</v>
      </c>
      <c r="N88" s="4410">
        <f t="shared" si="31"/>
        <v>2</v>
      </c>
      <c r="O88" s="4410">
        <f t="shared" si="31"/>
        <v>2</v>
      </c>
      <c r="P88" s="4410">
        <f t="shared" si="31"/>
        <v>2</v>
      </c>
      <c r="Q88" s="4410">
        <f t="shared" si="31"/>
        <v>2</v>
      </c>
      <c r="R88" s="4410">
        <f t="shared" si="31"/>
        <v>2</v>
      </c>
      <c r="S88" s="4410" t="e">
        <f t="shared" si="31"/>
        <v>#DIV/0!</v>
      </c>
      <c r="T88" s="4410" t="e">
        <f t="shared" si="31"/>
        <v>#DIV/0!</v>
      </c>
      <c r="U88" s="4411">
        <f t="shared" si="31"/>
        <v>2</v>
      </c>
    </row>
    <row r="89" spans="1:21" ht="14.25" thickBot="1"/>
    <row r="90" spans="1:21" ht="14.45" customHeight="1">
      <c r="A90" s="8411" t="s">
        <v>1650</v>
      </c>
      <c r="B90" s="4352"/>
      <c r="C90" s="4352"/>
      <c r="H90" s="8410" t="s">
        <v>1655</v>
      </c>
      <c r="I90" s="4441" t="s">
        <v>912</v>
      </c>
      <c r="J90" s="4441" t="s">
        <v>1641</v>
      </c>
      <c r="K90" s="4441" t="s">
        <v>1644</v>
      </c>
      <c r="L90" s="4441" t="s">
        <v>7</v>
      </c>
      <c r="M90" s="4441" t="s">
        <v>8</v>
      </c>
      <c r="N90" s="4441" t="s">
        <v>9</v>
      </c>
      <c r="O90" s="4441" t="s">
        <v>10</v>
      </c>
      <c r="P90" s="4441" t="s">
        <v>11</v>
      </c>
      <c r="Q90" s="4441" t="s">
        <v>12</v>
      </c>
      <c r="R90" s="4441" t="s">
        <v>13</v>
      </c>
      <c r="S90" s="4441" t="s">
        <v>14</v>
      </c>
      <c r="T90" s="4442" t="s">
        <v>15</v>
      </c>
      <c r="U90" s="4443" t="s">
        <v>1625</v>
      </c>
    </row>
    <row r="91" spans="1:21" ht="14.45" customHeight="1">
      <c r="A91" s="8412"/>
      <c r="B91" s="4439" t="s">
        <v>1628</v>
      </c>
      <c r="H91" s="8410"/>
      <c r="I91" s="4434">
        <f>I96*12</f>
        <v>347440.63199999998</v>
      </c>
      <c r="J91" s="4434">
        <f>(I96+J96)/2*12</f>
        <v>345244.908</v>
      </c>
      <c r="K91" s="4434">
        <f>(I96+J96+K96)/3*12</f>
        <v>346859.272</v>
      </c>
      <c r="L91" s="4434">
        <f>(I96+J96+K96+L96)/4*12</f>
        <v>260144.454</v>
      </c>
      <c r="M91" s="4434">
        <f>(I96+J96+K96+L96+M96)/5*12</f>
        <v>208115.56319999998</v>
      </c>
      <c r="N91" s="4434">
        <f>(I96+J96+K96+L96+M96+N96)/6*12</f>
        <v>173429.636</v>
      </c>
      <c r="O91" s="4434">
        <f>(I96+J96+K96+L96+M96+N96+O96)/7*12</f>
        <v>148653.9737142857</v>
      </c>
      <c r="P91" s="4434">
        <f>(I96+J96+K96+L96+M96+N96+O96+P96)/8*12</f>
        <v>130072.227</v>
      </c>
      <c r="Q91" s="4434">
        <f>(I96+J96+K96+L96+M96+N96+O96+P96+Q96)/9*12</f>
        <v>115619.75733333334</v>
      </c>
      <c r="R91" s="4434">
        <f>(I96+J96+K96+L96+M96+N96+O96+P96+Q96+R96)/10*12</f>
        <v>104057.78159999999</v>
      </c>
      <c r="S91" s="4434">
        <f>(I96+J96+K96)/3*12</f>
        <v>346859.272</v>
      </c>
      <c r="T91" s="4435">
        <f>(I96+J96+K96+L96+M96+N96+O96+P96+Q96+R96+S96+T96)/12*12</f>
        <v>86714.817999999999</v>
      </c>
      <c r="U91" s="4437">
        <f>S91</f>
        <v>346859.272</v>
      </c>
    </row>
    <row r="92" spans="1:21" ht="14.45" customHeight="1">
      <c r="A92" s="8412"/>
      <c r="B92" s="4356" t="s">
        <v>1647</v>
      </c>
      <c r="H92" s="4424" t="s">
        <v>1648</v>
      </c>
      <c r="I92" s="4416">
        <v>20478.670999999998</v>
      </c>
      <c r="J92" s="4416">
        <v>41063.466999999997</v>
      </c>
      <c r="K92" s="4416">
        <v>33466</v>
      </c>
      <c r="L92" s="4416"/>
      <c r="M92" s="4416"/>
      <c r="N92" s="4416"/>
      <c r="O92" s="4416"/>
      <c r="P92" s="4416"/>
      <c r="Q92" s="4416"/>
      <c r="R92" s="4416"/>
      <c r="S92" s="4416"/>
      <c r="T92" s="4414"/>
      <c r="U92" s="4420">
        <f>AVERAGE(I92:T92)</f>
        <v>31669.379333333331</v>
      </c>
    </row>
    <row r="93" spans="1:21" ht="14.45" customHeight="1">
      <c r="A93" s="8412"/>
      <c r="B93" s="4362"/>
      <c r="H93" s="4436" t="s">
        <v>1649</v>
      </c>
      <c r="I93" s="4417">
        <v>29894.14</v>
      </c>
      <c r="J93" s="4417">
        <v>31282.307000000001</v>
      </c>
      <c r="K93" s="4417">
        <v>29708</v>
      </c>
      <c r="L93" s="4417"/>
      <c r="M93" s="4417"/>
      <c r="N93" s="4417"/>
      <c r="O93" s="4417"/>
      <c r="P93" s="4417"/>
      <c r="Q93" s="4417"/>
      <c r="R93" s="4417"/>
      <c r="S93" s="4417"/>
      <c r="T93" s="4418"/>
      <c r="U93" s="4419">
        <f>AVERAGE(I93:T93)</f>
        <v>30294.815666666665</v>
      </c>
    </row>
    <row r="94" spans="1:21" ht="14.45" customHeight="1">
      <c r="A94" s="8412"/>
      <c r="B94" s="4362"/>
      <c r="H94" s="4440" t="s">
        <v>1633</v>
      </c>
      <c r="I94" s="4434">
        <f t="shared" ref="I94:U94" si="32">SUM(I92:I93)</f>
        <v>50372.811000000002</v>
      </c>
      <c r="J94" s="4434">
        <f t="shared" si="32"/>
        <v>72345.774000000005</v>
      </c>
      <c r="K94" s="4434">
        <f t="shared" si="32"/>
        <v>63174</v>
      </c>
      <c r="L94" s="4434">
        <f t="shared" si="32"/>
        <v>0</v>
      </c>
      <c r="M94" s="4434">
        <f t="shared" si="32"/>
        <v>0</v>
      </c>
      <c r="N94" s="4434">
        <f t="shared" si="32"/>
        <v>0</v>
      </c>
      <c r="O94" s="4434">
        <f t="shared" si="32"/>
        <v>0</v>
      </c>
      <c r="P94" s="4434">
        <f t="shared" si="32"/>
        <v>0</v>
      </c>
      <c r="Q94" s="4434">
        <f t="shared" si="32"/>
        <v>0</v>
      </c>
      <c r="R94" s="4434">
        <f t="shared" si="32"/>
        <v>0</v>
      </c>
      <c r="S94" s="4434">
        <f t="shared" si="32"/>
        <v>0</v>
      </c>
      <c r="T94" s="4435">
        <f t="shared" si="32"/>
        <v>0</v>
      </c>
      <c r="U94" s="4437">
        <f t="shared" si="32"/>
        <v>61964.194999999992</v>
      </c>
    </row>
    <row r="95" spans="1:21" ht="14.45" customHeight="1">
      <c r="A95" s="8412"/>
      <c r="B95" s="4362"/>
      <c r="H95" s="4425" t="s">
        <v>1634</v>
      </c>
      <c r="I95" s="4421">
        <f t="shared" ref="I95:U95" si="33">I91/I94</f>
        <v>6.8973842257879943</v>
      </c>
      <c r="J95" s="4421">
        <f t="shared" si="33"/>
        <v>4.7721503124702211</v>
      </c>
      <c r="K95" s="4421">
        <f t="shared" si="33"/>
        <v>5.490538386044892</v>
      </c>
      <c r="L95" s="4421" t="e">
        <f t="shared" si="33"/>
        <v>#DIV/0!</v>
      </c>
      <c r="M95" s="4421" t="e">
        <f t="shared" si="33"/>
        <v>#DIV/0!</v>
      </c>
      <c r="N95" s="4421" t="e">
        <f t="shared" si="33"/>
        <v>#DIV/0!</v>
      </c>
      <c r="O95" s="4421" t="e">
        <f t="shared" si="33"/>
        <v>#DIV/0!</v>
      </c>
      <c r="P95" s="4421" t="e">
        <f t="shared" si="33"/>
        <v>#DIV/0!</v>
      </c>
      <c r="Q95" s="4421" t="e">
        <f t="shared" si="33"/>
        <v>#DIV/0!</v>
      </c>
      <c r="R95" s="4421" t="e">
        <f t="shared" si="33"/>
        <v>#DIV/0!</v>
      </c>
      <c r="S95" s="4421" t="e">
        <f t="shared" si="33"/>
        <v>#DIV/0!</v>
      </c>
      <c r="T95" s="4422" t="e">
        <f t="shared" si="33"/>
        <v>#DIV/0!</v>
      </c>
      <c r="U95" s="4438">
        <f t="shared" si="33"/>
        <v>5.5977370802606252</v>
      </c>
    </row>
    <row r="96" spans="1:21" ht="14.25" thickBot="1">
      <c r="A96" s="8413"/>
      <c r="B96" s="4415" t="s">
        <v>1638</v>
      </c>
      <c r="H96" s="4416" t="s">
        <v>1651</v>
      </c>
      <c r="I96" s="4416">
        <f>28992.906-39.52</f>
        <v>28953.385999999999</v>
      </c>
      <c r="J96" s="4416">
        <f>28602.822-15.39</f>
        <v>28587.432000000001</v>
      </c>
      <c r="K96" s="4416">
        <v>29174</v>
      </c>
      <c r="L96" s="4416"/>
      <c r="M96" s="4416"/>
      <c r="N96" s="4416"/>
      <c r="O96" s="4416"/>
      <c r="P96" s="4416"/>
      <c r="Q96" s="4416"/>
      <c r="R96" s="4416"/>
      <c r="S96" s="4416"/>
      <c r="T96" s="4414"/>
      <c r="U96" s="4423"/>
    </row>
    <row r="98" spans="1:1">
      <c r="A98" s="286" t="s">
        <v>1658</v>
      </c>
    </row>
    <row r="99" spans="1:1">
      <c r="A99" s="286" t="s">
        <v>1659</v>
      </c>
    </row>
    <row r="100" spans="1:1">
      <c r="A100" s="4444" t="s">
        <v>1660</v>
      </c>
    </row>
    <row r="101" spans="1:1">
      <c r="A101" s="4445" t="s">
        <v>1661</v>
      </c>
    </row>
    <row r="102" spans="1:1">
      <c r="A102" s="288" t="s">
        <v>1662</v>
      </c>
    </row>
  </sheetData>
  <mergeCells count="33">
    <mergeCell ref="I83:U83"/>
    <mergeCell ref="A74:H74"/>
    <mergeCell ref="A73:H73"/>
    <mergeCell ref="A70:H70"/>
    <mergeCell ref="A83:A84"/>
    <mergeCell ref="H83:H84"/>
    <mergeCell ref="B83:B84"/>
    <mergeCell ref="A64:H64"/>
    <mergeCell ref="A62:H62"/>
    <mergeCell ref="A61:H61"/>
    <mergeCell ref="A58:H58"/>
    <mergeCell ref="A55:H55"/>
    <mergeCell ref="A16:H16"/>
    <mergeCell ref="H90:H91"/>
    <mergeCell ref="A90:A96"/>
    <mergeCell ref="A38:H38"/>
    <mergeCell ref="A37:H37"/>
    <mergeCell ref="A34:H34"/>
    <mergeCell ref="A31:H31"/>
    <mergeCell ref="A28:H28"/>
    <mergeCell ref="A26:H26"/>
    <mergeCell ref="A52:H52"/>
    <mergeCell ref="A50:H50"/>
    <mergeCell ref="A49:H49"/>
    <mergeCell ref="A46:H46"/>
    <mergeCell ref="A43:H43"/>
    <mergeCell ref="A40:H40"/>
    <mergeCell ref="A67:H67"/>
    <mergeCell ref="U19:X19"/>
    <mergeCell ref="U22:X22"/>
    <mergeCell ref="A25:H25"/>
    <mergeCell ref="A22:H22"/>
    <mergeCell ref="A19:H19"/>
  </mergeCells>
  <phoneticPr fontId="23" type="noConversion"/>
  <pageMargins left="0.7" right="0.7" top="0.75" bottom="0.75" header="0.3" footer="0.3"/>
  <pageSetup paperSize="9" scale="85"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E3" sqref="E3"/>
    </sheetView>
  </sheetViews>
  <sheetFormatPr defaultRowHeight="14.25"/>
  <cols>
    <col min="1" max="5" width="14.44140625" style="679" customWidth="1"/>
  </cols>
  <sheetData>
    <row r="1" spans="1:5" ht="36" customHeight="1" thickBot="1">
      <c r="A1" s="4307" t="s">
        <v>207</v>
      </c>
      <c r="B1" s="4308" t="s">
        <v>241</v>
      </c>
      <c r="C1" s="4309" t="s">
        <v>208</v>
      </c>
      <c r="D1" s="4310" t="s">
        <v>207</v>
      </c>
      <c r="E1" s="4311" t="s">
        <v>703</v>
      </c>
    </row>
    <row r="2" spans="1:5" ht="36" customHeight="1" thickTop="1">
      <c r="A2" s="4312" t="s">
        <v>2</v>
      </c>
      <c r="B2" s="4305" t="s">
        <v>242</v>
      </c>
      <c r="C2" s="4315">
        <v>433825.23423139862</v>
      </c>
      <c r="D2" s="4306" t="s">
        <v>2</v>
      </c>
      <c r="E2" s="4318">
        <v>1106418.8897122799</v>
      </c>
    </row>
    <row r="3" spans="1:5" ht="36" customHeight="1">
      <c r="A3" s="4313" t="s">
        <v>3</v>
      </c>
      <c r="B3" s="4301" t="s">
        <v>242</v>
      </c>
      <c r="C3" s="4316">
        <v>433825.23423139902</v>
      </c>
      <c r="D3" s="4302" t="s">
        <v>3</v>
      </c>
      <c r="E3" s="4319">
        <v>1125542.8369687099</v>
      </c>
    </row>
    <row r="4" spans="1:5" ht="36" customHeight="1">
      <c r="A4" s="4313" t="s">
        <v>4</v>
      </c>
      <c r="B4" s="4301" t="s">
        <v>242</v>
      </c>
      <c r="C4" s="4316">
        <v>433825.23423139902</v>
      </c>
      <c r="D4" s="4302" t="s">
        <v>4</v>
      </c>
      <c r="E4" s="4319">
        <v>2192114.6797475726</v>
      </c>
    </row>
    <row r="5" spans="1:5" ht="36" customHeight="1">
      <c r="A5" s="4313" t="s">
        <v>190</v>
      </c>
      <c r="B5" s="4301" t="s">
        <v>705</v>
      </c>
      <c r="C5" s="4316">
        <v>703178.23423139902</v>
      </c>
      <c r="D5" s="4302" t="s">
        <v>190</v>
      </c>
      <c r="E5" s="4319">
        <v>1050760.9204814299</v>
      </c>
    </row>
    <row r="6" spans="1:5" ht="36" customHeight="1" thickBot="1">
      <c r="A6" s="4314" t="s">
        <v>209</v>
      </c>
      <c r="B6" s="4303" t="s">
        <v>705</v>
      </c>
      <c r="C6" s="4317">
        <v>864348.23423139902</v>
      </c>
      <c r="D6" s="4304" t="s">
        <v>209</v>
      </c>
      <c r="E6" s="4320">
        <v>1303502.9430036</v>
      </c>
    </row>
    <row r="7" spans="1:5">
      <c r="E7" s="4321"/>
    </row>
  </sheetData>
  <phoneticPr fontId="23"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selection activeCell="I5" sqref="I5"/>
    </sheetView>
  </sheetViews>
  <sheetFormatPr defaultRowHeight="16.5"/>
  <cols>
    <col min="1" max="1" width="9.77734375" style="1452" customWidth="1"/>
    <col min="2" max="2" width="12.33203125" style="1452" customWidth="1"/>
    <col min="3" max="3" width="8.6640625" style="1452" customWidth="1"/>
    <col min="4" max="4" width="9.6640625" style="1452" customWidth="1"/>
    <col min="12" max="12" width="12.6640625" customWidth="1"/>
  </cols>
  <sheetData>
    <row r="1" spans="1:14" ht="13.5">
      <c r="A1"/>
      <c r="B1"/>
      <c r="C1"/>
      <c r="D1"/>
    </row>
    <row r="2" spans="1:14" ht="17.25" thickBot="1">
      <c r="A2" s="4765" t="s">
        <v>1717</v>
      </c>
      <c r="D2"/>
      <c r="F2" s="4765" t="s">
        <v>1718</v>
      </c>
      <c r="K2" s="4765" t="s">
        <v>1719</v>
      </c>
    </row>
    <row r="3" spans="1:14" ht="14.45" customHeight="1">
      <c r="A3" s="7750" t="s">
        <v>248</v>
      </c>
      <c r="B3" s="7835" t="s">
        <v>249</v>
      </c>
      <c r="C3" s="7835" t="s">
        <v>250</v>
      </c>
      <c r="D3" s="7845" t="s">
        <v>1724</v>
      </c>
      <c r="F3" s="7750" t="s">
        <v>278</v>
      </c>
      <c r="G3" s="7835" t="s">
        <v>279</v>
      </c>
      <c r="H3" s="7835" t="s">
        <v>250</v>
      </c>
      <c r="I3" s="7845" t="s">
        <v>1724</v>
      </c>
      <c r="K3" s="7750" t="s">
        <v>248</v>
      </c>
      <c r="L3" s="7838" t="s">
        <v>249</v>
      </c>
      <c r="M3" s="7840" t="s">
        <v>230</v>
      </c>
      <c r="N3" s="7845" t="s">
        <v>1724</v>
      </c>
    </row>
    <row r="4" spans="1:14" ht="14.45" customHeight="1">
      <c r="A4" s="8203"/>
      <c r="B4" s="8064"/>
      <c r="C4" s="8064"/>
      <c r="D4" s="8065"/>
      <c r="F4" s="8203"/>
      <c r="G4" s="8064"/>
      <c r="H4" s="8064"/>
      <c r="I4" s="8065"/>
      <c r="K4" s="8203"/>
      <c r="L4" s="8065"/>
      <c r="M4" s="8019"/>
      <c r="N4" s="8065"/>
    </row>
    <row r="5" spans="1:14" ht="17.25" thickBot="1">
      <c r="A5" s="4750" t="s">
        <v>1710</v>
      </c>
      <c r="B5" s="3387" t="s">
        <v>261</v>
      </c>
      <c r="C5" s="4764" t="s">
        <v>262</v>
      </c>
      <c r="D5" s="4772">
        <v>-6710.1319199494028</v>
      </c>
      <c r="F5" s="7738" t="s">
        <v>1710</v>
      </c>
      <c r="G5" s="3387" t="s">
        <v>261</v>
      </c>
      <c r="H5" s="4764" t="s">
        <v>290</v>
      </c>
      <c r="I5" s="4776">
        <v>-9209.0128081982311</v>
      </c>
      <c r="K5" s="4779" t="s">
        <v>1710</v>
      </c>
      <c r="L5" s="4780" t="s">
        <v>261</v>
      </c>
      <c r="M5" s="3108" t="s">
        <v>231</v>
      </c>
      <c r="N5" s="4781">
        <v>109414.49145940205</v>
      </c>
    </row>
    <row r="6" spans="1:14">
      <c r="A6" s="4750" t="s">
        <v>263</v>
      </c>
      <c r="B6" s="3387" t="s">
        <v>264</v>
      </c>
      <c r="C6" s="4764" t="s">
        <v>262</v>
      </c>
      <c r="D6" s="4772">
        <v>110203.96503967902</v>
      </c>
      <c r="F6" s="7738"/>
      <c r="G6" s="3387" t="s">
        <v>291</v>
      </c>
      <c r="H6" s="4764" t="s">
        <v>740</v>
      </c>
      <c r="I6" s="4776">
        <v>-404.02874624999987</v>
      </c>
      <c r="K6" s="4751" t="s">
        <v>263</v>
      </c>
      <c r="L6" s="1006" t="s">
        <v>527</v>
      </c>
      <c r="M6" s="879" t="s">
        <v>231</v>
      </c>
      <c r="N6" s="4782">
        <v>131711.83448443442</v>
      </c>
    </row>
    <row r="7" spans="1:14">
      <c r="A7" s="4750" t="s">
        <v>261</v>
      </c>
      <c r="B7" s="3387" t="s">
        <v>798</v>
      </c>
      <c r="C7" s="4764" t="s">
        <v>267</v>
      </c>
      <c r="D7" s="4772">
        <v>-30026.478170750001</v>
      </c>
      <c r="F7" s="4750" t="s">
        <v>263</v>
      </c>
      <c r="G7" s="3387" t="s">
        <v>293</v>
      </c>
      <c r="H7" s="4764" t="s">
        <v>290</v>
      </c>
      <c r="I7" s="4776">
        <v>2958.0990342419746</v>
      </c>
      <c r="K7" s="8068" t="s">
        <v>309</v>
      </c>
      <c r="L7" s="4752" t="s">
        <v>310</v>
      </c>
      <c r="M7" s="871" t="s">
        <v>231</v>
      </c>
      <c r="N7" s="4782">
        <v>-52576.543449273006</v>
      </c>
    </row>
    <row r="8" spans="1:14" ht="17.25" thickBot="1">
      <c r="A8" s="7738" t="s">
        <v>268</v>
      </c>
      <c r="B8" s="7664" t="s">
        <v>269</v>
      </c>
      <c r="C8" s="4764" t="s">
        <v>270</v>
      </c>
      <c r="D8" s="4772">
        <v>66168.040186221711</v>
      </c>
      <c r="F8" s="7738" t="s">
        <v>296</v>
      </c>
      <c r="G8" s="7664" t="s">
        <v>271</v>
      </c>
      <c r="H8" s="4764" t="s">
        <v>272</v>
      </c>
      <c r="I8" s="8426">
        <v>-34502.447485183926</v>
      </c>
      <c r="K8" s="8062"/>
      <c r="L8" s="4780" t="s">
        <v>311</v>
      </c>
      <c r="M8" s="3108" t="s">
        <v>266</v>
      </c>
      <c r="N8" s="4783">
        <v>-42553.915432652328</v>
      </c>
    </row>
    <row r="9" spans="1:14">
      <c r="A9" s="7738"/>
      <c r="B9" s="7664"/>
      <c r="C9" s="4764" t="s">
        <v>330</v>
      </c>
      <c r="D9" s="4773"/>
      <c r="F9" s="7738"/>
      <c r="G9" s="7664"/>
      <c r="H9" s="4764" t="s">
        <v>273</v>
      </c>
      <c r="I9" s="8426"/>
      <c r="K9" s="8070" t="s">
        <v>268</v>
      </c>
      <c r="L9" s="8073" t="s">
        <v>269</v>
      </c>
      <c r="M9" s="879" t="s">
        <v>313</v>
      </c>
      <c r="N9" s="8424">
        <v>596.03908651541133</v>
      </c>
    </row>
    <row r="10" spans="1:14">
      <c r="A10" s="7738"/>
      <c r="B10" s="7664" t="s">
        <v>271</v>
      </c>
      <c r="C10" s="4764" t="s">
        <v>272</v>
      </c>
      <c r="D10" s="4772">
        <v>-7891.2560720521224</v>
      </c>
      <c r="F10" s="7738"/>
      <c r="G10" s="7664" t="s">
        <v>299</v>
      </c>
      <c r="H10" s="4764" t="s">
        <v>300</v>
      </c>
      <c r="I10" s="8426">
        <v>-6461.892322759235</v>
      </c>
      <c r="K10" s="8429"/>
      <c r="L10" s="8074"/>
      <c r="M10" s="2980" t="s">
        <v>700</v>
      </c>
      <c r="N10" s="8425"/>
    </row>
    <row r="11" spans="1:14">
      <c r="A11" s="7738"/>
      <c r="B11" s="7664"/>
      <c r="C11" s="4764" t="s">
        <v>273</v>
      </c>
      <c r="D11" s="4774"/>
      <c r="F11" s="7738"/>
      <c r="G11" s="7664"/>
      <c r="H11" s="4764" t="s">
        <v>273</v>
      </c>
      <c r="I11" s="8426"/>
      <c r="K11" s="8429"/>
      <c r="L11" s="8433" t="s">
        <v>271</v>
      </c>
      <c r="M11" s="2980" t="s">
        <v>315</v>
      </c>
      <c r="N11" s="8428">
        <v>61353.655059318306</v>
      </c>
    </row>
    <row r="12" spans="1:14">
      <c r="A12" s="4750" t="s">
        <v>737</v>
      </c>
      <c r="B12" s="3387" t="s">
        <v>755</v>
      </c>
      <c r="C12" s="4764" t="s">
        <v>276</v>
      </c>
      <c r="D12" s="4772">
        <v>-5484.5180814281775</v>
      </c>
      <c r="F12" s="4750" t="s">
        <v>1121</v>
      </c>
      <c r="G12" s="3387" t="s">
        <v>753</v>
      </c>
      <c r="H12" s="4764" t="s">
        <v>276</v>
      </c>
      <c r="I12" s="4777">
        <v>127124.0505736364</v>
      </c>
      <c r="K12" s="8429"/>
      <c r="L12" s="8074"/>
      <c r="M12" s="2980" t="s">
        <v>700</v>
      </c>
      <c r="N12" s="8425"/>
    </row>
    <row r="13" spans="1:14">
      <c r="A13" s="4750" t="s">
        <v>412</v>
      </c>
      <c r="B13" s="3387" t="s">
        <v>413</v>
      </c>
      <c r="C13" s="4764" t="s">
        <v>414</v>
      </c>
      <c r="D13" s="4772">
        <v>38041.330871403101</v>
      </c>
      <c r="F13" s="4750" t="s">
        <v>302</v>
      </c>
      <c r="G13" s="3387" t="s">
        <v>303</v>
      </c>
      <c r="H13" s="4764" t="s">
        <v>276</v>
      </c>
      <c r="I13" s="4777">
        <v>21388.39517363636</v>
      </c>
      <c r="K13" s="8429"/>
      <c r="L13" s="4784" t="s">
        <v>316</v>
      </c>
      <c r="M13" s="2980" t="s">
        <v>317</v>
      </c>
      <c r="N13" s="4785">
        <v>41515.276985270924</v>
      </c>
    </row>
    <row r="14" spans="1:14" s="286" customFormat="1" ht="17.25" thickBot="1">
      <c r="A14" s="4748" t="s">
        <v>56</v>
      </c>
      <c r="B14" s="4749" t="s">
        <v>1711</v>
      </c>
      <c r="C14" s="4767" t="s">
        <v>1712</v>
      </c>
      <c r="D14" s="4775">
        <v>9634.0720000000001</v>
      </c>
      <c r="F14" s="4748" t="s">
        <v>1713</v>
      </c>
      <c r="G14" s="4749" t="s">
        <v>1711</v>
      </c>
      <c r="H14" s="4767" t="s">
        <v>1712</v>
      </c>
      <c r="I14" s="4778">
        <v>21868</v>
      </c>
      <c r="K14" s="8429"/>
      <c r="L14" s="4784" t="s">
        <v>318</v>
      </c>
      <c r="M14" s="2980" t="s">
        <v>313</v>
      </c>
      <c r="N14" s="4785">
        <v>2609.2195178311404</v>
      </c>
    </row>
    <row r="15" spans="1:14" ht="17.25" thickBot="1">
      <c r="A15" s="8011" t="s">
        <v>304</v>
      </c>
      <c r="B15" s="8430"/>
      <c r="C15" s="4766" t="s">
        <v>1712</v>
      </c>
      <c r="D15" s="4769">
        <f>SUM(D5:D14)</f>
        <v>173935.02385312412</v>
      </c>
      <c r="F15" s="8011" t="s">
        <v>304</v>
      </c>
      <c r="G15" s="8430"/>
      <c r="H15" s="4766" t="s">
        <v>1712</v>
      </c>
      <c r="I15" s="4769">
        <f>SUM(I5:I14)</f>
        <v>122761.16341912333</v>
      </c>
      <c r="K15" s="8432"/>
      <c r="L15" s="4786" t="s">
        <v>299</v>
      </c>
      <c r="M15" s="2955" t="s">
        <v>320</v>
      </c>
      <c r="N15" s="4781">
        <v>3055.4273615219699</v>
      </c>
    </row>
    <row r="16" spans="1:14" ht="17.25" thickBot="1">
      <c r="K16" s="1035" t="s">
        <v>737</v>
      </c>
      <c r="L16" s="1036" t="s">
        <v>755</v>
      </c>
      <c r="M16" s="897" t="s">
        <v>330</v>
      </c>
      <c r="N16" s="4787">
        <v>114881.03032870067</v>
      </c>
    </row>
    <row r="17" spans="1:14" ht="33">
      <c r="D17" s="691"/>
      <c r="K17" s="8068" t="s">
        <v>331</v>
      </c>
      <c r="L17" s="4790" t="s">
        <v>1728</v>
      </c>
      <c r="M17" s="871" t="s">
        <v>330</v>
      </c>
      <c r="N17" s="4782">
        <v>89902.101403136301</v>
      </c>
    </row>
    <row r="18" spans="1:14">
      <c r="K18" s="8429"/>
      <c r="L18" s="4784" t="s">
        <v>332</v>
      </c>
      <c r="M18" s="2980" t="s">
        <v>330</v>
      </c>
      <c r="N18" s="4785">
        <v>-28755.637887114935</v>
      </c>
    </row>
    <row r="19" spans="1:14" ht="17.25" thickBot="1">
      <c r="K19" s="8062"/>
      <c r="L19" s="4780" t="s">
        <v>333</v>
      </c>
      <c r="M19" s="3108" t="s">
        <v>330</v>
      </c>
      <c r="N19" s="4783">
        <v>505.32926768068273</v>
      </c>
    </row>
    <row r="20" spans="1:14" ht="17.25" thickBot="1">
      <c r="K20" s="8011" t="s">
        <v>304</v>
      </c>
      <c r="L20" s="8012"/>
      <c r="M20" s="4766" t="s">
        <v>1712</v>
      </c>
      <c r="N20" s="4769">
        <f>SUM(N5:N19)</f>
        <v>431658.30818477157</v>
      </c>
    </row>
    <row r="22" spans="1:14" ht="17.25" thickBot="1">
      <c r="A22" s="4765" t="s">
        <v>1720</v>
      </c>
      <c r="F22" s="4765" t="s">
        <v>1725</v>
      </c>
      <c r="K22" s="291" t="s">
        <v>1727</v>
      </c>
    </row>
    <row r="23" spans="1:14" ht="14.45" customHeight="1">
      <c r="A23" s="7750" t="s">
        <v>248</v>
      </c>
      <c r="B23" s="7835" t="s">
        <v>249</v>
      </c>
      <c r="C23" s="7835" t="s">
        <v>230</v>
      </c>
      <c r="D23" s="7845" t="s">
        <v>1724</v>
      </c>
      <c r="F23" s="7750" t="s">
        <v>248</v>
      </c>
      <c r="G23" s="7835" t="s">
        <v>249</v>
      </c>
      <c r="H23" s="7835" t="s">
        <v>230</v>
      </c>
      <c r="I23" s="7845" t="s">
        <v>1724</v>
      </c>
      <c r="K23" s="7750" t="s">
        <v>248</v>
      </c>
      <c r="L23" s="7835" t="s">
        <v>249</v>
      </c>
      <c r="M23" s="7835" t="s">
        <v>230</v>
      </c>
      <c r="N23" s="7845" t="s">
        <v>1724</v>
      </c>
    </row>
    <row r="24" spans="1:14" ht="14.45" customHeight="1">
      <c r="A24" s="8203"/>
      <c r="B24" s="8064"/>
      <c r="C24" s="8064"/>
      <c r="D24" s="8065"/>
      <c r="F24" s="8203"/>
      <c r="G24" s="8064"/>
      <c r="H24" s="8064"/>
      <c r="I24" s="8065"/>
      <c r="K24" s="8203"/>
      <c r="L24" s="8064"/>
      <c r="M24" s="8064"/>
      <c r="N24" s="8065"/>
    </row>
    <row r="25" spans="1:14">
      <c r="A25" s="7738" t="s">
        <v>1710</v>
      </c>
      <c r="B25" s="3387" t="s">
        <v>261</v>
      </c>
      <c r="C25" s="4764" t="s">
        <v>262</v>
      </c>
      <c r="D25" s="4785">
        <v>69430.346372912638</v>
      </c>
      <c r="F25" s="7738" t="s">
        <v>1721</v>
      </c>
      <c r="G25" s="3387" t="s">
        <v>261</v>
      </c>
      <c r="H25" s="4764" t="s">
        <v>231</v>
      </c>
      <c r="I25" s="4772">
        <v>120590.90691454252</v>
      </c>
      <c r="K25" s="7738" t="s">
        <v>1721</v>
      </c>
      <c r="L25" s="3387" t="s">
        <v>261</v>
      </c>
      <c r="M25" s="4764" t="s">
        <v>231</v>
      </c>
      <c r="N25" s="4772">
        <f>D5+I5+N5+D25+I25</f>
        <v>283516.60001870955</v>
      </c>
    </row>
    <row r="26" spans="1:14">
      <c r="A26" s="7738"/>
      <c r="B26" s="3387" t="s">
        <v>829</v>
      </c>
      <c r="C26" s="4764" t="s">
        <v>740</v>
      </c>
      <c r="D26" s="4785">
        <v>41341.395809250003</v>
      </c>
      <c r="F26" s="7738"/>
      <c r="G26" s="3387" t="s">
        <v>829</v>
      </c>
      <c r="H26" s="4764" t="s">
        <v>740</v>
      </c>
      <c r="I26" s="4772">
        <v>6066.5874821999978</v>
      </c>
      <c r="K26" s="7738"/>
      <c r="L26" s="3387" t="s">
        <v>829</v>
      </c>
      <c r="M26" s="4764" t="s">
        <v>740</v>
      </c>
      <c r="N26" s="4772">
        <f>I6+D26+I26</f>
        <v>47003.954545200002</v>
      </c>
    </row>
    <row r="27" spans="1:14">
      <c r="A27" s="4750" t="s">
        <v>263</v>
      </c>
      <c r="B27" s="3387" t="s">
        <v>264</v>
      </c>
      <c r="C27" s="4764" t="s">
        <v>262</v>
      </c>
      <c r="D27" s="4785">
        <v>53245.808687588869</v>
      </c>
      <c r="F27" s="4750" t="s">
        <v>263</v>
      </c>
      <c r="G27" s="3387" t="s">
        <v>264</v>
      </c>
      <c r="H27" s="4764" t="s">
        <v>231</v>
      </c>
      <c r="I27" s="4772">
        <v>42857.367133202089</v>
      </c>
      <c r="K27" s="4750" t="s">
        <v>263</v>
      </c>
      <c r="L27" s="3387" t="s">
        <v>264</v>
      </c>
      <c r="M27" s="4764" t="s">
        <v>231</v>
      </c>
      <c r="N27" s="4772">
        <f>D6+I7+N6+D27+I27</f>
        <v>340977.07437914639</v>
      </c>
    </row>
    <row r="28" spans="1:14">
      <c r="A28" s="7738" t="s">
        <v>309</v>
      </c>
      <c r="B28" s="7664" t="s">
        <v>354</v>
      </c>
      <c r="C28" s="4764" t="s">
        <v>355</v>
      </c>
      <c r="D28" s="8431">
        <v>104992.37962735834</v>
      </c>
      <c r="F28" s="7738" t="s">
        <v>309</v>
      </c>
      <c r="G28" s="7664" t="s">
        <v>354</v>
      </c>
      <c r="H28" s="4764" t="s">
        <v>355</v>
      </c>
      <c r="I28" s="8426">
        <v>365422.13423775998</v>
      </c>
      <c r="K28" s="7738" t="s">
        <v>309</v>
      </c>
      <c r="L28" s="7664" t="s">
        <v>354</v>
      </c>
      <c r="M28" s="4764" t="s">
        <v>355</v>
      </c>
      <c r="N28" s="8426">
        <f>D28+I28</f>
        <v>470414.51386511832</v>
      </c>
    </row>
    <row r="29" spans="1:14">
      <c r="A29" s="7738"/>
      <c r="B29" s="7664"/>
      <c r="C29" s="4764" t="s">
        <v>273</v>
      </c>
      <c r="D29" s="8431"/>
      <c r="F29" s="7738"/>
      <c r="G29" s="7664"/>
      <c r="H29" s="4764" t="s">
        <v>273</v>
      </c>
      <c r="I29" s="8426">
        <v>0</v>
      </c>
      <c r="K29" s="7738"/>
      <c r="L29" s="7664"/>
      <c r="M29" s="4764" t="s">
        <v>273</v>
      </c>
      <c r="N29" s="8426">
        <v>0</v>
      </c>
    </row>
    <row r="30" spans="1:14">
      <c r="A30" s="4750" t="s">
        <v>1714</v>
      </c>
      <c r="B30" s="3387" t="s">
        <v>759</v>
      </c>
      <c r="C30" s="4764" t="s">
        <v>273</v>
      </c>
      <c r="D30" s="4788">
        <v>69278.904561609394</v>
      </c>
      <c r="F30" s="7738" t="s">
        <v>268</v>
      </c>
      <c r="G30" s="7664" t="s">
        <v>269</v>
      </c>
      <c r="H30" s="4764" t="s">
        <v>270</v>
      </c>
      <c r="I30" s="8426">
        <v>38809.717004054473</v>
      </c>
      <c r="K30" s="7738" t="s">
        <v>268</v>
      </c>
      <c r="L30" s="7664" t="s">
        <v>269</v>
      </c>
      <c r="M30" s="4764" t="s">
        <v>270</v>
      </c>
      <c r="N30" s="8426">
        <f>D8+N9+D31+I30</f>
        <v>44242.510037312706</v>
      </c>
    </row>
    <row r="31" spans="1:14">
      <c r="A31" s="7738" t="s">
        <v>296</v>
      </c>
      <c r="B31" s="7664" t="s">
        <v>269</v>
      </c>
      <c r="C31" s="4764" t="s">
        <v>270</v>
      </c>
      <c r="D31" s="8431">
        <v>-61331.286239478883</v>
      </c>
      <c r="F31" s="7738"/>
      <c r="G31" s="7664"/>
      <c r="H31" s="4764" t="s">
        <v>273</v>
      </c>
      <c r="I31" s="8426"/>
      <c r="K31" s="7738"/>
      <c r="L31" s="7664"/>
      <c r="M31" s="4764" t="s">
        <v>273</v>
      </c>
      <c r="N31" s="8426"/>
    </row>
    <row r="32" spans="1:14">
      <c r="A32" s="7738"/>
      <c r="B32" s="7664"/>
      <c r="C32" s="4764" t="s">
        <v>273</v>
      </c>
      <c r="D32" s="8431"/>
      <c r="F32" s="7738"/>
      <c r="G32" s="7664" t="s">
        <v>271</v>
      </c>
      <c r="H32" s="4764" t="s">
        <v>272</v>
      </c>
      <c r="I32" s="8426">
        <v>35816.091273839185</v>
      </c>
      <c r="K32" s="7738"/>
      <c r="L32" s="7664" t="s">
        <v>271</v>
      </c>
      <c r="M32" s="4764" t="s">
        <v>272</v>
      </c>
      <c r="N32" s="8426">
        <f>D10+I8+N11+D33+I32</f>
        <v>101576.98869163834</v>
      </c>
    </row>
    <row r="33" spans="1:14">
      <c r="A33" s="7738"/>
      <c r="B33" s="7664" t="s">
        <v>271</v>
      </c>
      <c r="C33" s="4764" t="s">
        <v>272</v>
      </c>
      <c r="D33" s="8431">
        <v>46800.945915716889</v>
      </c>
      <c r="F33" s="7738"/>
      <c r="G33" s="7664"/>
      <c r="H33" s="4764" t="s">
        <v>273</v>
      </c>
      <c r="I33" s="8426"/>
      <c r="K33" s="7738"/>
      <c r="L33" s="7664"/>
      <c r="M33" s="4764" t="s">
        <v>273</v>
      </c>
      <c r="N33" s="8426"/>
    </row>
    <row r="34" spans="1:14">
      <c r="A34" s="7738"/>
      <c r="B34" s="7664"/>
      <c r="C34" s="4764" t="s">
        <v>273</v>
      </c>
      <c r="D34" s="8431"/>
      <c r="F34" s="4750" t="s">
        <v>1722</v>
      </c>
      <c r="G34" s="3387" t="s">
        <v>755</v>
      </c>
      <c r="H34" s="4764" t="s">
        <v>276</v>
      </c>
      <c r="I34" s="3278">
        <v>95155.972648710856</v>
      </c>
      <c r="K34" s="4750" t="s">
        <v>1722</v>
      </c>
      <c r="L34" s="3387" t="s">
        <v>755</v>
      </c>
      <c r="M34" s="4764" t="s">
        <v>276</v>
      </c>
      <c r="N34" s="3278">
        <f>D12+I12+N16+I34+D30</f>
        <v>400955.44003122917</v>
      </c>
    </row>
    <row r="35" spans="1:14" ht="17.25" thickBot="1">
      <c r="A35" s="4748" t="s">
        <v>1715</v>
      </c>
      <c r="B35" s="4749" t="s">
        <v>1716</v>
      </c>
      <c r="C35" s="4767" t="s">
        <v>744</v>
      </c>
      <c r="D35" s="4789">
        <v>43529.105714985002</v>
      </c>
      <c r="F35" s="4748" t="s">
        <v>1723</v>
      </c>
      <c r="G35" s="4749" t="s">
        <v>1716</v>
      </c>
      <c r="H35" s="4767" t="s">
        <v>744</v>
      </c>
      <c r="I35" s="4293">
        <v>20047.687512</v>
      </c>
      <c r="K35" s="4748" t="s">
        <v>1726</v>
      </c>
      <c r="L35" s="4749" t="s">
        <v>1716</v>
      </c>
      <c r="M35" s="4767" t="s">
        <v>744</v>
      </c>
      <c r="N35" s="4293">
        <f>D13+D14+I13+I14+N17+N18+N19+D35+I35</f>
        <v>216160.38405572652</v>
      </c>
    </row>
    <row r="36" spans="1:14" ht="17.25" thickBot="1">
      <c r="A36" s="8011" t="s">
        <v>304</v>
      </c>
      <c r="B36" s="8430"/>
      <c r="C36" s="4766" t="s">
        <v>1712</v>
      </c>
      <c r="D36" s="4771">
        <f>SUM(D25:D35)</f>
        <v>367287.60044994229</v>
      </c>
      <c r="F36" s="8107" t="s">
        <v>304</v>
      </c>
      <c r="G36" s="8427"/>
      <c r="H36" s="4768" t="s">
        <v>1712</v>
      </c>
      <c r="I36" s="4770">
        <f>SUM(I25:I27)+I28+SUM(I30:I34)</f>
        <v>704718.77669430908</v>
      </c>
      <c r="K36" s="8107" t="s">
        <v>304</v>
      </c>
      <c r="L36" s="8427"/>
      <c r="M36" s="4768" t="s">
        <v>1712</v>
      </c>
      <c r="N36" s="4770">
        <f>SUM(N25:N27)+N28+SUM(N30:N34)</f>
        <v>1688687.0815683545</v>
      </c>
    </row>
    <row r="39" spans="1:14" ht="14.45" customHeight="1"/>
    <row r="40" spans="1:14" ht="14.45" customHeight="1"/>
  </sheetData>
  <mergeCells count="73">
    <mergeCell ref="H3:H4"/>
    <mergeCell ref="A15:B15"/>
    <mergeCell ref="D3:D4"/>
    <mergeCell ref="A8:A11"/>
    <mergeCell ref="B8:B9"/>
    <mergeCell ref="B10:B11"/>
    <mergeCell ref="A3:A4"/>
    <mergeCell ref="B3:B4"/>
    <mergeCell ref="C3:C4"/>
    <mergeCell ref="F8:F11"/>
    <mergeCell ref="G8:G9"/>
    <mergeCell ref="G10:G11"/>
    <mergeCell ref="F5:F6"/>
    <mergeCell ref="F3:F4"/>
    <mergeCell ref="G3:G4"/>
    <mergeCell ref="N3:N4"/>
    <mergeCell ref="A23:A24"/>
    <mergeCell ref="B23:B24"/>
    <mergeCell ref="C23:C24"/>
    <mergeCell ref="A25:A26"/>
    <mergeCell ref="K7:K8"/>
    <mergeCell ref="K9:K15"/>
    <mergeCell ref="L9:L10"/>
    <mergeCell ref="L11:L12"/>
    <mergeCell ref="F15:G15"/>
    <mergeCell ref="I3:I4"/>
    <mergeCell ref="I8:I9"/>
    <mergeCell ref="I10:I11"/>
    <mergeCell ref="K3:K4"/>
    <mergeCell ref="L3:L4"/>
    <mergeCell ref="M3:M4"/>
    <mergeCell ref="A36:B36"/>
    <mergeCell ref="D23:D24"/>
    <mergeCell ref="D28:D29"/>
    <mergeCell ref="D31:D32"/>
    <mergeCell ref="D33:D34"/>
    <mergeCell ref="A31:A34"/>
    <mergeCell ref="B31:B32"/>
    <mergeCell ref="B33:B34"/>
    <mergeCell ref="A28:A29"/>
    <mergeCell ref="B28:B29"/>
    <mergeCell ref="F36:G36"/>
    <mergeCell ref="I23:I24"/>
    <mergeCell ref="I28:I29"/>
    <mergeCell ref="I30:I31"/>
    <mergeCell ref="I32:I33"/>
    <mergeCell ref="F30:F33"/>
    <mergeCell ref="G30:G31"/>
    <mergeCell ref="G32:G33"/>
    <mergeCell ref="F28:F29"/>
    <mergeCell ref="G28:G29"/>
    <mergeCell ref="F23:F24"/>
    <mergeCell ref="G23:G24"/>
    <mergeCell ref="H23:H24"/>
    <mergeCell ref="F25:F26"/>
    <mergeCell ref="K36:L36"/>
    <mergeCell ref="N11:N12"/>
    <mergeCell ref="L23:L24"/>
    <mergeCell ref="M23:M24"/>
    <mergeCell ref="N23:N24"/>
    <mergeCell ref="K25:K26"/>
    <mergeCell ref="K28:K29"/>
    <mergeCell ref="L28:L29"/>
    <mergeCell ref="N28:N29"/>
    <mergeCell ref="K23:K24"/>
    <mergeCell ref="K30:K33"/>
    <mergeCell ref="K17:K19"/>
    <mergeCell ref="K20:L20"/>
    <mergeCell ref="N9:N10"/>
    <mergeCell ref="L30:L31"/>
    <mergeCell ref="N30:N31"/>
    <mergeCell ref="L32:L33"/>
    <mergeCell ref="N32:N33"/>
  </mergeCells>
  <phoneticPr fontId="23" type="noConversion"/>
  <pageMargins left="0.7" right="0.7" top="0.75" bottom="0.75" header="0.3" footer="0.3"/>
  <pageSetup paperSize="9" scale="8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workbookViewId="0">
      <selection activeCell="G20" sqref="G20"/>
    </sheetView>
  </sheetViews>
  <sheetFormatPr defaultRowHeight="13.5"/>
  <cols>
    <col min="1" max="1" width="7.109375" customWidth="1"/>
    <col min="3" max="3" width="8.77734375" style="286"/>
    <col min="4" max="4" width="12.44140625" customWidth="1"/>
    <col min="5" max="5" width="10.6640625" customWidth="1"/>
    <col min="6" max="6" width="21.44140625" customWidth="1"/>
    <col min="7" max="7" width="19" customWidth="1"/>
  </cols>
  <sheetData>
    <row r="1" spans="1:7" s="286" customFormat="1" ht="42.6" customHeight="1">
      <c r="A1" s="8436" t="s">
        <v>1829</v>
      </c>
      <c r="B1" s="8436"/>
      <c r="C1" s="8436"/>
      <c r="D1" s="8436"/>
      <c r="E1" s="8436"/>
      <c r="F1" s="8436"/>
      <c r="G1" s="8436"/>
    </row>
    <row r="2" spans="1:7" ht="14.25" thickBot="1">
      <c r="G2" s="829" t="s">
        <v>1830</v>
      </c>
    </row>
    <row r="3" spans="1:7" ht="24" customHeight="1" thickBot="1">
      <c r="A3" s="5093" t="s">
        <v>1774</v>
      </c>
      <c r="B3" s="5094" t="s">
        <v>1775</v>
      </c>
      <c r="C3" s="5094" t="s">
        <v>1816</v>
      </c>
      <c r="D3" s="5094" t="s">
        <v>1776</v>
      </c>
      <c r="E3" s="5094" t="s">
        <v>1777</v>
      </c>
      <c r="F3" s="5094" t="s">
        <v>1778</v>
      </c>
      <c r="G3" s="5095" t="s">
        <v>1779</v>
      </c>
    </row>
    <row r="4" spans="1:7" ht="24" customHeight="1" thickTop="1">
      <c r="A4" s="5089">
        <v>1</v>
      </c>
      <c r="B4" s="8439" t="s">
        <v>1780</v>
      </c>
      <c r="C4" s="8441" t="s">
        <v>1817</v>
      </c>
      <c r="D4" s="5090" t="s">
        <v>1793</v>
      </c>
      <c r="E4" s="5091"/>
      <c r="F4" s="5091"/>
      <c r="G4" s="5092"/>
    </row>
    <row r="5" spans="1:7" ht="24" customHeight="1">
      <c r="A5" s="3418">
        <v>2</v>
      </c>
      <c r="B5" s="8438"/>
      <c r="C5" s="8435"/>
      <c r="D5" s="3416" t="s">
        <v>1794</v>
      </c>
      <c r="E5" s="3441"/>
      <c r="F5" s="3441"/>
      <c r="G5" s="4432"/>
    </row>
    <row r="6" spans="1:7" ht="24" customHeight="1">
      <c r="A6" s="3418">
        <v>3</v>
      </c>
      <c r="B6" s="8438"/>
      <c r="C6" s="8435"/>
      <c r="D6" s="3416" t="s">
        <v>1795</v>
      </c>
      <c r="E6" s="3441"/>
      <c r="F6" s="3441"/>
      <c r="G6" s="4432"/>
    </row>
    <row r="7" spans="1:7" s="286" customFormat="1" ht="24" customHeight="1" thickBot="1">
      <c r="A7" s="5096">
        <v>4</v>
      </c>
      <c r="B7" s="5097" t="s">
        <v>1787</v>
      </c>
      <c r="C7" s="8442"/>
      <c r="D7" s="5097" t="s">
        <v>1796</v>
      </c>
      <c r="E7" s="5098"/>
      <c r="F7" s="5098"/>
      <c r="G7" s="5099"/>
    </row>
    <row r="8" spans="1:7" ht="24" customHeight="1">
      <c r="A8" s="5084">
        <v>5</v>
      </c>
      <c r="B8" s="8437" t="s">
        <v>1781</v>
      </c>
      <c r="C8" s="8434" t="s">
        <v>1818</v>
      </c>
      <c r="D8" s="1315" t="s">
        <v>1797</v>
      </c>
      <c r="E8" s="5100"/>
      <c r="F8" s="5100"/>
      <c r="G8" s="5101"/>
    </row>
    <row r="9" spans="1:7" ht="24" customHeight="1">
      <c r="A9" s="3418">
        <v>6</v>
      </c>
      <c r="B9" s="8438"/>
      <c r="C9" s="8435"/>
      <c r="D9" s="3416" t="s">
        <v>1798</v>
      </c>
      <c r="E9" s="3441"/>
      <c r="F9" s="3441"/>
      <c r="G9" s="4432"/>
    </row>
    <row r="10" spans="1:7" ht="24" customHeight="1">
      <c r="A10" s="3418">
        <v>7</v>
      </c>
      <c r="B10" s="8438"/>
      <c r="C10" s="8435"/>
      <c r="D10" s="3416" t="s">
        <v>1799</v>
      </c>
      <c r="E10" s="3441"/>
      <c r="F10" s="3441"/>
      <c r="G10" s="4432"/>
    </row>
    <row r="11" spans="1:7" s="286" customFormat="1" ht="24" customHeight="1" thickBot="1">
      <c r="A11" s="5085">
        <v>8</v>
      </c>
      <c r="B11" s="5086" t="s">
        <v>1788</v>
      </c>
      <c r="C11" s="8442"/>
      <c r="D11" s="5086" t="s">
        <v>1800</v>
      </c>
      <c r="E11" s="5087"/>
      <c r="F11" s="5087"/>
      <c r="G11" s="5088"/>
    </row>
    <row r="12" spans="1:7" ht="24" customHeight="1">
      <c r="A12" s="5089">
        <v>9</v>
      </c>
      <c r="B12" s="8439" t="s">
        <v>1782</v>
      </c>
      <c r="C12" s="8434" t="s">
        <v>1819</v>
      </c>
      <c r="D12" s="5090" t="s">
        <v>1801</v>
      </c>
      <c r="E12" s="5091"/>
      <c r="F12" s="5091"/>
      <c r="G12" s="5092"/>
    </row>
    <row r="13" spans="1:7" ht="24" customHeight="1">
      <c r="A13" s="3418">
        <v>10</v>
      </c>
      <c r="B13" s="8438"/>
      <c r="C13" s="8435"/>
      <c r="D13" s="3416" t="s">
        <v>1802</v>
      </c>
      <c r="E13" s="3441"/>
      <c r="F13" s="3441"/>
      <c r="G13" s="4432"/>
    </row>
    <row r="14" spans="1:7" ht="24" customHeight="1" thickBot="1">
      <c r="A14" s="5096">
        <v>11</v>
      </c>
      <c r="B14" s="8440"/>
      <c r="C14" s="8442"/>
      <c r="D14" s="5097" t="s">
        <v>1803</v>
      </c>
      <c r="E14" s="5098"/>
      <c r="F14" s="5098"/>
      <c r="G14" s="5099"/>
    </row>
    <row r="15" spans="1:7" ht="24" customHeight="1">
      <c r="A15" s="5084">
        <v>12</v>
      </c>
      <c r="B15" s="8437" t="s">
        <v>1783</v>
      </c>
      <c r="C15" s="8434" t="s">
        <v>1820</v>
      </c>
      <c r="D15" s="1315" t="s">
        <v>1804</v>
      </c>
      <c r="E15" s="5100"/>
      <c r="F15" s="5100"/>
      <c r="G15" s="5101"/>
    </row>
    <row r="16" spans="1:7" ht="24" customHeight="1">
      <c r="A16" s="3418">
        <v>13</v>
      </c>
      <c r="B16" s="8438"/>
      <c r="C16" s="8435"/>
      <c r="D16" s="3416" t="s">
        <v>1805</v>
      </c>
      <c r="E16" s="3441"/>
      <c r="F16" s="3441"/>
      <c r="G16" s="4432"/>
    </row>
    <row r="17" spans="1:7" ht="24" customHeight="1">
      <c r="A17" s="3418">
        <v>14</v>
      </c>
      <c r="B17" s="8438"/>
      <c r="C17" s="8435"/>
      <c r="D17" s="3416" t="s">
        <v>1806</v>
      </c>
      <c r="E17" s="3441"/>
      <c r="F17" s="3441"/>
      <c r="G17" s="4432"/>
    </row>
    <row r="18" spans="1:7" s="286" customFormat="1" ht="24" customHeight="1">
      <c r="A18" s="5096">
        <v>15</v>
      </c>
      <c r="B18" s="5097" t="s">
        <v>1789</v>
      </c>
      <c r="C18" s="8435"/>
      <c r="D18" s="5097" t="s">
        <v>1807</v>
      </c>
      <c r="E18" s="5098"/>
      <c r="F18" s="5098"/>
      <c r="G18" s="5099"/>
    </row>
    <row r="19" spans="1:7" s="286" customFormat="1" ht="24" customHeight="1" thickBot="1">
      <c r="A19" s="5096">
        <v>16</v>
      </c>
      <c r="B19" s="5097" t="s">
        <v>1827</v>
      </c>
      <c r="C19" s="8435"/>
      <c r="D19" s="5097" t="s">
        <v>1828</v>
      </c>
      <c r="E19" s="5098"/>
      <c r="F19" s="5098"/>
      <c r="G19" s="5099"/>
    </row>
    <row r="20" spans="1:7" ht="24" customHeight="1">
      <c r="A20" s="5108">
        <v>17</v>
      </c>
      <c r="B20" s="8437" t="s">
        <v>1784</v>
      </c>
      <c r="C20" s="8434" t="s">
        <v>1821</v>
      </c>
      <c r="D20" s="1315" t="s">
        <v>1808</v>
      </c>
      <c r="E20" s="5100"/>
      <c r="F20" s="5100"/>
      <c r="G20" s="5101"/>
    </row>
    <row r="21" spans="1:7" ht="24" customHeight="1">
      <c r="A21" s="3418">
        <v>18</v>
      </c>
      <c r="B21" s="8438"/>
      <c r="C21" s="8435"/>
      <c r="D21" s="3416" t="s">
        <v>1809</v>
      </c>
      <c r="E21" s="3441"/>
      <c r="F21" s="3441"/>
      <c r="G21" s="4432"/>
    </row>
    <row r="22" spans="1:7" ht="24" customHeight="1">
      <c r="A22" s="5096">
        <v>19</v>
      </c>
      <c r="B22" s="8438"/>
      <c r="C22" s="8435"/>
      <c r="D22" s="3416" t="s">
        <v>1810</v>
      </c>
      <c r="E22" s="3441"/>
      <c r="F22" s="3441"/>
      <c r="G22" s="4432"/>
    </row>
    <row r="23" spans="1:7" s="286" customFormat="1" ht="24" customHeight="1" thickBot="1">
      <c r="A23" s="5085">
        <v>20</v>
      </c>
      <c r="B23" s="5086" t="s">
        <v>1790</v>
      </c>
      <c r="C23" s="8442"/>
      <c r="D23" s="5086" t="s">
        <v>1811</v>
      </c>
      <c r="E23" s="5087"/>
      <c r="F23" s="5087"/>
      <c r="G23" s="5088"/>
    </row>
    <row r="24" spans="1:7" ht="24" customHeight="1">
      <c r="A24" s="5106">
        <v>21</v>
      </c>
      <c r="B24" s="5090" t="s">
        <v>1785</v>
      </c>
      <c r="C24" s="5090" t="s">
        <v>1822</v>
      </c>
      <c r="D24" s="5090" t="s">
        <v>1812</v>
      </c>
      <c r="E24" s="5091"/>
      <c r="F24" s="5091"/>
      <c r="G24" s="5092"/>
    </row>
    <row r="25" spans="1:7" ht="24" customHeight="1" thickBot="1">
      <c r="A25" s="5096">
        <v>22</v>
      </c>
      <c r="B25" s="5097" t="s">
        <v>1786</v>
      </c>
      <c r="C25" s="5097" t="s">
        <v>1823</v>
      </c>
      <c r="D25" s="5097" t="s">
        <v>1362</v>
      </c>
      <c r="E25" s="5098"/>
      <c r="F25" s="5098"/>
      <c r="G25" s="5099"/>
    </row>
    <row r="26" spans="1:7" ht="24" customHeight="1" thickBot="1">
      <c r="A26" s="5102">
        <v>23</v>
      </c>
      <c r="B26" s="5103" t="s">
        <v>1791</v>
      </c>
      <c r="C26" s="5103" t="s">
        <v>1824</v>
      </c>
      <c r="D26" s="5103" t="s">
        <v>1813</v>
      </c>
      <c r="E26" s="5104"/>
      <c r="F26" s="5104"/>
      <c r="G26" s="5105"/>
    </row>
    <row r="27" spans="1:7" ht="24" customHeight="1" thickBot="1">
      <c r="A27" s="5096">
        <v>24</v>
      </c>
      <c r="B27" s="5107" t="s">
        <v>1792</v>
      </c>
      <c r="C27" s="5107" t="s">
        <v>1825</v>
      </c>
      <c r="D27" s="5107" t="s">
        <v>1814</v>
      </c>
      <c r="E27" s="5109"/>
      <c r="F27" s="5109"/>
      <c r="G27" s="5110"/>
    </row>
    <row r="28" spans="1:7" ht="24" customHeight="1" thickBot="1">
      <c r="A28" s="5102">
        <v>25</v>
      </c>
      <c r="B28" s="5103" t="s">
        <v>1056</v>
      </c>
      <c r="C28" s="5103" t="s">
        <v>1826</v>
      </c>
      <c r="D28" s="5103" t="s">
        <v>1815</v>
      </c>
      <c r="E28" s="5104"/>
      <c r="F28" s="5104"/>
      <c r="G28" s="5105"/>
    </row>
  </sheetData>
  <mergeCells count="11">
    <mergeCell ref="C15:C19"/>
    <mergeCell ref="A1:G1"/>
    <mergeCell ref="B20:B22"/>
    <mergeCell ref="B15:B17"/>
    <mergeCell ref="B12:B14"/>
    <mergeCell ref="B8:B10"/>
    <mergeCell ref="B4:B6"/>
    <mergeCell ref="C4:C7"/>
    <mergeCell ref="C8:C11"/>
    <mergeCell ref="C12:C14"/>
    <mergeCell ref="C20:C23"/>
  </mergeCells>
  <phoneticPr fontId="23"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
  <sheetViews>
    <sheetView workbookViewId="0">
      <selection activeCell="O7" sqref="O7"/>
    </sheetView>
  </sheetViews>
  <sheetFormatPr defaultRowHeight="13.5"/>
  <cols>
    <col min="6" max="6" width="20.6640625" customWidth="1"/>
    <col min="7" max="9" width="20.6640625" style="286" customWidth="1"/>
  </cols>
  <sheetData>
    <row r="1" spans="1:10" ht="48.6" customHeight="1">
      <c r="A1" s="8444" t="s">
        <v>1831</v>
      </c>
      <c r="B1" s="8444"/>
      <c r="C1" s="8444"/>
      <c r="D1" s="8444"/>
      <c r="E1" s="8444"/>
      <c r="F1" s="8444"/>
      <c r="G1" s="8444"/>
      <c r="H1" s="8444"/>
      <c r="I1" s="8444"/>
      <c r="J1" s="8444"/>
    </row>
    <row r="2" spans="1:10" ht="14.25" thickBot="1">
      <c r="A2" s="286"/>
      <c r="B2" s="286"/>
      <c r="C2" s="286"/>
      <c r="D2" s="286"/>
      <c r="E2" s="286"/>
      <c r="F2" s="286"/>
      <c r="J2" s="829" t="s">
        <v>1830</v>
      </c>
    </row>
    <row r="3" spans="1:10" ht="24.6" customHeight="1" thickBot="1">
      <c r="A3" s="5093" t="s">
        <v>1774</v>
      </c>
      <c r="B3" s="5094" t="s">
        <v>1775</v>
      </c>
      <c r="C3" s="5094" t="s">
        <v>1816</v>
      </c>
      <c r="D3" s="5094" t="s">
        <v>1776</v>
      </c>
      <c r="E3" s="5094" t="s">
        <v>1777</v>
      </c>
      <c r="F3" s="5094" t="s">
        <v>1832</v>
      </c>
      <c r="G3" s="5094" t="s">
        <v>1833</v>
      </c>
      <c r="H3" s="5094" t="s">
        <v>1834</v>
      </c>
      <c r="I3" s="5094" t="s">
        <v>1835</v>
      </c>
      <c r="J3" s="5095" t="s">
        <v>247</v>
      </c>
    </row>
    <row r="4" spans="1:10" ht="48" customHeight="1" thickTop="1">
      <c r="A4" s="5089">
        <v>1</v>
      </c>
      <c r="B4" s="8439" t="s">
        <v>1780</v>
      </c>
      <c r="C4" s="8441" t="s">
        <v>1817</v>
      </c>
      <c r="D4" s="5090" t="s">
        <v>1793</v>
      </c>
      <c r="E4" s="5091"/>
      <c r="F4" s="5091"/>
      <c r="G4" s="5111"/>
      <c r="H4" s="5111"/>
      <c r="I4" s="5111"/>
      <c r="J4" s="5092"/>
    </row>
    <row r="5" spans="1:10" ht="48" customHeight="1">
      <c r="A5" s="3418">
        <v>2</v>
      </c>
      <c r="B5" s="8438"/>
      <c r="C5" s="8435"/>
      <c r="D5" s="3416" t="s">
        <v>1794</v>
      </c>
      <c r="E5" s="3441"/>
      <c r="F5" s="3441"/>
      <c r="G5" s="5112"/>
      <c r="H5" s="5112"/>
      <c r="I5" s="5112"/>
      <c r="J5" s="4432"/>
    </row>
    <row r="6" spans="1:10" ht="48" customHeight="1">
      <c r="A6" s="3418">
        <v>3</v>
      </c>
      <c r="B6" s="8438"/>
      <c r="C6" s="8435"/>
      <c r="D6" s="3416" t="s">
        <v>1795</v>
      </c>
      <c r="E6" s="3441"/>
      <c r="F6" s="3441"/>
      <c r="G6" s="5112"/>
      <c r="H6" s="5112"/>
      <c r="I6" s="5112"/>
      <c r="J6" s="4432"/>
    </row>
    <row r="7" spans="1:10" ht="48" customHeight="1" thickBot="1">
      <c r="A7" s="5096">
        <v>4</v>
      </c>
      <c r="B7" s="5097" t="s">
        <v>1787</v>
      </c>
      <c r="C7" s="8442"/>
      <c r="D7" s="5097" t="s">
        <v>1796</v>
      </c>
      <c r="E7" s="5098"/>
      <c r="F7" s="5098"/>
      <c r="G7" s="5113"/>
      <c r="H7" s="5113"/>
      <c r="I7" s="5113"/>
      <c r="J7" s="5099"/>
    </row>
    <row r="8" spans="1:10" ht="48" customHeight="1">
      <c r="A8" s="5084">
        <v>5</v>
      </c>
      <c r="B8" s="8437" t="s">
        <v>1781</v>
      </c>
      <c r="C8" s="8434" t="s">
        <v>1818</v>
      </c>
      <c r="D8" s="1315" t="s">
        <v>1797</v>
      </c>
      <c r="E8" s="5100"/>
      <c r="F8" s="5100"/>
      <c r="G8" s="5114"/>
      <c r="H8" s="5114"/>
      <c r="I8" s="5114"/>
      <c r="J8" s="5101"/>
    </row>
    <row r="9" spans="1:10" ht="48" customHeight="1">
      <c r="A9" s="3418">
        <v>6</v>
      </c>
      <c r="B9" s="8438"/>
      <c r="C9" s="8435"/>
      <c r="D9" s="3416" t="s">
        <v>1798</v>
      </c>
      <c r="E9" s="3441"/>
      <c r="F9" s="3441"/>
      <c r="G9" s="5112"/>
      <c r="H9" s="5112"/>
      <c r="I9" s="5112"/>
      <c r="J9" s="4432"/>
    </row>
    <row r="10" spans="1:10" ht="48" customHeight="1">
      <c r="A10" s="3418">
        <v>7</v>
      </c>
      <c r="B10" s="8438"/>
      <c r="C10" s="8435"/>
      <c r="D10" s="3416" t="s">
        <v>1799</v>
      </c>
      <c r="E10" s="3441"/>
      <c r="F10" s="3441"/>
      <c r="G10" s="5112"/>
      <c r="H10" s="5112"/>
      <c r="I10" s="5112"/>
      <c r="J10" s="4432"/>
    </row>
    <row r="11" spans="1:10" ht="48" customHeight="1" thickBot="1">
      <c r="A11" s="5085">
        <v>8</v>
      </c>
      <c r="B11" s="5086" t="s">
        <v>1788</v>
      </c>
      <c r="C11" s="8442"/>
      <c r="D11" s="5086" t="s">
        <v>1800</v>
      </c>
      <c r="E11" s="5087"/>
      <c r="F11" s="5087"/>
      <c r="G11" s="5115"/>
      <c r="H11" s="5115"/>
      <c r="I11" s="5115"/>
      <c r="J11" s="5088"/>
    </row>
    <row r="12" spans="1:10" ht="48" customHeight="1">
      <c r="A12" s="5089">
        <v>9</v>
      </c>
      <c r="B12" s="8439" t="s">
        <v>1782</v>
      </c>
      <c r="C12" s="8434" t="s">
        <v>1819</v>
      </c>
      <c r="D12" s="5090" t="s">
        <v>1801</v>
      </c>
      <c r="E12" s="5091"/>
      <c r="F12" s="5091"/>
      <c r="G12" s="5111"/>
      <c r="H12" s="5111"/>
      <c r="I12" s="5111"/>
      <c r="J12" s="5092"/>
    </row>
    <row r="13" spans="1:10" ht="48" customHeight="1">
      <c r="A13" s="3418">
        <v>10</v>
      </c>
      <c r="B13" s="8438"/>
      <c r="C13" s="8435"/>
      <c r="D13" s="3416" t="s">
        <v>1802</v>
      </c>
      <c r="E13" s="3441"/>
      <c r="F13" s="3441"/>
      <c r="G13" s="5112"/>
      <c r="H13" s="5112"/>
      <c r="I13" s="5112"/>
      <c r="J13" s="4432"/>
    </row>
    <row r="14" spans="1:10" ht="48" customHeight="1" thickBot="1">
      <c r="A14" s="5085">
        <v>11</v>
      </c>
      <c r="B14" s="8443"/>
      <c r="C14" s="8442"/>
      <c r="D14" s="5086" t="s">
        <v>1803</v>
      </c>
      <c r="E14" s="5087"/>
      <c r="F14" s="5087"/>
      <c r="G14" s="5115"/>
      <c r="H14" s="5115"/>
      <c r="I14" s="5115"/>
      <c r="J14" s="5088"/>
    </row>
    <row r="15" spans="1:10">
      <c r="A15" t="s">
        <v>1837</v>
      </c>
    </row>
    <row r="16" spans="1:10">
      <c r="A16" t="s">
        <v>1836</v>
      </c>
    </row>
  </sheetData>
  <mergeCells count="7">
    <mergeCell ref="B12:B14"/>
    <mergeCell ref="C12:C14"/>
    <mergeCell ref="A1:J1"/>
    <mergeCell ref="B4:B6"/>
    <mergeCell ref="C4:C7"/>
    <mergeCell ref="B8:B10"/>
    <mergeCell ref="C8:C11"/>
  </mergeCells>
  <phoneticPr fontId="23"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1"/>
  <sheetViews>
    <sheetView workbookViewId="0">
      <selection activeCell="C107" sqref="C107"/>
    </sheetView>
  </sheetViews>
  <sheetFormatPr defaultRowHeight="13.5"/>
  <cols>
    <col min="1" max="1" width="8.77734375" style="286"/>
    <col min="2" max="2" width="10" customWidth="1"/>
    <col min="3" max="3" width="94.44140625" customWidth="1"/>
    <col min="4" max="7" width="18.88671875" customWidth="1"/>
  </cols>
  <sheetData>
    <row r="1" spans="1:3" ht="14.25" thickBot="1"/>
    <row r="2" spans="1:3" ht="22.15" customHeight="1" thickBot="1">
      <c r="A2" s="8449" t="s">
        <v>1991</v>
      </c>
      <c r="B2" s="8450"/>
      <c r="C2" s="6636" t="s">
        <v>2099</v>
      </c>
    </row>
    <row r="3" spans="1:3" ht="36.6" customHeight="1" thickBot="1">
      <c r="A3" s="8454" t="s">
        <v>1992</v>
      </c>
      <c r="B3" s="8455"/>
      <c r="C3" s="6640" t="s">
        <v>2017</v>
      </c>
    </row>
    <row r="4" spans="1:3" ht="22.15" customHeight="1">
      <c r="A4" s="8445" t="s">
        <v>535</v>
      </c>
      <c r="B4" s="6641" t="s">
        <v>1993</v>
      </c>
      <c r="C4" s="8472" t="s">
        <v>2114</v>
      </c>
    </row>
    <row r="5" spans="1:3" ht="22.15" customHeight="1">
      <c r="A5" s="8451"/>
      <c r="B5" s="6642" t="s">
        <v>1994</v>
      </c>
      <c r="C5" s="8473"/>
    </row>
    <row r="6" spans="1:3" s="286" customFormat="1" ht="22.15" customHeight="1">
      <c r="A6" s="8451"/>
      <c r="B6" s="6642" t="s">
        <v>2005</v>
      </c>
      <c r="C6" s="8473"/>
    </row>
    <row r="7" spans="1:3" ht="22.15" customHeight="1" thickBot="1">
      <c r="A7" s="8446"/>
      <c r="B7" s="6643" t="s">
        <v>2006</v>
      </c>
      <c r="C7" s="8474"/>
    </row>
    <row r="8" spans="1:3" ht="22.15" customHeight="1">
      <c r="A8" s="8452" t="s">
        <v>681</v>
      </c>
      <c r="B8" s="6644" t="s">
        <v>1996</v>
      </c>
      <c r="C8" s="6651" t="s">
        <v>2022</v>
      </c>
    </row>
    <row r="9" spans="1:3" ht="22.15" customHeight="1">
      <c r="A9" s="8451"/>
      <c r="B9" s="6642" t="s">
        <v>1997</v>
      </c>
      <c r="C9" s="6652"/>
    </row>
    <row r="10" spans="1:3" ht="22.15" customHeight="1" thickBot="1">
      <c r="A10" s="8453"/>
      <c r="B10" s="6645" t="s">
        <v>1998</v>
      </c>
      <c r="C10" s="6653"/>
    </row>
    <row r="11" spans="1:3" ht="22.15" customHeight="1">
      <c r="A11" s="8445" t="s">
        <v>2000</v>
      </c>
      <c r="B11" s="6641" t="s">
        <v>2001</v>
      </c>
      <c r="C11" s="8475" t="s">
        <v>2023</v>
      </c>
    </row>
    <row r="12" spans="1:3" ht="22.15" customHeight="1" thickBot="1">
      <c r="A12" s="8446"/>
      <c r="B12" s="6643" t="s">
        <v>1999</v>
      </c>
      <c r="C12" s="8476"/>
    </row>
    <row r="13" spans="1:3" ht="22.15" customHeight="1" thickBot="1">
      <c r="A13" s="8447" t="s">
        <v>2002</v>
      </c>
      <c r="B13" s="8448"/>
      <c r="C13" s="6654" t="s">
        <v>2025</v>
      </c>
    </row>
    <row r="14" spans="1:3" ht="31.9" customHeight="1" thickBot="1">
      <c r="A14" s="8456" t="s">
        <v>2003</v>
      </c>
      <c r="B14" s="8457"/>
      <c r="C14" s="6635" t="s">
        <v>2020</v>
      </c>
    </row>
    <row r="15" spans="1:3" ht="22.15" customHeight="1" thickBot="1">
      <c r="A15" s="8447" t="s">
        <v>2004</v>
      </c>
      <c r="B15" s="8448"/>
      <c r="C15" s="6654" t="s">
        <v>2021</v>
      </c>
    </row>
    <row r="16" spans="1:3" ht="22.15" customHeight="1">
      <c r="A16" s="8445" t="s">
        <v>2008</v>
      </c>
      <c r="B16" s="6641" t="s">
        <v>2018</v>
      </c>
      <c r="C16" s="6655" t="s">
        <v>2026</v>
      </c>
    </row>
    <row r="17" spans="1:3" s="286" customFormat="1" ht="22.15" customHeight="1">
      <c r="A17" s="8451"/>
      <c r="B17" s="6642" t="s">
        <v>451</v>
      </c>
      <c r="C17" s="6652"/>
    </row>
    <row r="18" spans="1:3" ht="22.15" customHeight="1" thickBot="1">
      <c r="A18" s="8446"/>
      <c r="B18" s="6643" t="s">
        <v>2009</v>
      </c>
      <c r="C18" s="6656"/>
    </row>
    <row r="19" spans="1:3" ht="22.15" customHeight="1">
      <c r="A19" s="8477" t="s">
        <v>2019</v>
      </c>
      <c r="B19" s="6644" t="s">
        <v>2011</v>
      </c>
      <c r="C19" s="6651" t="s">
        <v>2027</v>
      </c>
    </row>
    <row r="20" spans="1:3" ht="22.15" customHeight="1">
      <c r="A20" s="8478"/>
      <c r="B20" s="6646" t="s">
        <v>2028</v>
      </c>
      <c r="C20" s="6652" t="s">
        <v>2024</v>
      </c>
    </row>
    <row r="21" spans="1:3" ht="22.15" customHeight="1">
      <c r="A21" s="8478"/>
      <c r="B21" s="6642"/>
      <c r="C21" s="6652"/>
    </row>
    <row r="22" spans="1:3" ht="22.15" customHeight="1" thickBot="1">
      <c r="A22" s="8479"/>
      <c r="B22" s="6643"/>
      <c r="C22" s="6656"/>
    </row>
    <row r="23" spans="1:3" ht="14.25" thickBot="1"/>
    <row r="24" spans="1:3" ht="22.15" customHeight="1" thickBot="1">
      <c r="A24" s="8449" t="s">
        <v>1991</v>
      </c>
      <c r="B24" s="8450"/>
      <c r="C24" s="6627" t="s">
        <v>2100</v>
      </c>
    </row>
    <row r="25" spans="1:3" ht="22.15" customHeight="1" thickBot="1">
      <c r="A25" s="8454" t="s">
        <v>1992</v>
      </c>
      <c r="B25" s="8455"/>
      <c r="C25" s="6637" t="s">
        <v>2042</v>
      </c>
    </row>
    <row r="26" spans="1:3" ht="22.15" customHeight="1">
      <c r="A26" s="8445" t="s">
        <v>1995</v>
      </c>
      <c r="B26" s="6641" t="s">
        <v>1993</v>
      </c>
      <c r="C26" s="6639" t="s">
        <v>2029</v>
      </c>
    </row>
    <row r="27" spans="1:3" ht="22.15" customHeight="1">
      <c r="A27" s="8451"/>
      <c r="B27" s="6642" t="s">
        <v>1994</v>
      </c>
      <c r="C27" s="6629" t="s">
        <v>2038</v>
      </c>
    </row>
    <row r="28" spans="1:3" ht="22.15" customHeight="1">
      <c r="A28" s="8451"/>
      <c r="B28" s="6642" t="s">
        <v>2005</v>
      </c>
      <c r="C28" s="6629" t="s">
        <v>2039</v>
      </c>
    </row>
    <row r="29" spans="1:3" ht="22.15" customHeight="1" thickBot="1">
      <c r="A29" s="8446"/>
      <c r="B29" s="6643" t="s">
        <v>2006</v>
      </c>
      <c r="C29" s="6630"/>
    </row>
    <row r="30" spans="1:3" ht="22.15" customHeight="1">
      <c r="A30" s="8452" t="s">
        <v>681</v>
      </c>
      <c r="B30" s="6644" t="s">
        <v>1996</v>
      </c>
      <c r="C30" s="6628" t="s">
        <v>2047</v>
      </c>
    </row>
    <row r="31" spans="1:3" ht="22.15" customHeight="1">
      <c r="A31" s="8451"/>
      <c r="B31" s="6642" t="s">
        <v>1997</v>
      </c>
      <c r="C31" s="6629" t="s">
        <v>2030</v>
      </c>
    </row>
    <row r="32" spans="1:3" ht="22.15" customHeight="1" thickBot="1">
      <c r="A32" s="8453"/>
      <c r="B32" s="6645" t="s">
        <v>1998</v>
      </c>
      <c r="C32" s="6638" t="s">
        <v>2031</v>
      </c>
    </row>
    <row r="33" spans="1:3" ht="22.15" customHeight="1">
      <c r="A33" s="8445" t="s">
        <v>2000</v>
      </c>
      <c r="B33" s="6641" t="s">
        <v>2001</v>
      </c>
      <c r="C33" s="6639"/>
    </row>
    <row r="34" spans="1:3" ht="22.15" customHeight="1" thickBot="1">
      <c r="A34" s="8446"/>
      <c r="B34" s="6643" t="s">
        <v>1999</v>
      </c>
      <c r="C34" s="6630"/>
    </row>
    <row r="35" spans="1:3" ht="22.15" customHeight="1" thickBot="1">
      <c r="A35" s="8447" t="s">
        <v>2002</v>
      </c>
      <c r="B35" s="8448"/>
      <c r="C35" s="6637" t="s">
        <v>2046</v>
      </c>
    </row>
    <row r="36" spans="1:3" ht="22.15" customHeight="1" thickBot="1">
      <c r="A36" s="8456" t="s">
        <v>2003</v>
      </c>
      <c r="B36" s="8457"/>
      <c r="C36" s="6650" t="s">
        <v>2115</v>
      </c>
    </row>
    <row r="37" spans="1:3" ht="22.15" customHeight="1" thickBot="1">
      <c r="A37" s="8447" t="s">
        <v>2004</v>
      </c>
      <c r="B37" s="8448"/>
      <c r="C37" s="6660" t="s">
        <v>2032</v>
      </c>
    </row>
    <row r="38" spans="1:3" ht="22.15" customHeight="1">
      <c r="A38" s="8445" t="s">
        <v>2008</v>
      </c>
      <c r="B38" s="6641" t="s">
        <v>2007</v>
      </c>
      <c r="C38" s="6639"/>
    </row>
    <row r="39" spans="1:3" ht="22.15" customHeight="1" thickBot="1">
      <c r="A39" s="8446"/>
      <c r="B39" s="6643" t="s">
        <v>2009</v>
      </c>
      <c r="C39" s="6630" t="s">
        <v>2040</v>
      </c>
    </row>
    <row r="40" spans="1:3" ht="22.15" customHeight="1">
      <c r="A40" s="8480" t="s">
        <v>2043</v>
      </c>
      <c r="B40" s="6644" t="s">
        <v>2044</v>
      </c>
      <c r="C40" s="6628" t="s">
        <v>2045</v>
      </c>
    </row>
    <row r="41" spans="1:3" ht="22.15" customHeight="1">
      <c r="A41" s="8480"/>
      <c r="B41" s="6642" t="s">
        <v>2012</v>
      </c>
      <c r="C41" s="6661" t="s">
        <v>2041</v>
      </c>
    </row>
    <row r="42" spans="1:3" ht="22.15" customHeight="1">
      <c r="A42" s="8480"/>
      <c r="B42" s="6642"/>
      <c r="C42" s="6629"/>
    </row>
    <row r="43" spans="1:3" ht="22.15" customHeight="1">
      <c r="A43" s="8480"/>
      <c r="B43" s="6642"/>
      <c r="C43" s="6629"/>
    </row>
    <row r="44" spans="1:3" ht="22.15" customHeight="1">
      <c r="A44" s="8480"/>
      <c r="B44" s="6642"/>
      <c r="C44" s="6629"/>
    </row>
    <row r="45" spans="1:3" ht="22.15" customHeight="1" thickBot="1">
      <c r="A45" s="8482"/>
      <c r="B45" s="6643"/>
      <c r="C45" s="6630"/>
    </row>
    <row r="46" spans="1:3" ht="14.25" thickBot="1"/>
    <row r="47" spans="1:3" ht="22.15" customHeight="1" thickBot="1">
      <c r="A47" s="8449" t="s">
        <v>1991</v>
      </c>
      <c r="B47" s="8450"/>
      <c r="C47" s="6627" t="s">
        <v>2101</v>
      </c>
    </row>
    <row r="48" spans="1:3" ht="42.6" customHeight="1" thickBot="1">
      <c r="A48" s="8454" t="s">
        <v>1992</v>
      </c>
      <c r="B48" s="8455"/>
      <c r="C48" s="6662" t="s">
        <v>2055</v>
      </c>
    </row>
    <row r="49" spans="1:3" ht="22.15" customHeight="1">
      <c r="A49" s="8445" t="s">
        <v>1995</v>
      </c>
      <c r="B49" s="6641" t="s">
        <v>1993</v>
      </c>
      <c r="C49" s="6639" t="s">
        <v>2051</v>
      </c>
    </row>
    <row r="50" spans="1:3" ht="22.15" customHeight="1">
      <c r="A50" s="8451"/>
      <c r="B50" s="6642" t="s">
        <v>1994</v>
      </c>
      <c r="C50" s="6661" t="s">
        <v>2050</v>
      </c>
    </row>
    <row r="51" spans="1:3" ht="22.15" customHeight="1">
      <c r="A51" s="8451"/>
      <c r="B51" s="6642" t="s">
        <v>2005</v>
      </c>
      <c r="C51" s="6629" t="s">
        <v>2052</v>
      </c>
    </row>
    <row r="52" spans="1:3" ht="22.15" customHeight="1" thickBot="1">
      <c r="A52" s="8446"/>
      <c r="B52" s="6643" t="s">
        <v>2006</v>
      </c>
      <c r="C52" s="6630"/>
    </row>
    <row r="53" spans="1:3" ht="22.15" customHeight="1">
      <c r="A53" s="8452" t="s">
        <v>681</v>
      </c>
      <c r="B53" s="6644" t="s">
        <v>1996</v>
      </c>
      <c r="C53" s="6628" t="s">
        <v>2056</v>
      </c>
    </row>
    <row r="54" spans="1:3" ht="22.15" customHeight="1">
      <c r="A54" s="8451"/>
      <c r="B54" s="6642" t="s">
        <v>1997</v>
      </c>
      <c r="C54" s="6629" t="s">
        <v>2053</v>
      </c>
    </row>
    <row r="55" spans="1:3" ht="25.9" customHeight="1" thickBot="1">
      <c r="A55" s="8453"/>
      <c r="B55" s="6645" t="s">
        <v>1998</v>
      </c>
      <c r="C55" s="6638" t="s">
        <v>2054</v>
      </c>
    </row>
    <row r="56" spans="1:3" ht="22.15" customHeight="1">
      <c r="A56" s="8445" t="s">
        <v>2000</v>
      </c>
      <c r="B56" s="6641" t="s">
        <v>2001</v>
      </c>
      <c r="C56" s="6639"/>
    </row>
    <row r="57" spans="1:3" ht="22.15" customHeight="1" thickBot="1">
      <c r="A57" s="8446"/>
      <c r="B57" s="6643" t="s">
        <v>1999</v>
      </c>
      <c r="C57" s="6630"/>
    </row>
    <row r="58" spans="1:3" ht="22.15" customHeight="1" thickBot="1">
      <c r="A58" s="8447" t="s">
        <v>2002</v>
      </c>
      <c r="B58" s="8448"/>
      <c r="C58" s="6637"/>
    </row>
    <row r="59" spans="1:3" ht="22.15" customHeight="1" thickBot="1">
      <c r="A59" s="8456" t="s">
        <v>2003</v>
      </c>
      <c r="B59" s="8457"/>
      <c r="C59" s="6650" t="s">
        <v>2117</v>
      </c>
    </row>
    <row r="60" spans="1:3" ht="22.15" customHeight="1" thickBot="1">
      <c r="A60" s="8447" t="s">
        <v>2004</v>
      </c>
      <c r="B60" s="8448"/>
      <c r="C60" s="6637"/>
    </row>
    <row r="61" spans="1:3" ht="22.15" customHeight="1">
      <c r="A61" s="8445" t="s">
        <v>2008</v>
      </c>
      <c r="B61" s="6641" t="s">
        <v>2048</v>
      </c>
      <c r="C61" s="6639" t="s">
        <v>2049</v>
      </c>
    </row>
    <row r="62" spans="1:3" s="286" customFormat="1" ht="22.15" customHeight="1">
      <c r="A62" s="8451"/>
      <c r="B62" s="6642" t="s">
        <v>451</v>
      </c>
      <c r="C62" s="6629" t="s">
        <v>2058</v>
      </c>
    </row>
    <row r="63" spans="1:3" ht="22.15" customHeight="1" thickBot="1">
      <c r="A63" s="8446"/>
      <c r="B63" s="6643" t="s">
        <v>2009</v>
      </c>
      <c r="C63" s="6630" t="s">
        <v>2057</v>
      </c>
    </row>
    <row r="64" spans="1:3" ht="22.15" customHeight="1">
      <c r="A64" s="8480" t="s">
        <v>2010</v>
      </c>
      <c r="B64" s="6644" t="s">
        <v>2013</v>
      </c>
      <c r="C64" s="6628" t="s">
        <v>2059</v>
      </c>
    </row>
    <row r="65" spans="1:3" ht="22.15" customHeight="1" thickBot="1">
      <c r="A65" s="8480"/>
      <c r="B65" s="6645" t="s">
        <v>2014</v>
      </c>
      <c r="C65" s="6638" t="s">
        <v>2060</v>
      </c>
    </row>
    <row r="66" spans="1:3" ht="22.15" customHeight="1">
      <c r="A66" s="8481" t="s">
        <v>2061</v>
      </c>
      <c r="B66" s="6641" t="s">
        <v>2062</v>
      </c>
      <c r="C66" s="6639" t="s">
        <v>2063</v>
      </c>
    </row>
    <row r="67" spans="1:3" ht="22.15" customHeight="1" thickBot="1">
      <c r="A67" s="8482"/>
      <c r="B67" s="6643" t="s">
        <v>2064</v>
      </c>
      <c r="C67" s="6630" t="s">
        <v>2065</v>
      </c>
    </row>
    <row r="68" spans="1:3" ht="14.25" thickBot="1"/>
    <row r="69" spans="1:3" ht="22.15" customHeight="1" thickBot="1">
      <c r="A69" s="8449" t="s">
        <v>1991</v>
      </c>
      <c r="B69" s="8450"/>
      <c r="C69" s="6627" t="s">
        <v>2102</v>
      </c>
    </row>
    <row r="70" spans="1:3" ht="22.15" customHeight="1" thickBot="1">
      <c r="A70" s="8458" t="s">
        <v>1992</v>
      </c>
      <c r="B70" s="8459"/>
      <c r="C70" s="6637" t="s">
        <v>2068</v>
      </c>
    </row>
    <row r="71" spans="1:3" ht="22.15" customHeight="1">
      <c r="A71" s="8460" t="s">
        <v>1995</v>
      </c>
      <c r="B71" s="6624" t="s">
        <v>1993</v>
      </c>
      <c r="C71" s="6639" t="s">
        <v>2069</v>
      </c>
    </row>
    <row r="72" spans="1:3" ht="22.15" customHeight="1">
      <c r="A72" s="8461"/>
      <c r="B72" s="3484" t="s">
        <v>1994</v>
      </c>
      <c r="C72" s="6629" t="s">
        <v>2072</v>
      </c>
    </row>
    <row r="73" spans="1:3" ht="22.15" customHeight="1">
      <c r="A73" s="8461"/>
      <c r="B73" s="3484" t="s">
        <v>2005</v>
      </c>
      <c r="C73" s="6661" t="s">
        <v>2070</v>
      </c>
    </row>
    <row r="74" spans="1:3" ht="22.15" customHeight="1" thickBot="1">
      <c r="A74" s="8462"/>
      <c r="B74" s="6625" t="s">
        <v>2006</v>
      </c>
      <c r="C74" s="6630" t="s">
        <v>2071</v>
      </c>
    </row>
    <row r="75" spans="1:3" ht="33.6" customHeight="1">
      <c r="A75" s="8463" t="s">
        <v>681</v>
      </c>
      <c r="B75" s="6626" t="s">
        <v>1996</v>
      </c>
      <c r="C75" s="6648" t="s">
        <v>2075</v>
      </c>
    </row>
    <row r="76" spans="1:3" ht="22.15" customHeight="1">
      <c r="A76" s="8461"/>
      <c r="B76" s="3484" t="s">
        <v>1997</v>
      </c>
      <c r="C76" s="6629"/>
    </row>
    <row r="77" spans="1:3" ht="22.15" customHeight="1" thickBot="1">
      <c r="A77" s="8464"/>
      <c r="B77" s="6634" t="s">
        <v>1998</v>
      </c>
      <c r="C77" s="6638" t="s">
        <v>2074</v>
      </c>
    </row>
    <row r="78" spans="1:3" ht="22.15" customHeight="1">
      <c r="A78" s="8460" t="s">
        <v>2000</v>
      </c>
      <c r="B78" s="6624" t="s">
        <v>2001</v>
      </c>
      <c r="C78" s="6639"/>
    </row>
    <row r="79" spans="1:3" ht="22.15" customHeight="1" thickBot="1">
      <c r="A79" s="8462"/>
      <c r="B79" s="6625" t="s">
        <v>1999</v>
      </c>
      <c r="C79" s="6630"/>
    </row>
    <row r="80" spans="1:3" ht="22.15" customHeight="1" thickBot="1">
      <c r="A80" s="8465" t="s">
        <v>2002</v>
      </c>
      <c r="B80" s="8466"/>
      <c r="C80" s="6637"/>
    </row>
    <row r="81" spans="1:3" ht="36" customHeight="1" thickBot="1">
      <c r="A81" s="8467" t="s">
        <v>2003</v>
      </c>
      <c r="B81" s="8468"/>
      <c r="C81" s="6649" t="s">
        <v>2118</v>
      </c>
    </row>
    <row r="82" spans="1:3" ht="22.15" customHeight="1" thickBot="1">
      <c r="A82" s="8465" t="s">
        <v>2004</v>
      </c>
      <c r="B82" s="8466"/>
      <c r="C82" s="6637"/>
    </row>
    <row r="83" spans="1:3" ht="22.15" customHeight="1">
      <c r="A83" s="8460" t="s">
        <v>2008</v>
      </c>
      <c r="B83" s="6624" t="s">
        <v>2007</v>
      </c>
      <c r="C83" s="6639" t="s">
        <v>2076</v>
      </c>
    </row>
    <row r="84" spans="1:3" ht="22.15" customHeight="1" thickBot="1">
      <c r="A84" s="8462"/>
      <c r="B84" s="6625" t="s">
        <v>2009</v>
      </c>
      <c r="C84" s="6630" t="s">
        <v>2078</v>
      </c>
    </row>
    <row r="85" spans="1:3" ht="22.15" customHeight="1">
      <c r="A85" s="8469" t="s">
        <v>2010</v>
      </c>
      <c r="B85" s="6626" t="s">
        <v>2015</v>
      </c>
      <c r="C85" s="6648" t="s">
        <v>2073</v>
      </c>
    </row>
    <row r="86" spans="1:3" ht="22.15" customHeight="1" thickBot="1">
      <c r="A86" s="8469"/>
      <c r="B86" s="6634" t="s">
        <v>2066</v>
      </c>
      <c r="C86" s="6638" t="s">
        <v>2067</v>
      </c>
    </row>
    <row r="87" spans="1:3" ht="22.15" customHeight="1">
      <c r="A87" s="8470" t="s">
        <v>2077</v>
      </c>
      <c r="B87" s="6624" t="s">
        <v>2079</v>
      </c>
      <c r="C87" s="6639" t="s">
        <v>2080</v>
      </c>
    </row>
    <row r="88" spans="1:3" ht="22.15" customHeight="1">
      <c r="A88" s="8469"/>
      <c r="B88" s="3484"/>
      <c r="C88" s="6629"/>
    </row>
    <row r="89" spans="1:3" ht="22.15" customHeight="1" thickBot="1">
      <c r="A89" s="8471"/>
      <c r="B89" s="6625"/>
      <c r="C89" s="6630"/>
    </row>
    <row r="90" spans="1:3" ht="14.25" thickBot="1"/>
    <row r="91" spans="1:3" ht="22.15" customHeight="1" thickBot="1">
      <c r="A91" s="8449" t="s">
        <v>1991</v>
      </c>
      <c r="B91" s="8450"/>
      <c r="C91" s="6627" t="s">
        <v>2103</v>
      </c>
    </row>
    <row r="92" spans="1:3" ht="22.15" customHeight="1" thickBot="1">
      <c r="A92" s="8458" t="s">
        <v>1992</v>
      </c>
      <c r="B92" s="8459"/>
      <c r="C92" s="6637" t="s">
        <v>2086</v>
      </c>
    </row>
    <row r="93" spans="1:3" ht="22.15" customHeight="1">
      <c r="A93" s="8460" t="s">
        <v>1995</v>
      </c>
      <c r="B93" s="6624" t="s">
        <v>1993</v>
      </c>
      <c r="C93" s="6639" t="s">
        <v>2085</v>
      </c>
    </row>
    <row r="94" spans="1:3" ht="31.9" customHeight="1">
      <c r="A94" s="8461"/>
      <c r="B94" s="3484" t="s">
        <v>1994</v>
      </c>
      <c r="C94" s="6647" t="s">
        <v>2088</v>
      </c>
    </row>
    <row r="95" spans="1:3" ht="22.15" customHeight="1">
      <c r="A95" s="8461"/>
      <c r="B95" s="3484" t="s">
        <v>2005</v>
      </c>
      <c r="C95" s="6661" t="s">
        <v>2087</v>
      </c>
    </row>
    <row r="96" spans="1:3" ht="22.15" customHeight="1" thickBot="1">
      <c r="A96" s="8462"/>
      <c r="B96" s="6625" t="s">
        <v>2006</v>
      </c>
      <c r="C96" s="6630" t="s">
        <v>2089</v>
      </c>
    </row>
    <row r="97" spans="1:3" ht="22.15" customHeight="1">
      <c r="A97" s="8463" t="s">
        <v>681</v>
      </c>
      <c r="B97" s="6626" t="s">
        <v>1996</v>
      </c>
      <c r="C97" s="6628" t="s">
        <v>2091</v>
      </c>
    </row>
    <row r="98" spans="1:3" ht="22.15" customHeight="1">
      <c r="A98" s="8461"/>
      <c r="B98" s="3484" t="s">
        <v>1997</v>
      </c>
      <c r="C98" s="6629"/>
    </row>
    <row r="99" spans="1:3" ht="22.15" customHeight="1" thickBot="1">
      <c r="A99" s="8464"/>
      <c r="B99" s="6634" t="s">
        <v>1998</v>
      </c>
      <c r="C99" s="6638"/>
    </row>
    <row r="100" spans="1:3" ht="22.15" customHeight="1">
      <c r="A100" s="8460" t="s">
        <v>2000</v>
      </c>
      <c r="B100" s="6624" t="s">
        <v>2001</v>
      </c>
      <c r="C100" s="6639" t="s">
        <v>2098</v>
      </c>
    </row>
    <row r="101" spans="1:3" ht="22.15" customHeight="1" thickBot="1">
      <c r="A101" s="8462"/>
      <c r="B101" s="6625" t="s">
        <v>1999</v>
      </c>
      <c r="C101" s="6630"/>
    </row>
    <row r="102" spans="1:3" ht="22.15" customHeight="1" thickBot="1">
      <c r="A102" s="8465" t="s">
        <v>2002</v>
      </c>
      <c r="B102" s="8466"/>
      <c r="C102" s="6637" t="s">
        <v>2084</v>
      </c>
    </row>
    <row r="103" spans="1:3" ht="32.450000000000003" customHeight="1" thickBot="1">
      <c r="A103" s="8467" t="s">
        <v>2003</v>
      </c>
      <c r="B103" s="8468"/>
      <c r="C103" s="6649" t="s">
        <v>2092</v>
      </c>
    </row>
    <row r="104" spans="1:3" ht="22.15" customHeight="1" thickBot="1">
      <c r="A104" s="8465" t="s">
        <v>2004</v>
      </c>
      <c r="B104" s="8466"/>
      <c r="C104" s="6637" t="s">
        <v>2090</v>
      </c>
    </row>
    <row r="105" spans="1:3" ht="22.15" customHeight="1">
      <c r="A105" s="8460" t="s">
        <v>2008</v>
      </c>
      <c r="B105" s="6624" t="s">
        <v>2007</v>
      </c>
      <c r="C105" s="6639" t="s">
        <v>2097</v>
      </c>
    </row>
    <row r="106" spans="1:3" ht="22.15" customHeight="1" thickBot="1">
      <c r="A106" s="8462"/>
      <c r="B106" s="6625" t="s">
        <v>2009</v>
      </c>
      <c r="C106" s="6630"/>
    </row>
    <row r="107" spans="1:3" ht="35.450000000000003" customHeight="1">
      <c r="A107" s="8470" t="s">
        <v>2010</v>
      </c>
      <c r="B107" s="6624" t="s">
        <v>2016</v>
      </c>
      <c r="C107" s="6663" t="s">
        <v>2119</v>
      </c>
    </row>
    <row r="108" spans="1:3" ht="22.15" customHeight="1">
      <c r="A108" s="8469"/>
      <c r="B108" s="6626" t="s">
        <v>2081</v>
      </c>
      <c r="C108" s="6629" t="s">
        <v>2083</v>
      </c>
    </row>
    <row r="109" spans="1:3" ht="22.15" customHeight="1">
      <c r="A109" s="8469"/>
      <c r="B109" s="3484" t="s">
        <v>1001</v>
      </c>
      <c r="C109" s="6629" t="s">
        <v>2082</v>
      </c>
    </row>
    <row r="110" spans="1:3" ht="22.15" customHeight="1">
      <c r="A110" s="8483" t="s">
        <v>2077</v>
      </c>
      <c r="B110" s="3484" t="s">
        <v>2093</v>
      </c>
      <c r="C110" s="6629" t="s">
        <v>2094</v>
      </c>
    </row>
    <row r="111" spans="1:3" ht="22.15" customHeight="1" thickBot="1">
      <c r="A111" s="8471"/>
      <c r="B111" s="6625" t="s">
        <v>2095</v>
      </c>
      <c r="C111" s="6630" t="s">
        <v>2096</v>
      </c>
    </row>
  </sheetData>
  <mergeCells count="55">
    <mergeCell ref="A110:A111"/>
    <mergeCell ref="A107:A109"/>
    <mergeCell ref="A103:B103"/>
    <mergeCell ref="A104:B104"/>
    <mergeCell ref="A105:A106"/>
    <mergeCell ref="C4:C7"/>
    <mergeCell ref="C11:C12"/>
    <mergeCell ref="A19:A22"/>
    <mergeCell ref="A64:A65"/>
    <mergeCell ref="A66:A67"/>
    <mergeCell ref="A61:A63"/>
    <mergeCell ref="A36:B36"/>
    <mergeCell ref="A37:B37"/>
    <mergeCell ref="A38:A39"/>
    <mergeCell ref="A40:A45"/>
    <mergeCell ref="A47:B47"/>
    <mergeCell ref="A48:B48"/>
    <mergeCell ref="A24:B24"/>
    <mergeCell ref="A25:B25"/>
    <mergeCell ref="A26:A29"/>
    <mergeCell ref="A30:A32"/>
    <mergeCell ref="A102:B102"/>
    <mergeCell ref="A78:A79"/>
    <mergeCell ref="A80:B80"/>
    <mergeCell ref="A81:B81"/>
    <mergeCell ref="A82:B82"/>
    <mergeCell ref="A83:A84"/>
    <mergeCell ref="A85:A86"/>
    <mergeCell ref="A87:A89"/>
    <mergeCell ref="A91:B91"/>
    <mergeCell ref="A92:B92"/>
    <mergeCell ref="A93:A96"/>
    <mergeCell ref="A97:A99"/>
    <mergeCell ref="A100:A101"/>
    <mergeCell ref="A69:B69"/>
    <mergeCell ref="A70:B70"/>
    <mergeCell ref="A71:A74"/>
    <mergeCell ref="A75:A77"/>
    <mergeCell ref="A49:A52"/>
    <mergeCell ref="A53:A55"/>
    <mergeCell ref="A56:A57"/>
    <mergeCell ref="A58:B58"/>
    <mergeCell ref="A59:B59"/>
    <mergeCell ref="A60:B60"/>
    <mergeCell ref="A33:A34"/>
    <mergeCell ref="A35:B35"/>
    <mergeCell ref="A2:B2"/>
    <mergeCell ref="A4:A7"/>
    <mergeCell ref="A8:A10"/>
    <mergeCell ref="A11:A12"/>
    <mergeCell ref="A16:A18"/>
    <mergeCell ref="A3:B3"/>
    <mergeCell ref="A15:B15"/>
    <mergeCell ref="A14:B14"/>
    <mergeCell ref="A13:B13"/>
  </mergeCells>
  <phoneticPr fontId="23" type="noConversion"/>
  <pageMargins left="0.7" right="0.7" top="0.75" bottom="0.75" header="0.3" footer="0.3"/>
  <pageSetup paperSize="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9"/>
  <sheetViews>
    <sheetView zoomScaleNormal="100" workbookViewId="0">
      <selection activeCell="J17" sqref="J17"/>
    </sheetView>
  </sheetViews>
  <sheetFormatPr defaultRowHeight="13.5"/>
  <cols>
    <col min="1" max="1" width="7.88671875" customWidth="1"/>
    <col min="2" max="2" width="8.77734375" customWidth="1"/>
    <col min="3" max="3" width="7" style="286" customWidth="1"/>
    <col min="4" max="4" width="9.88671875" style="286" customWidth="1"/>
    <col min="5" max="5" width="7" style="286" customWidth="1"/>
    <col min="6" max="6" width="7.109375" customWidth="1"/>
    <col min="7" max="7" width="9.6640625" customWidth="1"/>
    <col min="8" max="8" width="7.109375" style="286" customWidth="1"/>
    <col min="9" max="9" width="10.21875" style="286" customWidth="1"/>
    <col min="10" max="10" width="67.88671875" customWidth="1"/>
    <col min="12" max="13" width="16.6640625" customWidth="1"/>
    <col min="14" max="15" width="9.77734375" style="286" customWidth="1"/>
    <col min="16" max="17" width="9.88671875" style="286" customWidth="1"/>
    <col min="18" max="19" width="9.77734375" style="286" customWidth="1"/>
    <col min="20" max="23" width="9.88671875" style="286" customWidth="1"/>
    <col min="24" max="24" width="55.21875" customWidth="1"/>
    <col min="26" max="29" width="19.6640625" customWidth="1"/>
  </cols>
  <sheetData>
    <row r="1" spans="1:29" ht="30" customHeight="1">
      <c r="A1" s="293" t="s">
        <v>2124</v>
      </c>
      <c r="B1" s="288"/>
      <c r="C1" s="288"/>
      <c r="D1" s="288"/>
      <c r="E1" s="288"/>
      <c r="F1" s="289"/>
      <c r="G1" s="288"/>
      <c r="H1" s="288"/>
      <c r="I1" s="288"/>
      <c r="J1" s="6687" t="s">
        <v>2126</v>
      </c>
      <c r="L1" s="287"/>
    </row>
    <row r="2" spans="1:29" s="286" customFormat="1" ht="21.6" customHeight="1" thickBot="1">
      <c r="L2" s="293" t="s">
        <v>2205</v>
      </c>
      <c r="M2" s="288"/>
      <c r="N2" s="288"/>
      <c r="O2" s="288"/>
      <c r="P2" s="288"/>
      <c r="Q2" s="288"/>
      <c r="R2" s="288"/>
      <c r="S2" s="288"/>
      <c r="T2" s="288"/>
      <c r="U2" s="288"/>
      <c r="V2" s="288"/>
      <c r="W2" s="288"/>
      <c r="X2" s="288"/>
    </row>
    <row r="3" spans="1:29" s="286" customFormat="1" ht="21.6" customHeight="1" thickTop="1" thickBot="1">
      <c r="A3" s="8500" t="s">
        <v>948</v>
      </c>
      <c r="B3" s="8533"/>
      <c r="C3" s="8525" t="s">
        <v>2168</v>
      </c>
      <c r="D3" s="8526"/>
      <c r="E3" s="8527"/>
      <c r="F3" s="8528" t="s">
        <v>2123</v>
      </c>
      <c r="G3" s="8529"/>
      <c r="H3" s="8529"/>
      <c r="I3" s="8530"/>
      <c r="J3" s="8531" t="s">
        <v>2223</v>
      </c>
      <c r="L3" s="8513" t="s">
        <v>2201</v>
      </c>
      <c r="M3" s="8514"/>
      <c r="N3" s="8496">
        <v>2018</v>
      </c>
      <c r="O3" s="8497"/>
      <c r="P3" s="8499"/>
      <c r="Q3" s="8503">
        <v>2019</v>
      </c>
      <c r="R3" s="8497"/>
      <c r="S3" s="8498"/>
      <c r="T3" s="8496">
        <v>2020</v>
      </c>
      <c r="U3" s="8497"/>
      <c r="V3" s="8498"/>
      <c r="W3" s="8499"/>
    </row>
    <row r="4" spans="1:29" ht="34.5" thickTop="1" thickBot="1">
      <c r="A4" s="8502"/>
      <c r="B4" s="8534"/>
      <c r="C4" s="6789" t="s">
        <v>2120</v>
      </c>
      <c r="D4" s="6677" t="s">
        <v>2121</v>
      </c>
      <c r="E4" s="6790" t="s">
        <v>2122</v>
      </c>
      <c r="F4" s="6843" t="s">
        <v>1063</v>
      </c>
      <c r="G4" s="6869" t="s">
        <v>1065</v>
      </c>
      <c r="H4" s="6677" t="s">
        <v>2195</v>
      </c>
      <c r="I4" s="6876" t="s">
        <v>2196</v>
      </c>
      <c r="J4" s="8532"/>
      <c r="L4" s="8515"/>
      <c r="M4" s="8516"/>
      <c r="N4" s="7014" t="s">
        <v>2209</v>
      </c>
      <c r="O4" s="6960" t="s">
        <v>2206</v>
      </c>
      <c r="P4" s="7003" t="s">
        <v>2208</v>
      </c>
      <c r="Q4" s="6961" t="s">
        <v>2209</v>
      </c>
      <c r="R4" s="6960" t="s">
        <v>2206</v>
      </c>
      <c r="S4" s="6958" t="s">
        <v>2208</v>
      </c>
      <c r="T4" s="7014" t="s">
        <v>2209</v>
      </c>
      <c r="U4" s="6960" t="s">
        <v>2206</v>
      </c>
      <c r="V4" s="7077" t="s">
        <v>2222</v>
      </c>
      <c r="W4" s="7003" t="s">
        <v>2208</v>
      </c>
      <c r="X4" s="7002" t="s">
        <v>2214</v>
      </c>
      <c r="Z4" s="6857" t="s">
        <v>2191</v>
      </c>
      <c r="AA4" s="6858" t="s">
        <v>2192</v>
      </c>
      <c r="AB4" s="6859" t="s">
        <v>2193</v>
      </c>
      <c r="AC4" s="6865" t="s">
        <v>2194</v>
      </c>
    </row>
    <row r="5" spans="1:29" ht="21" customHeight="1">
      <c r="A5" s="8506" t="s">
        <v>1060</v>
      </c>
      <c r="B5" s="6833" t="s">
        <v>39</v>
      </c>
      <c r="C5" s="6834">
        <v>10</v>
      </c>
      <c r="D5" s="6835">
        <v>538006.45332628</v>
      </c>
      <c r="E5" s="7082">
        <v>0.750236234042579</v>
      </c>
      <c r="F5" s="6844">
        <v>20</v>
      </c>
      <c r="G5" s="6870">
        <v>501565.44180308975</v>
      </c>
      <c r="H5" s="6884">
        <f>F5-C5</f>
        <v>10</v>
      </c>
      <c r="I5" s="7097">
        <f>G5-D5</f>
        <v>-36441.011523190245</v>
      </c>
      <c r="J5" s="6683" t="s">
        <v>2177</v>
      </c>
      <c r="L5" s="8506" t="s">
        <v>2202</v>
      </c>
      <c r="M5" s="6952" t="s">
        <v>2203</v>
      </c>
      <c r="N5" s="7015">
        <v>10</v>
      </c>
      <c r="O5" s="6967">
        <v>10</v>
      </c>
      <c r="P5" s="7016">
        <f>O5/N5</f>
        <v>1</v>
      </c>
      <c r="Q5" s="6968">
        <v>16</v>
      </c>
      <c r="R5" s="6967">
        <v>15</v>
      </c>
      <c r="S5" s="6969">
        <f>R5/Q5</f>
        <v>0.9375</v>
      </c>
      <c r="T5" s="7029">
        <v>16</v>
      </c>
      <c r="U5" s="6834">
        <v>10</v>
      </c>
      <c r="V5" s="7078">
        <f>U5-T5</f>
        <v>-6</v>
      </c>
      <c r="W5" s="7004">
        <v>0.625</v>
      </c>
      <c r="X5" s="8484" t="s">
        <v>2215</v>
      </c>
      <c r="Z5" s="6860" t="s">
        <v>2169</v>
      </c>
      <c r="AA5" s="6830">
        <v>18844</v>
      </c>
      <c r="AB5" s="6831">
        <v>18544.361677114095</v>
      </c>
      <c r="AC5" s="6866">
        <v>17200</v>
      </c>
    </row>
    <row r="6" spans="1:29" ht="21" customHeight="1">
      <c r="A6" s="8507"/>
      <c r="B6" s="6836" t="s">
        <v>225</v>
      </c>
      <c r="C6" s="6837">
        <v>4</v>
      </c>
      <c r="D6" s="6838">
        <v>30594.143</v>
      </c>
      <c r="E6" s="6842">
        <v>0.92788253669780418</v>
      </c>
      <c r="F6" s="6845">
        <v>4</v>
      </c>
      <c r="G6" s="6871">
        <v>87665.439999999959</v>
      </c>
      <c r="H6" s="6884">
        <f t="shared" ref="H6:H21" si="0">F6-C6</f>
        <v>0</v>
      </c>
      <c r="I6" s="7097">
        <f t="shared" ref="I6:I21" si="1">G6-D6</f>
        <v>57071.296999999962</v>
      </c>
      <c r="J6" s="6684" t="s">
        <v>2178</v>
      </c>
      <c r="L6" s="8507"/>
      <c r="M6" s="6927" t="s">
        <v>225</v>
      </c>
      <c r="N6" s="7017">
        <v>4</v>
      </c>
      <c r="O6" s="6921">
        <v>4</v>
      </c>
      <c r="P6" s="7018">
        <f t="shared" ref="P6:P20" si="2">O6/N6</f>
        <v>1</v>
      </c>
      <c r="Q6" s="6930">
        <v>4</v>
      </c>
      <c r="R6" s="6921">
        <v>5</v>
      </c>
      <c r="S6" s="6929">
        <f t="shared" ref="S6:S20" si="3">R6/Q6</f>
        <v>1.25</v>
      </c>
      <c r="T6" s="7030">
        <v>4</v>
      </c>
      <c r="U6" s="6837">
        <v>4</v>
      </c>
      <c r="V6" s="7079">
        <f>U6-T6</f>
        <v>0</v>
      </c>
      <c r="W6" s="7005">
        <v>1</v>
      </c>
      <c r="X6" s="8485"/>
      <c r="Z6" s="6861" t="s">
        <v>2170</v>
      </c>
      <c r="AA6" s="6829">
        <v>23972</v>
      </c>
      <c r="AB6" s="6832">
        <v>25079.924195909327</v>
      </c>
      <c r="AC6" s="6867">
        <v>21013</v>
      </c>
    </row>
    <row r="7" spans="1:29" ht="21" customHeight="1">
      <c r="A7" s="8507"/>
      <c r="B7" s="6836" t="s">
        <v>3</v>
      </c>
      <c r="C7" s="6837">
        <v>8</v>
      </c>
      <c r="D7" s="6838">
        <v>577464.49944351148</v>
      </c>
      <c r="E7" s="6842">
        <v>2.0641704562070311</v>
      </c>
      <c r="F7" s="6845">
        <v>18</v>
      </c>
      <c r="G7" s="6871">
        <v>290806.22022824886</v>
      </c>
      <c r="H7" s="6884">
        <f t="shared" si="0"/>
        <v>10</v>
      </c>
      <c r="I7" s="7097">
        <f t="shared" si="1"/>
        <v>-286658.27921526262</v>
      </c>
      <c r="J7" s="6684" t="s">
        <v>2179</v>
      </c>
      <c r="L7" s="8507"/>
      <c r="M7" s="6927" t="s">
        <v>3</v>
      </c>
      <c r="N7" s="7017">
        <v>23</v>
      </c>
      <c r="O7" s="6921">
        <v>16</v>
      </c>
      <c r="P7" s="7018">
        <f t="shared" si="2"/>
        <v>0.69565217391304346</v>
      </c>
      <c r="Q7" s="6930">
        <v>21</v>
      </c>
      <c r="R7" s="6921">
        <v>18</v>
      </c>
      <c r="S7" s="6929">
        <f t="shared" si="3"/>
        <v>0.8571428571428571</v>
      </c>
      <c r="T7" s="7030">
        <v>9</v>
      </c>
      <c r="U7" s="6837">
        <v>8</v>
      </c>
      <c r="V7" s="7079">
        <f t="shared" ref="V7:V21" si="4">U7-T7</f>
        <v>-1</v>
      </c>
      <c r="W7" s="7005">
        <v>0.88888888888888884</v>
      </c>
      <c r="X7" s="8485"/>
      <c r="Z7" s="6861" t="s">
        <v>2171</v>
      </c>
      <c r="AA7" s="6829">
        <v>61587</v>
      </c>
      <c r="AB7" s="6832">
        <v>57139.105935189</v>
      </c>
      <c r="AC7" s="6867">
        <v>55151</v>
      </c>
    </row>
    <row r="8" spans="1:29" ht="21" customHeight="1">
      <c r="A8" s="8507"/>
      <c r="B8" s="6836" t="s">
        <v>417</v>
      </c>
      <c r="C8" s="6837">
        <v>5</v>
      </c>
      <c r="D8" s="6838">
        <v>39251</v>
      </c>
      <c r="E8" s="6842">
        <v>0.91845807056741902</v>
      </c>
      <c r="F8" s="6845">
        <v>3</v>
      </c>
      <c r="G8" s="6871">
        <v>20614</v>
      </c>
      <c r="H8" s="6884">
        <f t="shared" si="0"/>
        <v>-2</v>
      </c>
      <c r="I8" s="7097">
        <f t="shared" si="1"/>
        <v>-18637</v>
      </c>
      <c r="J8" s="6684" t="s">
        <v>2116</v>
      </c>
      <c r="L8" s="8507"/>
      <c r="M8" s="6927" t="s">
        <v>417</v>
      </c>
      <c r="N8" s="7017">
        <v>5</v>
      </c>
      <c r="O8" s="6921">
        <v>5</v>
      </c>
      <c r="P8" s="7018">
        <f t="shared" si="2"/>
        <v>1</v>
      </c>
      <c r="Q8" s="6930">
        <v>4</v>
      </c>
      <c r="R8" s="6921">
        <v>3</v>
      </c>
      <c r="S8" s="6929">
        <f t="shared" si="3"/>
        <v>0.75</v>
      </c>
      <c r="T8" s="7030">
        <v>5</v>
      </c>
      <c r="U8" s="6837">
        <v>5</v>
      </c>
      <c r="V8" s="7079">
        <f t="shared" si="4"/>
        <v>0</v>
      </c>
      <c r="W8" s="7005">
        <v>1</v>
      </c>
      <c r="X8" s="8485"/>
      <c r="Z8" s="6861" t="s">
        <v>2172</v>
      </c>
      <c r="AA8" s="6829">
        <v>66143</v>
      </c>
      <c r="AB8" s="6832">
        <v>74381.736896374423</v>
      </c>
      <c r="AC8" s="6867">
        <v>65152</v>
      </c>
    </row>
    <row r="9" spans="1:29" ht="21" customHeight="1" thickBot="1">
      <c r="A9" s="8507"/>
      <c r="B9" s="6836" t="s">
        <v>4</v>
      </c>
      <c r="C9" s="6837">
        <v>12</v>
      </c>
      <c r="D9" s="6838">
        <v>1052964.4624756929</v>
      </c>
      <c r="E9" s="6842">
        <v>0.64095931458465782</v>
      </c>
      <c r="F9" s="6845">
        <v>35</v>
      </c>
      <c r="G9" s="6871">
        <v>465923.1343153129</v>
      </c>
      <c r="H9" s="6884">
        <f t="shared" si="0"/>
        <v>23</v>
      </c>
      <c r="I9" s="7097">
        <f t="shared" si="1"/>
        <v>-587041.32816038001</v>
      </c>
      <c r="J9" s="6685" t="s">
        <v>2180</v>
      </c>
      <c r="L9" s="8507"/>
      <c r="M9" s="6927" t="s">
        <v>4</v>
      </c>
      <c r="N9" s="7017">
        <v>7</v>
      </c>
      <c r="O9" s="6921">
        <v>10</v>
      </c>
      <c r="P9" s="7018">
        <f t="shared" si="2"/>
        <v>1.4285714285714286</v>
      </c>
      <c r="Q9" s="6930">
        <v>15</v>
      </c>
      <c r="R9" s="6921">
        <v>7</v>
      </c>
      <c r="S9" s="6929">
        <f t="shared" si="3"/>
        <v>0.46666666666666667</v>
      </c>
      <c r="T9" s="7030">
        <v>18</v>
      </c>
      <c r="U9" s="6837">
        <v>12</v>
      </c>
      <c r="V9" s="7079">
        <f t="shared" si="4"/>
        <v>-6</v>
      </c>
      <c r="W9" s="7005">
        <v>0.66666666666666663</v>
      </c>
      <c r="X9" s="8485"/>
      <c r="Z9" s="6862" t="s">
        <v>2173</v>
      </c>
      <c r="AA9" s="6863">
        <v>189727</v>
      </c>
      <c r="AB9" s="6864">
        <v>200601.79258961944</v>
      </c>
      <c r="AC9" s="6868">
        <v>195000</v>
      </c>
    </row>
    <row r="10" spans="1:29" ht="21" customHeight="1" thickTop="1">
      <c r="A10" s="8507"/>
      <c r="B10" s="6836" t="s">
        <v>190</v>
      </c>
      <c r="C10" s="6837">
        <v>12</v>
      </c>
      <c r="D10" s="6838">
        <v>792250.82699531515</v>
      </c>
      <c r="E10" s="6842">
        <v>0.58255763460707521</v>
      </c>
      <c r="F10" s="6845">
        <v>23</v>
      </c>
      <c r="G10" s="6871">
        <v>1117582.8945204872</v>
      </c>
      <c r="H10" s="6884">
        <f t="shared" si="0"/>
        <v>11</v>
      </c>
      <c r="I10" s="7097">
        <f t="shared" si="1"/>
        <v>325332.06752517202</v>
      </c>
      <c r="J10" s="6685" t="s">
        <v>2183</v>
      </c>
      <c r="L10" s="8507"/>
      <c r="M10" s="6927" t="s">
        <v>190</v>
      </c>
      <c r="N10" s="7017">
        <v>19</v>
      </c>
      <c r="O10" s="6921">
        <v>16</v>
      </c>
      <c r="P10" s="7018">
        <f t="shared" si="2"/>
        <v>0.84210526315789469</v>
      </c>
      <c r="Q10" s="6930">
        <v>19</v>
      </c>
      <c r="R10" s="6921">
        <v>16</v>
      </c>
      <c r="S10" s="6929">
        <f t="shared" si="3"/>
        <v>0.84210526315789469</v>
      </c>
      <c r="T10" s="7030">
        <v>15</v>
      </c>
      <c r="U10" s="6837">
        <v>12</v>
      </c>
      <c r="V10" s="7079">
        <f t="shared" si="4"/>
        <v>-3</v>
      </c>
      <c r="W10" s="7005">
        <v>0.8</v>
      </c>
      <c r="X10" s="8485"/>
      <c r="Z10" s="7096" t="s">
        <v>2256</v>
      </c>
    </row>
    <row r="11" spans="1:29" ht="21" customHeight="1">
      <c r="A11" s="8507"/>
      <c r="B11" s="6836" t="s">
        <v>418</v>
      </c>
      <c r="C11" s="6837">
        <v>1</v>
      </c>
      <c r="D11" s="6838">
        <v>103447.12666087582</v>
      </c>
      <c r="E11" s="6842">
        <v>1.021623008731587</v>
      </c>
      <c r="F11" s="6845">
        <v>1</v>
      </c>
      <c r="G11" s="6871">
        <v>69073.142999999996</v>
      </c>
      <c r="H11" s="6884">
        <f t="shared" si="0"/>
        <v>0</v>
      </c>
      <c r="I11" s="7097">
        <f t="shared" si="1"/>
        <v>-34373.98366087582</v>
      </c>
      <c r="J11" s="6684" t="s">
        <v>2181</v>
      </c>
      <c r="L11" s="8507"/>
      <c r="M11" s="6927" t="s">
        <v>418</v>
      </c>
      <c r="N11" s="7017">
        <v>1</v>
      </c>
      <c r="O11" s="6921">
        <v>1</v>
      </c>
      <c r="P11" s="7018">
        <f t="shared" si="2"/>
        <v>1</v>
      </c>
      <c r="Q11" s="6930">
        <v>1</v>
      </c>
      <c r="R11" s="6921">
        <v>1</v>
      </c>
      <c r="S11" s="6929">
        <f t="shared" si="3"/>
        <v>1</v>
      </c>
      <c r="T11" s="7030">
        <v>1</v>
      </c>
      <c r="U11" s="6837">
        <v>1</v>
      </c>
      <c r="V11" s="7079">
        <f t="shared" si="4"/>
        <v>0</v>
      </c>
      <c r="W11" s="7005">
        <v>1</v>
      </c>
      <c r="X11" s="8485"/>
      <c r="Z11" s="7096" t="s">
        <v>2257</v>
      </c>
    </row>
    <row r="12" spans="1:29" ht="21" customHeight="1">
      <c r="A12" s="8507"/>
      <c r="B12" s="6836" t="s">
        <v>17</v>
      </c>
      <c r="C12" s="6837">
        <v>12</v>
      </c>
      <c r="D12" s="6838">
        <v>915745.62864473672</v>
      </c>
      <c r="E12" s="6842">
        <v>2.2408898948990577</v>
      </c>
      <c r="F12" s="6845">
        <v>12</v>
      </c>
      <c r="G12" s="6871">
        <v>499659.55936402315</v>
      </c>
      <c r="H12" s="6884">
        <f t="shared" si="0"/>
        <v>0</v>
      </c>
      <c r="I12" s="7097">
        <f t="shared" si="1"/>
        <v>-416086.06928071356</v>
      </c>
      <c r="J12" s="6685" t="s">
        <v>2182</v>
      </c>
      <c r="L12" s="8507"/>
      <c r="M12" s="6927" t="s">
        <v>17</v>
      </c>
      <c r="N12" s="7017">
        <v>10</v>
      </c>
      <c r="O12" s="6921">
        <v>10</v>
      </c>
      <c r="P12" s="7018">
        <f t="shared" si="2"/>
        <v>1</v>
      </c>
      <c r="Q12" s="6930">
        <v>10</v>
      </c>
      <c r="R12" s="6921">
        <v>14</v>
      </c>
      <c r="S12" s="6929">
        <f t="shared" si="3"/>
        <v>1.4</v>
      </c>
      <c r="T12" s="7030">
        <v>12</v>
      </c>
      <c r="U12" s="6837">
        <v>12</v>
      </c>
      <c r="V12" s="7079">
        <f t="shared" si="4"/>
        <v>0</v>
      </c>
      <c r="W12" s="7005">
        <v>1</v>
      </c>
      <c r="X12" s="8485"/>
    </row>
    <row r="13" spans="1:29" ht="21" customHeight="1">
      <c r="A13" s="8507"/>
      <c r="B13" s="6836" t="s">
        <v>419</v>
      </c>
      <c r="C13" s="6837">
        <v>1</v>
      </c>
      <c r="D13" s="6838">
        <v>33218.622336</v>
      </c>
      <c r="E13" s="6842">
        <v>1.5482206532438476</v>
      </c>
      <c r="F13" s="6845">
        <v>1</v>
      </c>
      <c r="G13" s="6871">
        <v>75651.831999999995</v>
      </c>
      <c r="H13" s="6884">
        <f t="shared" si="0"/>
        <v>0</v>
      </c>
      <c r="I13" s="7097">
        <f t="shared" si="1"/>
        <v>42433.209663999995</v>
      </c>
      <c r="J13" s="6684" t="s">
        <v>2184</v>
      </c>
      <c r="L13" s="8507"/>
      <c r="M13" s="6927" t="s">
        <v>419</v>
      </c>
      <c r="N13" s="7017">
        <v>1</v>
      </c>
      <c r="O13" s="6921">
        <v>1</v>
      </c>
      <c r="P13" s="7018">
        <f t="shared" si="2"/>
        <v>1</v>
      </c>
      <c r="Q13" s="6930">
        <v>1</v>
      </c>
      <c r="R13" s="6921">
        <v>1</v>
      </c>
      <c r="S13" s="6929">
        <f t="shared" si="3"/>
        <v>1</v>
      </c>
      <c r="T13" s="7030">
        <v>1</v>
      </c>
      <c r="U13" s="6837">
        <v>1</v>
      </c>
      <c r="V13" s="7079">
        <f t="shared" si="4"/>
        <v>0</v>
      </c>
      <c r="W13" s="7005">
        <v>1</v>
      </c>
      <c r="X13" s="8485"/>
    </row>
    <row r="14" spans="1:29" ht="21" customHeight="1">
      <c r="A14" s="8507"/>
      <c r="B14" s="6836" t="s">
        <v>193</v>
      </c>
      <c r="C14" s="6837">
        <v>0</v>
      </c>
      <c r="D14" s="6838">
        <v>157603.01320758389</v>
      </c>
      <c r="E14" s="6842">
        <v>0.98967119643103685</v>
      </c>
      <c r="F14" s="6845">
        <v>4</v>
      </c>
      <c r="G14" s="6871">
        <v>265450.09151337267</v>
      </c>
      <c r="H14" s="6884">
        <f t="shared" si="0"/>
        <v>4</v>
      </c>
      <c r="I14" s="7097">
        <f t="shared" si="1"/>
        <v>107847.07830578877</v>
      </c>
      <c r="J14" s="6686"/>
      <c r="L14" s="8507"/>
      <c r="M14" s="6927" t="s">
        <v>193</v>
      </c>
      <c r="N14" s="7017">
        <v>3</v>
      </c>
      <c r="O14" s="6921">
        <v>3</v>
      </c>
      <c r="P14" s="7018">
        <f t="shared" si="2"/>
        <v>1</v>
      </c>
      <c r="Q14" s="6930">
        <v>3</v>
      </c>
      <c r="R14" s="6921">
        <v>0</v>
      </c>
      <c r="S14" s="6929">
        <f t="shared" si="3"/>
        <v>0</v>
      </c>
      <c r="T14" s="7030">
        <v>3</v>
      </c>
      <c r="U14" s="6837">
        <v>0</v>
      </c>
      <c r="V14" s="7079">
        <f t="shared" si="4"/>
        <v>-3</v>
      </c>
      <c r="W14" s="7005">
        <v>0</v>
      </c>
      <c r="X14" s="8485"/>
    </row>
    <row r="15" spans="1:29" ht="21" customHeight="1" thickBot="1">
      <c r="A15" s="8507"/>
      <c r="B15" s="6839" t="s">
        <v>197</v>
      </c>
      <c r="C15" s="6788">
        <v>65</v>
      </c>
      <c r="D15" s="6840">
        <v>4240545.7760899961</v>
      </c>
      <c r="E15" s="6878">
        <v>0.88976036579414008</v>
      </c>
      <c r="F15" s="6846">
        <v>121</v>
      </c>
      <c r="G15" s="6872">
        <v>3393991.7567445342</v>
      </c>
      <c r="H15" s="6885">
        <f t="shared" si="0"/>
        <v>56</v>
      </c>
      <c r="I15" s="7098">
        <f t="shared" si="1"/>
        <v>-846554.01934546186</v>
      </c>
      <c r="J15" s="6686"/>
      <c r="L15" s="8508"/>
      <c r="M15" s="6948" t="s">
        <v>197</v>
      </c>
      <c r="N15" s="7019">
        <v>83</v>
      </c>
      <c r="O15" s="6982">
        <v>76</v>
      </c>
      <c r="P15" s="7020">
        <f>O15/N15</f>
        <v>0.91566265060240959</v>
      </c>
      <c r="Q15" s="6972">
        <v>94</v>
      </c>
      <c r="R15" s="6973">
        <v>80</v>
      </c>
      <c r="S15" s="6974">
        <f>R15/Q15</f>
        <v>0.85106382978723405</v>
      </c>
      <c r="T15" s="7031">
        <v>84</v>
      </c>
      <c r="U15" s="6919">
        <v>65</v>
      </c>
      <c r="V15" s="7080">
        <f>U15-T15</f>
        <v>-19</v>
      </c>
      <c r="W15" s="7006">
        <v>0.77380952380952384</v>
      </c>
      <c r="X15" s="8485"/>
    </row>
    <row r="16" spans="1:29" ht="21" customHeight="1">
      <c r="A16" s="8507" t="s">
        <v>1061</v>
      </c>
      <c r="B16" s="6836" t="s">
        <v>226</v>
      </c>
      <c r="C16" s="6837">
        <v>18.3</v>
      </c>
      <c r="D16" s="6838">
        <v>185074.11643943394</v>
      </c>
      <c r="E16" s="7083">
        <v>0.35737678715903476</v>
      </c>
      <c r="F16" s="6847">
        <v>10</v>
      </c>
      <c r="G16" s="6871">
        <v>808502.39288326935</v>
      </c>
      <c r="H16" s="6888">
        <f t="shared" si="0"/>
        <v>-8.3000000000000007</v>
      </c>
      <c r="I16" s="7097">
        <f t="shared" si="1"/>
        <v>623428.27644383535</v>
      </c>
      <c r="J16" s="6684" t="s">
        <v>2185</v>
      </c>
      <c r="L16" s="8509" t="s">
        <v>1061</v>
      </c>
      <c r="M16" s="6939" t="s">
        <v>226</v>
      </c>
      <c r="N16" s="7021">
        <v>49</v>
      </c>
      <c r="O16" s="6962">
        <v>44</v>
      </c>
      <c r="P16" s="7022">
        <f t="shared" si="2"/>
        <v>0.89795918367346939</v>
      </c>
      <c r="Q16" s="6963">
        <v>46</v>
      </c>
      <c r="R16" s="6962">
        <v>26</v>
      </c>
      <c r="S16" s="6964">
        <f t="shared" si="3"/>
        <v>0.56521739130434778</v>
      </c>
      <c r="T16" s="7032">
        <v>12</v>
      </c>
      <c r="U16" s="6966">
        <v>18.3</v>
      </c>
      <c r="V16" s="7079">
        <f t="shared" si="4"/>
        <v>6.3000000000000007</v>
      </c>
      <c r="W16" s="7007">
        <v>1.5250000000000001</v>
      </c>
      <c r="X16" s="8485"/>
    </row>
    <row r="17" spans="1:24" ht="21" customHeight="1">
      <c r="A17" s="8507"/>
      <c r="B17" s="6836" t="s">
        <v>227</v>
      </c>
      <c r="C17" s="6837">
        <v>24.8</v>
      </c>
      <c r="D17" s="6838">
        <v>167641.19083483092</v>
      </c>
      <c r="E17" s="6842">
        <v>0.4682653334240004</v>
      </c>
      <c r="F17" s="6845">
        <v>11</v>
      </c>
      <c r="G17" s="6871">
        <v>217433.36409292754</v>
      </c>
      <c r="H17" s="6888">
        <f t="shared" si="0"/>
        <v>-13.8</v>
      </c>
      <c r="I17" s="7097">
        <f t="shared" si="1"/>
        <v>49792.17325809662</v>
      </c>
      <c r="J17" s="6684" t="s">
        <v>2186</v>
      </c>
      <c r="L17" s="8507"/>
      <c r="M17" s="6927" t="s">
        <v>227</v>
      </c>
      <c r="N17" s="7017">
        <v>30</v>
      </c>
      <c r="O17" s="6921">
        <v>39</v>
      </c>
      <c r="P17" s="7018">
        <f t="shared" si="2"/>
        <v>1.3</v>
      </c>
      <c r="Q17" s="6930">
        <v>37</v>
      </c>
      <c r="R17" s="6921">
        <v>37</v>
      </c>
      <c r="S17" s="6929">
        <f t="shared" si="3"/>
        <v>1</v>
      </c>
      <c r="T17" s="7030">
        <v>16</v>
      </c>
      <c r="U17" s="6837">
        <v>24.8</v>
      </c>
      <c r="V17" s="7079">
        <f t="shared" si="4"/>
        <v>8.8000000000000007</v>
      </c>
      <c r="W17" s="7005">
        <v>1.55</v>
      </c>
      <c r="X17" s="8485"/>
    </row>
    <row r="18" spans="1:24" ht="21" customHeight="1">
      <c r="A18" s="8507"/>
      <c r="B18" s="6836" t="s">
        <v>229</v>
      </c>
      <c r="C18" s="6837">
        <v>14</v>
      </c>
      <c r="D18" s="6838">
        <v>49918</v>
      </c>
      <c r="E18" s="6842">
        <v>0.94188459941884595</v>
      </c>
      <c r="F18" s="6845">
        <v>7</v>
      </c>
      <c r="G18" s="6871">
        <v>236004.40900000001</v>
      </c>
      <c r="H18" s="6888">
        <f t="shared" si="0"/>
        <v>-7</v>
      </c>
      <c r="I18" s="7097">
        <f t="shared" si="1"/>
        <v>186086.40900000001</v>
      </c>
      <c r="J18" s="6685" t="s">
        <v>2187</v>
      </c>
      <c r="L18" s="8507"/>
      <c r="M18" s="6927" t="s">
        <v>229</v>
      </c>
      <c r="N18" s="7017">
        <v>24</v>
      </c>
      <c r="O18" s="6921">
        <v>28</v>
      </c>
      <c r="P18" s="7018">
        <f t="shared" si="2"/>
        <v>1.1666666666666667</v>
      </c>
      <c r="Q18" s="6930">
        <v>18</v>
      </c>
      <c r="R18" s="6921">
        <v>9</v>
      </c>
      <c r="S18" s="6929">
        <f t="shared" si="3"/>
        <v>0.5</v>
      </c>
      <c r="T18" s="7030">
        <v>8</v>
      </c>
      <c r="U18" s="6837">
        <v>14</v>
      </c>
      <c r="V18" s="7079">
        <f t="shared" si="4"/>
        <v>6</v>
      </c>
      <c r="W18" s="7005">
        <v>1.75</v>
      </c>
      <c r="X18" s="8485"/>
    </row>
    <row r="19" spans="1:24" ht="21" customHeight="1" thickBot="1">
      <c r="A19" s="8510"/>
      <c r="B19" s="6849" t="s">
        <v>197</v>
      </c>
      <c r="C19" s="6850">
        <v>57.1</v>
      </c>
      <c r="D19" s="6851">
        <v>402633.30727426487</v>
      </c>
      <c r="E19" s="7084">
        <v>0.43346524754103632</v>
      </c>
      <c r="F19" s="6852">
        <v>28</v>
      </c>
      <c r="G19" s="6873">
        <v>1261940.165976197</v>
      </c>
      <c r="H19" s="6889">
        <f t="shared" si="0"/>
        <v>-29.1</v>
      </c>
      <c r="I19" s="7098">
        <f t="shared" si="1"/>
        <v>859306.85870193213</v>
      </c>
      <c r="J19" s="6686"/>
      <c r="L19" s="8510"/>
      <c r="M19" s="6958" t="s">
        <v>197</v>
      </c>
      <c r="N19" s="7023">
        <v>103</v>
      </c>
      <c r="O19" s="6983">
        <v>111</v>
      </c>
      <c r="P19" s="7024">
        <f>O19/N19</f>
        <v>1.0776699029126213</v>
      </c>
      <c r="Q19" s="6976">
        <v>101</v>
      </c>
      <c r="R19" s="6977">
        <v>72</v>
      </c>
      <c r="S19" s="6978">
        <f>R19/Q19</f>
        <v>0.71287128712871284</v>
      </c>
      <c r="T19" s="7033">
        <v>36</v>
      </c>
      <c r="U19" s="6850">
        <v>57.1</v>
      </c>
      <c r="V19" s="7080">
        <f>U19-T19</f>
        <v>21.1</v>
      </c>
      <c r="W19" s="7008">
        <v>1.5861111111111112</v>
      </c>
      <c r="X19" s="8485"/>
    </row>
    <row r="20" spans="1:24" ht="21" customHeight="1">
      <c r="A20" s="8506" t="s">
        <v>1062</v>
      </c>
      <c r="B20" s="6853" t="s">
        <v>228</v>
      </c>
      <c r="C20" s="6834">
        <v>4</v>
      </c>
      <c r="D20" s="6835">
        <v>35807</v>
      </c>
      <c r="E20" s="7082">
        <v>1.2909913271716773</v>
      </c>
      <c r="F20" s="6854">
        <v>4</v>
      </c>
      <c r="G20" s="6874">
        <v>47000</v>
      </c>
      <c r="H20" s="6884">
        <f t="shared" si="0"/>
        <v>0</v>
      </c>
      <c r="I20" s="7097">
        <f t="shared" si="1"/>
        <v>11193</v>
      </c>
      <c r="J20" s="6684" t="s">
        <v>2188</v>
      </c>
      <c r="L20" s="8506" t="s">
        <v>2204</v>
      </c>
      <c r="M20" s="6980" t="s">
        <v>228</v>
      </c>
      <c r="N20" s="7015">
        <v>3</v>
      </c>
      <c r="O20" s="6967">
        <v>4</v>
      </c>
      <c r="P20" s="7016">
        <f t="shared" si="2"/>
        <v>1.3333333333333333</v>
      </c>
      <c r="Q20" s="6968">
        <v>3</v>
      </c>
      <c r="R20" s="6967">
        <v>4</v>
      </c>
      <c r="S20" s="6969">
        <f t="shared" si="3"/>
        <v>1.3333333333333333</v>
      </c>
      <c r="T20" s="7034">
        <v>4</v>
      </c>
      <c r="U20" s="6834">
        <v>4</v>
      </c>
      <c r="V20" s="7079">
        <f t="shared" si="4"/>
        <v>0</v>
      </c>
      <c r="W20" s="7004">
        <v>1</v>
      </c>
      <c r="X20" s="8485"/>
    </row>
    <row r="21" spans="1:24" ht="21" customHeight="1">
      <c r="A21" s="8507"/>
      <c r="B21" s="6841" t="s">
        <v>1015</v>
      </c>
      <c r="C21" s="6837">
        <v>2</v>
      </c>
      <c r="D21" s="6838">
        <v>115175.00000000004</v>
      </c>
      <c r="E21" s="6842">
        <v>1.0000000000000004</v>
      </c>
      <c r="F21" s="6848">
        <v>4</v>
      </c>
      <c r="G21" s="6875">
        <v>70966</v>
      </c>
      <c r="H21" s="6884">
        <f t="shared" si="0"/>
        <v>2</v>
      </c>
      <c r="I21" s="7097">
        <f t="shared" si="1"/>
        <v>-44209.000000000044</v>
      </c>
      <c r="J21" s="6684" t="s">
        <v>2189</v>
      </c>
      <c r="L21" s="8507"/>
      <c r="M21" s="6928" t="s">
        <v>1015</v>
      </c>
      <c r="N21" s="7025"/>
      <c r="O21" s="6922"/>
      <c r="P21" s="7026"/>
      <c r="Q21" s="6930">
        <v>4</v>
      </c>
      <c r="R21" s="6921">
        <v>4</v>
      </c>
      <c r="S21" s="6929">
        <f>R21/Q21</f>
        <v>1</v>
      </c>
      <c r="T21" s="7035">
        <v>2</v>
      </c>
      <c r="U21" s="6837">
        <v>2</v>
      </c>
      <c r="V21" s="7079">
        <f t="shared" si="4"/>
        <v>0</v>
      </c>
      <c r="W21" s="7005">
        <v>1</v>
      </c>
      <c r="X21" s="8485"/>
    </row>
    <row r="22" spans="1:24" ht="21" customHeight="1" thickBot="1">
      <c r="A22" s="8510"/>
      <c r="B22" s="6877" t="s">
        <v>197</v>
      </c>
      <c r="C22" s="6877">
        <v>6</v>
      </c>
      <c r="D22" s="6851">
        <v>150982.00000000006</v>
      </c>
      <c r="E22" s="6878">
        <v>1.0564753390308173</v>
      </c>
      <c r="F22" s="6852">
        <v>8</v>
      </c>
      <c r="G22" s="6879">
        <v>117966</v>
      </c>
      <c r="H22" s="6886">
        <f>F22-C22</f>
        <v>2</v>
      </c>
      <c r="I22" s="7099">
        <f>G22-D22</f>
        <v>-33016.000000000058</v>
      </c>
      <c r="J22" s="6686"/>
      <c r="L22" s="8508"/>
      <c r="M22" s="6917" t="s">
        <v>2210</v>
      </c>
      <c r="N22" s="7019">
        <v>3</v>
      </c>
      <c r="O22" s="6982">
        <v>4</v>
      </c>
      <c r="P22" s="7020">
        <f>O22/N22</f>
        <v>1.3333333333333333</v>
      </c>
      <c r="Q22" s="6972">
        <v>7</v>
      </c>
      <c r="R22" s="6973">
        <v>8</v>
      </c>
      <c r="S22" s="6974">
        <f>R22/Q22</f>
        <v>1.1428571428571428</v>
      </c>
      <c r="T22" s="7031">
        <v>6</v>
      </c>
      <c r="U22" s="6919">
        <v>6</v>
      </c>
      <c r="V22" s="7080">
        <f>U22-T22</f>
        <v>0</v>
      </c>
      <c r="W22" s="7006">
        <v>1</v>
      </c>
      <c r="X22" s="8485"/>
    </row>
    <row r="23" spans="1:24" ht="21" customHeight="1" thickTop="1" thickBot="1">
      <c r="A23" s="8519" t="s">
        <v>803</v>
      </c>
      <c r="B23" s="8520"/>
      <c r="C23" s="6880">
        <v>128.1</v>
      </c>
      <c r="D23" s="6881">
        <v>4794161.0833642613</v>
      </c>
      <c r="E23" s="7085">
        <v>0.82123812391275874</v>
      </c>
      <c r="F23" s="6882">
        <v>157</v>
      </c>
      <c r="G23" s="6883">
        <v>4773897.9227207312</v>
      </c>
      <c r="H23" s="6887">
        <f>F23-C23</f>
        <v>28.900000000000006</v>
      </c>
      <c r="I23" s="7100">
        <f>G23-D23</f>
        <v>-20263.160643530078</v>
      </c>
      <c r="J23" s="6688"/>
      <c r="L23" s="8511" t="s">
        <v>803</v>
      </c>
      <c r="M23" s="8512"/>
      <c r="N23" s="7027">
        <v>189</v>
      </c>
      <c r="O23" s="7009">
        <v>191</v>
      </c>
      <c r="P23" s="7028">
        <f>O23/N23</f>
        <v>1.0105820105820107</v>
      </c>
      <c r="Q23" s="7010">
        <v>202</v>
      </c>
      <c r="R23" s="7009">
        <v>160</v>
      </c>
      <c r="S23" s="7011">
        <f>R23/Q23</f>
        <v>0.79207920792079212</v>
      </c>
      <c r="T23" s="7036">
        <v>126</v>
      </c>
      <c r="U23" s="7012">
        <v>128.1</v>
      </c>
      <c r="V23" s="7081">
        <f>U23-T23</f>
        <v>2.0999999999999943</v>
      </c>
      <c r="W23" s="7013">
        <v>1.0166666666666666</v>
      </c>
      <c r="X23" s="8486"/>
    </row>
    <row r="24" spans="1:24" ht="21" customHeight="1" thickTop="1" thickBot="1">
      <c r="A24" s="8521" t="s">
        <v>2125</v>
      </c>
      <c r="B24" s="8522"/>
      <c r="C24" s="8523">
        <v>3382929.80957198</v>
      </c>
      <c r="D24" s="8523"/>
      <c r="E24" s="8524"/>
      <c r="F24" s="8517">
        <v>2030515.8210104499</v>
      </c>
      <c r="G24" s="8518"/>
      <c r="H24" s="7073"/>
      <c r="I24" s="7101">
        <f>F24-C24</f>
        <v>-1352413.9885615301</v>
      </c>
      <c r="J24" s="6856" t="s">
        <v>2190</v>
      </c>
      <c r="X24" s="286"/>
    </row>
    <row r="25" spans="1:24" ht="14.25" thickTop="1">
      <c r="X25" s="286"/>
    </row>
    <row r="26" spans="1:24" ht="21" thickBot="1">
      <c r="B26" s="7410" t="s">
        <v>2331</v>
      </c>
      <c r="C26" s="7403" t="s">
        <v>2332</v>
      </c>
      <c r="D26" s="7403" t="s">
        <v>2333</v>
      </c>
      <c r="E26" s="5074" t="s">
        <v>2334</v>
      </c>
      <c r="I26" s="7422" t="s">
        <v>2331</v>
      </c>
      <c r="J26" s="7423" t="s">
        <v>2356</v>
      </c>
      <c r="L26" s="293" t="s">
        <v>2200</v>
      </c>
      <c r="M26" s="288"/>
      <c r="N26" s="288"/>
      <c r="O26" s="288"/>
      <c r="P26" s="288"/>
      <c r="Q26" s="288"/>
      <c r="R26" s="288"/>
      <c r="S26" s="288"/>
      <c r="T26" s="288"/>
      <c r="U26" s="288"/>
      <c r="V26" s="288"/>
      <c r="W26" s="288"/>
    </row>
    <row r="27" spans="1:24" s="286" customFormat="1" ht="21" thickTop="1">
      <c r="B27" s="7411" t="s">
        <v>2335</v>
      </c>
      <c r="C27" s="7405" t="s">
        <v>2337</v>
      </c>
      <c r="D27" s="7405" t="s">
        <v>2338</v>
      </c>
      <c r="E27" s="7412" t="s">
        <v>2339</v>
      </c>
      <c r="I27" s="7414" t="s">
        <v>2344</v>
      </c>
      <c r="J27" s="7415" t="s">
        <v>2350</v>
      </c>
      <c r="L27" s="8500" t="s">
        <v>2201</v>
      </c>
      <c r="M27" s="8501"/>
      <c r="N27" s="8496">
        <v>2018</v>
      </c>
      <c r="O27" s="8497"/>
      <c r="P27" s="8499"/>
      <c r="Q27" s="8503">
        <v>2019</v>
      </c>
      <c r="R27" s="8497"/>
      <c r="S27" s="8498"/>
      <c r="T27" s="8496">
        <v>2020</v>
      </c>
      <c r="U27" s="8497"/>
      <c r="V27" s="8498"/>
      <c r="W27" s="8499"/>
    </row>
    <row r="28" spans="1:24" ht="17.25" thickBot="1">
      <c r="B28" s="7408" t="s">
        <v>2336</v>
      </c>
      <c r="C28" s="7404" t="s">
        <v>2340</v>
      </c>
      <c r="D28" s="7404" t="s">
        <v>2341</v>
      </c>
      <c r="E28" s="7409" t="s">
        <v>2342</v>
      </c>
      <c r="I28" s="7416" t="s">
        <v>2345</v>
      </c>
      <c r="J28" s="7417" t="s">
        <v>2351</v>
      </c>
      <c r="K28" s="288"/>
      <c r="L28" s="8502"/>
      <c r="M28" s="8488"/>
      <c r="N28" s="7046" t="s">
        <v>2211</v>
      </c>
      <c r="O28" s="6677" t="s">
        <v>2212</v>
      </c>
      <c r="P28" s="7039" t="s">
        <v>2207</v>
      </c>
      <c r="Q28" s="6947" t="s">
        <v>2211</v>
      </c>
      <c r="R28" s="6677" t="s">
        <v>2212</v>
      </c>
      <c r="S28" s="6948" t="s">
        <v>2207</v>
      </c>
      <c r="T28" s="7046" t="s">
        <v>2211</v>
      </c>
      <c r="U28" s="6677" t="s">
        <v>2212</v>
      </c>
      <c r="V28" s="6948" t="s">
        <v>2221</v>
      </c>
      <c r="W28" s="7039" t="s">
        <v>2207</v>
      </c>
      <c r="X28" s="7037" t="s">
        <v>2214</v>
      </c>
    </row>
    <row r="29" spans="1:24" ht="16.5">
      <c r="B29" s="7413" t="s">
        <v>2343</v>
      </c>
      <c r="I29" s="7418" t="s">
        <v>2346</v>
      </c>
      <c r="J29" s="7419" t="s">
        <v>2352</v>
      </c>
      <c r="L29" s="8509" t="s">
        <v>2202</v>
      </c>
      <c r="M29" s="6939" t="s">
        <v>2203</v>
      </c>
      <c r="N29" s="7047">
        <v>461632</v>
      </c>
      <c r="O29" s="6940">
        <v>239950</v>
      </c>
      <c r="P29" s="7048">
        <v>0.52</v>
      </c>
      <c r="Q29" s="6941">
        <v>419922</v>
      </c>
      <c r="R29" s="6940">
        <v>-781342</v>
      </c>
      <c r="S29" s="6996">
        <v>-1.86</v>
      </c>
      <c r="T29" s="7063">
        <v>717116.06146677514</v>
      </c>
      <c r="U29" s="6943">
        <v>538006.45332628</v>
      </c>
      <c r="V29" s="7074">
        <f>U29-T29</f>
        <v>-179109.60814049514</v>
      </c>
      <c r="W29" s="7007">
        <v>0.750236234042579</v>
      </c>
      <c r="X29" s="6856" t="s">
        <v>2216</v>
      </c>
    </row>
    <row r="30" spans="1:24" ht="16.5">
      <c r="I30" s="7418" t="s">
        <v>2347</v>
      </c>
      <c r="J30" s="7419" t="s">
        <v>2353</v>
      </c>
      <c r="L30" s="8507"/>
      <c r="M30" s="6927" t="s">
        <v>225</v>
      </c>
      <c r="N30" s="7049">
        <v>29330</v>
      </c>
      <c r="O30" s="6923">
        <v>54468</v>
      </c>
      <c r="P30" s="7050">
        <v>1.86</v>
      </c>
      <c r="Q30" s="6934">
        <v>40120</v>
      </c>
      <c r="R30" s="6923">
        <v>94548</v>
      </c>
      <c r="S30" s="6997">
        <v>2.36</v>
      </c>
      <c r="T30" s="7064">
        <v>32972</v>
      </c>
      <c r="U30" s="6838">
        <v>30594.143</v>
      </c>
      <c r="V30" s="7074">
        <f t="shared" ref="V30:V45" si="5">U30-T30</f>
        <v>-2377.857</v>
      </c>
      <c r="W30" s="7005">
        <v>0.92788253669780418</v>
      </c>
      <c r="X30" s="6856"/>
    </row>
    <row r="31" spans="1:24" ht="16.5">
      <c r="I31" s="7418" t="s">
        <v>2348</v>
      </c>
      <c r="J31" s="7419" t="s">
        <v>2354</v>
      </c>
      <c r="L31" s="8507"/>
      <c r="M31" s="6927" t="s">
        <v>3</v>
      </c>
      <c r="N31" s="7049">
        <v>155884</v>
      </c>
      <c r="O31" s="6923">
        <v>1227526</v>
      </c>
      <c r="P31" s="7050">
        <v>7.87</v>
      </c>
      <c r="Q31" s="6934">
        <v>631957</v>
      </c>
      <c r="R31" s="6923">
        <v>170487</v>
      </c>
      <c r="S31" s="6997">
        <v>0.27</v>
      </c>
      <c r="T31" s="7064">
        <v>279756.20797548769</v>
      </c>
      <c r="U31" s="6838">
        <v>577464.49944351148</v>
      </c>
      <c r="V31" s="7074">
        <f t="shared" si="5"/>
        <v>297708.29146802379</v>
      </c>
      <c r="W31" s="7005">
        <v>2.0641704562070311</v>
      </c>
      <c r="X31" s="6856" t="s">
        <v>2217</v>
      </c>
    </row>
    <row r="32" spans="1:24" ht="16.5">
      <c r="I32" s="7420" t="s">
        <v>2349</v>
      </c>
      <c r="J32" s="7421" t="s">
        <v>2355</v>
      </c>
      <c r="L32" s="8507"/>
      <c r="M32" s="6927" t="s">
        <v>417</v>
      </c>
      <c r="N32" s="7049">
        <v>18537</v>
      </c>
      <c r="O32" s="6923">
        <v>15202</v>
      </c>
      <c r="P32" s="7050">
        <v>0.82</v>
      </c>
      <c r="Q32" s="6934">
        <v>23364</v>
      </c>
      <c r="R32" s="6923">
        <v>8538</v>
      </c>
      <c r="S32" s="6997">
        <v>0.37</v>
      </c>
      <c r="T32" s="7064">
        <v>42735.756000000001</v>
      </c>
      <c r="U32" s="6838">
        <v>39251</v>
      </c>
      <c r="V32" s="7074">
        <f t="shared" si="5"/>
        <v>-3484.7560000000012</v>
      </c>
      <c r="W32" s="7005">
        <v>0.91845807056741902</v>
      </c>
      <c r="X32" s="6856"/>
    </row>
    <row r="33" spans="12:24" ht="36">
      <c r="L33" s="8507"/>
      <c r="M33" s="6927" t="s">
        <v>4</v>
      </c>
      <c r="N33" s="7049">
        <v>2053813</v>
      </c>
      <c r="O33" s="6923">
        <v>1766067</v>
      </c>
      <c r="P33" s="7050">
        <v>0.86</v>
      </c>
      <c r="Q33" s="6934">
        <v>1812133</v>
      </c>
      <c r="R33" s="6923">
        <v>82785</v>
      </c>
      <c r="S33" s="6997">
        <v>0.05</v>
      </c>
      <c r="T33" s="7064">
        <v>1642794.5401776629</v>
      </c>
      <c r="U33" s="6838">
        <v>1052964.4624756929</v>
      </c>
      <c r="V33" s="7074">
        <f t="shared" si="5"/>
        <v>-589830.07770197</v>
      </c>
      <c r="W33" s="7005">
        <v>0.64095931458465782</v>
      </c>
      <c r="X33" s="7038" t="s">
        <v>2218</v>
      </c>
    </row>
    <row r="34" spans="12:24" ht="16.5">
      <c r="L34" s="8507"/>
      <c r="M34" s="6927" t="s">
        <v>190</v>
      </c>
      <c r="N34" s="7049">
        <v>2443579</v>
      </c>
      <c r="O34" s="6923">
        <v>1662468</v>
      </c>
      <c r="P34" s="7050">
        <v>0.68</v>
      </c>
      <c r="Q34" s="6934">
        <v>1817303</v>
      </c>
      <c r="R34" s="6923">
        <v>257255</v>
      </c>
      <c r="S34" s="6997">
        <v>0.14000000000000001</v>
      </c>
      <c r="T34" s="7064">
        <v>1359952.6981217477</v>
      </c>
      <c r="U34" s="6838">
        <v>792250.82699531515</v>
      </c>
      <c r="V34" s="7074">
        <f t="shared" si="5"/>
        <v>-567701.87112643255</v>
      </c>
      <c r="W34" s="7005">
        <v>0.58255763460707521</v>
      </c>
      <c r="X34" s="6856" t="s">
        <v>2219</v>
      </c>
    </row>
    <row r="35" spans="12:24" ht="16.5">
      <c r="L35" s="8507"/>
      <c r="M35" s="6927" t="s">
        <v>418</v>
      </c>
      <c r="N35" s="7049">
        <v>20000</v>
      </c>
      <c r="O35" s="6923">
        <v>33124</v>
      </c>
      <c r="P35" s="7050">
        <v>1.66</v>
      </c>
      <c r="Q35" s="6934">
        <v>33060</v>
      </c>
      <c r="R35" s="6923">
        <v>45220</v>
      </c>
      <c r="S35" s="6997">
        <v>1.37</v>
      </c>
      <c r="T35" s="7064">
        <v>101257.632</v>
      </c>
      <c r="U35" s="6838">
        <v>103447.12666087582</v>
      </c>
      <c r="V35" s="7074">
        <f t="shared" si="5"/>
        <v>2189.4946608758182</v>
      </c>
      <c r="W35" s="7005">
        <v>1.021623008731587</v>
      </c>
      <c r="X35" s="6856"/>
    </row>
    <row r="36" spans="12:24" ht="16.5">
      <c r="L36" s="8507"/>
      <c r="M36" s="6927" t="s">
        <v>17</v>
      </c>
      <c r="N36" s="7049">
        <v>1053362</v>
      </c>
      <c r="O36" s="6923">
        <v>459054</v>
      </c>
      <c r="P36" s="7050">
        <v>0.44</v>
      </c>
      <c r="Q36" s="6934">
        <v>987510</v>
      </c>
      <c r="R36" s="6923">
        <v>-519639</v>
      </c>
      <c r="S36" s="6997">
        <v>-0.53</v>
      </c>
      <c r="T36" s="7065">
        <v>408652.66550099157</v>
      </c>
      <c r="U36" s="6838">
        <v>915745.62864473672</v>
      </c>
      <c r="V36" s="7074">
        <f t="shared" si="5"/>
        <v>507092.96314374515</v>
      </c>
      <c r="W36" s="7005">
        <v>2.2408898948990577</v>
      </c>
      <c r="X36" s="6856"/>
    </row>
    <row r="37" spans="12:24" ht="16.5">
      <c r="L37" s="8507"/>
      <c r="M37" s="6927" t="s">
        <v>419</v>
      </c>
      <c r="N37" s="7049">
        <v>18000</v>
      </c>
      <c r="O37" s="6923">
        <v>15270</v>
      </c>
      <c r="P37" s="7050">
        <v>0.85</v>
      </c>
      <c r="Q37" s="6934">
        <v>22350</v>
      </c>
      <c r="R37" s="6923">
        <v>15575</v>
      </c>
      <c r="S37" s="6997">
        <v>0.7</v>
      </c>
      <c r="T37" s="7064">
        <v>21456.000000000004</v>
      </c>
      <c r="U37" s="6838">
        <v>33218.622336</v>
      </c>
      <c r="V37" s="7074">
        <f t="shared" si="5"/>
        <v>11762.622335999997</v>
      </c>
      <c r="W37" s="7005">
        <v>1.5482206532438476</v>
      </c>
      <c r="X37" s="6856"/>
    </row>
    <row r="38" spans="12:24" ht="16.5">
      <c r="L38" s="8507"/>
      <c r="M38" s="6927" t="s">
        <v>193</v>
      </c>
      <c r="N38" s="7049">
        <v>20000</v>
      </c>
      <c r="O38" s="6923">
        <v>78008</v>
      </c>
      <c r="P38" s="7050">
        <v>3.9</v>
      </c>
      <c r="Q38" s="6934">
        <v>17253</v>
      </c>
      <c r="R38" s="6923">
        <v>9577</v>
      </c>
      <c r="S38" s="6997">
        <v>0.56000000000000005</v>
      </c>
      <c r="T38" s="7064">
        <v>159247.853</v>
      </c>
      <c r="U38" s="6838">
        <v>157603.01320758389</v>
      </c>
      <c r="V38" s="7074">
        <f t="shared" si="5"/>
        <v>-1644.8397924161109</v>
      </c>
      <c r="W38" s="7005">
        <v>0.98967119643103685</v>
      </c>
      <c r="X38" s="6856"/>
    </row>
    <row r="39" spans="12:24" ht="17.25" thickBot="1">
      <c r="L39" s="8510"/>
      <c r="M39" s="6958" t="s">
        <v>197</v>
      </c>
      <c r="N39" s="7051">
        <v>6274137</v>
      </c>
      <c r="O39" s="6987">
        <v>5551137</v>
      </c>
      <c r="P39" s="7052">
        <v>0.88</v>
      </c>
      <c r="Q39" s="6988">
        <v>5804971</v>
      </c>
      <c r="R39" s="6987">
        <v>-616997</v>
      </c>
      <c r="S39" s="6989">
        <v>-0.11</v>
      </c>
      <c r="T39" s="7066">
        <v>4765941.4142426662</v>
      </c>
      <c r="U39" s="6851">
        <v>4240545.7760899961</v>
      </c>
      <c r="V39" s="7075">
        <f>SUM(V29:V38)</f>
        <v>-525395.63815266907</v>
      </c>
      <c r="W39" s="7008">
        <v>0.88976036579414008</v>
      </c>
      <c r="X39" s="6856"/>
    </row>
    <row r="40" spans="12:24" ht="16.5">
      <c r="L40" s="8506" t="s">
        <v>1061</v>
      </c>
      <c r="M40" s="6952" t="s">
        <v>226</v>
      </c>
      <c r="N40" s="7053">
        <v>1263356</v>
      </c>
      <c r="O40" s="6953">
        <v>1064059</v>
      </c>
      <c r="P40" s="7054">
        <v>0.84</v>
      </c>
      <c r="Q40" s="6954">
        <v>1142938</v>
      </c>
      <c r="R40" s="6953">
        <v>551703</v>
      </c>
      <c r="S40" s="6998">
        <v>0.48</v>
      </c>
      <c r="T40" s="7067">
        <v>517868.32018576202</v>
      </c>
      <c r="U40" s="6835">
        <v>185074.11643943394</v>
      </c>
      <c r="V40" s="7074">
        <f t="shared" si="5"/>
        <v>-332794.20374632807</v>
      </c>
      <c r="W40" s="7004">
        <v>0.35737678715903476</v>
      </c>
      <c r="X40" s="6856"/>
    </row>
    <row r="41" spans="12:24" ht="16.5">
      <c r="L41" s="8507"/>
      <c r="M41" s="6927" t="s">
        <v>227</v>
      </c>
      <c r="N41" s="7049">
        <v>244084</v>
      </c>
      <c r="O41" s="6923">
        <v>211134</v>
      </c>
      <c r="P41" s="7050">
        <v>0.87</v>
      </c>
      <c r="Q41" s="6934">
        <v>109905</v>
      </c>
      <c r="R41" s="6923">
        <v>242378</v>
      </c>
      <c r="S41" s="6997">
        <v>2.21</v>
      </c>
      <c r="T41" s="7064">
        <v>358004.70132824627</v>
      </c>
      <c r="U41" s="6838">
        <v>167641.19083483092</v>
      </c>
      <c r="V41" s="7074">
        <f t="shared" si="5"/>
        <v>-190363.51049341535</v>
      </c>
      <c r="W41" s="7005">
        <v>0.4682653334240004</v>
      </c>
      <c r="X41" s="6856"/>
    </row>
    <row r="42" spans="12:24" ht="16.5">
      <c r="L42" s="8507"/>
      <c r="M42" s="6927" t="s">
        <v>229</v>
      </c>
      <c r="N42" s="7049">
        <v>88311</v>
      </c>
      <c r="O42" s="6923">
        <v>71521</v>
      </c>
      <c r="P42" s="7050">
        <v>0.81</v>
      </c>
      <c r="Q42" s="6934">
        <v>88311</v>
      </c>
      <c r="R42" s="6923">
        <v>169870</v>
      </c>
      <c r="S42" s="6997">
        <v>1.92</v>
      </c>
      <c r="T42" s="7064">
        <v>52998</v>
      </c>
      <c r="U42" s="6838">
        <v>49918</v>
      </c>
      <c r="V42" s="7074">
        <f t="shared" si="5"/>
        <v>-3080</v>
      </c>
      <c r="W42" s="7005">
        <v>0.94188459941884595</v>
      </c>
      <c r="X42" s="6856"/>
    </row>
    <row r="43" spans="12:24" ht="17.25" thickBot="1">
      <c r="L43" s="8508"/>
      <c r="M43" s="6948" t="s">
        <v>197</v>
      </c>
      <c r="N43" s="7055">
        <v>1595751</v>
      </c>
      <c r="O43" s="6990">
        <v>1346714</v>
      </c>
      <c r="P43" s="7056">
        <v>0.84</v>
      </c>
      <c r="Q43" s="6991">
        <v>1341154</v>
      </c>
      <c r="R43" s="6990">
        <v>963951</v>
      </c>
      <c r="S43" s="6992">
        <v>0.72</v>
      </c>
      <c r="T43" s="7068">
        <v>928871.02151400829</v>
      </c>
      <c r="U43" s="6957">
        <v>402633.30727426487</v>
      </c>
      <c r="V43" s="7075">
        <f>SUM(V40:V42)</f>
        <v>-526237.71423974342</v>
      </c>
      <c r="W43" s="7006">
        <v>0.43346524754103632</v>
      </c>
      <c r="X43" s="6856"/>
    </row>
    <row r="44" spans="12:24" ht="16.5">
      <c r="L44" s="8509" t="s">
        <v>2204</v>
      </c>
      <c r="M44" s="6920" t="s">
        <v>228</v>
      </c>
      <c r="N44" s="7047">
        <v>48615</v>
      </c>
      <c r="O44" s="6940">
        <v>133317</v>
      </c>
      <c r="P44" s="7048">
        <v>2.74</v>
      </c>
      <c r="Q44" s="6941">
        <v>44200</v>
      </c>
      <c r="R44" s="6940">
        <v>60581</v>
      </c>
      <c r="S44" s="6996">
        <v>1.37</v>
      </c>
      <c r="T44" s="7069">
        <v>27736.05</v>
      </c>
      <c r="U44" s="6943">
        <v>35807</v>
      </c>
      <c r="V44" s="7074">
        <f t="shared" si="5"/>
        <v>8070.9500000000007</v>
      </c>
      <c r="W44" s="7007">
        <v>1.2909913271716773</v>
      </c>
      <c r="X44" s="6856"/>
    </row>
    <row r="45" spans="12:24" ht="16.5">
      <c r="L45" s="8507"/>
      <c r="M45" s="6928" t="s">
        <v>1015</v>
      </c>
      <c r="N45" s="7057"/>
      <c r="O45" s="6924"/>
      <c r="P45" s="7058"/>
      <c r="Q45" s="6934">
        <v>523486</v>
      </c>
      <c r="R45" s="6923">
        <v>543649</v>
      </c>
      <c r="S45" s="6997">
        <v>1.04</v>
      </c>
      <c r="T45" s="7070">
        <v>115175</v>
      </c>
      <c r="U45" s="6838">
        <v>115175.00000000004</v>
      </c>
      <c r="V45" s="7074">
        <f t="shared" si="5"/>
        <v>0</v>
      </c>
      <c r="W45" s="7005">
        <v>1.0000000000000004</v>
      </c>
      <c r="X45" s="6856"/>
    </row>
    <row r="46" spans="12:24" ht="16.5">
      <c r="L46" s="8507"/>
      <c r="M46" s="6918" t="s">
        <v>197</v>
      </c>
      <c r="N46" s="7059">
        <v>48615</v>
      </c>
      <c r="O46" s="6993">
        <v>133317</v>
      </c>
      <c r="P46" s="7060">
        <v>2.74</v>
      </c>
      <c r="Q46" s="6994">
        <v>567686</v>
      </c>
      <c r="R46" s="6993">
        <v>604231</v>
      </c>
      <c r="S46" s="6995">
        <v>1.06</v>
      </c>
      <c r="T46" s="7071">
        <v>142911.04999999999</v>
      </c>
      <c r="U46" s="6840">
        <v>150982.00000000006</v>
      </c>
      <c r="V46" s="7075">
        <f>SUM(V44:V45)</f>
        <v>8070.9500000000007</v>
      </c>
      <c r="W46" s="7040">
        <v>1.0564753390308173</v>
      </c>
      <c r="X46" s="6856"/>
    </row>
    <row r="47" spans="12:24" ht="17.25" thickBot="1">
      <c r="L47" s="8504" t="s">
        <v>803</v>
      </c>
      <c r="M47" s="8505"/>
      <c r="N47" s="7061">
        <v>7918504</v>
      </c>
      <c r="O47" s="7041">
        <v>7031168</v>
      </c>
      <c r="P47" s="7062">
        <v>0.89</v>
      </c>
      <c r="Q47" s="7042">
        <v>7713810</v>
      </c>
      <c r="R47" s="7041">
        <v>951185</v>
      </c>
      <c r="S47" s="7043">
        <v>0.12</v>
      </c>
      <c r="T47" s="7072">
        <v>5837723.4857566739</v>
      </c>
      <c r="U47" s="7044">
        <v>4794161.0833642613</v>
      </c>
      <c r="V47" s="7076">
        <f>V39+V43+V46</f>
        <v>-1043562.4023924125</v>
      </c>
      <c r="W47" s="7045">
        <v>0.82123812391275874</v>
      </c>
      <c r="X47" s="6856"/>
    </row>
    <row r="48" spans="12:24" ht="14.25" thickTop="1"/>
    <row r="50" spans="12:19" ht="17.25" thickBot="1">
      <c r="L50" s="8487" t="s">
        <v>2213</v>
      </c>
      <c r="M50" s="8488"/>
      <c r="N50" s="6959" t="s">
        <v>2209</v>
      </c>
      <c r="O50" s="6960" t="s">
        <v>2206</v>
      </c>
      <c r="P50" s="6932" t="s">
        <v>2208</v>
      </c>
      <c r="Q50" s="6945" t="s">
        <v>2211</v>
      </c>
      <c r="R50" s="6677" t="s">
        <v>2212</v>
      </c>
      <c r="S50" s="6946" t="s">
        <v>2207</v>
      </c>
    </row>
    <row r="51" spans="12:19" ht="16.5">
      <c r="L51" s="8489" t="s">
        <v>2202</v>
      </c>
      <c r="M51" s="6939" t="s">
        <v>916</v>
      </c>
      <c r="N51" s="6970">
        <v>16</v>
      </c>
      <c r="O51" s="6834">
        <v>10</v>
      </c>
      <c r="P51" s="6971">
        <v>0.625</v>
      </c>
      <c r="Q51" s="6942">
        <v>717116.06146677514</v>
      </c>
      <c r="R51" s="6943">
        <v>538006.45332628</v>
      </c>
      <c r="S51" s="6944">
        <v>0.750236234042579</v>
      </c>
    </row>
    <row r="52" spans="12:19" ht="16.5">
      <c r="L52" s="8490"/>
      <c r="M52" s="6927" t="s">
        <v>225</v>
      </c>
      <c r="N52" s="5816">
        <v>4</v>
      </c>
      <c r="O52" s="6837">
        <v>4</v>
      </c>
      <c r="P52" s="6925">
        <v>1</v>
      </c>
      <c r="Q52" s="6935">
        <v>32972</v>
      </c>
      <c r="R52" s="6838">
        <v>30594.143</v>
      </c>
      <c r="S52" s="6925">
        <v>0.92788253669780418</v>
      </c>
    </row>
    <row r="53" spans="12:19" ht="16.5">
      <c r="L53" s="8490"/>
      <c r="M53" s="6927" t="s">
        <v>3</v>
      </c>
      <c r="N53" s="5816">
        <v>9</v>
      </c>
      <c r="O53" s="6837">
        <v>8</v>
      </c>
      <c r="P53" s="6925">
        <v>0.88888888888888884</v>
      </c>
      <c r="Q53" s="6935">
        <v>279756.20797548769</v>
      </c>
      <c r="R53" s="6838">
        <v>577464.49944351148</v>
      </c>
      <c r="S53" s="6925">
        <v>2.0641704562070311</v>
      </c>
    </row>
    <row r="54" spans="12:19" ht="16.5">
      <c r="L54" s="8490"/>
      <c r="M54" s="6927" t="s">
        <v>417</v>
      </c>
      <c r="N54" s="5816">
        <v>5</v>
      </c>
      <c r="O54" s="6837">
        <v>5</v>
      </c>
      <c r="P54" s="6925">
        <v>1</v>
      </c>
      <c r="Q54" s="6935">
        <v>42735.756000000001</v>
      </c>
      <c r="R54" s="6838">
        <v>39251</v>
      </c>
      <c r="S54" s="6925">
        <v>0.91845807056741902</v>
      </c>
    </row>
    <row r="55" spans="12:19" ht="16.5">
      <c r="L55" s="8490"/>
      <c r="M55" s="6927" t="s">
        <v>4</v>
      </c>
      <c r="N55" s="5816">
        <v>18</v>
      </c>
      <c r="O55" s="6837">
        <v>12</v>
      </c>
      <c r="P55" s="6925">
        <v>0.66666666666666663</v>
      </c>
      <c r="Q55" s="6935">
        <v>1642794.5401776629</v>
      </c>
      <c r="R55" s="6838">
        <v>1052964.4624756929</v>
      </c>
      <c r="S55" s="6925">
        <v>0.64095931458465782</v>
      </c>
    </row>
    <row r="56" spans="12:19" ht="16.5">
      <c r="L56" s="8490"/>
      <c r="M56" s="6927" t="s">
        <v>190</v>
      </c>
      <c r="N56" s="5816">
        <v>15</v>
      </c>
      <c r="O56" s="6837">
        <v>12</v>
      </c>
      <c r="P56" s="6925">
        <v>0.8</v>
      </c>
      <c r="Q56" s="6935">
        <v>1359952.6981217477</v>
      </c>
      <c r="R56" s="6838">
        <v>792250.82699531515</v>
      </c>
      <c r="S56" s="6925">
        <v>0.58255763460707521</v>
      </c>
    </row>
    <row r="57" spans="12:19" ht="16.5">
      <c r="L57" s="8490"/>
      <c r="M57" s="6927" t="s">
        <v>418</v>
      </c>
      <c r="N57" s="5816">
        <v>1</v>
      </c>
      <c r="O57" s="6837">
        <v>1</v>
      </c>
      <c r="P57" s="6925">
        <v>1</v>
      </c>
      <c r="Q57" s="6935">
        <v>101257.632</v>
      </c>
      <c r="R57" s="6838">
        <v>103447.12666087582</v>
      </c>
      <c r="S57" s="6925">
        <v>1.021623008731587</v>
      </c>
    </row>
    <row r="58" spans="12:19" ht="16.5">
      <c r="L58" s="8490"/>
      <c r="M58" s="6927" t="s">
        <v>17</v>
      </c>
      <c r="N58" s="5816">
        <v>12</v>
      </c>
      <c r="O58" s="6837">
        <v>12</v>
      </c>
      <c r="P58" s="6925">
        <v>1</v>
      </c>
      <c r="Q58" s="6936">
        <v>408652.66550099157</v>
      </c>
      <c r="R58" s="6838">
        <v>915745.62864473672</v>
      </c>
      <c r="S58" s="6925">
        <v>2.2408898948990577</v>
      </c>
    </row>
    <row r="59" spans="12:19" ht="16.5">
      <c r="L59" s="8490"/>
      <c r="M59" s="6927" t="s">
        <v>419</v>
      </c>
      <c r="N59" s="5816">
        <v>1</v>
      </c>
      <c r="O59" s="6837">
        <v>1</v>
      </c>
      <c r="P59" s="6925">
        <v>1</v>
      </c>
      <c r="Q59" s="6935">
        <v>21456.000000000004</v>
      </c>
      <c r="R59" s="6838">
        <v>33218.622336</v>
      </c>
      <c r="S59" s="6925">
        <v>1.5482206532438476</v>
      </c>
    </row>
    <row r="60" spans="12:19" ht="16.5">
      <c r="L60" s="8490"/>
      <c r="M60" s="6927" t="s">
        <v>193</v>
      </c>
      <c r="N60" s="5816">
        <v>3</v>
      </c>
      <c r="O60" s="6837">
        <v>0</v>
      </c>
      <c r="P60" s="6925">
        <v>0</v>
      </c>
      <c r="Q60" s="6935">
        <v>159247.853</v>
      </c>
      <c r="R60" s="6838">
        <v>157603.01320758389</v>
      </c>
      <c r="S60" s="6925">
        <v>0.98967119643103685</v>
      </c>
    </row>
    <row r="61" spans="12:19" ht="17.25" thickBot="1">
      <c r="L61" s="8491"/>
      <c r="M61" s="6933" t="s">
        <v>197</v>
      </c>
      <c r="N61" s="6914">
        <v>84</v>
      </c>
      <c r="O61" s="6913">
        <v>65</v>
      </c>
      <c r="P61" s="6975">
        <v>0.77380952380952384</v>
      </c>
      <c r="Q61" s="6949">
        <v>4765941.4142426662</v>
      </c>
      <c r="R61" s="6851">
        <v>4240545.7760899961</v>
      </c>
      <c r="S61" s="6950">
        <v>0.88976036579414008</v>
      </c>
    </row>
    <row r="62" spans="12:19" ht="16.5">
      <c r="L62" s="8492" t="s">
        <v>1061</v>
      </c>
      <c r="M62" s="6952" t="s">
        <v>226</v>
      </c>
      <c r="N62" s="6965">
        <v>12</v>
      </c>
      <c r="O62" s="6966">
        <v>18.3</v>
      </c>
      <c r="P62" s="6944">
        <v>1.5250000000000001</v>
      </c>
      <c r="Q62" s="6955">
        <v>517868.32018576202</v>
      </c>
      <c r="R62" s="6835">
        <v>185074.11643943394</v>
      </c>
      <c r="S62" s="6971">
        <v>0.35737678715903476</v>
      </c>
    </row>
    <row r="63" spans="12:19" ht="16.5">
      <c r="L63" s="8490"/>
      <c r="M63" s="6927" t="s">
        <v>227</v>
      </c>
      <c r="N63" s="5816">
        <v>16</v>
      </c>
      <c r="O63" s="6837">
        <v>24.8</v>
      </c>
      <c r="P63" s="6925">
        <v>1.55</v>
      </c>
      <c r="Q63" s="6935">
        <v>358004.70132824627</v>
      </c>
      <c r="R63" s="6838">
        <v>167641.19083483092</v>
      </c>
      <c r="S63" s="6925">
        <v>0.4682653334240004</v>
      </c>
    </row>
    <row r="64" spans="12:19" ht="16.5">
      <c r="L64" s="8490"/>
      <c r="M64" s="6927" t="s">
        <v>229</v>
      </c>
      <c r="N64" s="5816">
        <v>8</v>
      </c>
      <c r="O64" s="6837">
        <v>14</v>
      </c>
      <c r="P64" s="6925">
        <v>1.75</v>
      </c>
      <c r="Q64" s="6935">
        <v>52998</v>
      </c>
      <c r="R64" s="6838">
        <v>49918</v>
      </c>
      <c r="S64" s="6925">
        <v>0.94188459941884595</v>
      </c>
    </row>
    <row r="65" spans="12:19" ht="17.25" thickBot="1">
      <c r="L65" s="8493"/>
      <c r="M65" s="6948" t="s">
        <v>197</v>
      </c>
      <c r="N65" s="6979">
        <v>36</v>
      </c>
      <c r="O65" s="6850">
        <v>57.1</v>
      </c>
      <c r="P65" s="6950">
        <v>1.5861111111111112</v>
      </c>
      <c r="Q65" s="6956">
        <v>928871.02151400829</v>
      </c>
      <c r="R65" s="6957">
        <v>402633.30727426487</v>
      </c>
      <c r="S65" s="6975">
        <v>0.43346524754103632</v>
      </c>
    </row>
    <row r="66" spans="12:19" ht="16.5">
      <c r="L66" s="8489" t="s">
        <v>2204</v>
      </c>
      <c r="M66" s="6915" t="s">
        <v>228</v>
      </c>
      <c r="N66" s="6981">
        <v>4</v>
      </c>
      <c r="O66" s="6834">
        <v>4</v>
      </c>
      <c r="P66" s="6971">
        <v>1</v>
      </c>
      <c r="Q66" s="6951">
        <v>27736.05</v>
      </c>
      <c r="R66" s="6943">
        <v>35807</v>
      </c>
      <c r="S66" s="6944">
        <v>1.2909913271716773</v>
      </c>
    </row>
    <row r="67" spans="12:19" ht="16.5">
      <c r="L67" s="8490"/>
      <c r="M67" s="6928" t="s">
        <v>1015</v>
      </c>
      <c r="N67" s="6931">
        <v>2</v>
      </c>
      <c r="O67" s="6837">
        <v>2</v>
      </c>
      <c r="P67" s="6925">
        <v>1</v>
      </c>
      <c r="Q67" s="6937">
        <v>115175</v>
      </c>
      <c r="R67" s="6838">
        <v>115175.00000000004</v>
      </c>
      <c r="S67" s="6925">
        <v>1.0000000000000004</v>
      </c>
    </row>
    <row r="68" spans="12:19" ht="17.25" thickBot="1">
      <c r="L68" s="8490"/>
      <c r="M68" s="6916" t="s">
        <v>197</v>
      </c>
      <c r="N68" s="6914">
        <v>6</v>
      </c>
      <c r="O68" s="6913">
        <v>6</v>
      </c>
      <c r="P68" s="6975">
        <v>1</v>
      </c>
      <c r="Q68" s="6938">
        <v>142911.04999999999</v>
      </c>
      <c r="R68" s="6840">
        <v>150982.00000000006</v>
      </c>
      <c r="S68" s="6926">
        <v>1.0564753390308173</v>
      </c>
    </row>
    <row r="69" spans="12:19" ht="17.25" thickBot="1">
      <c r="L69" s="8494" t="s">
        <v>803</v>
      </c>
      <c r="M69" s="8495"/>
      <c r="N69" s="6984">
        <v>126</v>
      </c>
      <c r="O69" s="6985">
        <v>128.1</v>
      </c>
      <c r="P69" s="6986">
        <v>1.0166666666666666</v>
      </c>
      <c r="Q69" s="6999">
        <v>5837723.4857566739</v>
      </c>
      <c r="R69" s="7000">
        <v>4794161.0833642613</v>
      </c>
      <c r="S69" s="7001">
        <v>0.82123812391275874</v>
      </c>
    </row>
  </sheetData>
  <mergeCells count="33">
    <mergeCell ref="Q3:S3"/>
    <mergeCell ref="A5:A15"/>
    <mergeCell ref="A16:A19"/>
    <mergeCell ref="F24:G24"/>
    <mergeCell ref="A20:A22"/>
    <mergeCell ref="A23:B23"/>
    <mergeCell ref="A24:B24"/>
    <mergeCell ref="C24:E24"/>
    <mergeCell ref="C3:E3"/>
    <mergeCell ref="F3:I3"/>
    <mergeCell ref="J3:J4"/>
    <mergeCell ref="A3:B4"/>
    <mergeCell ref="L69:M69"/>
    <mergeCell ref="T3:W3"/>
    <mergeCell ref="L27:M28"/>
    <mergeCell ref="N27:P27"/>
    <mergeCell ref="Q27:S27"/>
    <mergeCell ref="T27:W27"/>
    <mergeCell ref="L47:M47"/>
    <mergeCell ref="L5:L15"/>
    <mergeCell ref="L16:L19"/>
    <mergeCell ref="L20:L22"/>
    <mergeCell ref="L23:M23"/>
    <mergeCell ref="L29:L39"/>
    <mergeCell ref="L40:L43"/>
    <mergeCell ref="L44:L46"/>
    <mergeCell ref="L3:M4"/>
    <mergeCell ref="N3:P3"/>
    <mergeCell ref="X5:X23"/>
    <mergeCell ref="L50:M50"/>
    <mergeCell ref="L51:L61"/>
    <mergeCell ref="L62:L65"/>
    <mergeCell ref="L66:L68"/>
  </mergeCells>
  <phoneticPr fontId="23" type="noConversion"/>
  <pageMargins left="0.7" right="0.7" top="0.75" bottom="0.75" header="0.3" footer="0.3"/>
  <pageSetup paperSize="9" scale="8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29</vt:i4>
      </vt:variant>
    </vt:vector>
  </HeadingPairs>
  <TitlesOfParts>
    <vt:vector size="29" baseType="lpstr">
      <vt:lpstr>성과개선</vt:lpstr>
      <vt:lpstr>성과개선 요약</vt:lpstr>
      <vt:lpstr>스크</vt:lpstr>
      <vt:lpstr>년간</vt:lpstr>
      <vt:lpstr>L D</vt:lpstr>
      <vt:lpstr>게시판</vt:lpstr>
      <vt:lpstr>종합평가</vt:lpstr>
      <vt:lpstr>종합</vt:lpstr>
      <vt:lpstr>CPL</vt:lpstr>
      <vt:lpstr>CRM</vt:lpstr>
      <vt:lpstr>CGL</vt:lpstr>
      <vt:lpstr>#1CCL</vt:lpstr>
      <vt:lpstr>#2CCL</vt:lpstr>
      <vt:lpstr>비가동</vt:lpstr>
      <vt:lpstr>고장</vt:lpstr>
      <vt:lpstr>협력사</vt:lpstr>
      <vt:lpstr>성과개선 실적</vt:lpstr>
      <vt:lpstr>SSCL</vt:lpstr>
      <vt:lpstr>경쟁사</vt:lpstr>
      <vt:lpstr>21년경영목표</vt:lpstr>
      <vt:lpstr>운영KPI</vt:lpstr>
      <vt:lpstr>설비종합효율</vt:lpstr>
      <vt:lpstr>임원미션</vt:lpstr>
      <vt:lpstr>개선금액</vt:lpstr>
      <vt:lpstr>20년 실질개선금액</vt:lpstr>
      <vt:lpstr>성과개선 과제선정 일정</vt:lpstr>
      <vt:lpstr>GL 공사관련 일정</vt:lpstr>
      <vt:lpstr>21년 라인별 성과개선</vt:lpstr>
      <vt:lpstr>20년 요약</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이선구</dc:creator>
  <cp:lastModifiedBy>seah</cp:lastModifiedBy>
  <cp:lastPrinted>2021-04-07T04:46:05Z</cp:lastPrinted>
  <dcterms:created xsi:type="dcterms:W3CDTF">2009-02-12T02:33:17Z</dcterms:created>
  <dcterms:modified xsi:type="dcterms:W3CDTF">2021-04-23T07:47:34Z</dcterms:modified>
</cp:coreProperties>
</file>